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5"/>
  <workbookPr/>
  <mc:AlternateContent xmlns:mc="http://schemas.openxmlformats.org/markup-compatibility/2006">
    <mc:Choice Requires="x15">
      <x15ac:absPath xmlns:x15ac="http://schemas.microsoft.com/office/spreadsheetml/2010/11/ac" url="/Users/wq5547bt/Desktop/Mass Shooter Database FINAL/VERSION 2/"/>
    </mc:Choice>
  </mc:AlternateContent>
  <xr:revisionPtr revIDLastSave="0" documentId="13_ncr:1_{346E6ABD-65F7-524C-B3EA-EA0C456802A1}" xr6:coauthVersionLast="36" xr6:coauthVersionMax="45" xr10:uidLastSave="{00000000-0000-0000-0000-000000000000}"/>
  <bookViews>
    <workbookView xWindow="0" yWindow="460" windowWidth="24800" windowHeight="15560" xr2:uid="{00000000-000D-0000-FFFF-FFFF00000000}"/>
  </bookViews>
  <sheets>
    <sheet name="Table of Contents" sheetId="1" r:id="rId1"/>
    <sheet name="FAQs" sheetId="2" r:id="rId2"/>
    <sheet name="New in Version 2 " sheetId="22" r:id="rId3"/>
    <sheet name="Codebook" sheetId="9" r:id="rId4"/>
    <sheet name="Full Database" sheetId="12" r:id="rId5"/>
    <sheet name="Database with Source Links" sheetId="4" r:id="rId6"/>
    <sheet name="Firearms" sheetId="5" r:id="rId7"/>
    <sheet name="Victims" sheetId="6" r:id="rId8"/>
    <sheet name="Community Database" sheetId="8" r:id="rId9"/>
    <sheet name="Missing Data" sheetId="10" r:id="rId10"/>
    <sheet name="Trend Data" sheetId="11" r:id="rId11"/>
  </sheets>
  <definedNames>
    <definedName name="_xlnm._FilterDatabase" localSheetId="5" hidden="1">'Database with Source Links'!$A$2:$DZ$175</definedName>
  </definedNames>
  <calcPr calcId="181029"/>
  <extLst>
    <ext uri="GoogleSheetsCustomDataVersion1">
      <go:sheetsCustomData xmlns:go="http://customooxmlschemas.google.com/" r:id="rId15" roundtripDataSignature="AMtx7mjipGX9Kz2XM+YhahlzLh8NBQ43Hg=="/>
    </ext>
  </extLst>
</workbook>
</file>

<file path=xl/calcChain.xml><?xml version="1.0" encoding="utf-8"?>
<calcChain xmlns="http://schemas.openxmlformats.org/spreadsheetml/2006/main">
  <c r="I122" i="10" l="1"/>
  <c r="I121" i="10"/>
  <c r="I120" i="10"/>
  <c r="I119" i="10"/>
  <c r="I118" i="10"/>
  <c r="I117" i="10"/>
  <c r="I116" i="10"/>
  <c r="I51" i="10"/>
  <c r="I105" i="10"/>
  <c r="I104" i="10"/>
  <c r="I103" i="10"/>
  <c r="I106" i="10"/>
  <c r="I107" i="10"/>
  <c r="I108" i="10"/>
  <c r="I109" i="10"/>
  <c r="I110" i="10"/>
  <c r="I111" i="10"/>
  <c r="I112" i="10"/>
  <c r="I113" i="10"/>
  <c r="I98" i="10"/>
  <c r="I99" i="10"/>
  <c r="I100" i="10"/>
  <c r="I101" i="10"/>
  <c r="I102" i="10"/>
  <c r="I94" i="10"/>
  <c r="I95" i="10"/>
  <c r="I96" i="10"/>
  <c r="I97" i="10"/>
  <c r="I93" i="10"/>
  <c r="I92" i="10"/>
  <c r="I91" i="10"/>
  <c r="I90" i="10"/>
  <c r="I89" i="10"/>
  <c r="I88" i="10"/>
  <c r="I87" i="10"/>
  <c r="I86" i="10"/>
  <c r="I85" i="10"/>
  <c r="I84" i="10"/>
  <c r="I83" i="10"/>
  <c r="I82" i="10"/>
  <c r="I81" i="10"/>
  <c r="I80" i="10"/>
  <c r="I65" i="10"/>
  <c r="I66" i="10"/>
  <c r="I67" i="10"/>
  <c r="I68" i="10"/>
  <c r="I69" i="10"/>
  <c r="I70" i="10"/>
  <c r="I71" i="10"/>
  <c r="I72" i="10"/>
  <c r="I73" i="10"/>
  <c r="I74" i="10"/>
  <c r="I75" i="10"/>
  <c r="I76" i="10"/>
  <c r="I77" i="10"/>
  <c r="I78" i="10"/>
  <c r="I79" i="10"/>
  <c r="I59" i="10"/>
  <c r="I60" i="10"/>
  <c r="I61" i="10"/>
  <c r="I62" i="10"/>
  <c r="I63" i="10"/>
  <c r="I64" i="10"/>
  <c r="I54" i="10"/>
  <c r="I55" i="10"/>
  <c r="I56" i="10"/>
  <c r="I57" i="10"/>
  <c r="I58" i="10"/>
  <c r="I49" i="10"/>
  <c r="I50" i="10"/>
  <c r="I52" i="10"/>
  <c r="I53" i="10"/>
  <c r="I114" i="10"/>
  <c r="I115" i="10"/>
  <c r="I48" i="10"/>
  <c r="I47" i="10"/>
  <c r="I46" i="10"/>
  <c r="I45" i="10"/>
  <c r="I44" i="10"/>
  <c r="I43" i="10"/>
  <c r="I42" i="10"/>
  <c r="I41" i="10"/>
  <c r="I40" i="10"/>
  <c r="I39" i="10"/>
  <c r="I38" i="10"/>
  <c r="I37" i="10"/>
  <c r="I36" i="10"/>
  <c r="I35" i="10"/>
  <c r="I34" i="10"/>
  <c r="I33" i="10"/>
  <c r="I32" i="10"/>
  <c r="I31" i="10"/>
  <c r="I30" i="10"/>
  <c r="I29" i="10"/>
  <c r="I28" i="10"/>
  <c r="I27" i="10"/>
  <c r="I26" i="10"/>
  <c r="I25" i="10"/>
  <c r="I24" i="10"/>
  <c r="I23" i="10"/>
  <c r="I22" i="10"/>
  <c r="I21" i="10"/>
  <c r="I20" i="10"/>
  <c r="I19" i="10"/>
  <c r="I18" i="10"/>
  <c r="I17" i="10"/>
  <c r="I16" i="10"/>
  <c r="I15" i="10"/>
  <c r="I14" i="10"/>
  <c r="I13" i="10"/>
  <c r="I12" i="10"/>
  <c r="I11" i="10"/>
  <c r="I10" i="10"/>
  <c r="I9" i="10"/>
  <c r="I8" i="10"/>
  <c r="I7" i="10"/>
  <c r="I6" i="10"/>
  <c r="I5" i="10"/>
  <c r="I4" i="10"/>
  <c r="I3" i="10"/>
  <c r="I2" i="10"/>
  <c r="E162" i="10"/>
  <c r="E163" i="10"/>
  <c r="E164" i="10"/>
  <c r="E165" i="10"/>
  <c r="E166" i="10"/>
  <c r="E167" i="10"/>
  <c r="E168" i="10"/>
  <c r="E169" i="10"/>
  <c r="E170" i="10"/>
  <c r="E171" i="10"/>
  <c r="E172" i="10"/>
  <c r="E173" i="10"/>
  <c r="E174" i="10"/>
  <c r="E155" i="10"/>
  <c r="E156" i="10"/>
  <c r="E157" i="10"/>
  <c r="E158" i="10"/>
  <c r="E159" i="10"/>
  <c r="E160" i="10"/>
  <c r="E161" i="10"/>
  <c r="E150" i="10"/>
  <c r="E151" i="10"/>
  <c r="E152" i="10"/>
  <c r="E153" i="10"/>
  <c r="E154" i="10"/>
  <c r="E145" i="10"/>
  <c r="E147" i="10"/>
  <c r="E148" i="10"/>
  <c r="E149" i="10"/>
  <c r="E144" i="10"/>
  <c r="E143" i="10"/>
  <c r="E142" i="10"/>
  <c r="E141" i="10"/>
  <c r="E140" i="10"/>
  <c r="E139" i="10"/>
  <c r="E138" i="10"/>
  <c r="E137" i="10"/>
  <c r="E136" i="10"/>
  <c r="E135" i="10"/>
  <c r="E134" i="10"/>
  <c r="E133" i="10"/>
  <c r="E132" i="10"/>
  <c r="E131" i="10"/>
  <c r="E130" i="10"/>
  <c r="E120" i="10"/>
  <c r="E121" i="10"/>
  <c r="E122" i="10"/>
  <c r="E123" i="10"/>
  <c r="E124" i="10"/>
  <c r="E125" i="10"/>
  <c r="E126" i="10"/>
  <c r="E127" i="10"/>
  <c r="E128" i="10"/>
  <c r="E129" i="10"/>
  <c r="E110" i="10"/>
  <c r="E111" i="10"/>
  <c r="E112" i="10"/>
  <c r="E113" i="10"/>
  <c r="E114" i="10"/>
  <c r="E115" i="10"/>
  <c r="E116" i="10"/>
  <c r="E117" i="10"/>
  <c r="E118" i="10"/>
  <c r="E119" i="10"/>
  <c r="E104" i="10"/>
  <c r="E105" i="10"/>
  <c r="E106" i="10"/>
  <c r="E107" i="10"/>
  <c r="E108" i="10"/>
  <c r="E109" i="10"/>
  <c r="E101" i="10"/>
  <c r="E100" i="10"/>
  <c r="E99" i="10"/>
  <c r="E98" i="10"/>
  <c r="E97" i="10"/>
  <c r="E96" i="10"/>
  <c r="E95" i="10"/>
  <c r="E94" i="10"/>
  <c r="E93" i="10"/>
  <c r="E88" i="10"/>
  <c r="E102" i="10"/>
  <c r="E103" i="10"/>
  <c r="E78" i="10"/>
  <c r="E79" i="10"/>
  <c r="E80" i="10"/>
  <c r="E81" i="10"/>
  <c r="E82" i="10"/>
  <c r="E83" i="10"/>
  <c r="E84" i="10"/>
  <c r="E85" i="10"/>
  <c r="E86" i="10"/>
  <c r="E87" i="10"/>
  <c r="E89" i="10"/>
  <c r="E90" i="10"/>
  <c r="E91" i="10"/>
  <c r="E92" i="10"/>
  <c r="E66" i="10"/>
  <c r="E67" i="10"/>
  <c r="E68" i="10"/>
  <c r="E69" i="10"/>
  <c r="E70" i="10"/>
  <c r="E71" i="10"/>
  <c r="E72" i="10"/>
  <c r="E73" i="10"/>
  <c r="E74" i="10"/>
  <c r="E75" i="10"/>
  <c r="E76" i="10"/>
  <c r="E77" i="10"/>
  <c r="E60" i="10"/>
  <c r="E61" i="10"/>
  <c r="E62" i="10"/>
  <c r="E63" i="10"/>
  <c r="E64" i="10"/>
  <c r="E65" i="10"/>
  <c r="E56" i="10"/>
  <c r="E55" i="10"/>
  <c r="E54" i="10"/>
  <c r="E53" i="10"/>
  <c r="E52" i="10"/>
  <c r="E51" i="10"/>
  <c r="E50" i="10"/>
  <c r="E49" i="10"/>
  <c r="E48" i="10"/>
  <c r="E57" i="10"/>
  <c r="E58" i="10"/>
  <c r="E59" i="10"/>
  <c r="E38" i="10"/>
  <c r="E39" i="10"/>
  <c r="E40" i="10"/>
  <c r="E41" i="10"/>
  <c r="E42" i="10"/>
  <c r="E43" i="10"/>
  <c r="E44" i="10"/>
  <c r="E45" i="10"/>
  <c r="E46" i="10"/>
  <c r="E47" i="10"/>
  <c r="E32" i="10"/>
  <c r="E33" i="10"/>
  <c r="E34" i="10"/>
  <c r="E35" i="10"/>
  <c r="E36" i="10"/>
  <c r="E37" i="10"/>
  <c r="E28" i="10"/>
  <c r="E29" i="10"/>
  <c r="E30" i="10"/>
  <c r="E31" i="10"/>
  <c r="E27" i="10"/>
  <c r="E26" i="10"/>
  <c r="E25" i="10"/>
  <c r="E24" i="10"/>
  <c r="E23" i="10"/>
  <c r="E22" i="10"/>
  <c r="E21" i="10"/>
  <c r="E20" i="10"/>
  <c r="E19" i="10"/>
  <c r="E18" i="10"/>
  <c r="E17" i="10"/>
  <c r="E16" i="10"/>
  <c r="E15" i="10"/>
  <c r="E14" i="10"/>
  <c r="E13" i="10"/>
  <c r="E12" i="10"/>
  <c r="E11" i="10"/>
  <c r="E10" i="10"/>
  <c r="E9" i="10"/>
  <c r="E8" i="10"/>
  <c r="E7" i="10"/>
  <c r="E6" i="10"/>
  <c r="E5" i="10"/>
  <c r="E4" i="10"/>
  <c r="E3" i="10"/>
  <c r="E2" i="10"/>
  <c r="U147" i="4" l="1"/>
  <c r="T147" i="4"/>
  <c r="S147" i="4"/>
  <c r="O147" i="4"/>
  <c r="N147" i="4"/>
  <c r="M147" i="4"/>
  <c r="H147" i="4"/>
  <c r="C68" i="11" l="1"/>
  <c r="C67" i="11"/>
  <c r="C66" i="11"/>
  <c r="C65" i="11"/>
  <c r="C64" i="11"/>
  <c r="C63" i="11"/>
  <c r="M55" i="11"/>
  <c r="F55" i="11"/>
  <c r="BL11" i="4" l="1"/>
  <c r="CP138" i="4" l="1"/>
  <c r="CJ127" i="4"/>
  <c r="CP118" i="4"/>
  <c r="CO106" i="4"/>
  <c r="CJ175" i="4"/>
  <c r="CJ82" i="4"/>
  <c r="CJ27" i="4"/>
  <c r="CJ8" i="4"/>
  <c r="CJ125" i="4"/>
  <c r="BL150" i="4"/>
  <c r="BL111" i="4"/>
  <c r="AF174" i="4" l="1"/>
  <c r="BL123" i="4" l="1"/>
  <c r="BL168" i="4"/>
  <c r="BL155" i="4"/>
  <c r="BL138" i="4"/>
  <c r="BL169" i="4"/>
  <c r="BL141" i="4"/>
  <c r="BK66" i="4" l="1"/>
  <c r="CP8" i="4"/>
  <c r="N55" i="4"/>
  <c r="N151" i="4"/>
  <c r="BU173" i="4" l="1"/>
  <c r="P174" i="4" l="1"/>
  <c r="P173" i="4"/>
  <c r="N172" i="4"/>
  <c r="P157" i="4"/>
  <c r="N156" i="4"/>
  <c r="N155" i="4"/>
  <c r="N150" i="4"/>
  <c r="N149" i="4"/>
  <c r="P144" i="4"/>
  <c r="P145" i="4"/>
  <c r="N143" i="4"/>
  <c r="P143" i="4"/>
  <c r="N128" i="4"/>
  <c r="P127" i="4"/>
  <c r="P123" i="4"/>
  <c r="P111" i="4"/>
  <c r="P101" i="4"/>
  <c r="P98" i="4"/>
  <c r="P95" i="4"/>
  <c r="N93" i="4"/>
  <c r="P87" i="4"/>
  <c r="N53" i="4"/>
  <c r="N51" i="4"/>
  <c r="N47" i="4"/>
  <c r="N45" i="4"/>
  <c r="N11" i="4"/>
  <c r="CY150" i="4"/>
  <c r="CV127" i="4"/>
  <c r="CU22" i="4" l="1"/>
  <c r="CS22" i="4"/>
  <c r="CU36" i="4"/>
  <c r="CN174" i="4"/>
  <c r="CN173" i="4"/>
  <c r="CN170" i="4"/>
  <c r="CN165" i="4"/>
  <c r="CN129" i="4"/>
  <c r="CN99" i="4"/>
  <c r="CN89" i="4"/>
  <c r="CN81" i="4"/>
  <c r="CN39" i="4"/>
  <c r="CN14" i="4"/>
  <c r="CZ175" i="4"/>
  <c r="CZ172" i="4"/>
  <c r="CZ171" i="4"/>
  <c r="CZ170" i="4"/>
  <c r="CZ169" i="4"/>
  <c r="CZ168" i="4"/>
  <c r="CZ167" i="4"/>
  <c r="CZ166" i="4"/>
  <c r="CZ165" i="4"/>
  <c r="CZ164" i="4"/>
  <c r="CZ163" i="4"/>
  <c r="CZ162" i="4"/>
  <c r="CZ161" i="4"/>
  <c r="CZ160" i="4"/>
  <c r="CZ159" i="4"/>
  <c r="CZ158" i="4"/>
  <c r="CZ157" i="4"/>
  <c r="CZ156" i="4"/>
  <c r="CZ155" i="4"/>
  <c r="CZ154" i="4"/>
  <c r="CZ153" i="4"/>
  <c r="CZ152" i="4"/>
  <c r="CZ151" i="4"/>
  <c r="CZ150" i="4"/>
  <c r="CZ149" i="4"/>
  <c r="CZ148" i="4"/>
  <c r="CZ146" i="4"/>
  <c r="CZ145" i="4"/>
  <c r="CZ144" i="4"/>
  <c r="CZ143" i="4"/>
  <c r="CZ142" i="4"/>
  <c r="CZ141" i="4"/>
  <c r="CZ140" i="4"/>
  <c r="CZ139" i="4"/>
  <c r="CZ138" i="4"/>
  <c r="CZ136" i="4"/>
  <c r="CZ135" i="4"/>
  <c r="CZ134" i="4"/>
  <c r="CZ133" i="4"/>
  <c r="CZ132" i="4"/>
  <c r="CZ131" i="4"/>
  <c r="CZ130" i="4"/>
  <c r="CZ129" i="4"/>
  <c r="CZ128" i="4"/>
  <c r="CZ127" i="4"/>
  <c r="CZ126" i="4"/>
  <c r="CZ125" i="4"/>
  <c r="CZ124" i="4"/>
  <c r="CZ123" i="4"/>
  <c r="CZ122" i="4"/>
  <c r="CZ121" i="4"/>
  <c r="CZ120" i="4"/>
  <c r="CZ119" i="4"/>
  <c r="CZ118" i="4"/>
  <c r="CZ117" i="4"/>
  <c r="CZ116" i="4"/>
  <c r="CZ115" i="4"/>
  <c r="CZ113" i="4"/>
  <c r="CZ112" i="4"/>
  <c r="CZ111" i="4"/>
  <c r="CZ110" i="4"/>
  <c r="CZ109" i="4"/>
  <c r="CZ108" i="4"/>
  <c r="CZ107" i="4"/>
  <c r="CZ106" i="4"/>
  <c r="CZ105" i="4"/>
  <c r="CZ104" i="4"/>
  <c r="CZ102" i="4"/>
  <c r="CZ101" i="4"/>
  <c r="CZ100" i="4"/>
  <c r="CZ99" i="4"/>
  <c r="CZ98" i="4"/>
  <c r="CZ97" i="4"/>
  <c r="CZ96" i="4"/>
  <c r="CZ95" i="4"/>
  <c r="CZ94" i="4"/>
  <c r="CZ93" i="4"/>
  <c r="CZ92" i="4"/>
  <c r="CZ91" i="4"/>
  <c r="CZ90" i="4"/>
  <c r="CZ89" i="4"/>
  <c r="CZ88" i="4"/>
  <c r="CZ87" i="4"/>
  <c r="CZ86" i="4"/>
  <c r="CZ85" i="4"/>
  <c r="CZ84" i="4"/>
  <c r="CZ83" i="4"/>
  <c r="CZ82" i="4"/>
  <c r="CZ81" i="4"/>
  <c r="CZ80" i="4"/>
  <c r="CZ79" i="4"/>
  <c r="CZ78" i="4"/>
  <c r="CZ77" i="4"/>
  <c r="CZ76" i="4"/>
  <c r="CZ75" i="4"/>
  <c r="CZ74" i="4"/>
  <c r="CZ73" i="4"/>
  <c r="CZ72" i="4"/>
  <c r="CZ71" i="4"/>
  <c r="CZ70" i="4"/>
  <c r="CZ69" i="4"/>
  <c r="CZ68" i="4"/>
  <c r="CZ67" i="4"/>
  <c r="CZ65" i="4"/>
  <c r="CZ64" i="4"/>
  <c r="CZ62" i="4"/>
  <c r="CZ61" i="4"/>
  <c r="CZ60" i="4"/>
  <c r="CZ59" i="4"/>
  <c r="CZ58" i="4"/>
  <c r="CZ57" i="4"/>
  <c r="CZ56" i="4"/>
  <c r="CZ55" i="4"/>
  <c r="CZ54" i="4"/>
  <c r="CZ53" i="4"/>
  <c r="CZ52" i="4"/>
  <c r="CZ51" i="4"/>
  <c r="CZ50" i="4"/>
  <c r="CZ49" i="4"/>
  <c r="CZ48" i="4"/>
  <c r="CZ45" i="4"/>
  <c r="CZ44" i="4"/>
  <c r="CZ43" i="4"/>
  <c r="CZ42" i="4"/>
  <c r="CZ41" i="4"/>
  <c r="CZ40" i="4"/>
  <c r="CZ39" i="4"/>
  <c r="CZ38" i="4"/>
  <c r="CZ37" i="4"/>
  <c r="CZ35" i="4"/>
  <c r="CZ34" i="4"/>
  <c r="CZ33" i="4"/>
  <c r="CZ32" i="4"/>
  <c r="CZ31" i="4"/>
  <c r="CZ30" i="4"/>
  <c r="CZ29" i="4"/>
  <c r="CZ25" i="4"/>
  <c r="CZ24" i="4"/>
  <c r="CZ22" i="4"/>
  <c r="CZ21" i="4"/>
  <c r="CZ20" i="4"/>
  <c r="CZ19" i="4"/>
  <c r="CZ18" i="4"/>
  <c r="CZ17" i="4"/>
  <c r="CZ16" i="4"/>
  <c r="CZ15" i="4"/>
  <c r="CZ14" i="4"/>
  <c r="CZ13" i="4"/>
  <c r="CZ12" i="4"/>
  <c r="CZ11" i="4"/>
  <c r="CZ10" i="4"/>
  <c r="CZ9" i="4"/>
  <c r="CZ8" i="4"/>
  <c r="CZ6" i="4"/>
  <c r="CZ5" i="4"/>
  <c r="CZ4" i="4"/>
  <c r="CZ3" i="4"/>
  <c r="DA157" i="4"/>
  <c r="DA146" i="4"/>
  <c r="DA136" i="4"/>
  <c r="DA128" i="4"/>
  <c r="DA109" i="4"/>
  <c r="DA102" i="4"/>
  <c r="DA100" i="4"/>
  <c r="DA99" i="4"/>
  <c r="DA98" i="4"/>
  <c r="DA85" i="4"/>
  <c r="DA81" i="4"/>
  <c r="DA78" i="4"/>
  <c r="DA55" i="4"/>
  <c r="DA51" i="4"/>
  <c r="DA48" i="4"/>
  <c r="DA37" i="4"/>
  <c r="DA35" i="4"/>
  <c r="DA20" i="4"/>
  <c r="DA17" i="4"/>
  <c r="DA13" i="4"/>
  <c r="CY175" i="4"/>
  <c r="CY172" i="4"/>
  <c r="CY171" i="4"/>
  <c r="CY167" i="4"/>
  <c r="CY162" i="4"/>
  <c r="CY161" i="4"/>
  <c r="CY159" i="4"/>
  <c r="CY155" i="4"/>
  <c r="CY151" i="4"/>
  <c r="CY131" i="4"/>
  <c r="CY124" i="4"/>
  <c r="CY120" i="4"/>
  <c r="CY103" i="4"/>
  <c r="CY97" i="4"/>
  <c r="CY79" i="4"/>
  <c r="CY59" i="4"/>
  <c r="CY58" i="4"/>
  <c r="CY53" i="4"/>
  <c r="CY52" i="4"/>
  <c r="CY43" i="4"/>
  <c r="CY41" i="4"/>
  <c r="CY38" i="4"/>
  <c r="CY31" i="4"/>
  <c r="CY18" i="4"/>
  <c r="CY12" i="4"/>
  <c r="AQ174" i="4" l="1"/>
  <c r="K56" i="11"/>
  <c r="E56" i="11"/>
  <c r="W114" i="8"/>
  <c r="V114" i="8"/>
  <c r="U114" i="8"/>
  <c r="T114" i="8"/>
  <c r="G114" i="8"/>
  <c r="F114" i="8"/>
  <c r="W113" i="8"/>
  <c r="V113" i="8"/>
  <c r="U113" i="8"/>
  <c r="T113" i="8"/>
  <c r="G113" i="8"/>
  <c r="F113" i="8"/>
  <c r="F1186" i="6"/>
  <c r="H775" i="6"/>
  <c r="H753" i="6"/>
  <c r="H752" i="6"/>
  <c r="H751" i="6"/>
  <c r="H750" i="6"/>
  <c r="H749" i="6"/>
  <c r="H748" i="6"/>
  <c r="H747" i="6"/>
  <c r="F747" i="6"/>
  <c r="H746" i="6"/>
  <c r="H745" i="6"/>
  <c r="H744" i="6"/>
  <c r="H743" i="6"/>
  <c r="H655" i="6"/>
  <c r="H650" i="6"/>
  <c r="H648" i="6"/>
  <c r="H646" i="6"/>
  <c r="H645" i="6"/>
  <c r="F639" i="6"/>
  <c r="H637" i="6"/>
  <c r="F630" i="6"/>
  <c r="F629" i="6"/>
  <c r="F628" i="6"/>
  <c r="F626" i="6"/>
  <c r="F625" i="6"/>
  <c r="H624" i="6"/>
  <c r="H623" i="6"/>
  <c r="F586" i="6"/>
  <c r="H558" i="6"/>
  <c r="H557" i="6"/>
  <c r="H554" i="6"/>
  <c r="H553" i="6"/>
  <c r="H532" i="6"/>
  <c r="H531" i="6"/>
  <c r="H530" i="6"/>
  <c r="H529" i="6"/>
  <c r="H528" i="6"/>
  <c r="H527" i="6"/>
  <c r="H526" i="6"/>
  <c r="H517" i="6"/>
  <c r="H492" i="6"/>
  <c r="H486" i="6"/>
  <c r="H477" i="6"/>
  <c r="H439" i="6"/>
  <c r="H438" i="6"/>
  <c r="H394" i="6"/>
  <c r="H393" i="6"/>
  <c r="H391" i="6"/>
  <c r="F389" i="6"/>
  <c r="F388" i="6"/>
  <c r="F387" i="6"/>
  <c r="H386" i="6"/>
  <c r="H385" i="6"/>
  <c r="H384" i="6"/>
  <c r="H383" i="6"/>
  <c r="H382" i="6"/>
  <c r="F380" i="6"/>
  <c r="H379" i="6"/>
  <c r="H378" i="6"/>
  <c r="H377" i="6"/>
  <c r="H375" i="6"/>
  <c r="H334" i="6"/>
  <c r="H332" i="6"/>
  <c r="H329" i="6"/>
  <c r="H323" i="6"/>
  <c r="H322" i="6"/>
  <c r="F297" i="6"/>
  <c r="F295" i="6"/>
  <c r="F294" i="6"/>
  <c r="H280" i="6"/>
  <c r="H279" i="6"/>
  <c r="H276" i="6"/>
  <c r="F275" i="6"/>
  <c r="F274" i="6"/>
  <c r="H272" i="6"/>
  <c r="H270" i="6"/>
  <c r="F270" i="6"/>
  <c r="H265" i="6"/>
  <c r="H263" i="6"/>
  <c r="H261" i="6"/>
  <c r="H260" i="6"/>
  <c r="H258" i="6"/>
  <c r="F209" i="6"/>
  <c r="F208" i="6"/>
  <c r="F188" i="6"/>
  <c r="F186" i="6"/>
  <c r="F178" i="6"/>
  <c r="H158" i="6"/>
  <c r="F157" i="6"/>
  <c r="F155" i="6"/>
  <c r="F153" i="6"/>
  <c r="F152" i="6"/>
  <c r="F151" i="6"/>
  <c r="H147" i="6"/>
  <c r="F146" i="6"/>
  <c r="F145" i="6"/>
  <c r="F142" i="6"/>
  <c r="H141" i="6"/>
  <c r="H140" i="6"/>
  <c r="H139" i="6"/>
  <c r="F120" i="6"/>
  <c r="F119" i="6"/>
  <c r="F113" i="6"/>
  <c r="F108" i="6"/>
  <c r="F98" i="6"/>
  <c r="F97" i="6"/>
  <c r="F96" i="6"/>
  <c r="F93" i="6"/>
  <c r="H92" i="6"/>
  <c r="F92" i="6"/>
  <c r="J91" i="6"/>
  <c r="F91" i="6"/>
  <c r="F88" i="6"/>
  <c r="F87" i="6"/>
  <c r="F86" i="6"/>
  <c r="F84" i="6"/>
  <c r="F83" i="6"/>
  <c r="E83" i="6"/>
  <c r="I82" i="6"/>
  <c r="F82" i="6"/>
  <c r="I81" i="6"/>
  <c r="F81" i="6"/>
  <c r="I80" i="6"/>
  <c r="H80" i="6"/>
  <c r="I79" i="6"/>
  <c r="H79" i="6"/>
  <c r="I78" i="6"/>
  <c r="F78" i="6"/>
  <c r="I77" i="6"/>
  <c r="F77" i="6"/>
  <c r="H76" i="6"/>
  <c r="F76" i="6"/>
  <c r="H74" i="6"/>
  <c r="H73" i="6"/>
  <c r="H72" i="6"/>
  <c r="F64" i="6"/>
  <c r="F63" i="6"/>
  <c r="F62" i="6"/>
  <c r="F61" i="6"/>
  <c r="F60" i="6"/>
  <c r="H59" i="6"/>
  <c r="F59" i="6"/>
  <c r="H58" i="6"/>
  <c r="F58" i="6"/>
  <c r="E58" i="6"/>
  <c r="H57" i="6"/>
  <c r="F57" i="6"/>
  <c r="I56" i="6"/>
  <c r="H56" i="6"/>
  <c r="I55" i="6"/>
  <c r="H55" i="6"/>
  <c r="H54" i="6"/>
  <c r="H53" i="6"/>
  <c r="F53" i="6"/>
  <c r="F52" i="6"/>
  <c r="F51" i="6"/>
  <c r="F50" i="6"/>
  <c r="F49" i="6"/>
  <c r="F48" i="6"/>
  <c r="F47" i="6"/>
  <c r="H46" i="6"/>
  <c r="H45" i="6"/>
  <c r="F45" i="6"/>
  <c r="E45" i="6"/>
  <c r="H44" i="6"/>
  <c r="H43" i="6"/>
  <c r="H42" i="6"/>
  <c r="F42" i="6"/>
  <c r="E42" i="6"/>
  <c r="H41" i="6"/>
  <c r="F41" i="6"/>
  <c r="H40" i="6"/>
  <c r="F40" i="6"/>
  <c r="H39" i="6"/>
  <c r="F39" i="6"/>
  <c r="F38" i="6"/>
  <c r="F37" i="6"/>
  <c r="I36" i="6"/>
  <c r="F36" i="6"/>
  <c r="I35" i="6"/>
  <c r="F35" i="6"/>
  <c r="F34" i="6"/>
  <c r="F33" i="6"/>
  <c r="F32" i="6"/>
  <c r="J31" i="6"/>
  <c r="F31" i="6"/>
  <c r="J30" i="6"/>
  <c r="F30" i="6"/>
  <c r="F29" i="6"/>
  <c r="J28" i="6"/>
  <c r="F28" i="6"/>
  <c r="H16" i="6"/>
  <c r="F14" i="6"/>
  <c r="H13" i="6"/>
  <c r="H11" i="6"/>
  <c r="H10" i="6"/>
  <c r="H9" i="6"/>
  <c r="H8" i="6"/>
  <c r="H7" i="6"/>
  <c r="H6" i="6"/>
  <c r="F6" i="6"/>
  <c r="H5" i="6"/>
  <c r="I4" i="6"/>
  <c r="H4" i="6"/>
  <c r="F379" i="5"/>
  <c r="F378" i="5"/>
  <c r="F377" i="5"/>
  <c r="F376" i="5"/>
  <c r="F375" i="5"/>
  <c r="F374" i="5"/>
  <c r="L372" i="5"/>
  <c r="H371" i="5"/>
  <c r="F371" i="5"/>
  <c r="H370" i="5"/>
  <c r="K369" i="5"/>
  <c r="I368" i="5"/>
  <c r="K366" i="5"/>
  <c r="F366" i="5"/>
  <c r="K365" i="5"/>
  <c r="H365" i="5"/>
  <c r="F365" i="5"/>
  <c r="K364" i="5"/>
  <c r="H364" i="5"/>
  <c r="F364" i="5"/>
  <c r="F362" i="5"/>
  <c r="F361" i="5"/>
  <c r="F360" i="5"/>
  <c r="F359" i="5"/>
  <c r="K358" i="5"/>
  <c r="H358" i="5"/>
  <c r="F358" i="5"/>
  <c r="K357" i="5"/>
  <c r="H357" i="5"/>
  <c r="K353" i="5"/>
  <c r="H353" i="5"/>
  <c r="H352" i="5"/>
  <c r="F352" i="5"/>
  <c r="H351" i="5"/>
  <c r="F349" i="5"/>
  <c r="H316" i="5"/>
  <c r="F316" i="5"/>
  <c r="F315" i="5"/>
  <c r="F314" i="5"/>
  <c r="K312" i="5"/>
  <c r="F312" i="5"/>
  <c r="P311" i="5"/>
  <c r="K311" i="5"/>
  <c r="H311" i="5"/>
  <c r="F310" i="5"/>
  <c r="F309" i="5"/>
  <c r="F308" i="5"/>
  <c r="F304" i="5"/>
  <c r="F303" i="5"/>
  <c r="F300" i="5"/>
  <c r="F298" i="5"/>
  <c r="F296" i="5"/>
  <c r="M286" i="5"/>
  <c r="H286" i="5"/>
  <c r="H285" i="5"/>
  <c r="F282" i="5"/>
  <c r="F281" i="5"/>
  <c r="F280" i="5"/>
  <c r="K279" i="5"/>
  <c r="K278" i="5"/>
  <c r="H278" i="5"/>
  <c r="I278" i="5"/>
  <c r="K277" i="5"/>
  <c r="H277" i="5"/>
  <c r="I276" i="5"/>
  <c r="F275" i="5"/>
  <c r="H274" i="5"/>
  <c r="F274" i="5"/>
  <c r="F273" i="5"/>
  <c r="H272" i="5"/>
  <c r="F272" i="5"/>
  <c r="F271" i="5"/>
  <c r="F270" i="5"/>
  <c r="F269" i="5"/>
  <c r="F268" i="5"/>
  <c r="K266" i="5"/>
  <c r="H266" i="5"/>
  <c r="F266" i="5"/>
  <c r="L265" i="5"/>
  <c r="K265" i="5"/>
  <c r="H265" i="5"/>
  <c r="K258" i="5"/>
  <c r="H258" i="5"/>
  <c r="F257" i="5"/>
  <c r="F256" i="5"/>
  <c r="F255" i="5"/>
  <c r="F254" i="5"/>
  <c r="F253" i="5"/>
  <c r="K248" i="5"/>
  <c r="H248" i="5"/>
  <c r="F248" i="5"/>
  <c r="H247" i="5"/>
  <c r="F247" i="5"/>
  <c r="H246" i="5"/>
  <c r="F246" i="5"/>
  <c r="F245" i="5"/>
  <c r="K242" i="5"/>
  <c r="F242" i="5"/>
  <c r="H235" i="5"/>
  <c r="F235" i="5"/>
  <c r="F232" i="5"/>
  <c r="F231" i="5"/>
  <c r="K225" i="5"/>
  <c r="H225" i="5"/>
  <c r="F225" i="5"/>
  <c r="H220" i="5"/>
  <c r="K219" i="5"/>
  <c r="H219" i="5"/>
  <c r="F218" i="5"/>
  <c r="F217" i="5"/>
  <c r="P214" i="5"/>
  <c r="K214" i="5"/>
  <c r="H206" i="5"/>
  <c r="F206" i="5"/>
  <c r="L202" i="5"/>
  <c r="K202" i="5"/>
  <c r="H202" i="5"/>
  <c r="F202" i="5"/>
  <c r="F201" i="5"/>
  <c r="F200" i="5"/>
  <c r="L196" i="5"/>
  <c r="H196" i="5"/>
  <c r="F196" i="5"/>
  <c r="F194" i="5"/>
  <c r="F193" i="5"/>
  <c r="O192" i="5"/>
  <c r="K192" i="5"/>
  <c r="H192" i="5"/>
  <c r="F192" i="5"/>
  <c r="Q191" i="5"/>
  <c r="K191" i="5"/>
  <c r="H191" i="5"/>
  <c r="H188" i="5"/>
  <c r="F188" i="5"/>
  <c r="H187" i="5"/>
  <c r="F187" i="5"/>
  <c r="F186" i="5"/>
  <c r="F185" i="5"/>
  <c r="F184" i="5"/>
  <c r="F183" i="5"/>
  <c r="F182" i="5"/>
  <c r="H181" i="5"/>
  <c r="F180" i="5"/>
  <c r="F179" i="5"/>
  <c r="F178" i="5"/>
  <c r="F177" i="5"/>
  <c r="F176" i="5"/>
  <c r="F175" i="5"/>
  <c r="F174" i="5"/>
  <c r="H173" i="5"/>
  <c r="F173" i="5"/>
  <c r="F172" i="5"/>
  <c r="F171" i="5"/>
  <c r="F168" i="5"/>
  <c r="F167" i="5"/>
  <c r="F165" i="5"/>
  <c r="F164" i="5"/>
  <c r="F163" i="5"/>
  <c r="K162" i="5"/>
  <c r="H162" i="5"/>
  <c r="H161" i="5"/>
  <c r="H158" i="5"/>
  <c r="F156" i="5"/>
  <c r="F155" i="5"/>
  <c r="F153" i="5"/>
  <c r="L151" i="5"/>
  <c r="K151" i="5"/>
  <c r="H151" i="5"/>
  <c r="F151" i="5"/>
  <c r="F148" i="5"/>
  <c r="F147" i="5"/>
  <c r="M146" i="5"/>
  <c r="K146" i="5"/>
  <c r="F145" i="5"/>
  <c r="F144" i="5"/>
  <c r="F143" i="5"/>
  <c r="F141" i="5"/>
  <c r="H132" i="5"/>
  <c r="F132" i="5"/>
  <c r="F131" i="5"/>
  <c r="F130" i="5"/>
  <c r="F127" i="5"/>
  <c r="H126" i="5"/>
  <c r="F126" i="5"/>
  <c r="F124" i="5"/>
  <c r="F122" i="5"/>
  <c r="F121" i="5"/>
  <c r="F116" i="5"/>
  <c r="P114" i="5"/>
  <c r="K114" i="5"/>
  <c r="H114" i="5"/>
  <c r="F114" i="5"/>
  <c r="L113" i="5"/>
  <c r="K113" i="5"/>
  <c r="F113" i="5"/>
  <c r="Q112" i="5"/>
  <c r="H112" i="5"/>
  <c r="K111" i="5"/>
  <c r="H111" i="5"/>
  <c r="F111" i="5"/>
  <c r="F106" i="5"/>
  <c r="F95" i="5"/>
  <c r="F94" i="5"/>
  <c r="F93" i="5"/>
  <c r="F92" i="5"/>
  <c r="F91" i="5"/>
  <c r="F82" i="5"/>
  <c r="F81" i="5"/>
  <c r="F80" i="5"/>
  <c r="F75" i="5"/>
  <c r="F74" i="5"/>
  <c r="F72" i="5"/>
  <c r="F70" i="5"/>
  <c r="F69" i="5"/>
  <c r="F67" i="5"/>
  <c r="F66" i="5"/>
  <c r="H59" i="5"/>
  <c r="K58" i="5"/>
  <c r="H58" i="5"/>
  <c r="F58" i="5"/>
  <c r="K57" i="5"/>
  <c r="H57" i="5"/>
  <c r="F57" i="5"/>
  <c r="K56" i="5"/>
  <c r="H56" i="5"/>
  <c r="K55" i="5"/>
  <c r="H55" i="5"/>
  <c r="K54" i="5"/>
  <c r="H54" i="5"/>
  <c r="K52" i="5"/>
  <c r="H52" i="5"/>
  <c r="F51" i="5"/>
  <c r="F50" i="5"/>
  <c r="F49" i="5"/>
  <c r="F48" i="5"/>
  <c r="F47" i="5"/>
  <c r="H43" i="5"/>
  <c r="F43" i="5"/>
  <c r="K42" i="5"/>
  <c r="H42" i="5"/>
  <c r="F41" i="5"/>
  <c r="F40" i="5"/>
  <c r="H37" i="5"/>
  <c r="H36" i="5"/>
  <c r="F36" i="5"/>
  <c r="H35" i="5"/>
  <c r="F35" i="5"/>
  <c r="F34" i="5"/>
  <c r="H33" i="5"/>
  <c r="F33" i="5"/>
  <c r="H32" i="5"/>
  <c r="I32" i="5"/>
  <c r="I31" i="5"/>
  <c r="H30" i="5"/>
  <c r="L29" i="5"/>
  <c r="K29" i="5"/>
  <c r="H29" i="5"/>
  <c r="F29" i="5"/>
  <c r="H28" i="5"/>
  <c r="H27" i="5"/>
  <c r="F27" i="5"/>
  <c r="F26" i="5"/>
  <c r="F25" i="5"/>
  <c r="K22" i="5"/>
  <c r="K21" i="5"/>
  <c r="H21" i="5"/>
  <c r="L20" i="5"/>
  <c r="K20" i="5"/>
  <c r="H20" i="5"/>
  <c r="F20" i="5"/>
  <c r="L19" i="5"/>
  <c r="K19" i="5"/>
  <c r="H19" i="5"/>
  <c r="F19" i="5"/>
  <c r="L18" i="5"/>
  <c r="K18" i="5"/>
  <c r="H18" i="5"/>
  <c r="I18" i="5"/>
  <c r="F18" i="5"/>
  <c r="L17" i="5"/>
  <c r="K17" i="5"/>
  <c r="H17" i="5"/>
  <c r="I17" i="5"/>
  <c r="F17" i="5"/>
  <c r="K16" i="5"/>
  <c r="H16" i="5"/>
  <c r="F16" i="5"/>
  <c r="L15" i="5"/>
  <c r="F15" i="5"/>
  <c r="H12" i="5"/>
  <c r="F12" i="5"/>
  <c r="O9" i="5"/>
  <c r="F9" i="5"/>
  <c r="L8" i="5"/>
  <c r="L7" i="5"/>
  <c r="L6" i="5"/>
  <c r="L5" i="5"/>
  <c r="L4" i="5"/>
  <c r="L3" i="5"/>
  <c r="DZ175" i="4"/>
  <c r="DY175" i="4"/>
  <c r="DX175" i="4"/>
  <c r="DW175" i="4"/>
  <c r="DV175" i="4"/>
  <c r="DU175" i="4"/>
  <c r="DT175" i="4"/>
  <c r="DQ175" i="4"/>
  <c r="DM175" i="4"/>
  <c r="CR175" i="4"/>
  <c r="CI175" i="4"/>
  <c r="CH175" i="4"/>
  <c r="BY175" i="4"/>
  <c r="BL175" i="4"/>
  <c r="BK175" i="4"/>
  <c r="BJ175" i="4"/>
  <c r="BI175" i="4"/>
  <c r="BD175" i="4"/>
  <c r="BC175" i="4"/>
  <c r="DR175" i="4"/>
  <c r="AT175" i="4"/>
  <c r="AS175" i="4"/>
  <c r="AQ175" i="4"/>
  <c r="DS175" i="4"/>
  <c r="AP175" i="4"/>
  <c r="AO175" i="4"/>
  <c r="AN175" i="4"/>
  <c r="AM175" i="4"/>
  <c r="AL175" i="4"/>
  <c r="AK175" i="4"/>
  <c r="AJ175" i="4"/>
  <c r="AI175" i="4"/>
  <c r="AF175" i="4"/>
  <c r="AB175" i="4"/>
  <c r="Z175" i="4"/>
  <c r="X175" i="4"/>
  <c r="W175" i="4"/>
  <c r="V175" i="4"/>
  <c r="U175" i="4"/>
  <c r="T175" i="4"/>
  <c r="S175" i="4"/>
  <c r="O175" i="4"/>
  <c r="N175" i="4"/>
  <c r="M175" i="4"/>
  <c r="L175" i="4"/>
  <c r="K175" i="4"/>
  <c r="J175" i="4"/>
  <c r="I175" i="4"/>
  <c r="H175" i="4"/>
  <c r="G175" i="4"/>
  <c r="DZ174" i="4"/>
  <c r="DY174" i="4"/>
  <c r="DX174" i="4"/>
  <c r="DW174" i="4"/>
  <c r="DV174" i="4"/>
  <c r="DU174" i="4"/>
  <c r="DT174" i="4"/>
  <c r="DQ174" i="4"/>
  <c r="DP174" i="4"/>
  <c r="DM174" i="4"/>
  <c r="DJ174" i="4"/>
  <c r="DB174" i="4"/>
  <c r="CO174" i="4"/>
  <c r="CJ174" i="4"/>
  <c r="CI174" i="4"/>
  <c r="BY174" i="4"/>
  <c r="BV174" i="4"/>
  <c r="BL174" i="4"/>
  <c r="BJ174" i="4"/>
  <c r="BF174" i="4"/>
  <c r="BE174" i="4"/>
  <c r="BC174" i="4"/>
  <c r="BA174" i="4"/>
  <c r="DR174" i="4"/>
  <c r="AT174" i="4"/>
  <c r="AS174" i="4"/>
  <c r="AR174" i="4"/>
  <c r="DS174" i="4"/>
  <c r="AP174" i="4"/>
  <c r="AO174" i="4"/>
  <c r="AL174" i="4"/>
  <c r="AK174" i="4"/>
  <c r="AI174" i="4"/>
  <c r="AA174" i="4"/>
  <c r="Z174" i="4"/>
  <c r="Y174" i="4"/>
  <c r="X174" i="4"/>
  <c r="W174" i="4"/>
  <c r="V174" i="4"/>
  <c r="U174" i="4"/>
  <c r="T174" i="4"/>
  <c r="S174" i="4"/>
  <c r="O174" i="4"/>
  <c r="N174" i="4"/>
  <c r="M174" i="4"/>
  <c r="L174" i="4"/>
  <c r="K174" i="4"/>
  <c r="J174" i="4"/>
  <c r="H174" i="4"/>
  <c r="G174" i="4"/>
  <c r="DZ173" i="4"/>
  <c r="DY173" i="4"/>
  <c r="DX173" i="4"/>
  <c r="DW173" i="4"/>
  <c r="DV173" i="4"/>
  <c r="DU173" i="4"/>
  <c r="DT173" i="4"/>
  <c r="DQ173" i="4"/>
  <c r="DP173" i="4"/>
  <c r="DM173" i="4"/>
  <c r="DJ173" i="4"/>
  <c r="DB173" i="4"/>
  <c r="CO173" i="4"/>
  <c r="CH173" i="4"/>
  <c r="BY173" i="4"/>
  <c r="BL173" i="4"/>
  <c r="BJ173" i="4"/>
  <c r="BG173" i="4"/>
  <c r="BE173" i="4"/>
  <c r="BA173" i="4"/>
  <c r="AT173" i="4"/>
  <c r="AS173" i="4"/>
  <c r="AR173" i="4"/>
  <c r="AQ173" i="4"/>
  <c r="DS173" i="4"/>
  <c r="AO173" i="4"/>
  <c r="AN173" i="4"/>
  <c r="AM173" i="4"/>
  <c r="AL173" i="4"/>
  <c r="AK173" i="4"/>
  <c r="AI173" i="4"/>
  <c r="AH173" i="4"/>
  <c r="AG173" i="4"/>
  <c r="AF173" i="4"/>
  <c r="AE173" i="4"/>
  <c r="AA173" i="4"/>
  <c r="Z173" i="4"/>
  <c r="X173" i="4"/>
  <c r="W173" i="4"/>
  <c r="V173" i="4"/>
  <c r="U173" i="4"/>
  <c r="T173" i="4"/>
  <c r="S173" i="4"/>
  <c r="O173" i="4"/>
  <c r="N173" i="4"/>
  <c r="M173" i="4"/>
  <c r="L173" i="4"/>
  <c r="K173" i="4"/>
  <c r="J173" i="4"/>
  <c r="H173" i="4"/>
  <c r="G173" i="4"/>
  <c r="DX172" i="4"/>
  <c r="DW172" i="4"/>
  <c r="DU172" i="4"/>
  <c r="DT172" i="4"/>
  <c r="DQ172" i="4"/>
  <c r="DP172" i="4"/>
  <c r="DM172" i="4"/>
  <c r="DC172" i="4"/>
  <c r="DB172" i="4"/>
  <c r="CH172" i="4"/>
  <c r="CF172" i="4"/>
  <c r="CE172" i="4"/>
  <c r="CD172" i="4"/>
  <c r="CB172" i="4"/>
  <c r="CA172" i="4"/>
  <c r="BZ172" i="4"/>
  <c r="BY172" i="4"/>
  <c r="BL172" i="4"/>
  <c r="BK172" i="4"/>
  <c r="BI172" i="4"/>
  <c r="BF172" i="4"/>
  <c r="AZ172" i="4"/>
  <c r="AT172" i="4"/>
  <c r="AS172" i="4"/>
  <c r="AQ172" i="4"/>
  <c r="DS172" i="4"/>
  <c r="AO172" i="4"/>
  <c r="AL172" i="4"/>
  <c r="AK172" i="4"/>
  <c r="AH172" i="4"/>
  <c r="AG172" i="4"/>
  <c r="AF172" i="4"/>
  <c r="AE172" i="4"/>
  <c r="AB172" i="4"/>
  <c r="Y172" i="4"/>
  <c r="X172" i="4"/>
  <c r="W172" i="4"/>
  <c r="V172" i="4"/>
  <c r="U172" i="4"/>
  <c r="T172" i="4"/>
  <c r="S172" i="4"/>
  <c r="P172" i="4"/>
  <c r="O172" i="4"/>
  <c r="M172" i="4"/>
  <c r="K172" i="4"/>
  <c r="J172" i="4"/>
  <c r="H172" i="4"/>
  <c r="G172" i="4"/>
  <c r="DX171" i="4"/>
  <c r="DW171" i="4"/>
  <c r="DU171" i="4"/>
  <c r="DT171" i="4"/>
  <c r="BB171" i="4"/>
  <c r="DQ171" i="4"/>
  <c r="DL171" i="4"/>
  <c r="DK171" i="4"/>
  <c r="DJ171" i="4"/>
  <c r="DB171" i="4"/>
  <c r="CH171" i="4"/>
  <c r="CE171" i="4"/>
  <c r="CD171" i="4"/>
  <c r="CC171" i="4"/>
  <c r="CB171" i="4"/>
  <c r="CA171" i="4"/>
  <c r="BY171" i="4"/>
  <c r="BF171" i="4"/>
  <c r="BE171" i="4"/>
  <c r="BA171" i="4"/>
  <c r="AX171" i="4"/>
  <c r="AT171" i="4"/>
  <c r="AS171" i="4"/>
  <c r="AQ171" i="4"/>
  <c r="DS171" i="4"/>
  <c r="AP171" i="4"/>
  <c r="AO171" i="4"/>
  <c r="AL171" i="4"/>
  <c r="AH171" i="4"/>
  <c r="AG171" i="4"/>
  <c r="AF171" i="4"/>
  <c r="AE171" i="4"/>
  <c r="AB171" i="4"/>
  <c r="AA171" i="4"/>
  <c r="Z171" i="4"/>
  <c r="X171" i="4"/>
  <c r="W171" i="4"/>
  <c r="V171" i="4"/>
  <c r="U171" i="4"/>
  <c r="T171" i="4"/>
  <c r="S171" i="4"/>
  <c r="O171" i="4"/>
  <c r="N171" i="4"/>
  <c r="K171" i="4"/>
  <c r="J171" i="4"/>
  <c r="H171" i="4"/>
  <c r="G171" i="4"/>
  <c r="DX170" i="4"/>
  <c r="DW170" i="4"/>
  <c r="DV170" i="4"/>
  <c r="DU170" i="4"/>
  <c r="DT170" i="4"/>
  <c r="BB170" i="4"/>
  <c r="DQ170" i="4"/>
  <c r="DM170" i="4"/>
  <c r="DC170" i="4"/>
  <c r="DB170" i="4"/>
  <c r="CH170" i="4"/>
  <c r="BY170" i="4"/>
  <c r="BK170" i="4"/>
  <c r="BG170" i="4"/>
  <c r="BF170" i="4"/>
  <c r="BE170" i="4"/>
  <c r="BD170" i="4"/>
  <c r="BC170" i="4"/>
  <c r="BA170" i="4"/>
  <c r="AZ170" i="4"/>
  <c r="AS170" i="4"/>
  <c r="AQ170" i="4"/>
  <c r="DS170" i="4"/>
  <c r="AO170" i="4"/>
  <c r="AL170" i="4"/>
  <c r="AK170" i="4"/>
  <c r="AG170" i="4"/>
  <c r="AF170" i="4"/>
  <c r="AB170" i="4"/>
  <c r="Y170" i="4"/>
  <c r="X170" i="4"/>
  <c r="W170" i="4"/>
  <c r="V170" i="4"/>
  <c r="U170" i="4"/>
  <c r="T170" i="4"/>
  <c r="S170" i="4"/>
  <c r="O170" i="4"/>
  <c r="N170" i="4"/>
  <c r="K170" i="4"/>
  <c r="J170" i="4"/>
  <c r="H170" i="4"/>
  <c r="G170" i="4"/>
  <c r="DX169" i="4"/>
  <c r="DW169" i="4"/>
  <c r="DV169" i="4"/>
  <c r="DU169" i="4"/>
  <c r="DT169" i="4"/>
  <c r="DQ169" i="4"/>
  <c r="DP169" i="4"/>
  <c r="DM169" i="4"/>
  <c r="DJ169" i="4"/>
  <c r="DC169" i="4"/>
  <c r="CS169" i="4"/>
  <c r="CR169" i="4"/>
  <c r="CH169" i="4"/>
  <c r="CC169" i="4"/>
  <c r="CA169" i="4"/>
  <c r="BZ169" i="4"/>
  <c r="BY169" i="4"/>
  <c r="BK169" i="4"/>
  <c r="BF169" i="4"/>
  <c r="BE169" i="4"/>
  <c r="BC169" i="4"/>
  <c r="DR169" i="4"/>
  <c r="AS169" i="4"/>
  <c r="AQ169" i="4"/>
  <c r="DS169" i="4"/>
  <c r="AO169" i="4"/>
  <c r="AN169" i="4"/>
  <c r="AM169" i="4"/>
  <c r="AL169" i="4"/>
  <c r="AK169" i="4"/>
  <c r="AI169" i="4"/>
  <c r="AB169" i="4"/>
  <c r="Z169" i="4"/>
  <c r="Y169" i="4"/>
  <c r="X169" i="4"/>
  <c r="W169" i="4"/>
  <c r="V169" i="4"/>
  <c r="U169" i="4"/>
  <c r="T169" i="4"/>
  <c r="S169" i="4"/>
  <c r="O169" i="4"/>
  <c r="N169" i="4"/>
  <c r="M169" i="4"/>
  <c r="K169" i="4"/>
  <c r="J169" i="4"/>
  <c r="H169" i="4"/>
  <c r="G169" i="4"/>
  <c r="DX168" i="4"/>
  <c r="DW168" i="4"/>
  <c r="DU168" i="4"/>
  <c r="DT168" i="4"/>
  <c r="BB168" i="4"/>
  <c r="DQ168" i="4"/>
  <c r="DP168" i="4"/>
  <c r="DM168" i="4"/>
  <c r="DC168" i="4"/>
  <c r="CR168" i="4"/>
  <c r="BY168" i="4"/>
  <c r="BK168" i="4"/>
  <c r="BF168" i="4"/>
  <c r="BE168" i="4"/>
  <c r="BC168" i="4"/>
  <c r="DR168" i="4"/>
  <c r="AT168" i="4"/>
  <c r="AS168" i="4"/>
  <c r="AQ168" i="4"/>
  <c r="DS168" i="4"/>
  <c r="AO168" i="4"/>
  <c r="AL168" i="4"/>
  <c r="AK168" i="4"/>
  <c r="AI168" i="4"/>
  <c r="AF168" i="4"/>
  <c r="Z168" i="4"/>
  <c r="X168" i="4"/>
  <c r="W168" i="4"/>
  <c r="V168" i="4"/>
  <c r="U168" i="4"/>
  <c r="T168" i="4"/>
  <c r="S168" i="4"/>
  <c r="O168" i="4"/>
  <c r="N168" i="4"/>
  <c r="M168" i="4"/>
  <c r="K168" i="4"/>
  <c r="J168" i="4"/>
  <c r="H168" i="4"/>
  <c r="G168" i="4"/>
  <c r="DY167" i="4"/>
  <c r="DX167" i="4"/>
  <c r="DW167" i="4"/>
  <c r="DV167" i="4"/>
  <c r="DU167" i="4"/>
  <c r="DT167" i="4"/>
  <c r="BB167" i="4"/>
  <c r="DQ167" i="4"/>
  <c r="DM167" i="4"/>
  <c r="DC167" i="4"/>
  <c r="DB167" i="4"/>
  <c r="CE167" i="4"/>
  <c r="BZ167" i="4"/>
  <c r="BY167" i="4"/>
  <c r="BK167" i="4"/>
  <c r="BF167" i="4"/>
  <c r="BE167" i="4"/>
  <c r="BD167" i="4"/>
  <c r="DR167" i="4"/>
  <c r="AQ167" i="4"/>
  <c r="DS167" i="4"/>
  <c r="AO167" i="4"/>
  <c r="AN167" i="4"/>
  <c r="AM167" i="4"/>
  <c r="AL167" i="4"/>
  <c r="AK167" i="4"/>
  <c r="AI167" i="4"/>
  <c r="AH167" i="4"/>
  <c r="AG167" i="4"/>
  <c r="AF167" i="4"/>
  <c r="AE167" i="4"/>
  <c r="AB167" i="4"/>
  <c r="Z167" i="4"/>
  <c r="Y167" i="4"/>
  <c r="X167" i="4"/>
  <c r="W167" i="4"/>
  <c r="V167" i="4"/>
  <c r="U167" i="4"/>
  <c r="T167" i="4"/>
  <c r="S167" i="4"/>
  <c r="O167" i="4"/>
  <c r="N167" i="4"/>
  <c r="M167" i="4"/>
  <c r="K167" i="4"/>
  <c r="J167" i="4"/>
  <c r="H167" i="4"/>
  <c r="G167" i="4"/>
  <c r="DX166" i="4"/>
  <c r="DW166" i="4"/>
  <c r="DV166" i="4"/>
  <c r="DU166" i="4"/>
  <c r="DT166" i="4"/>
  <c r="BB166" i="4"/>
  <c r="DQ166" i="4"/>
  <c r="DM166" i="4"/>
  <c r="DB166" i="4"/>
  <c r="CE166" i="4"/>
  <c r="CC166" i="4"/>
  <c r="CA166" i="4"/>
  <c r="BZ166" i="4"/>
  <c r="BY166" i="4"/>
  <c r="BL166" i="4"/>
  <c r="BK166" i="4"/>
  <c r="BJ166" i="4"/>
  <c r="BI166" i="4"/>
  <c r="BE166" i="4"/>
  <c r="BD166" i="4"/>
  <c r="BC166" i="4"/>
  <c r="AZ166" i="4"/>
  <c r="AX166" i="4"/>
  <c r="AT166" i="4"/>
  <c r="AS166" i="4"/>
  <c r="AQ166" i="4"/>
  <c r="DS166" i="4"/>
  <c r="AO166" i="4"/>
  <c r="AN166" i="4"/>
  <c r="AM166" i="4"/>
  <c r="AL166" i="4"/>
  <c r="AK166" i="4"/>
  <c r="AJ166" i="4"/>
  <c r="AI166" i="4"/>
  <c r="AH166" i="4"/>
  <c r="AG166" i="4"/>
  <c r="AF166" i="4"/>
  <c r="AE166" i="4"/>
  <c r="AB166" i="4"/>
  <c r="Z166" i="4"/>
  <c r="X166" i="4"/>
  <c r="W166" i="4"/>
  <c r="V166" i="4"/>
  <c r="U166" i="4"/>
  <c r="T166" i="4"/>
  <c r="S166" i="4"/>
  <c r="O166" i="4"/>
  <c r="N166" i="4"/>
  <c r="M166" i="4"/>
  <c r="K166" i="4"/>
  <c r="J166" i="4"/>
  <c r="H166" i="4"/>
  <c r="G166" i="4"/>
  <c r="DX165" i="4"/>
  <c r="DW165" i="4"/>
  <c r="DU165" i="4"/>
  <c r="DT165" i="4"/>
  <c r="DQ165" i="4"/>
  <c r="DP165" i="4"/>
  <c r="DM165" i="4"/>
  <c r="DJ165" i="4"/>
  <c r="DC165" i="4"/>
  <c r="DB165" i="4"/>
  <c r="CO165" i="4"/>
  <c r="CH165" i="4"/>
  <c r="CF165" i="4"/>
  <c r="BZ165" i="4"/>
  <c r="BY165" i="4"/>
  <c r="BK165" i="4"/>
  <c r="BG165" i="4"/>
  <c r="BF165" i="4"/>
  <c r="BE165" i="4"/>
  <c r="BD165" i="4"/>
  <c r="AZ165" i="4"/>
  <c r="DR165" i="4"/>
  <c r="AS165" i="4"/>
  <c r="AQ165" i="4"/>
  <c r="DS165" i="4"/>
  <c r="AO165" i="4"/>
  <c r="AL165" i="4"/>
  <c r="AK165" i="4"/>
  <c r="AI165" i="4"/>
  <c r="AH165" i="4"/>
  <c r="AG165" i="4"/>
  <c r="AF165" i="4"/>
  <c r="AE165" i="4"/>
  <c r="AD165" i="4"/>
  <c r="AC165" i="4"/>
  <c r="AB165" i="4"/>
  <c r="AA165" i="4"/>
  <c r="Z165" i="4"/>
  <c r="Y165" i="4"/>
  <c r="X165" i="4"/>
  <c r="W165" i="4"/>
  <c r="V165" i="4"/>
  <c r="U165" i="4"/>
  <c r="T165" i="4"/>
  <c r="S165" i="4"/>
  <c r="O165" i="4"/>
  <c r="N165" i="4"/>
  <c r="M165" i="4"/>
  <c r="K165" i="4"/>
  <c r="J165" i="4"/>
  <c r="H165" i="4"/>
  <c r="G165" i="4"/>
  <c r="DX164" i="4"/>
  <c r="DW164" i="4"/>
  <c r="DU164" i="4"/>
  <c r="DT164" i="4"/>
  <c r="DQ164" i="4"/>
  <c r="DM164" i="4"/>
  <c r="CU164" i="4"/>
  <c r="BY164" i="4"/>
  <c r="BL164" i="4"/>
  <c r="BJ164" i="4"/>
  <c r="BC164" i="4"/>
  <c r="AT164" i="4"/>
  <c r="DS164" i="4"/>
  <c r="AL164" i="4"/>
  <c r="AK164" i="4"/>
  <c r="AJ164" i="4"/>
  <c r="AI164" i="4"/>
  <c r="Z164" i="4"/>
  <c r="Y164" i="4"/>
  <c r="X164" i="4"/>
  <c r="W164" i="4"/>
  <c r="V164" i="4"/>
  <c r="U164" i="4"/>
  <c r="T164" i="4"/>
  <c r="S164" i="4"/>
  <c r="P164" i="4"/>
  <c r="O164" i="4"/>
  <c r="N164" i="4"/>
  <c r="M164" i="4"/>
  <c r="K164" i="4"/>
  <c r="J164" i="4"/>
  <c r="H164" i="4"/>
  <c r="G164" i="4"/>
  <c r="DY163" i="4"/>
  <c r="DX163" i="4"/>
  <c r="DU163" i="4"/>
  <c r="DT163" i="4"/>
  <c r="BB163" i="4"/>
  <c r="DQ163" i="4"/>
  <c r="DP163" i="4"/>
  <c r="DM163" i="4"/>
  <c r="DL163" i="4"/>
  <c r="DK163" i="4"/>
  <c r="DC163" i="4"/>
  <c r="DB163" i="4"/>
  <c r="CX163" i="4"/>
  <c r="CE163" i="4"/>
  <c r="CB163" i="4"/>
  <c r="CA163" i="4"/>
  <c r="BL163" i="4"/>
  <c r="BJ163" i="4"/>
  <c r="BF163" i="4"/>
  <c r="BE163" i="4"/>
  <c r="BD163" i="4"/>
  <c r="BC163" i="4"/>
  <c r="AT163" i="4"/>
  <c r="DS163" i="4"/>
  <c r="AO163" i="4"/>
  <c r="AL163" i="4"/>
  <c r="AK163" i="4"/>
  <c r="AJ163" i="4"/>
  <c r="AI163" i="4"/>
  <c r="AF163" i="4"/>
  <c r="AD163" i="4"/>
  <c r="AC163" i="4"/>
  <c r="Y163" i="4"/>
  <c r="X163" i="4"/>
  <c r="U163" i="4"/>
  <c r="O163" i="4"/>
  <c r="N163" i="4"/>
  <c r="DX162" i="4"/>
  <c r="DV162" i="4"/>
  <c r="DU162" i="4"/>
  <c r="BB162" i="4"/>
  <c r="DQ162" i="4"/>
  <c r="DP162" i="4"/>
  <c r="DO162" i="4"/>
  <c r="DN162" i="4"/>
  <c r="DM162" i="4"/>
  <c r="DJ162" i="4"/>
  <c r="DB162" i="4"/>
  <c r="CH162" i="4"/>
  <c r="CF162" i="4"/>
  <c r="BY162" i="4"/>
  <c r="BJ162" i="4"/>
  <c r="BF162" i="4"/>
  <c r="BE162" i="4"/>
  <c r="AP162" i="4"/>
  <c r="AO162" i="4"/>
  <c r="AH162" i="4"/>
  <c r="AG162" i="4"/>
  <c r="AF162" i="4"/>
  <c r="AE162" i="4"/>
  <c r="AD162" i="4"/>
  <c r="AC162" i="4"/>
  <c r="AA162" i="4"/>
  <c r="Z162" i="4"/>
  <c r="X162" i="4"/>
  <c r="W162" i="4"/>
  <c r="U162" i="4"/>
  <c r="M162" i="4"/>
  <c r="J162" i="4"/>
  <c r="DY161" i="4"/>
  <c r="DX161" i="4"/>
  <c r="DW161" i="4"/>
  <c r="DU161" i="4"/>
  <c r="BB161" i="4"/>
  <c r="DQ161" i="4"/>
  <c r="DM161" i="4"/>
  <c r="CE161" i="4"/>
  <c r="CD161" i="4"/>
  <c r="CC161" i="4"/>
  <c r="BZ161" i="4"/>
  <c r="BF161" i="4"/>
  <c r="DR161" i="4"/>
  <c r="AS161" i="4"/>
  <c r="DS161" i="4"/>
  <c r="AO161" i="4"/>
  <c r="AK161" i="4"/>
  <c r="AF161" i="4"/>
  <c r="U161" i="4"/>
  <c r="O161" i="4"/>
  <c r="N161" i="4"/>
  <c r="M161" i="4"/>
  <c r="K161" i="4"/>
  <c r="J161" i="4"/>
  <c r="H161" i="4"/>
  <c r="G161" i="4"/>
  <c r="DZ160" i="4"/>
  <c r="DX160" i="4"/>
  <c r="DW160" i="4"/>
  <c r="DU160" i="4"/>
  <c r="DT160" i="4"/>
  <c r="DQ160" i="4"/>
  <c r="DP160" i="4"/>
  <c r="DM160" i="4"/>
  <c r="DC160" i="4"/>
  <c r="BY160" i="4"/>
  <c r="BL160" i="4"/>
  <c r="AT160" i="4"/>
  <c r="AS160" i="4"/>
  <c r="AQ160" i="4"/>
  <c r="DS160" i="4"/>
  <c r="AJ160" i="4"/>
  <c r="Z160" i="4"/>
  <c r="Y160" i="4"/>
  <c r="X160" i="4"/>
  <c r="W160" i="4"/>
  <c r="V160" i="4"/>
  <c r="U160" i="4"/>
  <c r="T160" i="4"/>
  <c r="S160" i="4"/>
  <c r="P160" i="4"/>
  <c r="O160" i="4"/>
  <c r="N160" i="4"/>
  <c r="M160" i="4"/>
  <c r="L160" i="4"/>
  <c r="K160" i="4"/>
  <c r="J160" i="4"/>
  <c r="H160" i="4"/>
  <c r="G160" i="4"/>
  <c r="DX159" i="4"/>
  <c r="DV159" i="4"/>
  <c r="DU159" i="4"/>
  <c r="DT159" i="4"/>
  <c r="BB159" i="4"/>
  <c r="DQ159" i="4"/>
  <c r="DM159" i="4"/>
  <c r="DJ159" i="4"/>
  <c r="DC159" i="4"/>
  <c r="DB159" i="4"/>
  <c r="CW159" i="4"/>
  <c r="CH159" i="4"/>
  <c r="CG159" i="4"/>
  <c r="CF159" i="4"/>
  <c r="CE159" i="4"/>
  <c r="CD159" i="4"/>
  <c r="CC159" i="4"/>
  <c r="CB159" i="4"/>
  <c r="CA159" i="4"/>
  <c r="BY159" i="4"/>
  <c r="BG159" i="4"/>
  <c r="BF159" i="4"/>
  <c r="AT159" i="4"/>
  <c r="AS159" i="4"/>
  <c r="AQ159" i="4"/>
  <c r="DS159" i="4"/>
  <c r="AP159" i="4"/>
  <c r="AO159" i="4"/>
  <c r="AH159" i="4"/>
  <c r="AG159" i="4"/>
  <c r="AF159" i="4"/>
  <c r="AE159" i="4"/>
  <c r="AD159" i="4"/>
  <c r="AC159" i="4"/>
  <c r="Z159" i="4"/>
  <c r="Y159" i="4"/>
  <c r="U159" i="4"/>
  <c r="T159" i="4"/>
  <c r="S159" i="4"/>
  <c r="O159" i="4"/>
  <c r="M159" i="4"/>
  <c r="J159" i="4"/>
  <c r="DX158" i="4"/>
  <c r="DW158" i="4"/>
  <c r="DV158" i="4"/>
  <c r="DU158" i="4"/>
  <c r="DT158" i="4"/>
  <c r="DQ158" i="4"/>
  <c r="DP158" i="4"/>
  <c r="DM158" i="4"/>
  <c r="DC158" i="4"/>
  <c r="DB158" i="4"/>
  <c r="CU158" i="4"/>
  <c r="BL158" i="4"/>
  <c r="BJ158" i="4"/>
  <c r="BF158" i="4"/>
  <c r="DS158" i="4"/>
  <c r="AI158" i="4"/>
  <c r="AH158" i="4"/>
  <c r="AG158" i="4"/>
  <c r="AF158" i="4"/>
  <c r="AE158" i="4"/>
  <c r="Z158" i="4"/>
  <c r="X158" i="4"/>
  <c r="U158" i="4"/>
  <c r="T158" i="4"/>
  <c r="S158" i="4"/>
  <c r="O158" i="4"/>
  <c r="N158" i="4"/>
  <c r="M158" i="4"/>
  <c r="H158" i="4"/>
  <c r="DX157" i="4"/>
  <c r="DW157" i="4"/>
  <c r="DV157" i="4"/>
  <c r="DU157" i="4"/>
  <c r="DT157" i="4"/>
  <c r="DQ157" i="4"/>
  <c r="DM157" i="4"/>
  <c r="CH157" i="4"/>
  <c r="CE157" i="4"/>
  <c r="CD157" i="4"/>
  <c r="CC157" i="4"/>
  <c r="CB157" i="4"/>
  <c r="CA157" i="4"/>
  <c r="BZ157" i="4"/>
  <c r="BJ157" i="4"/>
  <c r="BC157" i="4"/>
  <c r="DR157" i="4"/>
  <c r="AT157" i="4"/>
  <c r="AS157" i="4"/>
  <c r="AQ157" i="4"/>
  <c r="DS157" i="4"/>
  <c r="AO157" i="4"/>
  <c r="AL157" i="4"/>
  <c r="AK157" i="4"/>
  <c r="AH157" i="4"/>
  <c r="AG157" i="4"/>
  <c r="AF157" i="4"/>
  <c r="AE157" i="4"/>
  <c r="AB157" i="4"/>
  <c r="Z157" i="4"/>
  <c r="Y157" i="4"/>
  <c r="U157" i="4"/>
  <c r="T157" i="4"/>
  <c r="O157" i="4"/>
  <c r="N157" i="4"/>
  <c r="G157" i="4"/>
  <c r="DX156" i="4"/>
  <c r="DV156" i="4"/>
  <c r="DU156" i="4"/>
  <c r="BB156" i="4"/>
  <c r="DQ156" i="4"/>
  <c r="DM156" i="4"/>
  <c r="DJ156" i="4"/>
  <c r="DC156" i="4"/>
  <c r="CJ156" i="4"/>
  <c r="CI156" i="4"/>
  <c r="CD156" i="4"/>
  <c r="BZ156" i="4"/>
  <c r="BL156" i="4"/>
  <c r="BF156" i="4"/>
  <c r="BE156" i="4"/>
  <c r="BD156" i="4"/>
  <c r="AZ156" i="4"/>
  <c r="DR156" i="4"/>
  <c r="AT156" i="4"/>
  <c r="AS156" i="4"/>
  <c r="DS156" i="4"/>
  <c r="AO156" i="4"/>
  <c r="AL156" i="4"/>
  <c r="AJ156" i="4"/>
  <c r="AI156" i="4"/>
  <c r="AH156" i="4"/>
  <c r="AG156" i="4"/>
  <c r="AF156" i="4"/>
  <c r="AE156" i="4"/>
  <c r="AA156" i="4"/>
  <c r="Z156" i="4"/>
  <c r="U156" i="4"/>
  <c r="S156" i="4"/>
  <c r="O156" i="4"/>
  <c r="M156" i="4"/>
  <c r="K156" i="4"/>
  <c r="DX155" i="4"/>
  <c r="DW155" i="4"/>
  <c r="DV155" i="4"/>
  <c r="DU155" i="4"/>
  <c r="BB155" i="4"/>
  <c r="DQ155" i="4"/>
  <c r="DP155" i="4"/>
  <c r="DM155" i="4"/>
  <c r="DC155" i="4"/>
  <c r="DB155" i="4"/>
  <c r="CW155" i="4"/>
  <c r="CJ155" i="4"/>
  <c r="CI155" i="4"/>
  <c r="CH155" i="4"/>
  <c r="CF155" i="4"/>
  <c r="CE155" i="4"/>
  <c r="CD155" i="4"/>
  <c r="CC155" i="4"/>
  <c r="BY155" i="4"/>
  <c r="BK155" i="4"/>
  <c r="BJ155" i="4"/>
  <c r="BG155" i="4"/>
  <c r="BF155" i="4"/>
  <c r="BE155" i="4"/>
  <c r="BC155" i="4"/>
  <c r="AZ155" i="4"/>
  <c r="DR155" i="4"/>
  <c r="AX155" i="4"/>
  <c r="AT155" i="4"/>
  <c r="AS155" i="4"/>
  <c r="AQ155" i="4"/>
  <c r="DS155" i="4"/>
  <c r="AO155" i="4"/>
  <c r="AM155" i="4"/>
  <c r="AL155" i="4"/>
  <c r="AK155" i="4"/>
  <c r="AJ155" i="4"/>
  <c r="AI155" i="4"/>
  <c r="AH155" i="4"/>
  <c r="AG155" i="4"/>
  <c r="AF155" i="4"/>
  <c r="AE155" i="4"/>
  <c r="AD155" i="4"/>
  <c r="AC155" i="4"/>
  <c r="AB155" i="4"/>
  <c r="AA155" i="4"/>
  <c r="Z155" i="4"/>
  <c r="Y155" i="4"/>
  <c r="X155" i="4"/>
  <c r="W155" i="4"/>
  <c r="V155" i="4"/>
  <c r="U155" i="4"/>
  <c r="T155" i="4"/>
  <c r="S155" i="4"/>
  <c r="O155" i="4"/>
  <c r="K155" i="4"/>
  <c r="J155" i="4"/>
  <c r="H155" i="4"/>
  <c r="G155" i="4"/>
  <c r="DX154" i="4"/>
  <c r="DV154" i="4"/>
  <c r="DU154" i="4"/>
  <c r="DT154" i="4"/>
  <c r="DQ154" i="4"/>
  <c r="DM154" i="4"/>
  <c r="DC154" i="4"/>
  <c r="DB154" i="4"/>
  <c r="CV154" i="4"/>
  <c r="CR154" i="4"/>
  <c r="CE154" i="4"/>
  <c r="BY154" i="4"/>
  <c r="BL154" i="4"/>
  <c r="BK154" i="4"/>
  <c r="BG154" i="4"/>
  <c r="BF154" i="4"/>
  <c r="BE154" i="4"/>
  <c r="BC154" i="4"/>
  <c r="AZ154" i="4"/>
  <c r="AY154" i="4"/>
  <c r="DR154" i="4"/>
  <c r="AS154" i="4"/>
  <c r="AQ154" i="4"/>
  <c r="DS154" i="4"/>
  <c r="AO154" i="4"/>
  <c r="AN154" i="4"/>
  <c r="AL154" i="4"/>
  <c r="AJ154" i="4"/>
  <c r="AI154" i="4"/>
  <c r="AF154" i="4"/>
  <c r="AB154" i="4"/>
  <c r="Y154" i="4"/>
  <c r="V154" i="4"/>
  <c r="U154" i="4"/>
  <c r="T154" i="4"/>
  <c r="O154" i="4"/>
  <c r="N154" i="4"/>
  <c r="DX153" i="4"/>
  <c r="DW153" i="4"/>
  <c r="DU153" i="4"/>
  <c r="DT153" i="4"/>
  <c r="DQ153" i="4"/>
  <c r="DM153" i="4"/>
  <c r="DC153" i="4"/>
  <c r="CU153" i="4"/>
  <c r="CT153" i="4"/>
  <c r="CS153" i="4"/>
  <c r="CH153" i="4"/>
  <c r="CE153" i="4"/>
  <c r="CB153" i="4"/>
  <c r="CA153" i="4"/>
  <c r="BY153" i="4"/>
  <c r="BL153" i="4"/>
  <c r="BJ153" i="4"/>
  <c r="BE153" i="4"/>
  <c r="DR153" i="4"/>
  <c r="AT153" i="4"/>
  <c r="AS153" i="4"/>
  <c r="AQ153" i="4"/>
  <c r="DS153" i="4"/>
  <c r="AP153" i="4"/>
  <c r="AO153" i="4"/>
  <c r="AL153" i="4"/>
  <c r="AK153" i="4"/>
  <c r="AJ153" i="4"/>
  <c r="AI153" i="4"/>
  <c r="AH153" i="4"/>
  <c r="AG153" i="4"/>
  <c r="AF153" i="4"/>
  <c r="AE153" i="4"/>
  <c r="AA153" i="4"/>
  <c r="Z153" i="4"/>
  <c r="Y153" i="4"/>
  <c r="X153" i="4"/>
  <c r="W153" i="4"/>
  <c r="V153" i="4"/>
  <c r="U153" i="4"/>
  <c r="T153" i="4"/>
  <c r="S153" i="4"/>
  <c r="P153" i="4"/>
  <c r="O153" i="4"/>
  <c r="N153" i="4"/>
  <c r="M153" i="4"/>
  <c r="L153" i="4"/>
  <c r="K153" i="4"/>
  <c r="J153" i="4"/>
  <c r="H153" i="4"/>
  <c r="G153" i="4"/>
  <c r="DX152" i="4"/>
  <c r="DW152" i="4"/>
  <c r="DQ152" i="4"/>
  <c r="DP152" i="4"/>
  <c r="DM152" i="4"/>
  <c r="DL152" i="4"/>
  <c r="DK152" i="4"/>
  <c r="DC152" i="4"/>
  <c r="CV152" i="4"/>
  <c r="AS152" i="4"/>
  <c r="AR152" i="4"/>
  <c r="AQ152" i="4"/>
  <c r="DS152" i="4"/>
  <c r="AI152" i="4"/>
  <c r="Z152" i="4"/>
  <c r="X152" i="4"/>
  <c r="W152" i="4"/>
  <c r="V152" i="4"/>
  <c r="U152" i="4"/>
  <c r="T152" i="4"/>
  <c r="S152" i="4"/>
  <c r="O152" i="4"/>
  <c r="N152" i="4"/>
  <c r="M152" i="4"/>
  <c r="K152" i="4"/>
  <c r="J152" i="4"/>
  <c r="H152" i="4"/>
  <c r="G152" i="4"/>
  <c r="DZ151" i="4"/>
  <c r="DY151" i="4"/>
  <c r="DX151" i="4"/>
  <c r="DW151" i="4"/>
  <c r="DU151" i="4"/>
  <c r="DT151" i="4"/>
  <c r="BB151" i="4"/>
  <c r="DQ151" i="4"/>
  <c r="DP151" i="4"/>
  <c r="DM151" i="4"/>
  <c r="DC151" i="4"/>
  <c r="DB151" i="4"/>
  <c r="CE151" i="4"/>
  <c r="CD151" i="4"/>
  <c r="CC151" i="4"/>
  <c r="CB151" i="4"/>
  <c r="BZ151" i="4"/>
  <c r="BL151" i="4"/>
  <c r="BK151" i="4"/>
  <c r="BJ151" i="4"/>
  <c r="BI151" i="4"/>
  <c r="BE151" i="4"/>
  <c r="AX151" i="4"/>
  <c r="AT151" i="4"/>
  <c r="AS151" i="4"/>
  <c r="AQ151" i="4"/>
  <c r="DS151" i="4"/>
  <c r="AO151" i="4"/>
  <c r="AN151" i="4"/>
  <c r="AM151" i="4"/>
  <c r="AL151" i="4"/>
  <c r="AK151" i="4"/>
  <c r="AI151" i="4"/>
  <c r="AH151" i="4"/>
  <c r="AG151" i="4"/>
  <c r="AF151" i="4"/>
  <c r="AE151" i="4"/>
  <c r="AA151" i="4"/>
  <c r="Z151" i="4"/>
  <c r="Y151" i="4"/>
  <c r="X151" i="4"/>
  <c r="U151" i="4"/>
  <c r="T151" i="4"/>
  <c r="S151" i="4"/>
  <c r="O151" i="4"/>
  <c r="K151" i="4"/>
  <c r="DY150" i="4"/>
  <c r="DX150" i="4"/>
  <c r="DW150" i="4"/>
  <c r="DU150" i="4"/>
  <c r="BB150" i="4"/>
  <c r="DQ150" i="4"/>
  <c r="DP150" i="4"/>
  <c r="DM150" i="4"/>
  <c r="DL150" i="4"/>
  <c r="DK150" i="4"/>
  <c r="DJ150" i="4"/>
  <c r="DC150" i="4"/>
  <c r="CJ150" i="4"/>
  <c r="CI150" i="4"/>
  <c r="CH150" i="4"/>
  <c r="CG150" i="4"/>
  <c r="CE150" i="4"/>
  <c r="CD150" i="4"/>
  <c r="CB150" i="4"/>
  <c r="CA150" i="4"/>
  <c r="BZ150" i="4"/>
  <c r="BY150" i="4"/>
  <c r="BK150" i="4"/>
  <c r="BG150" i="4"/>
  <c r="BF150" i="4"/>
  <c r="BD150" i="4"/>
  <c r="BC150" i="4"/>
  <c r="BA150" i="4"/>
  <c r="AZ150" i="4"/>
  <c r="AX150" i="4"/>
  <c r="AT150" i="4"/>
  <c r="AQ150" i="4"/>
  <c r="DS150" i="4"/>
  <c r="AO150" i="4"/>
  <c r="AM150" i="4"/>
  <c r="AK150" i="4"/>
  <c r="AJ150" i="4"/>
  <c r="AH150" i="4"/>
  <c r="AG150" i="4"/>
  <c r="AF150" i="4"/>
  <c r="AE150" i="4"/>
  <c r="AB150" i="4"/>
  <c r="AA150" i="4"/>
  <c r="Z150" i="4"/>
  <c r="X150" i="4"/>
  <c r="W150" i="4"/>
  <c r="V150" i="4"/>
  <c r="U150" i="4"/>
  <c r="T150" i="4"/>
  <c r="S150" i="4"/>
  <c r="M150" i="4"/>
  <c r="K150" i="4"/>
  <c r="J150" i="4"/>
  <c r="H150" i="4"/>
  <c r="G150" i="4"/>
  <c r="DX149" i="4"/>
  <c r="DV149" i="4"/>
  <c r="DU149" i="4"/>
  <c r="BB149" i="4"/>
  <c r="DQ149" i="4"/>
  <c r="DP149" i="4"/>
  <c r="DO149" i="4"/>
  <c r="DN149" i="4"/>
  <c r="DM149" i="4"/>
  <c r="DC149" i="4"/>
  <c r="CX149" i="4"/>
  <c r="CH149" i="4"/>
  <c r="CE149" i="4"/>
  <c r="CD149" i="4"/>
  <c r="CC149" i="4"/>
  <c r="BK149" i="4"/>
  <c r="BF149" i="4"/>
  <c r="BA149" i="4"/>
  <c r="AX149" i="4"/>
  <c r="AQ149" i="4"/>
  <c r="DS149" i="4"/>
  <c r="AP149" i="4"/>
  <c r="AO149" i="4"/>
  <c r="AN149" i="4"/>
  <c r="AH149" i="4"/>
  <c r="AG149" i="4"/>
  <c r="AF149" i="4"/>
  <c r="AE149" i="4"/>
  <c r="AD149" i="4"/>
  <c r="AC149" i="4"/>
  <c r="X149" i="4"/>
  <c r="U149" i="4"/>
  <c r="DX148" i="4"/>
  <c r="DW148" i="4"/>
  <c r="DU148" i="4"/>
  <c r="DT148" i="4"/>
  <c r="BB148" i="4"/>
  <c r="DQ148" i="4"/>
  <c r="DP148" i="4"/>
  <c r="DM148" i="4"/>
  <c r="DJ148" i="4"/>
  <c r="DC148" i="4"/>
  <c r="DB148" i="4"/>
  <c r="CW148" i="4"/>
  <c r="CF148" i="4"/>
  <c r="CE148" i="4"/>
  <c r="BY148" i="4"/>
  <c r="BL148" i="4"/>
  <c r="BK148" i="4"/>
  <c r="BJ148" i="4"/>
  <c r="BG148" i="4"/>
  <c r="BF148" i="4"/>
  <c r="BE148" i="4"/>
  <c r="BD148" i="4"/>
  <c r="BC148" i="4"/>
  <c r="BA148" i="4"/>
  <c r="AZ148" i="4"/>
  <c r="AT148" i="4"/>
  <c r="AS148" i="4"/>
  <c r="AQ148" i="4"/>
  <c r="DS148" i="4"/>
  <c r="AP148" i="4"/>
  <c r="AO148" i="4"/>
  <c r="AM148" i="4"/>
  <c r="AL148" i="4"/>
  <c r="AK148" i="4"/>
  <c r="AJ148" i="4"/>
  <c r="AI148" i="4"/>
  <c r="AH148" i="4"/>
  <c r="AG148" i="4"/>
  <c r="AF148" i="4"/>
  <c r="AE148" i="4"/>
  <c r="AD148" i="4"/>
  <c r="AC148" i="4"/>
  <c r="AB148" i="4"/>
  <c r="AA148" i="4"/>
  <c r="Z148" i="4"/>
  <c r="Y148" i="4"/>
  <c r="X148" i="4"/>
  <c r="W148" i="4"/>
  <c r="V148" i="4"/>
  <c r="U148" i="4"/>
  <c r="T148" i="4"/>
  <c r="S148" i="4"/>
  <c r="O148" i="4"/>
  <c r="N148" i="4"/>
  <c r="M148" i="4"/>
  <c r="L148" i="4"/>
  <c r="K148" i="4"/>
  <c r="J148" i="4"/>
  <c r="H148" i="4"/>
  <c r="G148" i="4"/>
  <c r="DZ146" i="4"/>
  <c r="DY146" i="4"/>
  <c r="DX146" i="4"/>
  <c r="DV146" i="4"/>
  <c r="DU146" i="4"/>
  <c r="DT146" i="4"/>
  <c r="DQ146" i="4"/>
  <c r="DP146" i="4"/>
  <c r="DM146" i="4"/>
  <c r="CE146" i="4"/>
  <c r="CC146" i="4"/>
  <c r="CA146" i="4"/>
  <c r="BY146" i="4"/>
  <c r="BK146" i="4"/>
  <c r="BJ146" i="4"/>
  <c r="BF146" i="4"/>
  <c r="BE146" i="4"/>
  <c r="DR146" i="4"/>
  <c r="AS146" i="4"/>
  <c r="AR146" i="4"/>
  <c r="DS146" i="4"/>
  <c r="AO146" i="4"/>
  <c r="AL146" i="4"/>
  <c r="AJ146" i="4"/>
  <c r="AI146" i="4"/>
  <c r="AH146" i="4"/>
  <c r="AG146" i="4"/>
  <c r="AF146" i="4"/>
  <c r="AE146" i="4"/>
  <c r="AD146" i="4"/>
  <c r="AC146" i="4"/>
  <c r="Z146" i="4"/>
  <c r="U146" i="4"/>
  <c r="T146" i="4"/>
  <c r="P146" i="4"/>
  <c r="O146" i="4"/>
  <c r="N146" i="4"/>
  <c r="M146" i="4"/>
  <c r="H146" i="4"/>
  <c r="G146" i="4"/>
  <c r="DX145" i="4"/>
  <c r="DV145" i="4"/>
  <c r="DU145" i="4"/>
  <c r="DT145" i="4"/>
  <c r="DQ145" i="4"/>
  <c r="DP145" i="4"/>
  <c r="DM145" i="4"/>
  <c r="DJ145" i="4"/>
  <c r="DC145" i="4"/>
  <c r="DB145" i="4"/>
  <c r="CX145" i="4"/>
  <c r="BY145" i="4"/>
  <c r="BL145" i="4"/>
  <c r="BJ145" i="4"/>
  <c r="BF145" i="4"/>
  <c r="BD145" i="4"/>
  <c r="BC145" i="4"/>
  <c r="BA145" i="4"/>
  <c r="AQ145" i="4"/>
  <c r="DS145" i="4"/>
  <c r="AO145" i="4"/>
  <c r="AJ145" i="4"/>
  <c r="AI145" i="4"/>
  <c r="AF145" i="4"/>
  <c r="AD145" i="4"/>
  <c r="AC145" i="4"/>
  <c r="AA145" i="4"/>
  <c r="Z145" i="4"/>
  <c r="Y145" i="4"/>
  <c r="X145" i="4"/>
  <c r="U145" i="4"/>
  <c r="T145" i="4"/>
  <c r="S145" i="4"/>
  <c r="O145" i="4"/>
  <c r="N145" i="4"/>
  <c r="M145" i="4"/>
  <c r="K145" i="4"/>
  <c r="J145" i="4"/>
  <c r="H145" i="4"/>
  <c r="G145" i="4"/>
  <c r="DX144" i="4"/>
  <c r="DW144" i="4"/>
  <c r="DV144" i="4"/>
  <c r="DU144" i="4"/>
  <c r="DT144" i="4"/>
  <c r="DQ144" i="4"/>
  <c r="DP144" i="4"/>
  <c r="DM144" i="4"/>
  <c r="DJ144" i="4"/>
  <c r="DC144" i="4"/>
  <c r="DB144" i="4"/>
  <c r="CX144" i="4"/>
  <c r="CH144" i="4"/>
  <c r="CF144" i="4"/>
  <c r="BY144" i="4"/>
  <c r="BL144" i="4"/>
  <c r="BK144" i="4"/>
  <c r="BJ144" i="4"/>
  <c r="BG144" i="4"/>
  <c r="BF144" i="4"/>
  <c r="BE144" i="4"/>
  <c r="BD144" i="4"/>
  <c r="BC144" i="4"/>
  <c r="BA144" i="4"/>
  <c r="AZ144" i="4"/>
  <c r="AQ144" i="4"/>
  <c r="DS144" i="4"/>
  <c r="AO144" i="4"/>
  <c r="AL144" i="4"/>
  <c r="AK144" i="4"/>
  <c r="AJ144" i="4"/>
  <c r="AI144" i="4"/>
  <c r="AH144" i="4"/>
  <c r="AG144" i="4"/>
  <c r="AF144" i="4"/>
  <c r="AE144" i="4"/>
  <c r="AD144" i="4"/>
  <c r="AC144" i="4"/>
  <c r="AB144" i="4"/>
  <c r="AA144" i="4"/>
  <c r="Z144" i="4"/>
  <c r="X144" i="4"/>
  <c r="W144" i="4"/>
  <c r="V144" i="4"/>
  <c r="U144" i="4"/>
  <c r="T144" i="4"/>
  <c r="S144" i="4"/>
  <c r="O144" i="4"/>
  <c r="N144" i="4"/>
  <c r="M144" i="4"/>
  <c r="K144" i="4"/>
  <c r="J144" i="4"/>
  <c r="H144" i="4"/>
  <c r="G144" i="4"/>
  <c r="DZ143" i="4"/>
  <c r="DY143" i="4"/>
  <c r="DX143" i="4"/>
  <c r="DU143" i="4"/>
  <c r="DT143" i="4"/>
  <c r="DQ143" i="4"/>
  <c r="DP143" i="4"/>
  <c r="DM143" i="4"/>
  <c r="DC143" i="4"/>
  <c r="CX143" i="4"/>
  <c r="CJ143" i="4"/>
  <c r="CI143" i="4"/>
  <c r="CH143" i="4"/>
  <c r="BY143" i="4"/>
  <c r="BL143" i="4"/>
  <c r="BK143" i="4"/>
  <c r="BJ143" i="4"/>
  <c r="BG143" i="4"/>
  <c r="BF143" i="4"/>
  <c r="BE143" i="4"/>
  <c r="BD143" i="4"/>
  <c r="BC143" i="4"/>
  <c r="DR143" i="4"/>
  <c r="AS143" i="4"/>
  <c r="AQ143" i="4"/>
  <c r="DS143" i="4"/>
  <c r="AO143" i="4"/>
  <c r="AL143" i="4"/>
  <c r="AK143" i="4"/>
  <c r="AJ143" i="4"/>
  <c r="AF143" i="4"/>
  <c r="AD143" i="4"/>
  <c r="AC143" i="4"/>
  <c r="AB143" i="4"/>
  <c r="AA143" i="4"/>
  <c r="Z143" i="4"/>
  <c r="Y143" i="4"/>
  <c r="U143" i="4"/>
  <c r="T143" i="4"/>
  <c r="O143" i="4"/>
  <c r="M143" i="4"/>
  <c r="J143" i="4"/>
  <c r="I143" i="4"/>
  <c r="DX142" i="4"/>
  <c r="DW142" i="4"/>
  <c r="DV142" i="4"/>
  <c r="DU142" i="4"/>
  <c r="DT142" i="4"/>
  <c r="BB142" i="4"/>
  <c r="DQ142" i="4"/>
  <c r="DM142" i="4"/>
  <c r="DL142" i="4"/>
  <c r="DJ142" i="4"/>
  <c r="DC142" i="4"/>
  <c r="DB142" i="4"/>
  <c r="CH142" i="4"/>
  <c r="CG142" i="4"/>
  <c r="CE142" i="4"/>
  <c r="CD142" i="4"/>
  <c r="CC142" i="4"/>
  <c r="BZ142" i="4"/>
  <c r="BY142" i="4"/>
  <c r="BJ142" i="4"/>
  <c r="BF142" i="4"/>
  <c r="BA142" i="4"/>
  <c r="AT142" i="4"/>
  <c r="DS142" i="4"/>
  <c r="AO142" i="4"/>
  <c r="AM142" i="4"/>
  <c r="AK142" i="4"/>
  <c r="AI142" i="4"/>
  <c r="AH142" i="4"/>
  <c r="AG142" i="4"/>
  <c r="AF142" i="4"/>
  <c r="AE142" i="4"/>
  <c r="AD142" i="4"/>
  <c r="AC142" i="4"/>
  <c r="AB142" i="4"/>
  <c r="AA142" i="4"/>
  <c r="Z142" i="4"/>
  <c r="X142" i="4"/>
  <c r="W142" i="4"/>
  <c r="V142" i="4"/>
  <c r="U142" i="4"/>
  <c r="S142" i="4"/>
  <c r="O142" i="4"/>
  <c r="N142" i="4"/>
  <c r="M142" i="4"/>
  <c r="K142" i="4"/>
  <c r="J142" i="4"/>
  <c r="H142" i="4"/>
  <c r="G142" i="4"/>
  <c r="DX141" i="4"/>
  <c r="DW141" i="4"/>
  <c r="DV141" i="4"/>
  <c r="DU141" i="4"/>
  <c r="DQ141" i="4"/>
  <c r="DP141" i="4"/>
  <c r="DM141" i="4"/>
  <c r="DC141" i="4"/>
  <c r="DB141" i="4"/>
  <c r="CX141" i="4"/>
  <c r="CE141" i="4"/>
  <c r="CD141" i="4"/>
  <c r="CC141" i="4"/>
  <c r="CB141" i="4"/>
  <c r="CA141" i="4"/>
  <c r="BY141" i="4"/>
  <c r="BK141" i="4"/>
  <c r="BJ141" i="4"/>
  <c r="BG141" i="4"/>
  <c r="BF141" i="4"/>
  <c r="BA141" i="4"/>
  <c r="AQ141" i="4"/>
  <c r="DS141" i="4"/>
  <c r="AP141" i="4"/>
  <c r="AO141" i="4"/>
  <c r="AL141" i="4"/>
  <c r="AK141" i="4"/>
  <c r="AJ141" i="4"/>
  <c r="AI141" i="4"/>
  <c r="AH141" i="4"/>
  <c r="AG141" i="4"/>
  <c r="AF141" i="4"/>
  <c r="AE141" i="4"/>
  <c r="AD141" i="4"/>
  <c r="AC141" i="4"/>
  <c r="AB141" i="4"/>
  <c r="AA141" i="4"/>
  <c r="X141" i="4"/>
  <c r="W141" i="4"/>
  <c r="V141" i="4"/>
  <c r="U141" i="4"/>
  <c r="S141" i="4"/>
  <c r="P141" i="4"/>
  <c r="O141" i="4"/>
  <c r="N141" i="4"/>
  <c r="L141" i="4"/>
  <c r="K141" i="4"/>
  <c r="J141" i="4"/>
  <c r="G141" i="4"/>
  <c r="DZ140" i="4"/>
  <c r="DY140" i="4"/>
  <c r="DX140" i="4"/>
  <c r="DW140" i="4"/>
  <c r="DU140" i="4"/>
  <c r="DT140" i="4"/>
  <c r="BB140" i="4"/>
  <c r="DQ140" i="4"/>
  <c r="DP140" i="4"/>
  <c r="DM140" i="4"/>
  <c r="DJ140" i="4"/>
  <c r="DC140" i="4"/>
  <c r="DB140" i="4"/>
  <c r="CH140" i="4"/>
  <c r="CG140" i="4"/>
  <c r="CE140" i="4"/>
  <c r="CD140" i="4"/>
  <c r="CC140" i="4"/>
  <c r="CB140" i="4"/>
  <c r="CA140" i="4"/>
  <c r="BL140" i="4"/>
  <c r="BG140" i="4"/>
  <c r="BF140" i="4"/>
  <c r="BE140" i="4"/>
  <c r="BC140" i="4"/>
  <c r="BA140" i="4"/>
  <c r="AZ140" i="4"/>
  <c r="AQ140" i="4"/>
  <c r="AO140" i="4"/>
  <c r="AL140" i="4"/>
  <c r="AK140" i="4"/>
  <c r="AH140" i="4"/>
  <c r="AG140" i="4"/>
  <c r="AF140" i="4"/>
  <c r="AE140" i="4"/>
  <c r="AD140" i="4"/>
  <c r="AC140" i="4"/>
  <c r="AB140" i="4"/>
  <c r="AA140" i="4"/>
  <c r="Z140" i="4"/>
  <c r="Y140" i="4"/>
  <c r="X140" i="4"/>
  <c r="W140" i="4"/>
  <c r="V140" i="4"/>
  <c r="U140" i="4"/>
  <c r="T140" i="4"/>
  <c r="S140" i="4"/>
  <c r="O140" i="4"/>
  <c r="N140" i="4"/>
  <c r="K140" i="4"/>
  <c r="J140" i="4"/>
  <c r="H140" i="4"/>
  <c r="G140" i="4"/>
  <c r="DX139" i="4"/>
  <c r="DU139" i="4"/>
  <c r="BB139" i="4"/>
  <c r="DQ139" i="4"/>
  <c r="DP139" i="4"/>
  <c r="DM139" i="4"/>
  <c r="DC139" i="4"/>
  <c r="CX139" i="4"/>
  <c r="BJ139" i="4"/>
  <c r="BF139" i="4"/>
  <c r="BE139" i="4"/>
  <c r="DR139" i="4"/>
  <c r="AT139" i="4"/>
  <c r="AS139" i="4"/>
  <c r="AQ139" i="4"/>
  <c r="DS139" i="4"/>
  <c r="AP139" i="4"/>
  <c r="AO139" i="4"/>
  <c r="AF139" i="4"/>
  <c r="AD139" i="4"/>
  <c r="AC139" i="4"/>
  <c r="Z139" i="4"/>
  <c r="Y139" i="4"/>
  <c r="X139" i="4"/>
  <c r="V139" i="4"/>
  <c r="U139" i="4"/>
  <c r="T139" i="4"/>
  <c r="S139" i="4"/>
  <c r="O139" i="4"/>
  <c r="DX138" i="4"/>
  <c r="DW138" i="4"/>
  <c r="DV138" i="4"/>
  <c r="DU138" i="4"/>
  <c r="DT138" i="4"/>
  <c r="BB138" i="4"/>
  <c r="DQ138" i="4"/>
  <c r="DP138" i="4"/>
  <c r="DM138" i="4"/>
  <c r="DJ138" i="4"/>
  <c r="DC138" i="4"/>
  <c r="DB138" i="4"/>
  <c r="CX138" i="4"/>
  <c r="CW138" i="4"/>
  <c r="CH138" i="4"/>
  <c r="CG138" i="4"/>
  <c r="CF138" i="4"/>
  <c r="CE138" i="4"/>
  <c r="CD138" i="4"/>
  <c r="CC138" i="4"/>
  <c r="CB138" i="4"/>
  <c r="CA138" i="4"/>
  <c r="BZ138" i="4"/>
  <c r="BY138" i="4"/>
  <c r="BW138" i="4"/>
  <c r="BJ138" i="4"/>
  <c r="BG138" i="4"/>
  <c r="BF138" i="4"/>
  <c r="BE138" i="4"/>
  <c r="BD138" i="4"/>
  <c r="BA138" i="4"/>
  <c r="DR138" i="4"/>
  <c r="AQ138" i="4"/>
  <c r="DS138" i="4"/>
  <c r="AO138" i="4"/>
  <c r="AJ138" i="4"/>
  <c r="AI138" i="4"/>
  <c r="AH138" i="4"/>
  <c r="AG138" i="4"/>
  <c r="AF138" i="4"/>
  <c r="AE138" i="4"/>
  <c r="AD138" i="4"/>
  <c r="AC138" i="4"/>
  <c r="AB138" i="4"/>
  <c r="Z138" i="4"/>
  <c r="Y138" i="4"/>
  <c r="X138" i="4"/>
  <c r="W138" i="4"/>
  <c r="V138" i="4"/>
  <c r="U138" i="4"/>
  <c r="T138" i="4"/>
  <c r="S138" i="4"/>
  <c r="P138" i="4"/>
  <c r="O138" i="4"/>
  <c r="N138" i="4"/>
  <c r="M138" i="4"/>
  <c r="K138" i="4"/>
  <c r="J138" i="4"/>
  <c r="H138" i="4"/>
  <c r="G138" i="4"/>
  <c r="DZ137" i="4"/>
  <c r="DY137" i="4"/>
  <c r="DX137" i="4"/>
  <c r="DU137" i="4"/>
  <c r="DT137" i="4"/>
  <c r="DQ137" i="4"/>
  <c r="DM137" i="4"/>
  <c r="DC137" i="4"/>
  <c r="BL137" i="4"/>
  <c r="BE137" i="4"/>
  <c r="BC137" i="4"/>
  <c r="AQ137" i="4"/>
  <c r="AP137" i="4"/>
  <c r="AO137" i="4"/>
  <c r="AL137" i="4"/>
  <c r="AK137" i="4"/>
  <c r="AJ137" i="4"/>
  <c r="AI137" i="4"/>
  <c r="Y137" i="4"/>
  <c r="X137" i="4"/>
  <c r="W137" i="4"/>
  <c r="V137" i="4"/>
  <c r="U137" i="4"/>
  <c r="S137" i="4"/>
  <c r="O137" i="4"/>
  <c r="M137" i="4"/>
  <c r="K137" i="4"/>
  <c r="J137" i="4"/>
  <c r="H137" i="4"/>
  <c r="G137" i="4"/>
  <c r="DX136" i="4"/>
  <c r="DU136" i="4"/>
  <c r="DT136" i="4"/>
  <c r="BB136" i="4"/>
  <c r="DQ136" i="4"/>
  <c r="DC136" i="4"/>
  <c r="DB136" i="4"/>
  <c r="CH136" i="4"/>
  <c r="CF136" i="4"/>
  <c r="CE136" i="4"/>
  <c r="CD136" i="4"/>
  <c r="CC136" i="4"/>
  <c r="CB136" i="4"/>
  <c r="CA136" i="4"/>
  <c r="BZ136" i="4"/>
  <c r="BY136" i="4"/>
  <c r="BK136" i="4"/>
  <c r="BJ136" i="4"/>
  <c r="BF136" i="4"/>
  <c r="BD136" i="4"/>
  <c r="AZ136" i="4"/>
  <c r="DR136" i="4"/>
  <c r="AQ136" i="4"/>
  <c r="DS136" i="4"/>
  <c r="AP136" i="4"/>
  <c r="AO136" i="4"/>
  <c r="AN136" i="4"/>
  <c r="AM136" i="4"/>
  <c r="AL136" i="4"/>
  <c r="AK136" i="4"/>
  <c r="AI136" i="4"/>
  <c r="AH136" i="4"/>
  <c r="AG136" i="4"/>
  <c r="AF136" i="4"/>
  <c r="AE136" i="4"/>
  <c r="AD136" i="4"/>
  <c r="AC136" i="4"/>
  <c r="AA136" i="4"/>
  <c r="Z136" i="4"/>
  <c r="Y136" i="4"/>
  <c r="X136" i="4"/>
  <c r="V136" i="4"/>
  <c r="U136" i="4"/>
  <c r="S136" i="4"/>
  <c r="O136" i="4"/>
  <c r="N136" i="4"/>
  <c r="J136" i="4"/>
  <c r="H136" i="4"/>
  <c r="G136" i="4"/>
  <c r="DX135" i="4"/>
  <c r="DW135" i="4"/>
  <c r="DV135" i="4"/>
  <c r="DU135" i="4"/>
  <c r="DT135" i="4"/>
  <c r="DQ135" i="4"/>
  <c r="DP135" i="4"/>
  <c r="DM135" i="4"/>
  <c r="DC135" i="4"/>
  <c r="CT135" i="4"/>
  <c r="CE135" i="4"/>
  <c r="BV135" i="4"/>
  <c r="BL135" i="4"/>
  <c r="BK135" i="4"/>
  <c r="BF135" i="4"/>
  <c r="BE135" i="4"/>
  <c r="BC135" i="4"/>
  <c r="AT135" i="4"/>
  <c r="AS135" i="4"/>
  <c r="AQ135" i="4"/>
  <c r="DS135" i="4"/>
  <c r="AO135" i="4"/>
  <c r="AL135" i="4"/>
  <c r="AK135" i="4"/>
  <c r="AI135" i="4"/>
  <c r="AH135" i="4"/>
  <c r="AG135" i="4"/>
  <c r="AF135" i="4"/>
  <c r="AE135" i="4"/>
  <c r="AD135" i="4"/>
  <c r="AC135" i="4"/>
  <c r="AB135" i="4"/>
  <c r="Z135" i="4"/>
  <c r="Y135" i="4"/>
  <c r="X135" i="4"/>
  <c r="W135" i="4"/>
  <c r="V135" i="4"/>
  <c r="U135" i="4"/>
  <c r="T135" i="4"/>
  <c r="S135" i="4"/>
  <c r="N135" i="4"/>
  <c r="M135" i="4"/>
  <c r="L135" i="4"/>
  <c r="K135" i="4"/>
  <c r="J135" i="4"/>
  <c r="H135" i="4"/>
  <c r="G135" i="4"/>
  <c r="DX134" i="4"/>
  <c r="DV134" i="4"/>
  <c r="BB134" i="4"/>
  <c r="DQ134" i="4"/>
  <c r="DP134" i="4"/>
  <c r="DM134" i="4"/>
  <c r="DC134" i="4"/>
  <c r="CF134" i="4"/>
  <c r="CE134" i="4"/>
  <c r="CD134" i="4"/>
  <c r="BZ134" i="4"/>
  <c r="BY134" i="4"/>
  <c r="BL134" i="4"/>
  <c r="BG134" i="4"/>
  <c r="BF134" i="4"/>
  <c r="BE134" i="4"/>
  <c r="AZ134" i="4"/>
  <c r="DR134" i="4"/>
  <c r="AT134" i="4"/>
  <c r="AS134" i="4"/>
  <c r="AQ134" i="4"/>
  <c r="DS134" i="4"/>
  <c r="AO134" i="4"/>
  <c r="AH134" i="4"/>
  <c r="AG134" i="4"/>
  <c r="AF134" i="4"/>
  <c r="AE134" i="4"/>
  <c r="AD134" i="4"/>
  <c r="AC134" i="4"/>
  <c r="Y134" i="4"/>
  <c r="X134" i="4"/>
  <c r="U134" i="4"/>
  <c r="T134" i="4"/>
  <c r="S134" i="4"/>
  <c r="P134" i="4"/>
  <c r="O134" i="4"/>
  <c r="N134" i="4"/>
  <c r="L134" i="4"/>
  <c r="K134" i="4"/>
  <c r="DX133" i="4"/>
  <c r="DW133" i="4"/>
  <c r="DU133" i="4"/>
  <c r="DT133" i="4"/>
  <c r="DQ133" i="4"/>
  <c r="DM133" i="4"/>
  <c r="BJ133" i="4"/>
  <c r="AX133" i="4"/>
  <c r="AT133" i="4"/>
  <c r="AS133" i="4"/>
  <c r="AQ133" i="4"/>
  <c r="DS133" i="4"/>
  <c r="AI133" i="4"/>
  <c r="AB133" i="4"/>
  <c r="Z133" i="4"/>
  <c r="X133" i="4"/>
  <c r="W133" i="4"/>
  <c r="V133" i="4"/>
  <c r="U133" i="4"/>
  <c r="S133" i="4"/>
  <c r="O133" i="4"/>
  <c r="N133" i="4"/>
  <c r="M133" i="4"/>
  <c r="K133" i="4"/>
  <c r="J133" i="4"/>
  <c r="H133" i="4"/>
  <c r="G133" i="4"/>
  <c r="DX132" i="4"/>
  <c r="DW132" i="4"/>
  <c r="DU132" i="4"/>
  <c r="DT132" i="4"/>
  <c r="DQ132" i="4"/>
  <c r="DM132" i="4"/>
  <c r="DC132" i="4"/>
  <c r="CS132" i="4"/>
  <c r="BL132" i="4"/>
  <c r="BJ132" i="4"/>
  <c r="AQ132" i="4"/>
  <c r="AO132" i="4"/>
  <c r="AI132" i="4"/>
  <c r="AF132" i="4"/>
  <c r="Z132" i="4"/>
  <c r="U132" i="4"/>
  <c r="P132" i="4"/>
  <c r="N132" i="4"/>
  <c r="J132" i="4"/>
  <c r="DX131" i="4"/>
  <c r="DW131" i="4"/>
  <c r="DV131" i="4"/>
  <c r="DU131" i="4"/>
  <c r="DT131" i="4"/>
  <c r="BB131" i="4"/>
  <c r="DQ131" i="4"/>
  <c r="DM131" i="4"/>
  <c r="DJ131" i="4"/>
  <c r="DB131" i="4"/>
  <c r="CJ131" i="4"/>
  <c r="CI131" i="4"/>
  <c r="CH131" i="4"/>
  <c r="CG131" i="4"/>
  <c r="CE131" i="4"/>
  <c r="BY131" i="4"/>
  <c r="BL131" i="4"/>
  <c r="BG131" i="4"/>
  <c r="BF131" i="4"/>
  <c r="BE131" i="4"/>
  <c r="BD131" i="4"/>
  <c r="BC131" i="4"/>
  <c r="AS131" i="4"/>
  <c r="AQ131" i="4"/>
  <c r="DS131" i="4"/>
  <c r="AO131" i="4"/>
  <c r="AL131" i="4"/>
  <c r="AK131" i="4"/>
  <c r="AH131" i="4"/>
  <c r="AG131" i="4"/>
  <c r="AF131" i="4"/>
  <c r="AE131" i="4"/>
  <c r="AD131" i="4"/>
  <c r="AC131" i="4"/>
  <c r="AA131" i="4"/>
  <c r="Y131" i="4"/>
  <c r="X131" i="4"/>
  <c r="W131" i="4"/>
  <c r="V131" i="4"/>
  <c r="U131" i="4"/>
  <c r="S131" i="4"/>
  <c r="P131" i="4"/>
  <c r="N131" i="4"/>
  <c r="M131" i="4"/>
  <c r="J131" i="4"/>
  <c r="H131" i="4"/>
  <c r="G131" i="4"/>
  <c r="DX130" i="4"/>
  <c r="DW130" i="4"/>
  <c r="DU130" i="4"/>
  <c r="DT130" i="4"/>
  <c r="DQ130" i="4"/>
  <c r="DP130" i="4"/>
  <c r="DM130" i="4"/>
  <c r="DJ130" i="4"/>
  <c r="DC130" i="4"/>
  <c r="CR130" i="4"/>
  <c r="CI130" i="4"/>
  <c r="CH130" i="4"/>
  <c r="CF130" i="4"/>
  <c r="CE130" i="4"/>
  <c r="CD130" i="4"/>
  <c r="BZ130" i="4"/>
  <c r="BY130" i="4"/>
  <c r="BL130" i="4"/>
  <c r="BG130" i="4"/>
  <c r="BF130" i="4"/>
  <c r="BD130" i="4"/>
  <c r="BC130" i="4"/>
  <c r="DR130" i="4"/>
  <c r="DS130" i="4"/>
  <c r="AO130" i="4"/>
  <c r="AL130" i="4"/>
  <c r="AK130" i="4"/>
  <c r="AH130" i="4"/>
  <c r="AG130" i="4"/>
  <c r="AF130" i="4"/>
  <c r="AE130" i="4"/>
  <c r="AB130" i="4"/>
  <c r="Y130" i="4"/>
  <c r="X130" i="4"/>
  <c r="W130" i="4"/>
  <c r="V130" i="4"/>
  <c r="U130" i="4"/>
  <c r="O130" i="4"/>
  <c r="N130" i="4"/>
  <c r="M130" i="4"/>
  <c r="K130" i="4"/>
  <c r="J130" i="4"/>
  <c r="G130" i="4"/>
  <c r="DX129" i="4"/>
  <c r="DW129" i="4"/>
  <c r="DU129" i="4"/>
  <c r="DQ129" i="4"/>
  <c r="DM129" i="4"/>
  <c r="DJ129" i="4"/>
  <c r="DC129" i="4"/>
  <c r="CO129" i="4"/>
  <c r="CH129" i="4"/>
  <c r="BY129" i="4"/>
  <c r="BL129" i="4"/>
  <c r="BK129" i="4"/>
  <c r="BJ129" i="4"/>
  <c r="BG129" i="4"/>
  <c r="BE129" i="4"/>
  <c r="BC129" i="4"/>
  <c r="BA129" i="4"/>
  <c r="AZ129" i="4"/>
  <c r="AT129" i="4"/>
  <c r="AS129" i="4"/>
  <c r="DS129" i="4"/>
  <c r="AP129" i="4"/>
  <c r="AO129" i="4"/>
  <c r="AL129" i="4"/>
  <c r="AK129" i="4"/>
  <c r="AI129" i="4"/>
  <c r="AF129" i="4"/>
  <c r="Z129" i="4"/>
  <c r="X129" i="4"/>
  <c r="U129" i="4"/>
  <c r="T129" i="4"/>
  <c r="S129" i="4"/>
  <c r="N129" i="4"/>
  <c r="DZ128" i="4"/>
  <c r="DY128" i="4"/>
  <c r="DX128" i="4"/>
  <c r="DV128" i="4"/>
  <c r="DU128" i="4"/>
  <c r="DT128" i="4"/>
  <c r="BB128" i="4"/>
  <c r="DQ128" i="4"/>
  <c r="DP128" i="4"/>
  <c r="DO128" i="4"/>
  <c r="DN128" i="4"/>
  <c r="DM128" i="4"/>
  <c r="DL128" i="4"/>
  <c r="DK128" i="4"/>
  <c r="CG128" i="4"/>
  <c r="CF128" i="4"/>
  <c r="CE128" i="4"/>
  <c r="CD128" i="4"/>
  <c r="CB128" i="4"/>
  <c r="CA128" i="4"/>
  <c r="BW128" i="4"/>
  <c r="BL128" i="4"/>
  <c r="BK128" i="4"/>
  <c r="BG128" i="4"/>
  <c r="BF128" i="4"/>
  <c r="BE128" i="4"/>
  <c r="AS128" i="4"/>
  <c r="AQ128" i="4"/>
  <c r="DS128" i="4"/>
  <c r="AP128" i="4"/>
  <c r="AO128" i="4"/>
  <c r="AL128" i="4"/>
  <c r="AK128" i="4"/>
  <c r="AI128" i="4"/>
  <c r="AH128" i="4"/>
  <c r="AG128" i="4"/>
  <c r="AF128" i="4"/>
  <c r="AE128" i="4"/>
  <c r="AD128" i="4"/>
  <c r="AC128" i="4"/>
  <c r="Z128" i="4"/>
  <c r="Y128" i="4"/>
  <c r="U128" i="4"/>
  <c r="O128" i="4"/>
  <c r="DX127" i="4"/>
  <c r="DU127" i="4"/>
  <c r="DT127" i="4"/>
  <c r="DQ127" i="4"/>
  <c r="DP127" i="4"/>
  <c r="DM127" i="4"/>
  <c r="CH127" i="4"/>
  <c r="CG127" i="4"/>
  <c r="CE127" i="4"/>
  <c r="CA127" i="4"/>
  <c r="BZ127" i="4"/>
  <c r="BY127" i="4"/>
  <c r="BF127" i="4"/>
  <c r="BE127" i="4"/>
  <c r="BC127" i="4"/>
  <c r="DR127" i="4"/>
  <c r="AT127" i="4"/>
  <c r="AS127" i="4"/>
  <c r="AQ127" i="4"/>
  <c r="DS127" i="4"/>
  <c r="AP127" i="4"/>
  <c r="AO127" i="4"/>
  <c r="AM127" i="4"/>
  <c r="AL127" i="4"/>
  <c r="AK127" i="4"/>
  <c r="AJ127" i="4"/>
  <c r="AI127" i="4"/>
  <c r="AH127" i="4"/>
  <c r="AG127" i="4"/>
  <c r="AF127" i="4"/>
  <c r="AE127" i="4"/>
  <c r="AD127" i="4"/>
  <c r="AC127" i="4"/>
  <c r="Z127" i="4"/>
  <c r="Y127" i="4"/>
  <c r="X127" i="4"/>
  <c r="W127" i="4"/>
  <c r="V127" i="4"/>
  <c r="U127" i="4"/>
  <c r="T127" i="4"/>
  <c r="S127" i="4"/>
  <c r="O127" i="4"/>
  <c r="N127" i="4"/>
  <c r="K127" i="4"/>
  <c r="H127" i="4"/>
  <c r="DZ126" i="4"/>
  <c r="DY126" i="4"/>
  <c r="DX126" i="4"/>
  <c r="DW126" i="4"/>
  <c r="DU126" i="4"/>
  <c r="DT126" i="4"/>
  <c r="DQ126" i="4"/>
  <c r="DP126" i="4"/>
  <c r="DM126" i="4"/>
  <c r="CE126" i="4"/>
  <c r="BY126" i="4"/>
  <c r="BW126" i="4"/>
  <c r="BK126" i="4"/>
  <c r="BI126" i="4"/>
  <c r="BG126" i="4"/>
  <c r="BF126" i="4"/>
  <c r="BD126" i="4"/>
  <c r="BC126" i="4"/>
  <c r="AQ126" i="4"/>
  <c r="DS126" i="4"/>
  <c r="AO126" i="4"/>
  <c r="AL126" i="4"/>
  <c r="AK126" i="4"/>
  <c r="AD126" i="4"/>
  <c r="AC126" i="4"/>
  <c r="AB126" i="4"/>
  <c r="AA126" i="4"/>
  <c r="X126" i="4"/>
  <c r="W126" i="4"/>
  <c r="V126" i="4"/>
  <c r="U126" i="4"/>
  <c r="T126" i="4"/>
  <c r="S126" i="4"/>
  <c r="N126" i="4"/>
  <c r="M126" i="4"/>
  <c r="L126" i="4"/>
  <c r="K126" i="4"/>
  <c r="J126" i="4"/>
  <c r="H126" i="4"/>
  <c r="G126" i="4"/>
  <c r="DZ125" i="4"/>
  <c r="DY125" i="4"/>
  <c r="DX125" i="4"/>
  <c r="DW125" i="4"/>
  <c r="DV125" i="4"/>
  <c r="DU125" i="4"/>
  <c r="DT125" i="4"/>
  <c r="DQ125" i="4"/>
  <c r="DP125" i="4"/>
  <c r="DM125" i="4"/>
  <c r="DC125" i="4"/>
  <c r="CU125" i="4"/>
  <c r="CT125" i="4"/>
  <c r="CI125" i="4"/>
  <c r="CH125" i="4"/>
  <c r="CF125" i="4"/>
  <c r="CE125" i="4"/>
  <c r="CD125" i="4"/>
  <c r="BY125" i="4"/>
  <c r="BL125" i="4"/>
  <c r="BK125" i="4"/>
  <c r="BJ125" i="4"/>
  <c r="BI125" i="4"/>
  <c r="BG125" i="4"/>
  <c r="BF125" i="4"/>
  <c r="BE125" i="4"/>
  <c r="BC125" i="4"/>
  <c r="AX125" i="4"/>
  <c r="AS125" i="4"/>
  <c r="AQ125" i="4"/>
  <c r="DS125" i="4"/>
  <c r="AP125" i="4"/>
  <c r="AO125" i="4"/>
  <c r="AM125" i="4"/>
  <c r="AK125" i="4"/>
  <c r="AJ125" i="4"/>
  <c r="AI125" i="4"/>
  <c r="AH125" i="4"/>
  <c r="AG125" i="4"/>
  <c r="AF125" i="4"/>
  <c r="AE125" i="4"/>
  <c r="AB125" i="4"/>
  <c r="Z125" i="4"/>
  <c r="X125" i="4"/>
  <c r="W125" i="4"/>
  <c r="V125" i="4"/>
  <c r="U125" i="4"/>
  <c r="S125" i="4"/>
  <c r="O125" i="4"/>
  <c r="N125" i="4"/>
  <c r="M125" i="4"/>
  <c r="K125" i="4"/>
  <c r="J125" i="4"/>
  <c r="H125" i="4"/>
  <c r="G125" i="4"/>
  <c r="DX124" i="4"/>
  <c r="DW124" i="4"/>
  <c r="DU124" i="4"/>
  <c r="DT124" i="4"/>
  <c r="DQ124" i="4"/>
  <c r="DP124" i="4"/>
  <c r="DM124" i="4"/>
  <c r="DC124" i="4"/>
  <c r="CE124" i="4"/>
  <c r="CD124" i="4"/>
  <c r="CC124" i="4"/>
  <c r="BZ124" i="4"/>
  <c r="BL124" i="4"/>
  <c r="BC124" i="4"/>
  <c r="BA124" i="4"/>
  <c r="AZ124" i="4"/>
  <c r="AS124" i="4"/>
  <c r="AQ124" i="4"/>
  <c r="DS124" i="4"/>
  <c r="AO124" i="4"/>
  <c r="AM124" i="4"/>
  <c r="AL124" i="4"/>
  <c r="AK124" i="4"/>
  <c r="AH124" i="4"/>
  <c r="AG124" i="4"/>
  <c r="AF124" i="4"/>
  <c r="AE124" i="4"/>
  <c r="AB124" i="4"/>
  <c r="AA124" i="4"/>
  <c r="Z124" i="4"/>
  <c r="X124" i="4"/>
  <c r="W124" i="4"/>
  <c r="V124" i="4"/>
  <c r="U124" i="4"/>
  <c r="S124" i="4"/>
  <c r="O124" i="4"/>
  <c r="N124" i="4"/>
  <c r="K124" i="4"/>
  <c r="J124" i="4"/>
  <c r="H124" i="4"/>
  <c r="G124" i="4"/>
  <c r="DX123" i="4"/>
  <c r="DW123" i="4"/>
  <c r="DU123" i="4"/>
  <c r="DT123" i="4"/>
  <c r="DQ123" i="4"/>
  <c r="DP123" i="4"/>
  <c r="DM123" i="4"/>
  <c r="DC123" i="4"/>
  <c r="CE123" i="4"/>
  <c r="BY123" i="4"/>
  <c r="BK123" i="4"/>
  <c r="BJ123" i="4"/>
  <c r="BI123" i="4"/>
  <c r="BE123" i="4"/>
  <c r="BD123" i="4"/>
  <c r="BC123" i="4"/>
  <c r="AS123" i="4"/>
  <c r="AQ123" i="4"/>
  <c r="DS123" i="4"/>
  <c r="AP123" i="4"/>
  <c r="AO123" i="4"/>
  <c r="AK123" i="4"/>
  <c r="AI123" i="4"/>
  <c r="AF123" i="4"/>
  <c r="AB123" i="4"/>
  <c r="Z123" i="4"/>
  <c r="X123" i="4"/>
  <c r="W123" i="4"/>
  <c r="V123" i="4"/>
  <c r="U123" i="4"/>
  <c r="T123" i="4"/>
  <c r="S123" i="4"/>
  <c r="O123" i="4"/>
  <c r="N123" i="4"/>
  <c r="M123" i="4"/>
  <c r="L123" i="4"/>
  <c r="K123" i="4"/>
  <c r="J123" i="4"/>
  <c r="H123" i="4"/>
  <c r="G123" i="4"/>
  <c r="DZ122" i="4"/>
  <c r="DY122" i="4"/>
  <c r="DX122" i="4"/>
  <c r="DV122" i="4"/>
  <c r="DU122" i="4"/>
  <c r="DT122" i="4"/>
  <c r="DQ122" i="4"/>
  <c r="DP122" i="4"/>
  <c r="DM122" i="4"/>
  <c r="DJ122" i="4"/>
  <c r="CF122" i="4"/>
  <c r="CE122" i="4"/>
  <c r="CD122" i="4"/>
  <c r="CC122" i="4"/>
  <c r="CB122" i="4"/>
  <c r="CA122" i="4"/>
  <c r="BZ122" i="4"/>
  <c r="BL122" i="4"/>
  <c r="BK122" i="4"/>
  <c r="BF122" i="4"/>
  <c r="BE122" i="4"/>
  <c r="BA122" i="4"/>
  <c r="DR122" i="4"/>
  <c r="AS122" i="4"/>
  <c r="AQ122" i="4"/>
  <c r="DS122" i="4"/>
  <c r="AP122" i="4"/>
  <c r="AO122" i="4"/>
  <c r="AK122" i="4"/>
  <c r="AH122" i="4"/>
  <c r="AG122" i="4"/>
  <c r="AF122" i="4"/>
  <c r="AE122" i="4"/>
  <c r="AD122" i="4"/>
  <c r="AC122" i="4"/>
  <c r="AA122" i="4"/>
  <c r="Z122" i="4"/>
  <c r="Y122" i="4"/>
  <c r="X122" i="4"/>
  <c r="V122" i="4"/>
  <c r="U122" i="4"/>
  <c r="T122" i="4"/>
  <c r="S122" i="4"/>
  <c r="O122" i="4"/>
  <c r="N122" i="4"/>
  <c r="K122" i="4"/>
  <c r="J122" i="4"/>
  <c r="DX121" i="4"/>
  <c r="DW121" i="4"/>
  <c r="DU121" i="4"/>
  <c r="DT121" i="4"/>
  <c r="DQ121" i="4"/>
  <c r="DP121" i="4"/>
  <c r="DM121" i="4"/>
  <c r="DC121" i="4"/>
  <c r="CI121" i="4"/>
  <c r="CE121" i="4"/>
  <c r="BY121" i="4"/>
  <c r="BL121" i="4"/>
  <c r="BC121" i="4"/>
  <c r="AX121" i="4"/>
  <c r="AT121" i="4"/>
  <c r="AS121" i="4"/>
  <c r="AQ121" i="4"/>
  <c r="AO121" i="4"/>
  <c r="AK121" i="4"/>
  <c r="AJ121" i="4"/>
  <c r="AI121" i="4"/>
  <c r="AF121" i="4"/>
  <c r="Z121" i="4"/>
  <c r="W121" i="4"/>
  <c r="V121" i="4"/>
  <c r="U121" i="4"/>
  <c r="T121" i="4"/>
  <c r="S121" i="4"/>
  <c r="O121" i="4"/>
  <c r="N121" i="4"/>
  <c r="M121" i="4"/>
  <c r="L121" i="4"/>
  <c r="K121" i="4"/>
  <c r="J121" i="4"/>
  <c r="H121" i="4"/>
  <c r="G121" i="4"/>
  <c r="DZ120" i="4"/>
  <c r="DY120" i="4"/>
  <c r="DX120" i="4"/>
  <c r="DW120" i="4"/>
  <c r="DU120" i="4"/>
  <c r="DQ120" i="4"/>
  <c r="DP120" i="4"/>
  <c r="DM120" i="4"/>
  <c r="DC120" i="4"/>
  <c r="AY120" i="4"/>
  <c r="DS120" i="4"/>
  <c r="AO120" i="4"/>
  <c r="AJ120" i="4"/>
  <c r="AI120" i="4"/>
  <c r="AF120" i="4"/>
  <c r="AD120" i="4"/>
  <c r="AC120" i="4"/>
  <c r="AB120" i="4"/>
  <c r="Z120" i="4"/>
  <c r="X120" i="4"/>
  <c r="W120" i="4"/>
  <c r="V120" i="4"/>
  <c r="U120" i="4"/>
  <c r="T120" i="4"/>
  <c r="S120" i="4"/>
  <c r="N120" i="4"/>
  <c r="M120" i="4"/>
  <c r="L120" i="4"/>
  <c r="K120" i="4"/>
  <c r="J120" i="4"/>
  <c r="H120" i="4"/>
  <c r="G120" i="4"/>
  <c r="DX119" i="4"/>
  <c r="DW119" i="4"/>
  <c r="DU119" i="4"/>
  <c r="DT119" i="4"/>
  <c r="BB119" i="4"/>
  <c r="DQ119" i="4"/>
  <c r="DP119" i="4"/>
  <c r="DM119" i="4"/>
  <c r="CR119" i="4"/>
  <c r="CP119" i="4"/>
  <c r="CH119" i="4"/>
  <c r="BY119" i="4"/>
  <c r="BK119" i="4"/>
  <c r="BJ119" i="4"/>
  <c r="BD119" i="4"/>
  <c r="DS119" i="4"/>
  <c r="AP119" i="4"/>
  <c r="AO119" i="4"/>
  <c r="AL119" i="4"/>
  <c r="AK119" i="4"/>
  <c r="AI119" i="4"/>
  <c r="AH119" i="4"/>
  <c r="AG119" i="4"/>
  <c r="AF119" i="4"/>
  <c r="AE119" i="4"/>
  <c r="AB119" i="4"/>
  <c r="Z119" i="4"/>
  <c r="X119" i="4"/>
  <c r="W119" i="4"/>
  <c r="V119" i="4"/>
  <c r="U119" i="4"/>
  <c r="T119" i="4"/>
  <c r="S119" i="4"/>
  <c r="N119" i="4"/>
  <c r="M119" i="4"/>
  <c r="L119" i="4"/>
  <c r="K119" i="4"/>
  <c r="J119" i="4"/>
  <c r="H119" i="4"/>
  <c r="G119" i="4"/>
  <c r="DX118" i="4"/>
  <c r="DU118" i="4"/>
  <c r="DQ118" i="4"/>
  <c r="DP118" i="4"/>
  <c r="DM118" i="4"/>
  <c r="DC118" i="4"/>
  <c r="CU118" i="4"/>
  <c r="BY118" i="4"/>
  <c r="BL118" i="4"/>
  <c r="BJ118" i="4"/>
  <c r="AX118" i="4"/>
  <c r="AT118" i="4"/>
  <c r="DS118" i="4"/>
  <c r="AP118" i="4"/>
  <c r="AO118" i="4"/>
  <c r="AL118" i="4"/>
  <c r="AK118" i="4"/>
  <c r="AI118" i="4"/>
  <c r="AH118" i="4"/>
  <c r="AG118" i="4"/>
  <c r="AF118" i="4"/>
  <c r="AE118" i="4"/>
  <c r="Z118" i="4"/>
  <c r="Y118" i="4"/>
  <c r="X118" i="4"/>
  <c r="U118" i="4"/>
  <c r="T118" i="4"/>
  <c r="S118" i="4"/>
  <c r="O118" i="4"/>
  <c r="N118" i="4"/>
  <c r="DZ117" i="4"/>
  <c r="DY117" i="4"/>
  <c r="DX117" i="4"/>
  <c r="DW117" i="4"/>
  <c r="DU117" i="4"/>
  <c r="DQ117" i="4"/>
  <c r="DP117" i="4"/>
  <c r="DM117" i="4"/>
  <c r="CV117" i="4"/>
  <c r="BE117" i="4"/>
  <c r="AS117" i="4"/>
  <c r="AQ117" i="4"/>
  <c r="DS117" i="4"/>
  <c r="AH117" i="4"/>
  <c r="AG117" i="4"/>
  <c r="AF117" i="4"/>
  <c r="AE117" i="4"/>
  <c r="AB117" i="4"/>
  <c r="W117" i="4"/>
  <c r="V117" i="4"/>
  <c r="U117" i="4"/>
  <c r="T117" i="4"/>
  <c r="S117" i="4"/>
  <c r="N117" i="4"/>
  <c r="L117" i="4"/>
  <c r="K117" i="4"/>
  <c r="J117" i="4"/>
  <c r="H117" i="4"/>
  <c r="G117" i="4"/>
  <c r="DX116" i="4"/>
  <c r="DU116" i="4"/>
  <c r="DQ116" i="4"/>
  <c r="DP116" i="4"/>
  <c r="DM116" i="4"/>
  <c r="DC116" i="4"/>
  <c r="CT116" i="4"/>
  <c r="CF116" i="4"/>
  <c r="CE116" i="4"/>
  <c r="CD116" i="4"/>
  <c r="CB116" i="4"/>
  <c r="BK116" i="4"/>
  <c r="BJ116" i="4"/>
  <c r="BG116" i="4"/>
  <c r="AX116" i="4"/>
  <c r="AT116" i="4"/>
  <c r="DS116" i="4"/>
  <c r="AO116" i="4"/>
  <c r="AK116" i="4"/>
  <c r="AJ116" i="4"/>
  <c r="AH116" i="4"/>
  <c r="AG116" i="4"/>
  <c r="AF116" i="4"/>
  <c r="AE116" i="4"/>
  <c r="AD116" i="4"/>
  <c r="AC116" i="4"/>
  <c r="AB116" i="4"/>
  <c r="AA116" i="4"/>
  <c r="Z116" i="4"/>
  <c r="U116" i="4"/>
  <c r="O116" i="4"/>
  <c r="N116" i="4"/>
  <c r="DZ115" i="4"/>
  <c r="DY115" i="4"/>
  <c r="DX115" i="4"/>
  <c r="DW115" i="4"/>
  <c r="DV115" i="4"/>
  <c r="DU115" i="4"/>
  <c r="DT115" i="4"/>
  <c r="DQ115" i="4"/>
  <c r="DP115" i="4"/>
  <c r="DM115" i="4"/>
  <c r="DJ115" i="4"/>
  <c r="DC115" i="4"/>
  <c r="DB115" i="4"/>
  <c r="CX115" i="4"/>
  <c r="CE115" i="4"/>
  <c r="CD115" i="4"/>
  <c r="CB115" i="4"/>
  <c r="CA115" i="4"/>
  <c r="BY115" i="4"/>
  <c r="BL115" i="4"/>
  <c r="BK115" i="4"/>
  <c r="BF115" i="4"/>
  <c r="BE115" i="4"/>
  <c r="BD115" i="4"/>
  <c r="BC115" i="4"/>
  <c r="BA115" i="4"/>
  <c r="AZ115" i="4"/>
  <c r="DR115" i="4"/>
  <c r="AS115" i="4"/>
  <c r="AQ115" i="4"/>
  <c r="DS115" i="4"/>
  <c r="AP115" i="4"/>
  <c r="AO115" i="4"/>
  <c r="AN115" i="4"/>
  <c r="AM115" i="4"/>
  <c r="AL115" i="4"/>
  <c r="AK115" i="4"/>
  <c r="AJ115" i="4"/>
  <c r="AI115" i="4"/>
  <c r="AH115" i="4"/>
  <c r="AG115" i="4"/>
  <c r="AF115" i="4"/>
  <c r="AE115" i="4"/>
  <c r="AD115" i="4"/>
  <c r="AC115" i="4"/>
  <c r="AB115" i="4"/>
  <c r="AA115" i="4"/>
  <c r="Z115" i="4"/>
  <c r="Y115" i="4"/>
  <c r="X115" i="4"/>
  <c r="W115" i="4"/>
  <c r="V115" i="4"/>
  <c r="U115" i="4"/>
  <c r="T115" i="4"/>
  <c r="S115" i="4"/>
  <c r="N115" i="4"/>
  <c r="M115" i="4"/>
  <c r="L115" i="4"/>
  <c r="K115" i="4"/>
  <c r="J115" i="4"/>
  <c r="H115" i="4"/>
  <c r="G115" i="4"/>
  <c r="DZ114" i="4"/>
  <c r="DY114" i="4"/>
  <c r="DX114" i="4"/>
  <c r="DW114" i="4"/>
  <c r="DU114" i="4"/>
  <c r="DT114" i="4"/>
  <c r="DQ114" i="4"/>
  <c r="DP114" i="4"/>
  <c r="DM114" i="4"/>
  <c r="BY114" i="4"/>
  <c r="AX114" i="4"/>
  <c r="AS114" i="4"/>
  <c r="AQ114" i="4"/>
  <c r="AL114" i="4"/>
  <c r="AI114" i="4"/>
  <c r="Z114" i="4"/>
  <c r="Y114" i="4"/>
  <c r="X114" i="4"/>
  <c r="W114" i="4"/>
  <c r="V114" i="4"/>
  <c r="U114" i="4"/>
  <c r="T114" i="4"/>
  <c r="S114" i="4"/>
  <c r="O114" i="4"/>
  <c r="N114" i="4"/>
  <c r="M114" i="4"/>
  <c r="L114" i="4"/>
  <c r="K114" i="4"/>
  <c r="J114" i="4"/>
  <c r="H114" i="4"/>
  <c r="G114" i="4"/>
  <c r="DX113" i="4"/>
  <c r="DV113" i="4"/>
  <c r="DU113" i="4"/>
  <c r="DQ113" i="4"/>
  <c r="DP113" i="4"/>
  <c r="DM113" i="4"/>
  <c r="DC113" i="4"/>
  <c r="CF113" i="4"/>
  <c r="CE113" i="4"/>
  <c r="BY113" i="4"/>
  <c r="BW113" i="4"/>
  <c r="BG113" i="4"/>
  <c r="BF113" i="4"/>
  <c r="BE113" i="4"/>
  <c r="BC113" i="4"/>
  <c r="AZ113" i="4"/>
  <c r="DR113" i="4"/>
  <c r="AT113" i="4"/>
  <c r="DS113" i="4"/>
  <c r="AO113" i="4"/>
  <c r="AJ113" i="4"/>
  <c r="AH113" i="4"/>
  <c r="AG113" i="4"/>
  <c r="AF113" i="4"/>
  <c r="AE113" i="4"/>
  <c r="AA113" i="4"/>
  <c r="Z113" i="4"/>
  <c r="Y113" i="4"/>
  <c r="X113" i="4"/>
  <c r="U113" i="4"/>
  <c r="T113" i="4"/>
  <c r="S113" i="4"/>
  <c r="O113" i="4"/>
  <c r="N113" i="4"/>
  <c r="M113" i="4"/>
  <c r="K113" i="4"/>
  <c r="DZ112" i="4"/>
  <c r="DY112" i="4"/>
  <c r="DX112" i="4"/>
  <c r="DW112" i="4"/>
  <c r="DV112" i="4"/>
  <c r="DU112" i="4"/>
  <c r="DT112" i="4"/>
  <c r="DQ112" i="4"/>
  <c r="DM112" i="4"/>
  <c r="DC112" i="4"/>
  <c r="CU112" i="4"/>
  <c r="CI112" i="4"/>
  <c r="CH112" i="4"/>
  <c r="CE112" i="4"/>
  <c r="CD112" i="4"/>
  <c r="CC112" i="4"/>
  <c r="BY112" i="4"/>
  <c r="BL112" i="4"/>
  <c r="BC112" i="4"/>
  <c r="DR112" i="4"/>
  <c r="AT112" i="4"/>
  <c r="AS112" i="4"/>
  <c r="AQ112" i="4"/>
  <c r="DS112" i="4"/>
  <c r="AO112" i="4"/>
  <c r="AL112" i="4"/>
  <c r="AK112" i="4"/>
  <c r="AI112" i="4"/>
  <c r="AA112" i="4"/>
  <c r="Z112" i="4"/>
  <c r="X112" i="4"/>
  <c r="W112" i="4"/>
  <c r="V112" i="4"/>
  <c r="U112" i="4"/>
  <c r="S112" i="4"/>
  <c r="O112" i="4"/>
  <c r="N112" i="4"/>
  <c r="K112" i="4"/>
  <c r="J112" i="4"/>
  <c r="H112" i="4"/>
  <c r="G112" i="4"/>
  <c r="DZ111" i="4"/>
  <c r="DY111" i="4"/>
  <c r="DX111" i="4"/>
  <c r="DV111" i="4"/>
  <c r="DU111" i="4"/>
  <c r="DQ111" i="4"/>
  <c r="DP111" i="4"/>
  <c r="DM111" i="4"/>
  <c r="CE111" i="4"/>
  <c r="BY111" i="4"/>
  <c r="BK111" i="4"/>
  <c r="BJ111" i="4"/>
  <c r="BG111" i="4"/>
  <c r="BF111" i="4"/>
  <c r="BE111" i="4"/>
  <c r="DR111" i="4"/>
  <c r="AS111" i="4"/>
  <c r="AQ111" i="4"/>
  <c r="DS111" i="4"/>
  <c r="AO111" i="4"/>
  <c r="AL111" i="4"/>
  <c r="AK111" i="4"/>
  <c r="AH111" i="4"/>
  <c r="AG111" i="4"/>
  <c r="AF111" i="4"/>
  <c r="AE111" i="4"/>
  <c r="Z111" i="4"/>
  <c r="U111" i="4"/>
  <c r="O111" i="4"/>
  <c r="N111" i="4"/>
  <c r="M111" i="4"/>
  <c r="DX110" i="4"/>
  <c r="DU110" i="4"/>
  <c r="DQ110" i="4"/>
  <c r="DM110" i="4"/>
  <c r="DJ110" i="4"/>
  <c r="DB110" i="4"/>
  <c r="CR110" i="4"/>
  <c r="CH110" i="4"/>
  <c r="BY110" i="4"/>
  <c r="BL110" i="4"/>
  <c r="BK110" i="4"/>
  <c r="AS110" i="4"/>
  <c r="DS110" i="4"/>
  <c r="AL110" i="4"/>
  <c r="AK110" i="4"/>
  <c r="AJ110" i="4"/>
  <c r="Z110" i="4"/>
  <c r="X110" i="4"/>
  <c r="U110" i="4"/>
  <c r="S110" i="4"/>
  <c r="O110" i="4"/>
  <c r="N110" i="4"/>
  <c r="M110" i="4"/>
  <c r="DZ109" i="4"/>
  <c r="DY109" i="4"/>
  <c r="DX109" i="4"/>
  <c r="DU109" i="4"/>
  <c r="DQ109" i="4"/>
  <c r="DP109" i="4"/>
  <c r="DM109" i="4"/>
  <c r="DC109" i="4"/>
  <c r="CF109" i="4"/>
  <c r="CE109" i="4"/>
  <c r="CC109" i="4"/>
  <c r="BL109" i="4"/>
  <c r="DS109" i="4"/>
  <c r="AO109" i="4"/>
  <c r="AL109" i="4"/>
  <c r="U109" i="4"/>
  <c r="N109" i="4"/>
  <c r="DX108" i="4"/>
  <c r="DW108" i="4"/>
  <c r="DV108" i="4"/>
  <c r="DU108" i="4"/>
  <c r="DT108" i="4"/>
  <c r="BB108" i="4"/>
  <c r="DQ108" i="4"/>
  <c r="DO108" i="4"/>
  <c r="DN108" i="4"/>
  <c r="DM108" i="4"/>
  <c r="DJ108" i="4"/>
  <c r="DC108" i="4"/>
  <c r="DB108" i="4"/>
  <c r="CX108" i="4"/>
  <c r="CF108" i="4"/>
  <c r="CE108" i="4"/>
  <c r="CD108" i="4"/>
  <c r="CC108" i="4"/>
  <c r="CB108" i="4"/>
  <c r="CA108" i="4"/>
  <c r="BZ108" i="4"/>
  <c r="BY108" i="4"/>
  <c r="BL108" i="4"/>
  <c r="BK108" i="4"/>
  <c r="BJ108" i="4"/>
  <c r="BI108" i="4"/>
  <c r="BF108" i="4"/>
  <c r="BE108" i="4"/>
  <c r="BD108" i="4"/>
  <c r="BC108" i="4"/>
  <c r="DR108" i="4"/>
  <c r="AT108" i="4"/>
  <c r="AQ108" i="4"/>
  <c r="DS108" i="4"/>
  <c r="AP108" i="4"/>
  <c r="AO108" i="4"/>
  <c r="AN108" i="4"/>
  <c r="AM108" i="4"/>
  <c r="AL108" i="4"/>
  <c r="AK108" i="4"/>
  <c r="AI108" i="4"/>
  <c r="AH108" i="4"/>
  <c r="AG108" i="4"/>
  <c r="AF108" i="4"/>
  <c r="AE108" i="4"/>
  <c r="AD108" i="4"/>
  <c r="AC108" i="4"/>
  <c r="AB108" i="4"/>
  <c r="AA108" i="4"/>
  <c r="Y108" i="4"/>
  <c r="X108" i="4"/>
  <c r="W108" i="4"/>
  <c r="V108" i="4"/>
  <c r="U108" i="4"/>
  <c r="T108" i="4"/>
  <c r="S108" i="4"/>
  <c r="O108" i="4"/>
  <c r="N108" i="4"/>
  <c r="M108" i="4"/>
  <c r="K108" i="4"/>
  <c r="J108" i="4"/>
  <c r="H108" i="4"/>
  <c r="G108" i="4"/>
  <c r="DX107" i="4"/>
  <c r="DW107" i="4"/>
  <c r="DU107" i="4"/>
  <c r="DT107" i="4"/>
  <c r="DQ107" i="4"/>
  <c r="DM107" i="4"/>
  <c r="DC107" i="4"/>
  <c r="CV107" i="4"/>
  <c r="CT107" i="4"/>
  <c r="CI107" i="4"/>
  <c r="BL107" i="4"/>
  <c r="BK107" i="4"/>
  <c r="BJ107" i="4"/>
  <c r="BF107" i="4"/>
  <c r="BC107" i="4"/>
  <c r="AT107" i="4"/>
  <c r="AS107" i="4"/>
  <c r="AQ107" i="4"/>
  <c r="DS107" i="4"/>
  <c r="AP107" i="4"/>
  <c r="AO107" i="4"/>
  <c r="AK107" i="4"/>
  <c r="AJ107" i="4"/>
  <c r="AI107" i="4"/>
  <c r="AF107" i="4"/>
  <c r="AE107" i="4"/>
  <c r="AD107" i="4"/>
  <c r="AC107" i="4"/>
  <c r="AB107" i="4"/>
  <c r="AA107" i="4"/>
  <c r="Z107" i="4"/>
  <c r="W107" i="4"/>
  <c r="V107" i="4"/>
  <c r="U107" i="4"/>
  <c r="O107" i="4"/>
  <c r="K107" i="4"/>
  <c r="J107" i="4"/>
  <c r="H107" i="4"/>
  <c r="G107" i="4"/>
  <c r="DX106" i="4"/>
  <c r="DW106" i="4"/>
  <c r="DV106" i="4"/>
  <c r="DU106" i="4"/>
  <c r="BB106" i="4"/>
  <c r="DQ106" i="4"/>
  <c r="DO106" i="4"/>
  <c r="DN106" i="4"/>
  <c r="DM106" i="4"/>
  <c r="DL106" i="4"/>
  <c r="DC106" i="4"/>
  <c r="DB106" i="4"/>
  <c r="CE106" i="4"/>
  <c r="CD106" i="4"/>
  <c r="CB106" i="4"/>
  <c r="CA106" i="4"/>
  <c r="BF106" i="4"/>
  <c r="BE106" i="4"/>
  <c r="BD106" i="4"/>
  <c r="AX106" i="4"/>
  <c r="AS106" i="4"/>
  <c r="DS106" i="4"/>
  <c r="AH106" i="4"/>
  <c r="AG106" i="4"/>
  <c r="AF106" i="4"/>
  <c r="AE106" i="4"/>
  <c r="AB106" i="4"/>
  <c r="AA106" i="4"/>
  <c r="X106" i="4"/>
  <c r="U106" i="4"/>
  <c r="T106" i="4"/>
  <c r="S106" i="4"/>
  <c r="P106" i="4"/>
  <c r="O106" i="4"/>
  <c r="N106" i="4"/>
  <c r="M106" i="4"/>
  <c r="J106" i="4"/>
  <c r="DX105" i="4"/>
  <c r="DW105" i="4"/>
  <c r="DU105" i="4"/>
  <c r="DT105" i="4"/>
  <c r="BB105" i="4"/>
  <c r="DQ105" i="4"/>
  <c r="DM105" i="4"/>
  <c r="DL105" i="4"/>
  <c r="DK105" i="4"/>
  <c r="DC105" i="4"/>
  <c r="CW105" i="4"/>
  <c r="CH105" i="4"/>
  <c r="CE105" i="4"/>
  <c r="CD105" i="4"/>
  <c r="CC105" i="4"/>
  <c r="CB105" i="4"/>
  <c r="CA105" i="4"/>
  <c r="BZ105" i="4"/>
  <c r="BY105" i="4"/>
  <c r="BL105" i="4"/>
  <c r="BK105" i="4"/>
  <c r="BJ105" i="4"/>
  <c r="BG105" i="4"/>
  <c r="BF105" i="4"/>
  <c r="BC105" i="4"/>
  <c r="AT105" i="4"/>
  <c r="AS105" i="4"/>
  <c r="AQ105" i="4"/>
  <c r="DS105" i="4"/>
  <c r="AO105" i="4"/>
  <c r="AL105" i="4"/>
  <c r="AK105" i="4"/>
  <c r="AI105" i="4"/>
  <c r="AH105" i="4"/>
  <c r="AG105" i="4"/>
  <c r="AF105" i="4"/>
  <c r="AE105" i="4"/>
  <c r="AD105" i="4"/>
  <c r="AC105" i="4"/>
  <c r="AB105" i="4"/>
  <c r="Z105" i="4"/>
  <c r="X105" i="4"/>
  <c r="W105" i="4"/>
  <c r="V105" i="4"/>
  <c r="U105" i="4"/>
  <c r="T105" i="4"/>
  <c r="S105" i="4"/>
  <c r="O105" i="4"/>
  <c r="N105" i="4"/>
  <c r="L105" i="4"/>
  <c r="K105" i="4"/>
  <c r="J105" i="4"/>
  <c r="H105" i="4"/>
  <c r="G105" i="4"/>
  <c r="DX104" i="4"/>
  <c r="DW104" i="4"/>
  <c r="DV104" i="4"/>
  <c r="DU104" i="4"/>
  <c r="DT104" i="4"/>
  <c r="BB104" i="4"/>
  <c r="DQ104" i="4"/>
  <c r="DP104" i="4"/>
  <c r="DO104" i="4"/>
  <c r="DN104" i="4"/>
  <c r="DM104" i="4"/>
  <c r="DL104" i="4"/>
  <c r="DK104" i="4"/>
  <c r="DJ104" i="4"/>
  <c r="DC104" i="4"/>
  <c r="DB104" i="4"/>
  <c r="CX104" i="4"/>
  <c r="CJ104" i="4"/>
  <c r="CI104" i="4"/>
  <c r="CH104" i="4"/>
  <c r="CG104" i="4"/>
  <c r="CF104" i="4"/>
  <c r="CE104" i="4"/>
  <c r="CD104" i="4"/>
  <c r="CC104" i="4"/>
  <c r="CB104" i="4"/>
  <c r="CA104" i="4"/>
  <c r="BZ104" i="4"/>
  <c r="BY104" i="4"/>
  <c r="BJ104" i="4"/>
  <c r="BG104" i="4"/>
  <c r="BF104" i="4"/>
  <c r="BE104" i="4"/>
  <c r="BD104" i="4"/>
  <c r="BC104" i="4"/>
  <c r="AX104" i="4"/>
  <c r="AS104" i="4"/>
  <c r="AQ104" i="4"/>
  <c r="DS104" i="4"/>
  <c r="AO104" i="4"/>
  <c r="AI104" i="4"/>
  <c r="AH104" i="4"/>
  <c r="AG104" i="4"/>
  <c r="AF104" i="4"/>
  <c r="AE104" i="4"/>
  <c r="AD104" i="4"/>
  <c r="AC104" i="4"/>
  <c r="AB104" i="4"/>
  <c r="AA104" i="4"/>
  <c r="Z104" i="4"/>
  <c r="X104" i="4"/>
  <c r="W104" i="4"/>
  <c r="V104" i="4"/>
  <c r="U104" i="4"/>
  <c r="S104" i="4"/>
  <c r="M104" i="4"/>
  <c r="K104" i="4"/>
  <c r="J104" i="4"/>
  <c r="H104" i="4"/>
  <c r="G104" i="4"/>
  <c r="DX103" i="4"/>
  <c r="DW103" i="4"/>
  <c r="DU103" i="4"/>
  <c r="DT103" i="4"/>
  <c r="BB103" i="4"/>
  <c r="DM103" i="4"/>
  <c r="DC103" i="4"/>
  <c r="CH103" i="4"/>
  <c r="CE103" i="4"/>
  <c r="CD103" i="4"/>
  <c r="CB103" i="4"/>
  <c r="CA103" i="4"/>
  <c r="BY103" i="4"/>
  <c r="BL103" i="4"/>
  <c r="BJ103" i="4"/>
  <c r="BG103" i="4"/>
  <c r="BF103" i="4"/>
  <c r="BD103" i="4"/>
  <c r="AZ103" i="4"/>
  <c r="DR103" i="4"/>
  <c r="AT103" i="4"/>
  <c r="AS103" i="4"/>
  <c r="AQ103" i="4"/>
  <c r="DS103" i="4"/>
  <c r="AP103" i="4"/>
  <c r="AO103" i="4"/>
  <c r="AL103" i="4"/>
  <c r="AK103" i="4"/>
  <c r="AI103" i="4"/>
  <c r="AH103" i="4"/>
  <c r="AG103" i="4"/>
  <c r="AF103" i="4"/>
  <c r="AE103" i="4"/>
  <c r="AD103" i="4"/>
  <c r="AC103" i="4"/>
  <c r="AB103" i="4"/>
  <c r="AA103" i="4"/>
  <c r="Z103" i="4"/>
  <c r="X103" i="4"/>
  <c r="W103" i="4"/>
  <c r="V103" i="4"/>
  <c r="U103" i="4"/>
  <c r="S103" i="4"/>
  <c r="O103" i="4"/>
  <c r="N103" i="4"/>
  <c r="M103" i="4"/>
  <c r="J103" i="4"/>
  <c r="H103" i="4"/>
  <c r="G103" i="4"/>
  <c r="DX102" i="4"/>
  <c r="DW102" i="4"/>
  <c r="DV102" i="4"/>
  <c r="DU102" i="4"/>
  <c r="DT102" i="4"/>
  <c r="DQ102" i="4"/>
  <c r="DP102" i="4"/>
  <c r="DM102" i="4"/>
  <c r="DC102" i="4"/>
  <c r="CO102" i="4"/>
  <c r="BY102" i="4"/>
  <c r="BL102" i="4"/>
  <c r="BJ102" i="4"/>
  <c r="BF102" i="4"/>
  <c r="BE102" i="4"/>
  <c r="BD102" i="4"/>
  <c r="BC102" i="4"/>
  <c r="AX102" i="4"/>
  <c r="AT102" i="4"/>
  <c r="DS102" i="4"/>
  <c r="AP102" i="4"/>
  <c r="AO102" i="4"/>
  <c r="AK102" i="4"/>
  <c r="AJ102" i="4"/>
  <c r="AI102" i="4"/>
  <c r="AH102" i="4"/>
  <c r="AG102" i="4"/>
  <c r="AF102" i="4"/>
  <c r="AE102" i="4"/>
  <c r="AA102" i="4"/>
  <c r="Z102" i="4"/>
  <c r="X102" i="4"/>
  <c r="W102" i="4"/>
  <c r="V102" i="4"/>
  <c r="U102" i="4"/>
  <c r="S102" i="4"/>
  <c r="O102" i="4"/>
  <c r="M102" i="4"/>
  <c r="K102" i="4"/>
  <c r="J102" i="4"/>
  <c r="H102" i="4"/>
  <c r="G102" i="4"/>
  <c r="DZ101" i="4"/>
  <c r="DY101" i="4"/>
  <c r="DX101" i="4"/>
  <c r="DW101" i="4"/>
  <c r="DU101" i="4"/>
  <c r="DT101" i="4"/>
  <c r="DQ101" i="4"/>
  <c r="DP101" i="4"/>
  <c r="DM101" i="4"/>
  <c r="DC101" i="4"/>
  <c r="CU101" i="4"/>
  <c r="CJ101" i="4"/>
  <c r="CI101" i="4"/>
  <c r="CH101" i="4"/>
  <c r="CE101" i="4"/>
  <c r="CC101" i="4"/>
  <c r="CA101" i="4"/>
  <c r="BZ101" i="4"/>
  <c r="BY101" i="4"/>
  <c r="BL101" i="4"/>
  <c r="BK101" i="4"/>
  <c r="BJ101" i="4"/>
  <c r="BI101" i="4"/>
  <c r="AZ101" i="4"/>
  <c r="AY101" i="4"/>
  <c r="AT101" i="4"/>
  <c r="AQ101" i="4"/>
  <c r="AO101" i="4"/>
  <c r="AM101" i="4"/>
  <c r="AL101" i="4"/>
  <c r="AK101" i="4"/>
  <c r="AJ101" i="4"/>
  <c r="AI101" i="4"/>
  <c r="AF101" i="4"/>
  <c r="AD101" i="4"/>
  <c r="AC101" i="4"/>
  <c r="AB101" i="4"/>
  <c r="Z101" i="4"/>
  <c r="X101" i="4"/>
  <c r="W101" i="4"/>
  <c r="V101" i="4"/>
  <c r="U101" i="4"/>
  <c r="T101" i="4"/>
  <c r="S101" i="4"/>
  <c r="O101" i="4"/>
  <c r="N101" i="4"/>
  <c r="M101" i="4"/>
  <c r="L101" i="4"/>
  <c r="K101" i="4"/>
  <c r="J101" i="4"/>
  <c r="H101" i="4"/>
  <c r="G101" i="4"/>
  <c r="DX100" i="4"/>
  <c r="DV100" i="4"/>
  <c r="DU100" i="4"/>
  <c r="BB100" i="4"/>
  <c r="DQ100" i="4"/>
  <c r="DP100" i="4"/>
  <c r="DO100" i="4"/>
  <c r="DN100" i="4"/>
  <c r="DM100" i="4"/>
  <c r="DC100" i="4"/>
  <c r="DB100" i="4"/>
  <c r="CF100" i="4"/>
  <c r="CE100" i="4"/>
  <c r="CC100" i="4"/>
  <c r="CA100" i="4"/>
  <c r="BZ100" i="4"/>
  <c r="BY100" i="4"/>
  <c r="BJ100" i="4"/>
  <c r="BF100" i="4"/>
  <c r="BE100" i="4"/>
  <c r="AT100" i="4"/>
  <c r="DS100" i="4"/>
  <c r="AO100" i="4"/>
  <c r="AM100" i="4"/>
  <c r="AK100" i="4"/>
  <c r="AI100" i="4"/>
  <c r="AF100" i="4"/>
  <c r="AE100" i="4"/>
  <c r="AD100" i="4"/>
  <c r="AC100" i="4"/>
  <c r="Z100" i="4"/>
  <c r="X100" i="4"/>
  <c r="W100" i="4"/>
  <c r="U100" i="4"/>
  <c r="T100" i="4"/>
  <c r="N100" i="4"/>
  <c r="H100" i="4"/>
  <c r="G100" i="4"/>
  <c r="DX99" i="4"/>
  <c r="DW99" i="4"/>
  <c r="DU99" i="4"/>
  <c r="DQ99" i="4"/>
  <c r="DP99" i="4"/>
  <c r="DM99" i="4"/>
  <c r="DC99" i="4"/>
  <c r="CE99" i="4"/>
  <c r="CD99" i="4"/>
  <c r="BZ99" i="4"/>
  <c r="BY99" i="4"/>
  <c r="BL99" i="4"/>
  <c r="BD99" i="4"/>
  <c r="BC99" i="4"/>
  <c r="DR99" i="4"/>
  <c r="AS99" i="4"/>
  <c r="AQ99" i="4"/>
  <c r="DS99" i="4"/>
  <c r="AO99" i="4"/>
  <c r="AF99" i="4"/>
  <c r="AA99" i="4"/>
  <c r="X99" i="4"/>
  <c r="U99" i="4"/>
  <c r="T99" i="4"/>
  <c r="P99" i="4"/>
  <c r="O99" i="4"/>
  <c r="N99" i="4"/>
  <c r="M99" i="4"/>
  <c r="DX98" i="4"/>
  <c r="DU98" i="4"/>
  <c r="DT98" i="4"/>
  <c r="DQ98" i="4"/>
  <c r="DP98" i="4"/>
  <c r="DM98" i="4"/>
  <c r="DC98" i="4"/>
  <c r="CE98" i="4"/>
  <c r="BL98" i="4"/>
  <c r="BC98" i="4"/>
  <c r="AQ98" i="4"/>
  <c r="DS98" i="4"/>
  <c r="AO98" i="4"/>
  <c r="U98" i="4"/>
  <c r="T98" i="4"/>
  <c r="O98" i="4"/>
  <c r="N98" i="4"/>
  <c r="M98" i="4"/>
  <c r="K98" i="4"/>
  <c r="DX97" i="4"/>
  <c r="DW97" i="4"/>
  <c r="DV97" i="4"/>
  <c r="DU97" i="4"/>
  <c r="DT97" i="4"/>
  <c r="DQ97" i="4"/>
  <c r="DO97" i="4"/>
  <c r="DN97" i="4"/>
  <c r="DM97" i="4"/>
  <c r="DJ97" i="4"/>
  <c r="DB97" i="4"/>
  <c r="CH97" i="4"/>
  <c r="CF97" i="4"/>
  <c r="CE97" i="4"/>
  <c r="CD97" i="4"/>
  <c r="CB97" i="4"/>
  <c r="BY97" i="4"/>
  <c r="BG97" i="4"/>
  <c r="BF97" i="4"/>
  <c r="BE97" i="4"/>
  <c r="BA97" i="4"/>
  <c r="DR97" i="4"/>
  <c r="AS97" i="4"/>
  <c r="AO97" i="4"/>
  <c r="AH97" i="4"/>
  <c r="AG97" i="4"/>
  <c r="AF97" i="4"/>
  <c r="AE97" i="4"/>
  <c r="AD97" i="4"/>
  <c r="AC97" i="4"/>
  <c r="Y97" i="4"/>
  <c r="V97" i="4"/>
  <c r="U97" i="4"/>
  <c r="S97" i="4"/>
  <c r="P97" i="4"/>
  <c r="O97" i="4"/>
  <c r="DX96" i="4"/>
  <c r="DU96" i="4"/>
  <c r="DQ96" i="4"/>
  <c r="DP96" i="4"/>
  <c r="DM96" i="4"/>
  <c r="DC96" i="4"/>
  <c r="DB96" i="4"/>
  <c r="CH96" i="4"/>
  <c r="CE96" i="4"/>
  <c r="BY96" i="4"/>
  <c r="BG96" i="4"/>
  <c r="BD96" i="4"/>
  <c r="BC96" i="4"/>
  <c r="DR96" i="4"/>
  <c r="DS96" i="4"/>
  <c r="AP96" i="4"/>
  <c r="AO96" i="4"/>
  <c r="AL96" i="4"/>
  <c r="AH96" i="4"/>
  <c r="AF96" i="4"/>
  <c r="AD96" i="4"/>
  <c r="AC96" i="4"/>
  <c r="AB96" i="4"/>
  <c r="AA96" i="4"/>
  <c r="Z96" i="4"/>
  <c r="X96" i="4"/>
  <c r="U96" i="4"/>
  <c r="O96" i="4"/>
  <c r="N96" i="4"/>
  <c r="DZ95" i="4"/>
  <c r="DY95" i="4"/>
  <c r="DX95" i="4"/>
  <c r="DW95" i="4"/>
  <c r="DU95" i="4"/>
  <c r="DT95" i="4"/>
  <c r="DQ95" i="4"/>
  <c r="DP95" i="4"/>
  <c r="DM95" i="4"/>
  <c r="DC95" i="4"/>
  <c r="CT95" i="4"/>
  <c r="CH95" i="4"/>
  <c r="CF95" i="4"/>
  <c r="CE95" i="4"/>
  <c r="BY95" i="4"/>
  <c r="BK95" i="4"/>
  <c r="BG95" i="4"/>
  <c r="BF95" i="4"/>
  <c r="AY95" i="4"/>
  <c r="AM95" i="4"/>
  <c r="AL95" i="4"/>
  <c r="AJ95" i="4"/>
  <c r="AI95" i="4"/>
  <c r="AH95" i="4"/>
  <c r="AG95" i="4"/>
  <c r="AF95" i="4"/>
  <c r="AE95" i="4"/>
  <c r="AD95" i="4"/>
  <c r="AC95" i="4"/>
  <c r="AB95" i="4"/>
  <c r="Z95" i="4"/>
  <c r="Y95" i="4"/>
  <c r="X95" i="4"/>
  <c r="W95" i="4"/>
  <c r="V95" i="4"/>
  <c r="U95" i="4"/>
  <c r="T95" i="4"/>
  <c r="S95" i="4"/>
  <c r="N95" i="4"/>
  <c r="M95" i="4"/>
  <c r="K95" i="4"/>
  <c r="J95" i="4"/>
  <c r="H95" i="4"/>
  <c r="G95" i="4"/>
  <c r="DX94" i="4"/>
  <c r="DW94" i="4"/>
  <c r="DU94" i="4"/>
  <c r="DT94" i="4"/>
  <c r="BB94" i="4"/>
  <c r="DQ94" i="4"/>
  <c r="DO94" i="4"/>
  <c r="DN94" i="4"/>
  <c r="DM94" i="4"/>
  <c r="CX94" i="4"/>
  <c r="CH94" i="4"/>
  <c r="CE94" i="4"/>
  <c r="CD94" i="4"/>
  <c r="CC94" i="4"/>
  <c r="BK94" i="4"/>
  <c r="BC94" i="4"/>
  <c r="AS94" i="4"/>
  <c r="DS94" i="4"/>
  <c r="AP94" i="4"/>
  <c r="AO94" i="4"/>
  <c r="AN94" i="4"/>
  <c r="AM94" i="4"/>
  <c r="AL94" i="4"/>
  <c r="AH94" i="4"/>
  <c r="AG94" i="4"/>
  <c r="AF94" i="4"/>
  <c r="AE94" i="4"/>
  <c r="AD94" i="4"/>
  <c r="AC94" i="4"/>
  <c r="Z94" i="4"/>
  <c r="W94" i="4"/>
  <c r="V94" i="4"/>
  <c r="U94" i="4"/>
  <c r="S94" i="4"/>
  <c r="O94" i="4"/>
  <c r="N94" i="4"/>
  <c r="L94" i="4"/>
  <c r="K94" i="4"/>
  <c r="H94" i="4"/>
  <c r="G94" i="4"/>
  <c r="DZ93" i="4"/>
  <c r="DY93" i="4"/>
  <c r="DX93" i="4"/>
  <c r="DW93" i="4"/>
  <c r="DU93" i="4"/>
  <c r="DT93" i="4"/>
  <c r="DQ93" i="4"/>
  <c r="DP93" i="4"/>
  <c r="DM93" i="4"/>
  <c r="DC93" i="4"/>
  <c r="CV93" i="4"/>
  <c r="CF93" i="4"/>
  <c r="BL93" i="4"/>
  <c r="BK93" i="4"/>
  <c r="BJ93" i="4"/>
  <c r="BG93" i="4"/>
  <c r="BE93" i="4"/>
  <c r="BC93" i="4"/>
  <c r="AT93" i="4"/>
  <c r="DS93" i="4"/>
  <c r="AP93" i="4"/>
  <c r="AO93" i="4"/>
  <c r="AN93" i="4"/>
  <c r="AM93" i="4"/>
  <c r="AL93" i="4"/>
  <c r="AK93" i="4"/>
  <c r="AJ93" i="4"/>
  <c r="AH93" i="4"/>
  <c r="AG93" i="4"/>
  <c r="AF93" i="4"/>
  <c r="AE93" i="4"/>
  <c r="AD93" i="4"/>
  <c r="AC93" i="4"/>
  <c r="AA93" i="4"/>
  <c r="Z93" i="4"/>
  <c r="W93" i="4"/>
  <c r="V93" i="4"/>
  <c r="U93" i="4"/>
  <c r="S93" i="4"/>
  <c r="O93" i="4"/>
  <c r="M93" i="4"/>
  <c r="K93" i="4"/>
  <c r="J93" i="4"/>
  <c r="I93" i="4"/>
  <c r="G93" i="4"/>
  <c r="DX92" i="4"/>
  <c r="DW92" i="4"/>
  <c r="DU92" i="4"/>
  <c r="DT92" i="4"/>
  <c r="DQ92" i="4"/>
  <c r="DM92" i="4"/>
  <c r="CV92" i="4"/>
  <c r="BY92" i="4"/>
  <c r="BL92" i="4"/>
  <c r="BK92" i="4"/>
  <c r="AP92" i="4"/>
  <c r="AO92" i="4"/>
  <c r="AL92" i="4"/>
  <c r="AK92" i="4"/>
  <c r="AD92" i="4"/>
  <c r="AC92" i="4"/>
  <c r="AB92" i="4"/>
  <c r="W92" i="4"/>
  <c r="V92" i="4"/>
  <c r="U92" i="4"/>
  <c r="T92" i="4"/>
  <c r="S92" i="4"/>
  <c r="O92" i="4"/>
  <c r="N92" i="4"/>
  <c r="K92" i="4"/>
  <c r="J92" i="4"/>
  <c r="H92" i="4"/>
  <c r="G92" i="4"/>
  <c r="DX91" i="4"/>
  <c r="DW91" i="4"/>
  <c r="DU91" i="4"/>
  <c r="DT91" i="4"/>
  <c r="DQ91" i="4"/>
  <c r="DP91" i="4"/>
  <c r="DM91" i="4"/>
  <c r="DC91" i="4"/>
  <c r="CH91" i="4"/>
  <c r="CE91" i="4"/>
  <c r="BY91" i="4"/>
  <c r="BL91" i="4"/>
  <c r="BK91" i="4"/>
  <c r="BJ91" i="4"/>
  <c r="AP91" i="4"/>
  <c r="AO91" i="4"/>
  <c r="AK91" i="4"/>
  <c r="AI91" i="4"/>
  <c r="Z91" i="4"/>
  <c r="X91" i="4"/>
  <c r="W91" i="4"/>
  <c r="V91" i="4"/>
  <c r="U91" i="4"/>
  <c r="S91" i="4"/>
  <c r="N91" i="4"/>
  <c r="M91" i="4"/>
  <c r="L91" i="4"/>
  <c r="K91" i="4"/>
  <c r="J91" i="4"/>
  <c r="H91" i="4"/>
  <c r="DX90" i="4"/>
  <c r="DW90" i="4"/>
  <c r="DU90" i="4"/>
  <c r="DT90" i="4"/>
  <c r="DQ90" i="4"/>
  <c r="DM90" i="4"/>
  <c r="DC90" i="4"/>
  <c r="CR90" i="4"/>
  <c r="CH90" i="4"/>
  <c r="BY90" i="4"/>
  <c r="BL90" i="4"/>
  <c r="BK90" i="4"/>
  <c r="BC90" i="4"/>
  <c r="AT90" i="4"/>
  <c r="AS90" i="4"/>
  <c r="AQ90" i="4"/>
  <c r="DS90" i="4"/>
  <c r="AK90" i="4"/>
  <c r="AI90" i="4"/>
  <c r="AF90" i="4"/>
  <c r="Z90" i="4"/>
  <c r="X90" i="4"/>
  <c r="W90" i="4"/>
  <c r="V90" i="4"/>
  <c r="U90" i="4"/>
  <c r="T90" i="4"/>
  <c r="S90" i="4"/>
  <c r="O90" i="4"/>
  <c r="N90" i="4"/>
  <c r="K90" i="4"/>
  <c r="J90" i="4"/>
  <c r="H90" i="4"/>
  <c r="G90" i="4"/>
  <c r="DX89" i="4"/>
  <c r="DW89" i="4"/>
  <c r="DV89" i="4"/>
  <c r="DU89" i="4"/>
  <c r="DQ89" i="4"/>
  <c r="DM89" i="4"/>
  <c r="DC89" i="4"/>
  <c r="CE89" i="4"/>
  <c r="CD89" i="4"/>
  <c r="CC89" i="4"/>
  <c r="CB89" i="4"/>
  <c r="CA89" i="4"/>
  <c r="BY89" i="4"/>
  <c r="BL89" i="4"/>
  <c r="BK89" i="4"/>
  <c r="BC89" i="4"/>
  <c r="AS89" i="4"/>
  <c r="DS89" i="4"/>
  <c r="AL89" i="4"/>
  <c r="AK89" i="4"/>
  <c r="AJ89" i="4"/>
  <c r="AA89" i="4"/>
  <c r="Z89" i="4"/>
  <c r="X89" i="4"/>
  <c r="W89" i="4"/>
  <c r="V89" i="4"/>
  <c r="U89" i="4"/>
  <c r="T89" i="4"/>
  <c r="S89" i="4"/>
  <c r="O89" i="4"/>
  <c r="N89" i="4"/>
  <c r="K89" i="4"/>
  <c r="J89" i="4"/>
  <c r="H89" i="4"/>
  <c r="G89" i="4"/>
  <c r="DZ88" i="4"/>
  <c r="DX88" i="4"/>
  <c r="DW88" i="4"/>
  <c r="DU88" i="4"/>
  <c r="DT88" i="4"/>
  <c r="DQ88" i="4"/>
  <c r="DP88" i="4"/>
  <c r="DM88" i="4"/>
  <c r="CE88" i="4"/>
  <c r="CD88" i="4"/>
  <c r="BZ88" i="4"/>
  <c r="BL88" i="4"/>
  <c r="AQ88" i="4"/>
  <c r="DS88" i="4"/>
  <c r="AL88" i="4"/>
  <c r="AK88" i="4"/>
  <c r="W88" i="4"/>
  <c r="V88" i="4"/>
  <c r="U88" i="4"/>
  <c r="T88" i="4"/>
  <c r="S88" i="4"/>
  <c r="N88" i="4"/>
  <c r="K88" i="4"/>
  <c r="J88" i="4"/>
  <c r="H88" i="4"/>
  <c r="G88" i="4"/>
  <c r="DX87" i="4"/>
  <c r="DU87" i="4"/>
  <c r="DT87" i="4"/>
  <c r="DQ87" i="4"/>
  <c r="DM87" i="4"/>
  <c r="CV87" i="4"/>
  <c r="CE87" i="4"/>
  <c r="CD87" i="4"/>
  <c r="BZ87" i="4"/>
  <c r="BY87" i="4"/>
  <c r="BL87" i="4"/>
  <c r="BK87" i="4"/>
  <c r="BJ87" i="4"/>
  <c r="BD87" i="4"/>
  <c r="BC87" i="4"/>
  <c r="DR87" i="4"/>
  <c r="AT87" i="4"/>
  <c r="AS87" i="4"/>
  <c r="AQ87" i="4"/>
  <c r="DS87" i="4"/>
  <c r="AO87" i="4"/>
  <c r="AL87" i="4"/>
  <c r="AA87" i="4"/>
  <c r="Z87" i="4"/>
  <c r="U87" i="4"/>
  <c r="T87" i="4"/>
  <c r="S87" i="4"/>
  <c r="O87" i="4"/>
  <c r="N87" i="4"/>
  <c r="K87" i="4"/>
  <c r="DX86" i="4"/>
  <c r="DV86" i="4"/>
  <c r="DU86" i="4"/>
  <c r="DT86" i="4"/>
  <c r="DQ86" i="4"/>
  <c r="DM86" i="4"/>
  <c r="DK86" i="4"/>
  <c r="DC86" i="4"/>
  <c r="CU86" i="4"/>
  <c r="CR86" i="4"/>
  <c r="CD86" i="4"/>
  <c r="CB86" i="4"/>
  <c r="CA86" i="4"/>
  <c r="BY86" i="4"/>
  <c r="BL86" i="4"/>
  <c r="BG86" i="4"/>
  <c r="BF86" i="4"/>
  <c r="BE86" i="4"/>
  <c r="BA86" i="4"/>
  <c r="AT86" i="4"/>
  <c r="DS86" i="4"/>
  <c r="AO86" i="4"/>
  <c r="AH86" i="4"/>
  <c r="AG86" i="4"/>
  <c r="AF86" i="4"/>
  <c r="AE86" i="4"/>
  <c r="AD86" i="4"/>
  <c r="AC86" i="4"/>
  <c r="Z86" i="4"/>
  <c r="X86" i="4"/>
  <c r="U86" i="4"/>
  <c r="T86" i="4"/>
  <c r="P86" i="4"/>
  <c r="O86" i="4"/>
  <c r="N86" i="4"/>
  <c r="L86" i="4"/>
  <c r="DZ85" i="4"/>
  <c r="DY85" i="4"/>
  <c r="DX85" i="4"/>
  <c r="DW85" i="4"/>
  <c r="DU85" i="4"/>
  <c r="DT85" i="4"/>
  <c r="DQ85" i="4"/>
  <c r="DP85" i="4"/>
  <c r="DM85" i="4"/>
  <c r="DC85" i="4"/>
  <c r="CE85" i="4"/>
  <c r="CD85" i="4"/>
  <c r="CC85" i="4"/>
  <c r="CB85" i="4"/>
  <c r="CA85" i="4"/>
  <c r="BZ85" i="4"/>
  <c r="BL85" i="4"/>
  <c r="AQ85" i="4"/>
  <c r="DS85" i="4"/>
  <c r="AO85" i="4"/>
  <c r="AN85" i="4"/>
  <c r="AM85" i="4"/>
  <c r="AB85" i="4"/>
  <c r="AA85" i="4"/>
  <c r="W85" i="4"/>
  <c r="V85" i="4"/>
  <c r="U85" i="4"/>
  <c r="S85" i="4"/>
  <c r="O85" i="4"/>
  <c r="N85" i="4"/>
  <c r="K85" i="4"/>
  <c r="J85" i="4"/>
  <c r="H85" i="4"/>
  <c r="G85" i="4"/>
  <c r="DX84" i="4"/>
  <c r="DW84" i="4"/>
  <c r="DU84" i="4"/>
  <c r="DQ84" i="4"/>
  <c r="DM84" i="4"/>
  <c r="CT84" i="4"/>
  <c r="CR84" i="4"/>
  <c r="CD84" i="4"/>
  <c r="CB84" i="4"/>
  <c r="CA84" i="4"/>
  <c r="BY84" i="4"/>
  <c r="BJ84" i="4"/>
  <c r="BC84" i="4"/>
  <c r="AX84" i="4"/>
  <c r="AT84" i="4"/>
  <c r="AS84" i="4"/>
  <c r="AQ84" i="4"/>
  <c r="DS84" i="4"/>
  <c r="AO84" i="4"/>
  <c r="AB84" i="4"/>
  <c r="Z84" i="4"/>
  <c r="U84" i="4"/>
  <c r="J84" i="4"/>
  <c r="H84" i="4"/>
  <c r="G84" i="4"/>
  <c r="DX83" i="4"/>
  <c r="DW83" i="4"/>
  <c r="DU83" i="4"/>
  <c r="DT83" i="4"/>
  <c r="DQ83" i="4"/>
  <c r="DM83" i="4"/>
  <c r="CE83" i="4"/>
  <c r="BY83" i="4"/>
  <c r="BL83" i="4"/>
  <c r="BK83" i="4"/>
  <c r="BJ83" i="4"/>
  <c r="AT83" i="4"/>
  <c r="AS83" i="4"/>
  <c r="AQ83" i="4"/>
  <c r="AL83" i="4"/>
  <c r="AK83" i="4"/>
  <c r="AJ83" i="4"/>
  <c r="AI83" i="4"/>
  <c r="Z83" i="4"/>
  <c r="X83" i="4"/>
  <c r="W83" i="4"/>
  <c r="V83" i="4"/>
  <c r="U83" i="4"/>
  <c r="T83" i="4"/>
  <c r="S83" i="4"/>
  <c r="P83" i="4"/>
  <c r="O83" i="4"/>
  <c r="N83" i="4"/>
  <c r="L83" i="4"/>
  <c r="K83" i="4"/>
  <c r="J83" i="4"/>
  <c r="H83" i="4"/>
  <c r="G83" i="4"/>
  <c r="DZ82" i="4"/>
  <c r="DY82" i="4"/>
  <c r="DX82" i="4"/>
  <c r="DV82" i="4"/>
  <c r="DU82" i="4"/>
  <c r="BB82" i="4"/>
  <c r="DQ82" i="4"/>
  <c r="DP82" i="4"/>
  <c r="DM82" i="4"/>
  <c r="CS82" i="4"/>
  <c r="CR82" i="4"/>
  <c r="CI82" i="4"/>
  <c r="CH82" i="4"/>
  <c r="CF82" i="4"/>
  <c r="CE82" i="4"/>
  <c r="CD82" i="4"/>
  <c r="CC82" i="4"/>
  <c r="CB82" i="4"/>
  <c r="BY82" i="4"/>
  <c r="BL82" i="4"/>
  <c r="BK82" i="4"/>
  <c r="BI82" i="4"/>
  <c r="BG82" i="4"/>
  <c r="BF82" i="4"/>
  <c r="BE82" i="4"/>
  <c r="BD82" i="4"/>
  <c r="BC82" i="4"/>
  <c r="AQ82" i="4"/>
  <c r="DS82" i="4"/>
  <c r="AO82" i="4"/>
  <c r="AL82" i="4"/>
  <c r="AH82" i="4"/>
  <c r="AG82" i="4"/>
  <c r="AF82" i="4"/>
  <c r="AE82" i="4"/>
  <c r="AD82" i="4"/>
  <c r="AC82" i="4"/>
  <c r="AB82" i="4"/>
  <c r="AA82" i="4"/>
  <c r="Z82" i="4"/>
  <c r="U82" i="4"/>
  <c r="N82" i="4"/>
  <c r="M82" i="4"/>
  <c r="K82" i="4"/>
  <c r="DZ81" i="4"/>
  <c r="DY81" i="4"/>
  <c r="DX81" i="4"/>
  <c r="DW81" i="4"/>
  <c r="DV81" i="4"/>
  <c r="DU81" i="4"/>
  <c r="DT81" i="4"/>
  <c r="DQ81" i="4"/>
  <c r="DP81" i="4"/>
  <c r="DM81" i="4"/>
  <c r="DJ81" i="4"/>
  <c r="DB81" i="4"/>
  <c r="CO81" i="4"/>
  <c r="CE81" i="4"/>
  <c r="CD81" i="4"/>
  <c r="CC81" i="4"/>
  <c r="CB81" i="4"/>
  <c r="CA81" i="4"/>
  <c r="BZ81" i="4"/>
  <c r="BF81" i="4"/>
  <c r="BE81" i="4"/>
  <c r="AO81" i="4"/>
  <c r="AL81" i="4"/>
  <c r="AK81" i="4"/>
  <c r="AI81" i="4"/>
  <c r="AH81" i="4"/>
  <c r="AG81" i="4"/>
  <c r="AF81" i="4"/>
  <c r="AE81" i="4"/>
  <c r="AD81" i="4"/>
  <c r="AC81" i="4"/>
  <c r="X81" i="4"/>
  <c r="W81" i="4"/>
  <c r="V81" i="4"/>
  <c r="U81" i="4"/>
  <c r="S81" i="4"/>
  <c r="P81" i="4"/>
  <c r="N81" i="4"/>
  <c r="L81" i="4"/>
  <c r="K81" i="4"/>
  <c r="J81" i="4"/>
  <c r="H81" i="4"/>
  <c r="G81" i="4"/>
  <c r="DY80" i="4"/>
  <c r="DX80" i="4"/>
  <c r="DW80" i="4"/>
  <c r="DV80" i="4"/>
  <c r="DU80" i="4"/>
  <c r="DT80" i="4"/>
  <c r="DQ80" i="4"/>
  <c r="DP80" i="4"/>
  <c r="DM80" i="4"/>
  <c r="DC80" i="4"/>
  <c r="CR80" i="4"/>
  <c r="CH80" i="4"/>
  <c r="CE80" i="4"/>
  <c r="BK80" i="4"/>
  <c r="BG80" i="4"/>
  <c r="BE80" i="4"/>
  <c r="AX80" i="4"/>
  <c r="AS80" i="4"/>
  <c r="AR80" i="4"/>
  <c r="AL80" i="4"/>
  <c r="AK80" i="4"/>
  <c r="AH80" i="4"/>
  <c r="AG80" i="4"/>
  <c r="AF80" i="4"/>
  <c r="AE80" i="4"/>
  <c r="AD80" i="4"/>
  <c r="AC80" i="4"/>
  <c r="AA80" i="4"/>
  <c r="Z80" i="4"/>
  <c r="Y80" i="4"/>
  <c r="X80" i="4"/>
  <c r="W80" i="4"/>
  <c r="V80" i="4"/>
  <c r="U80" i="4"/>
  <c r="S80" i="4"/>
  <c r="N80" i="4"/>
  <c r="M80" i="4"/>
  <c r="L80" i="4"/>
  <c r="K80" i="4"/>
  <c r="J80" i="4"/>
  <c r="H80" i="4"/>
  <c r="G80" i="4"/>
  <c r="DZ79" i="4"/>
  <c r="DY79" i="4"/>
  <c r="DW79" i="4"/>
  <c r="DQ79" i="4"/>
  <c r="DP79" i="4"/>
  <c r="DM79" i="4"/>
  <c r="DC79" i="4"/>
  <c r="CH79" i="4"/>
  <c r="CE79" i="4"/>
  <c r="BK79" i="4"/>
  <c r="AS79" i="4"/>
  <c r="DS79" i="4"/>
  <c r="AL79" i="4"/>
  <c r="AK79" i="4"/>
  <c r="AJ79" i="4"/>
  <c r="AA79" i="4"/>
  <c r="X79" i="4"/>
  <c r="W79" i="4"/>
  <c r="V79" i="4"/>
  <c r="S79" i="4"/>
  <c r="P79" i="4"/>
  <c r="O79" i="4"/>
  <c r="N79" i="4"/>
  <c r="K79" i="4"/>
  <c r="J79" i="4"/>
  <c r="H79" i="4"/>
  <c r="G79" i="4"/>
  <c r="DZ78" i="4"/>
  <c r="DY78" i="4"/>
  <c r="DX78" i="4"/>
  <c r="DW78" i="4"/>
  <c r="DU78" i="4"/>
  <c r="DT78" i="4"/>
  <c r="DQ78" i="4"/>
  <c r="DP78" i="4"/>
  <c r="DM78" i="4"/>
  <c r="DC78" i="4"/>
  <c r="CR78" i="4"/>
  <c r="CJ78" i="4"/>
  <c r="CE78" i="4"/>
  <c r="CD78" i="4"/>
  <c r="CB78" i="4"/>
  <c r="CA78" i="4"/>
  <c r="BZ78" i="4"/>
  <c r="BY78" i="4"/>
  <c r="BL78" i="4"/>
  <c r="BK78" i="4"/>
  <c r="BI78" i="4"/>
  <c r="BD78" i="4"/>
  <c r="BC78" i="4"/>
  <c r="DR78" i="4"/>
  <c r="DS78" i="4"/>
  <c r="AL78" i="4"/>
  <c r="AK78" i="4"/>
  <c r="AI78" i="4"/>
  <c r="AH78" i="4"/>
  <c r="AG78" i="4"/>
  <c r="AF78" i="4"/>
  <c r="AE78" i="4"/>
  <c r="AB78" i="4"/>
  <c r="Y78" i="4"/>
  <c r="W78" i="4"/>
  <c r="V78" i="4"/>
  <c r="U78" i="4"/>
  <c r="S78" i="4"/>
  <c r="O78" i="4"/>
  <c r="N78" i="4"/>
  <c r="M78" i="4"/>
  <c r="K78" i="4"/>
  <c r="J78" i="4"/>
  <c r="H78" i="4"/>
  <c r="G78" i="4"/>
  <c r="DX77" i="4"/>
  <c r="DV77" i="4"/>
  <c r="DQ77" i="4"/>
  <c r="DM77" i="4"/>
  <c r="DJ77" i="4"/>
  <c r="CO77" i="4"/>
  <c r="CH77" i="4"/>
  <c r="CF77" i="4"/>
  <c r="CE77" i="4"/>
  <c r="BZ77" i="4"/>
  <c r="BY77" i="4"/>
  <c r="BL77" i="4"/>
  <c r="BK77" i="4"/>
  <c r="BF77" i="4"/>
  <c r="BC77" i="4"/>
  <c r="AX77" i="4"/>
  <c r="AT77" i="4"/>
  <c r="AS77" i="4"/>
  <c r="DS77" i="4"/>
  <c r="AO77" i="4"/>
  <c r="AL77" i="4"/>
  <c r="AJ77" i="4"/>
  <c r="AI77" i="4"/>
  <c r="AH77" i="4"/>
  <c r="AG77" i="4"/>
  <c r="AF77" i="4"/>
  <c r="AE77" i="4"/>
  <c r="AD77" i="4"/>
  <c r="AC77" i="4"/>
  <c r="Y77" i="4"/>
  <c r="U77" i="4"/>
  <c r="N77" i="4"/>
  <c r="DX76" i="4"/>
  <c r="DW76" i="4"/>
  <c r="DU76" i="4"/>
  <c r="BB76" i="4"/>
  <c r="DQ76" i="4"/>
  <c r="DP76" i="4"/>
  <c r="DM76" i="4"/>
  <c r="DC76" i="4"/>
  <c r="CS76" i="4"/>
  <c r="CR76" i="4"/>
  <c r="BY76" i="4"/>
  <c r="BK76" i="4"/>
  <c r="AX76" i="4"/>
  <c r="AS76" i="4"/>
  <c r="AR76" i="4"/>
  <c r="DS76" i="4"/>
  <c r="AP76" i="4"/>
  <c r="AO76" i="4"/>
  <c r="AK76" i="4"/>
  <c r="AI76" i="4"/>
  <c r="AH76" i="4"/>
  <c r="AG76" i="4"/>
  <c r="AF76" i="4"/>
  <c r="AE76" i="4"/>
  <c r="Z76" i="4"/>
  <c r="V76" i="4"/>
  <c r="U76" i="4"/>
  <c r="P76" i="4"/>
  <c r="O76" i="4"/>
  <c r="N76" i="4"/>
  <c r="H76" i="4"/>
  <c r="DZ75" i="4"/>
  <c r="DY75" i="4"/>
  <c r="DX75" i="4"/>
  <c r="DU75" i="4"/>
  <c r="DT75" i="4"/>
  <c r="BB75" i="4"/>
  <c r="DQ75" i="4"/>
  <c r="DP75" i="4"/>
  <c r="DM75" i="4"/>
  <c r="DC75" i="4"/>
  <c r="CH75" i="4"/>
  <c r="CE75" i="4"/>
  <c r="CD75" i="4"/>
  <c r="CC75" i="4"/>
  <c r="BY75" i="4"/>
  <c r="BL75" i="4"/>
  <c r="BK75" i="4"/>
  <c r="BJ75" i="4"/>
  <c r="BI75" i="4"/>
  <c r="BG75" i="4"/>
  <c r="BF75" i="4"/>
  <c r="BE75" i="4"/>
  <c r="BD75" i="4"/>
  <c r="BC75" i="4"/>
  <c r="AX75" i="4"/>
  <c r="AS75" i="4"/>
  <c r="AQ75" i="4"/>
  <c r="DS75" i="4"/>
  <c r="AP75" i="4"/>
  <c r="AO75" i="4"/>
  <c r="AH75" i="4"/>
  <c r="AG75" i="4"/>
  <c r="AF75" i="4"/>
  <c r="AE75" i="4"/>
  <c r="AB75" i="4"/>
  <c r="Z75" i="4"/>
  <c r="Y75" i="4"/>
  <c r="U75" i="4"/>
  <c r="T75" i="4"/>
  <c r="S75" i="4"/>
  <c r="O75" i="4"/>
  <c r="N75" i="4"/>
  <c r="K75" i="4"/>
  <c r="J75" i="4"/>
  <c r="DX74" i="4"/>
  <c r="DV74" i="4"/>
  <c r="DU74" i="4"/>
  <c r="BB74" i="4"/>
  <c r="DQ74" i="4"/>
  <c r="DP74" i="4"/>
  <c r="DO74" i="4"/>
  <c r="DN74" i="4"/>
  <c r="DM74" i="4"/>
  <c r="DL74" i="4"/>
  <c r="DC74" i="4"/>
  <c r="DB74" i="4"/>
  <c r="CX74" i="4"/>
  <c r="CW74" i="4"/>
  <c r="CJ74" i="4"/>
  <c r="CI74" i="4"/>
  <c r="CE74" i="4"/>
  <c r="CD74" i="4"/>
  <c r="CC74" i="4"/>
  <c r="CB74" i="4"/>
  <c r="BY74" i="4"/>
  <c r="BL74" i="4"/>
  <c r="BG74" i="4"/>
  <c r="BF74" i="4"/>
  <c r="BE74" i="4"/>
  <c r="BD74" i="4"/>
  <c r="BC74" i="4"/>
  <c r="DR74" i="4"/>
  <c r="AS74" i="4"/>
  <c r="AQ74" i="4"/>
  <c r="DS74" i="4"/>
  <c r="AP74" i="4"/>
  <c r="AO74" i="4"/>
  <c r="AM74" i="4"/>
  <c r="AI74" i="4"/>
  <c r="AH74" i="4"/>
  <c r="AG74" i="4"/>
  <c r="AF74" i="4"/>
  <c r="AE74" i="4"/>
  <c r="AD74" i="4"/>
  <c r="AC74" i="4"/>
  <c r="AB74" i="4"/>
  <c r="Z74" i="4"/>
  <c r="Y74" i="4"/>
  <c r="U74" i="4"/>
  <c r="O74" i="4"/>
  <c r="DX73" i="4"/>
  <c r="DV73" i="4"/>
  <c r="DT73" i="4"/>
  <c r="BB73" i="4"/>
  <c r="DQ73" i="4"/>
  <c r="DO73" i="4"/>
  <c r="DN73" i="4"/>
  <c r="DM73" i="4"/>
  <c r="DL73" i="4"/>
  <c r="DC73" i="4"/>
  <c r="DB73" i="4"/>
  <c r="CW73" i="4"/>
  <c r="CH73" i="4"/>
  <c r="CE73" i="4"/>
  <c r="CD73" i="4"/>
  <c r="CB73" i="4"/>
  <c r="CA73" i="4"/>
  <c r="BY73" i="4"/>
  <c r="BL73" i="4"/>
  <c r="BJ73" i="4"/>
  <c r="BG73" i="4"/>
  <c r="BF73" i="4"/>
  <c r="BE73" i="4"/>
  <c r="BC73" i="4"/>
  <c r="DR73" i="4"/>
  <c r="DS73" i="4"/>
  <c r="AP73" i="4"/>
  <c r="AO73" i="4"/>
  <c r="AL73" i="4"/>
  <c r="AK73" i="4"/>
  <c r="AI73" i="4"/>
  <c r="AH73" i="4"/>
  <c r="AG73" i="4"/>
  <c r="AF73" i="4"/>
  <c r="AE73" i="4"/>
  <c r="AD73" i="4"/>
  <c r="AC73" i="4"/>
  <c r="AB73" i="4"/>
  <c r="Z73" i="4"/>
  <c r="Y73" i="4"/>
  <c r="X73" i="4"/>
  <c r="W73" i="4"/>
  <c r="V73" i="4"/>
  <c r="U73" i="4"/>
  <c r="S73" i="4"/>
  <c r="O73" i="4"/>
  <c r="N73" i="4"/>
  <c r="K73" i="4"/>
  <c r="H73" i="4"/>
  <c r="G73" i="4"/>
  <c r="DZ72" i="4"/>
  <c r="DY72" i="4"/>
  <c r="DX72" i="4"/>
  <c r="DW72" i="4"/>
  <c r="DU72" i="4"/>
  <c r="DT72" i="4"/>
  <c r="DQ72" i="4"/>
  <c r="DP72" i="4"/>
  <c r="DM72" i="4"/>
  <c r="DC72" i="4"/>
  <c r="CU72" i="4"/>
  <c r="CH72" i="4"/>
  <c r="CE72" i="4"/>
  <c r="CD72" i="4"/>
  <c r="CC72" i="4"/>
  <c r="CB72" i="4"/>
  <c r="CA72" i="4"/>
  <c r="BZ72" i="4"/>
  <c r="BY72" i="4"/>
  <c r="BL72" i="4"/>
  <c r="BK72" i="4"/>
  <c r="BJ72" i="4"/>
  <c r="BG72" i="4"/>
  <c r="BF72" i="4"/>
  <c r="AT72" i="4"/>
  <c r="DS72" i="4"/>
  <c r="AO72" i="4"/>
  <c r="AL72" i="4"/>
  <c r="AK72" i="4"/>
  <c r="AJ72" i="4"/>
  <c r="AI72" i="4"/>
  <c r="AF72" i="4"/>
  <c r="Z72" i="4"/>
  <c r="X72" i="4"/>
  <c r="W72" i="4"/>
  <c r="V72" i="4"/>
  <c r="U72" i="4"/>
  <c r="S72" i="4"/>
  <c r="P72" i="4"/>
  <c r="N72" i="4"/>
  <c r="M72" i="4"/>
  <c r="K72" i="4"/>
  <c r="J72" i="4"/>
  <c r="H72" i="4"/>
  <c r="G72" i="4"/>
  <c r="DZ71" i="4"/>
  <c r="DY71" i="4"/>
  <c r="DX71" i="4"/>
  <c r="DV71" i="4"/>
  <c r="DU71" i="4"/>
  <c r="DQ71" i="4"/>
  <c r="DP71" i="4"/>
  <c r="DM71" i="4"/>
  <c r="DL71" i="4"/>
  <c r="DK71" i="4"/>
  <c r="DC71" i="4"/>
  <c r="CX71" i="4"/>
  <c r="CT71" i="4"/>
  <c r="CF71" i="4"/>
  <c r="CE71" i="4"/>
  <c r="CD71" i="4"/>
  <c r="CB71" i="4"/>
  <c r="BY71" i="4"/>
  <c r="BW71" i="4"/>
  <c r="BG71" i="4"/>
  <c r="BF71" i="4"/>
  <c r="BD71" i="4"/>
  <c r="BC71" i="4"/>
  <c r="AS71" i="4"/>
  <c r="DS71" i="4"/>
  <c r="AO71" i="4"/>
  <c r="AI71" i="4"/>
  <c r="AH71" i="4"/>
  <c r="AG71" i="4"/>
  <c r="AF71" i="4"/>
  <c r="AE71" i="4"/>
  <c r="AD71" i="4"/>
  <c r="AC71" i="4"/>
  <c r="AB71" i="4"/>
  <c r="Z71" i="4"/>
  <c r="U71" i="4"/>
  <c r="P71" i="4"/>
  <c r="N71" i="4"/>
  <c r="M71" i="4"/>
  <c r="DZ70" i="4"/>
  <c r="DY70" i="4"/>
  <c r="DX70" i="4"/>
  <c r="DW70" i="4"/>
  <c r="DV70" i="4"/>
  <c r="DU70" i="4"/>
  <c r="DT70" i="4"/>
  <c r="BB70" i="4"/>
  <c r="DQ70" i="4"/>
  <c r="DP70" i="4"/>
  <c r="DN70" i="4"/>
  <c r="DM70" i="4"/>
  <c r="CX70" i="4"/>
  <c r="CH70" i="4"/>
  <c r="CD70" i="4"/>
  <c r="CB70" i="4"/>
  <c r="CA70" i="4"/>
  <c r="BY70" i="4"/>
  <c r="BL70" i="4"/>
  <c r="BJ70" i="4"/>
  <c r="BG70" i="4"/>
  <c r="BF70" i="4"/>
  <c r="BE70" i="4"/>
  <c r="DR70" i="4"/>
  <c r="AX70" i="4"/>
  <c r="AS70" i="4"/>
  <c r="AQ70" i="4"/>
  <c r="DS70" i="4"/>
  <c r="AP70" i="4"/>
  <c r="AO70" i="4"/>
  <c r="AI70" i="4"/>
  <c r="AH70" i="4"/>
  <c r="AG70" i="4"/>
  <c r="AF70" i="4"/>
  <c r="AE70" i="4"/>
  <c r="AD70" i="4"/>
  <c r="AC70" i="4"/>
  <c r="AB70" i="4"/>
  <c r="Z70" i="4"/>
  <c r="X70" i="4"/>
  <c r="W70" i="4"/>
  <c r="V70" i="4"/>
  <c r="U70" i="4"/>
  <c r="S70" i="4"/>
  <c r="N70" i="4"/>
  <c r="L70" i="4"/>
  <c r="K70" i="4"/>
  <c r="J70" i="4"/>
  <c r="H70" i="4"/>
  <c r="G70" i="4"/>
  <c r="DZ69" i="4"/>
  <c r="DY69" i="4"/>
  <c r="DX69" i="4"/>
  <c r="DW69" i="4"/>
  <c r="DV69" i="4"/>
  <c r="DU69" i="4"/>
  <c r="DT69" i="4"/>
  <c r="BB69" i="4"/>
  <c r="DQ69" i="4"/>
  <c r="DP69" i="4"/>
  <c r="DM69" i="4"/>
  <c r="DK69" i="4"/>
  <c r="CX69" i="4"/>
  <c r="CH69" i="4"/>
  <c r="BF69" i="4"/>
  <c r="BE69" i="4"/>
  <c r="BC69" i="4"/>
  <c r="DS69" i="4"/>
  <c r="AP69" i="4"/>
  <c r="AO69" i="4"/>
  <c r="AK69" i="4"/>
  <c r="AH69" i="4"/>
  <c r="AG69" i="4"/>
  <c r="AF69" i="4"/>
  <c r="AE69" i="4"/>
  <c r="AD69" i="4"/>
  <c r="AC69" i="4"/>
  <c r="AB69" i="4"/>
  <c r="Y69" i="4"/>
  <c r="X69" i="4"/>
  <c r="V69" i="4"/>
  <c r="U69" i="4"/>
  <c r="T69" i="4"/>
  <c r="S69" i="4"/>
  <c r="O69" i="4"/>
  <c r="N69" i="4"/>
  <c r="M69" i="4"/>
  <c r="K69" i="4"/>
  <c r="J69" i="4"/>
  <c r="H69" i="4"/>
  <c r="G69" i="4"/>
  <c r="DX68" i="4"/>
  <c r="DW68" i="4"/>
  <c r="DV68" i="4"/>
  <c r="DU68" i="4"/>
  <c r="DQ68" i="4"/>
  <c r="DM68" i="4"/>
  <c r="CR68" i="4"/>
  <c r="CJ68" i="4"/>
  <c r="CI68" i="4"/>
  <c r="CH68" i="4"/>
  <c r="CF68" i="4"/>
  <c r="CB68" i="4"/>
  <c r="CA68" i="4"/>
  <c r="BL68" i="4"/>
  <c r="DS68" i="4"/>
  <c r="AO68" i="4"/>
  <c r="AH68" i="4"/>
  <c r="AG68" i="4"/>
  <c r="AF68" i="4"/>
  <c r="AE68" i="4"/>
  <c r="AD68" i="4"/>
  <c r="AC68" i="4"/>
  <c r="Z68" i="4"/>
  <c r="U68" i="4"/>
  <c r="N68" i="4"/>
  <c r="DX67" i="4"/>
  <c r="DW67" i="4"/>
  <c r="DU67" i="4"/>
  <c r="DQ67" i="4"/>
  <c r="DP67" i="4"/>
  <c r="DM67" i="4"/>
  <c r="DC67" i="4"/>
  <c r="CJ67" i="4"/>
  <c r="CH67" i="4"/>
  <c r="BY67" i="4"/>
  <c r="BL67" i="4"/>
  <c r="BK67" i="4"/>
  <c r="BF67" i="4"/>
  <c r="BE67" i="4"/>
  <c r="BD67" i="4"/>
  <c r="AT67" i="4"/>
  <c r="AQ67" i="4"/>
  <c r="DS67" i="4"/>
  <c r="AP67" i="4"/>
  <c r="AO67" i="4"/>
  <c r="AM67" i="4"/>
  <c r="AL67" i="4"/>
  <c r="AK67" i="4"/>
  <c r="AJ67" i="4"/>
  <c r="AH67" i="4"/>
  <c r="AG67" i="4"/>
  <c r="AF67" i="4"/>
  <c r="AE67" i="4"/>
  <c r="AB67" i="4"/>
  <c r="Z67" i="4"/>
  <c r="X67" i="4"/>
  <c r="W67" i="4"/>
  <c r="V67" i="4"/>
  <c r="U67" i="4"/>
  <c r="S67" i="4"/>
  <c r="O67" i="4"/>
  <c r="N67" i="4"/>
  <c r="M67" i="4"/>
  <c r="L67" i="4"/>
  <c r="K67" i="4"/>
  <c r="J67" i="4"/>
  <c r="H67" i="4"/>
  <c r="G67" i="4"/>
  <c r="DZ66" i="4"/>
  <c r="DY66" i="4"/>
  <c r="DX66" i="4"/>
  <c r="DW66" i="4"/>
  <c r="DU66" i="4"/>
  <c r="DT66" i="4"/>
  <c r="DQ66" i="4"/>
  <c r="DP66" i="4"/>
  <c r="DM66" i="4"/>
  <c r="DC66" i="4"/>
  <c r="CH66" i="4"/>
  <c r="CF66" i="4"/>
  <c r="BL66" i="4"/>
  <c r="AS66" i="4"/>
  <c r="AQ66" i="4"/>
  <c r="DS66" i="4"/>
  <c r="AL66" i="4"/>
  <c r="AK66" i="4"/>
  <c r="AJ66" i="4"/>
  <c r="AI66" i="4"/>
  <c r="AB66" i="4"/>
  <c r="AA66" i="4"/>
  <c r="Z66" i="4"/>
  <c r="Y66" i="4"/>
  <c r="X66" i="4"/>
  <c r="W66" i="4"/>
  <c r="V66" i="4"/>
  <c r="U66" i="4"/>
  <c r="T66" i="4"/>
  <c r="S66" i="4"/>
  <c r="O66" i="4"/>
  <c r="N66" i="4"/>
  <c r="M66" i="4"/>
  <c r="L66" i="4"/>
  <c r="K66" i="4"/>
  <c r="J66" i="4"/>
  <c r="H66" i="4"/>
  <c r="G66" i="4"/>
  <c r="DZ65" i="4"/>
  <c r="DY65" i="4"/>
  <c r="DX65" i="4"/>
  <c r="DW65" i="4"/>
  <c r="DU65" i="4"/>
  <c r="DQ65" i="4"/>
  <c r="DP65" i="4"/>
  <c r="DM65" i="4"/>
  <c r="DC65" i="4"/>
  <c r="CR65" i="4"/>
  <c r="CH65" i="4"/>
  <c r="CF65" i="4"/>
  <c r="BY65" i="4"/>
  <c r="BL65" i="4"/>
  <c r="BK65" i="4"/>
  <c r="BJ65" i="4"/>
  <c r="BC65" i="4"/>
  <c r="AT65" i="4"/>
  <c r="AS65" i="4"/>
  <c r="AQ65" i="4"/>
  <c r="AP65" i="4"/>
  <c r="AO65" i="4"/>
  <c r="AL65" i="4"/>
  <c r="AK65" i="4"/>
  <c r="AA65" i="4"/>
  <c r="U65" i="4"/>
  <c r="T65" i="4"/>
  <c r="O65" i="4"/>
  <c r="N65" i="4"/>
  <c r="K65" i="4"/>
  <c r="H65" i="4"/>
  <c r="DX64" i="4"/>
  <c r="DW64" i="4"/>
  <c r="DV64" i="4"/>
  <c r="DU64" i="4"/>
  <c r="DQ64" i="4"/>
  <c r="DP64" i="4"/>
  <c r="DM64" i="4"/>
  <c r="CV64" i="4"/>
  <c r="CE64" i="4"/>
  <c r="BY64" i="4"/>
  <c r="BL64" i="4"/>
  <c r="BK64" i="4"/>
  <c r="DR64" i="4"/>
  <c r="AT64" i="4"/>
  <c r="AS64" i="4"/>
  <c r="AQ64" i="4"/>
  <c r="DS64" i="4"/>
  <c r="AO64" i="4"/>
  <c r="AL64" i="4"/>
  <c r="AI64" i="4"/>
  <c r="AH64" i="4"/>
  <c r="AG64" i="4"/>
  <c r="AF64" i="4"/>
  <c r="AE64" i="4"/>
  <c r="AA64" i="4"/>
  <c r="Z64" i="4"/>
  <c r="W64" i="4"/>
  <c r="V64" i="4"/>
  <c r="U64" i="4"/>
  <c r="S64" i="4"/>
  <c r="O64" i="4"/>
  <c r="K64" i="4"/>
  <c r="J64" i="4"/>
  <c r="H64" i="4"/>
  <c r="G64" i="4"/>
  <c r="DZ63" i="4"/>
  <c r="DX63" i="4"/>
  <c r="DU63" i="4"/>
  <c r="DQ63" i="4"/>
  <c r="DP63" i="4"/>
  <c r="DM63" i="4"/>
  <c r="BY63" i="4"/>
  <c r="BK63" i="4"/>
  <c r="AR63" i="4"/>
  <c r="DS63" i="4"/>
  <c r="AL63" i="4"/>
  <c r="AJ63" i="4"/>
  <c r="Z63" i="4"/>
  <c r="U63" i="4"/>
  <c r="P63" i="4"/>
  <c r="N63" i="4"/>
  <c r="L63" i="4"/>
  <c r="DX62" i="4"/>
  <c r="DW62" i="4"/>
  <c r="DU62" i="4"/>
  <c r="DT62" i="4"/>
  <c r="DQ62" i="4"/>
  <c r="DM62" i="4"/>
  <c r="DC62" i="4"/>
  <c r="CH62" i="4"/>
  <c r="CE62" i="4"/>
  <c r="CA62" i="4"/>
  <c r="BY62" i="4"/>
  <c r="BL62" i="4"/>
  <c r="BK62" i="4"/>
  <c r="BC62" i="4"/>
  <c r="AQ62" i="4"/>
  <c r="AP62" i="4"/>
  <c r="AO62" i="4"/>
  <c r="AN62" i="4"/>
  <c r="AM62" i="4"/>
  <c r="AK62" i="4"/>
  <c r="AJ62" i="4"/>
  <c r="AI62" i="4"/>
  <c r="AA62" i="4"/>
  <c r="Z62" i="4"/>
  <c r="X62" i="4"/>
  <c r="W62" i="4"/>
  <c r="V62" i="4"/>
  <c r="U62" i="4"/>
  <c r="S62" i="4"/>
  <c r="O62" i="4"/>
  <c r="N62" i="4"/>
  <c r="K62" i="4"/>
  <c r="J62" i="4"/>
  <c r="H62" i="4"/>
  <c r="G62" i="4"/>
  <c r="DZ61" i="4"/>
  <c r="DY61" i="4"/>
  <c r="DX61" i="4"/>
  <c r="DW61" i="4"/>
  <c r="DV61" i="4"/>
  <c r="DU61" i="4"/>
  <c r="DT61" i="4"/>
  <c r="DQ61" i="4"/>
  <c r="DP61" i="4"/>
  <c r="DM61" i="4"/>
  <c r="CX61" i="4"/>
  <c r="CH61" i="4"/>
  <c r="CE61" i="4"/>
  <c r="CD61" i="4"/>
  <c r="CC61" i="4"/>
  <c r="CB61" i="4"/>
  <c r="CA61" i="4"/>
  <c r="BZ61" i="4"/>
  <c r="BL61" i="4"/>
  <c r="AS61" i="4"/>
  <c r="AR61" i="4"/>
  <c r="AQ61" i="4"/>
  <c r="DS61" i="4"/>
  <c r="AP61" i="4"/>
  <c r="AO61" i="4"/>
  <c r="AJ61" i="4"/>
  <c r="AF61" i="4"/>
  <c r="AD61" i="4"/>
  <c r="AC61" i="4"/>
  <c r="AB61" i="4"/>
  <c r="W61" i="4"/>
  <c r="V61" i="4"/>
  <c r="U61" i="4"/>
  <c r="S61" i="4"/>
  <c r="N61" i="4"/>
  <c r="L61" i="4"/>
  <c r="H61" i="4"/>
  <c r="G61" i="4"/>
  <c r="DZ60" i="4"/>
  <c r="DX60" i="4"/>
  <c r="DU60" i="4"/>
  <c r="DT60" i="4"/>
  <c r="DQ60" i="4"/>
  <c r="DM60" i="4"/>
  <c r="CR60" i="4"/>
  <c r="BL60" i="4"/>
  <c r="BK60" i="4"/>
  <c r="BD60" i="4"/>
  <c r="BC60" i="4"/>
  <c r="DS60" i="4"/>
  <c r="AN60" i="4"/>
  <c r="AM60" i="4"/>
  <c r="X60" i="4"/>
  <c r="U60" i="4"/>
  <c r="T60" i="4"/>
  <c r="O60" i="4"/>
  <c r="N60" i="4"/>
  <c r="DX59" i="4"/>
  <c r="DU59" i="4"/>
  <c r="DQ59" i="4"/>
  <c r="DP59" i="4"/>
  <c r="DM59" i="4"/>
  <c r="DC59" i="4"/>
  <c r="BY59" i="4"/>
  <c r="BK59" i="4"/>
  <c r="BF59" i="4"/>
  <c r="BE59" i="4"/>
  <c r="BC59" i="4"/>
  <c r="AQ59" i="4"/>
  <c r="AD59" i="4"/>
  <c r="AC59" i="4"/>
  <c r="U59" i="4"/>
  <c r="T59" i="4"/>
  <c r="S59" i="4"/>
  <c r="O59" i="4"/>
  <c r="N59" i="4"/>
  <c r="M59" i="4"/>
  <c r="J59" i="4"/>
  <c r="DZ58" i="4"/>
  <c r="DY58" i="4"/>
  <c r="DX58" i="4"/>
  <c r="DU58" i="4"/>
  <c r="DT58" i="4"/>
  <c r="DQ58" i="4"/>
  <c r="DP58" i="4"/>
  <c r="DM58" i="4"/>
  <c r="DC58" i="4"/>
  <c r="CH58" i="4"/>
  <c r="CE58" i="4"/>
  <c r="BG58" i="4"/>
  <c r="AS58" i="4"/>
  <c r="AQ58" i="4"/>
  <c r="AH58" i="4"/>
  <c r="AG58" i="4"/>
  <c r="AF58" i="4"/>
  <c r="AE58" i="4"/>
  <c r="AB58" i="4"/>
  <c r="X58" i="4"/>
  <c r="W58" i="4"/>
  <c r="V58" i="4"/>
  <c r="U58" i="4"/>
  <c r="S58" i="4"/>
  <c r="P58" i="4"/>
  <c r="O58" i="4"/>
  <c r="N58" i="4"/>
  <c r="M58" i="4"/>
  <c r="K58" i="4"/>
  <c r="J58" i="4"/>
  <c r="H58" i="4"/>
  <c r="G58" i="4"/>
  <c r="DX57" i="4"/>
  <c r="DW57" i="4"/>
  <c r="DU57" i="4"/>
  <c r="DT57" i="4"/>
  <c r="DQ57" i="4"/>
  <c r="DM57" i="4"/>
  <c r="CR57" i="4"/>
  <c r="CG57" i="4"/>
  <c r="CE57" i="4"/>
  <c r="CD57" i="4"/>
  <c r="BZ57" i="4"/>
  <c r="BL57" i="4"/>
  <c r="BK57" i="4"/>
  <c r="BG57" i="4"/>
  <c r="BF57" i="4"/>
  <c r="BD57" i="4"/>
  <c r="DS57" i="4"/>
  <c r="AO57" i="4"/>
  <c r="AN57" i="4"/>
  <c r="AM57" i="4"/>
  <c r="AK57" i="4"/>
  <c r="AD57" i="4"/>
  <c r="AC57" i="4"/>
  <c r="X57" i="4"/>
  <c r="W57" i="4"/>
  <c r="V57" i="4"/>
  <c r="U57" i="4"/>
  <c r="S57" i="4"/>
  <c r="O57" i="4"/>
  <c r="N57" i="4"/>
  <c r="K57" i="4"/>
  <c r="J57" i="4"/>
  <c r="H57" i="4"/>
  <c r="G57" i="4"/>
  <c r="DZ56" i="4"/>
  <c r="DY56" i="4"/>
  <c r="DX56" i="4"/>
  <c r="DW56" i="4"/>
  <c r="DU56" i="4"/>
  <c r="DT56" i="4"/>
  <c r="BB56" i="4"/>
  <c r="DQ56" i="4"/>
  <c r="DP56" i="4"/>
  <c r="DM56" i="4"/>
  <c r="DC56" i="4"/>
  <c r="CR56" i="4"/>
  <c r="CJ56" i="4"/>
  <c r="CF56" i="4"/>
  <c r="CE56" i="4"/>
  <c r="CD56" i="4"/>
  <c r="CB56" i="4"/>
  <c r="BZ56" i="4"/>
  <c r="BK56" i="4"/>
  <c r="BG56" i="4"/>
  <c r="BF56" i="4"/>
  <c r="AQ56" i="4"/>
  <c r="DS56" i="4"/>
  <c r="AL56" i="4"/>
  <c r="AH56" i="4"/>
  <c r="AG56" i="4"/>
  <c r="AF56" i="4"/>
  <c r="AE56" i="4"/>
  <c r="AD56" i="4"/>
  <c r="AC56" i="4"/>
  <c r="Z56" i="4"/>
  <c r="X56" i="4"/>
  <c r="W56" i="4"/>
  <c r="V56" i="4"/>
  <c r="U56" i="4"/>
  <c r="T56" i="4"/>
  <c r="S56" i="4"/>
  <c r="N56" i="4"/>
  <c r="M56" i="4"/>
  <c r="L56" i="4"/>
  <c r="K56" i="4"/>
  <c r="H56" i="4"/>
  <c r="G56" i="4"/>
  <c r="DZ55" i="4"/>
  <c r="DX55" i="4"/>
  <c r="DW55" i="4"/>
  <c r="DU55" i="4"/>
  <c r="DT55" i="4"/>
  <c r="DQ55" i="4"/>
  <c r="DP55" i="4"/>
  <c r="DM55" i="4"/>
  <c r="DC55" i="4"/>
  <c r="CH55" i="4"/>
  <c r="CF55" i="4"/>
  <c r="CE55" i="4"/>
  <c r="BL55" i="4"/>
  <c r="BK55" i="4"/>
  <c r="BJ55" i="4"/>
  <c r="BI55" i="4"/>
  <c r="BF55" i="4"/>
  <c r="BE55" i="4"/>
  <c r="AS55" i="4"/>
  <c r="AQ55" i="4"/>
  <c r="DS55" i="4"/>
  <c r="AO55" i="4"/>
  <c r="AL55" i="4"/>
  <c r="AK55" i="4"/>
  <c r="AJ55" i="4"/>
  <c r="AI55" i="4"/>
  <c r="AF55" i="4"/>
  <c r="AD55" i="4"/>
  <c r="AC55" i="4"/>
  <c r="AB55" i="4"/>
  <c r="AA55" i="4"/>
  <c r="Z55" i="4"/>
  <c r="X55" i="4"/>
  <c r="W55" i="4"/>
  <c r="V55" i="4"/>
  <c r="U55" i="4"/>
  <c r="S55" i="4"/>
  <c r="O55" i="4"/>
  <c r="K55" i="4"/>
  <c r="J55" i="4"/>
  <c r="H55" i="4"/>
  <c r="G55" i="4"/>
  <c r="DX54" i="4"/>
  <c r="DW54" i="4"/>
  <c r="DU54" i="4"/>
  <c r="DT54" i="4"/>
  <c r="DQ54" i="4"/>
  <c r="DP54" i="4"/>
  <c r="DM54" i="4"/>
  <c r="DJ54" i="4"/>
  <c r="DC54" i="4"/>
  <c r="CS54" i="4"/>
  <c r="CR54" i="4"/>
  <c r="CF54" i="4"/>
  <c r="CE54" i="4"/>
  <c r="CC54" i="4"/>
  <c r="CA54" i="4"/>
  <c r="BZ54" i="4"/>
  <c r="BY54" i="4"/>
  <c r="BL54" i="4"/>
  <c r="BK54" i="4"/>
  <c r="BJ54" i="4"/>
  <c r="BF54" i="4"/>
  <c r="BD54" i="4"/>
  <c r="BC54" i="4"/>
  <c r="DR54" i="4"/>
  <c r="AS54" i="4"/>
  <c r="AQ54" i="4"/>
  <c r="DS54" i="4"/>
  <c r="AP54" i="4"/>
  <c r="AO54" i="4"/>
  <c r="AM54" i="4"/>
  <c r="AI54" i="4"/>
  <c r="AH54" i="4"/>
  <c r="AG54" i="4"/>
  <c r="AF54" i="4"/>
  <c r="AE54" i="4"/>
  <c r="AA54" i="4"/>
  <c r="Z54" i="4"/>
  <c r="Y54" i="4"/>
  <c r="X54" i="4"/>
  <c r="W54" i="4"/>
  <c r="V54" i="4"/>
  <c r="U54" i="4"/>
  <c r="S54" i="4"/>
  <c r="O54" i="4"/>
  <c r="N54" i="4"/>
  <c r="M54" i="4"/>
  <c r="K54" i="4"/>
  <c r="J54" i="4"/>
  <c r="H54" i="4"/>
  <c r="G54" i="4"/>
  <c r="DX53" i="4"/>
  <c r="DU53" i="4"/>
  <c r="DT53" i="4"/>
  <c r="DQ53" i="4"/>
  <c r="DM53" i="4"/>
  <c r="DJ53" i="4"/>
  <c r="DC53" i="4"/>
  <c r="CE53" i="4"/>
  <c r="CD53" i="4"/>
  <c r="CB53" i="4"/>
  <c r="BY53" i="4"/>
  <c r="BF53" i="4"/>
  <c r="BE53" i="4"/>
  <c r="DR53" i="4"/>
  <c r="AS53" i="4"/>
  <c r="DS53" i="4"/>
  <c r="AO53" i="4"/>
  <c r="AH53" i="4"/>
  <c r="AG53" i="4"/>
  <c r="AF53" i="4"/>
  <c r="AE53" i="4"/>
  <c r="AD53" i="4"/>
  <c r="AC53" i="4"/>
  <c r="Z53" i="4"/>
  <c r="U53" i="4"/>
  <c r="T53" i="4"/>
  <c r="O53" i="4"/>
  <c r="M53" i="4"/>
  <c r="DZ52" i="4"/>
  <c r="DY52" i="4"/>
  <c r="DX52" i="4"/>
  <c r="DU52" i="4"/>
  <c r="DQ52" i="4"/>
  <c r="DP52" i="4"/>
  <c r="DO52" i="4"/>
  <c r="DN52" i="4"/>
  <c r="DM52" i="4"/>
  <c r="CQ52" i="4"/>
  <c r="CH52" i="4"/>
  <c r="CF52" i="4"/>
  <c r="BL52" i="4"/>
  <c r="BK52" i="4"/>
  <c r="BJ52" i="4"/>
  <c r="BG52" i="4"/>
  <c r="BF52" i="4"/>
  <c r="BE52" i="4"/>
  <c r="DS52" i="4"/>
  <c r="AO52" i="4"/>
  <c r="AL52" i="4"/>
  <c r="AH52" i="4"/>
  <c r="AG52" i="4"/>
  <c r="AF52" i="4"/>
  <c r="AE52" i="4"/>
  <c r="Z52" i="4"/>
  <c r="X52" i="4"/>
  <c r="U52" i="4"/>
  <c r="T52" i="4"/>
  <c r="O52" i="4"/>
  <c r="N52" i="4"/>
  <c r="L52" i="4"/>
  <c r="DX51" i="4"/>
  <c r="DV51" i="4"/>
  <c r="DU51" i="4"/>
  <c r="DT51" i="4"/>
  <c r="DQ51" i="4"/>
  <c r="DM51" i="4"/>
  <c r="DC51" i="4"/>
  <c r="CX51" i="4"/>
  <c r="CE51" i="4"/>
  <c r="BY51" i="4"/>
  <c r="BC51" i="4"/>
  <c r="DR51" i="4"/>
  <c r="AS51" i="4"/>
  <c r="AQ51" i="4"/>
  <c r="DS51" i="4"/>
  <c r="AL51" i="4"/>
  <c r="AK51" i="4"/>
  <c r="AJ51" i="4"/>
  <c r="AF51" i="4"/>
  <c r="AB51" i="4"/>
  <c r="AA51" i="4"/>
  <c r="Z51" i="4"/>
  <c r="U51" i="4"/>
  <c r="T51" i="4"/>
  <c r="S51" i="4"/>
  <c r="O51" i="4"/>
  <c r="K51" i="4"/>
  <c r="J51" i="4"/>
  <c r="G51" i="4"/>
  <c r="DX50" i="4"/>
  <c r="DW50" i="4"/>
  <c r="DQ50" i="4"/>
  <c r="BY50" i="4"/>
  <c r="BL50" i="4"/>
  <c r="AP50" i="4"/>
  <c r="AO50" i="4"/>
  <c r="AL50" i="4"/>
  <c r="AK50" i="4"/>
  <c r="AF50" i="4"/>
  <c r="AA50" i="4"/>
  <c r="W50" i="4"/>
  <c r="V50" i="4"/>
  <c r="U50" i="4"/>
  <c r="S50" i="4"/>
  <c r="P50" i="4"/>
  <c r="N50" i="4"/>
  <c r="M50" i="4"/>
  <c r="L50" i="4"/>
  <c r="K50" i="4"/>
  <c r="J50" i="4"/>
  <c r="H50" i="4"/>
  <c r="G50" i="4"/>
  <c r="DX49" i="4"/>
  <c r="DW49" i="4"/>
  <c r="DU49" i="4"/>
  <c r="DT49" i="4"/>
  <c r="DQ49" i="4"/>
  <c r="DP49" i="4"/>
  <c r="DM49" i="4"/>
  <c r="DC49" i="4"/>
  <c r="CT49" i="4"/>
  <c r="CS49" i="4"/>
  <c r="CH49" i="4"/>
  <c r="CD49" i="4"/>
  <c r="CB49" i="4"/>
  <c r="BY49" i="4"/>
  <c r="BK49" i="4"/>
  <c r="DR49" i="4"/>
  <c r="AT49" i="4"/>
  <c r="AS49" i="4"/>
  <c r="AQ49" i="4"/>
  <c r="DS49" i="4"/>
  <c r="AO49" i="4"/>
  <c r="AN49" i="4"/>
  <c r="AL49" i="4"/>
  <c r="AK49" i="4"/>
  <c r="AI49" i="4"/>
  <c r="AF49" i="4"/>
  <c r="Z49" i="4"/>
  <c r="Y49" i="4"/>
  <c r="U49" i="4"/>
  <c r="T49" i="4"/>
  <c r="O49" i="4"/>
  <c r="N49" i="4"/>
  <c r="K49" i="4"/>
  <c r="DZ48" i="4"/>
  <c r="DY48" i="4"/>
  <c r="DX48" i="4"/>
  <c r="DV48" i="4"/>
  <c r="DU48" i="4"/>
  <c r="DQ48" i="4"/>
  <c r="DP48" i="4"/>
  <c r="DM48" i="4"/>
  <c r="DJ48" i="4"/>
  <c r="DC48" i="4"/>
  <c r="CW48" i="4"/>
  <c r="CV48" i="4"/>
  <c r="CU48" i="4"/>
  <c r="CR48" i="4"/>
  <c r="CJ48" i="4"/>
  <c r="CI48" i="4"/>
  <c r="CH48" i="4"/>
  <c r="CF48" i="4"/>
  <c r="CE48" i="4"/>
  <c r="BY48" i="4"/>
  <c r="BJ48" i="4"/>
  <c r="BG48" i="4"/>
  <c r="BF48" i="4"/>
  <c r="BE48" i="4"/>
  <c r="DR48" i="4"/>
  <c r="AT48" i="4"/>
  <c r="AS48" i="4"/>
  <c r="DS48" i="4"/>
  <c r="AO48" i="4"/>
  <c r="AH48" i="4"/>
  <c r="AG48" i="4"/>
  <c r="AF48" i="4"/>
  <c r="AE48" i="4"/>
  <c r="AD48" i="4"/>
  <c r="AC48" i="4"/>
  <c r="U48" i="4"/>
  <c r="T48" i="4"/>
  <c r="S48" i="4"/>
  <c r="O48" i="4"/>
  <c r="DZ47" i="4"/>
  <c r="DY47" i="4"/>
  <c r="DX47" i="4"/>
  <c r="DW47" i="4"/>
  <c r="DU47" i="4"/>
  <c r="DT47" i="4"/>
  <c r="DQ47" i="4"/>
  <c r="DP47" i="4"/>
  <c r="DM47" i="4"/>
  <c r="DC47" i="4"/>
  <c r="CH47" i="4"/>
  <c r="CE47" i="4"/>
  <c r="BJ47" i="4"/>
  <c r="BI47" i="4"/>
  <c r="BG47" i="4"/>
  <c r="BE47" i="4"/>
  <c r="AQ47" i="4"/>
  <c r="AL47" i="4"/>
  <c r="AK47" i="4"/>
  <c r="AI47" i="4"/>
  <c r="Z47" i="4"/>
  <c r="X47" i="4"/>
  <c r="W47" i="4"/>
  <c r="V47" i="4"/>
  <c r="U47" i="4"/>
  <c r="T47" i="4"/>
  <c r="S47" i="4"/>
  <c r="P47" i="4"/>
  <c r="O47" i="4"/>
  <c r="L47" i="4"/>
  <c r="K47" i="4"/>
  <c r="J47" i="4"/>
  <c r="H47" i="4"/>
  <c r="G47" i="4"/>
  <c r="DX46" i="4"/>
  <c r="DU46" i="4"/>
  <c r="DT46" i="4"/>
  <c r="DQ46" i="4"/>
  <c r="DP46" i="4"/>
  <c r="DM46" i="4"/>
  <c r="DL46" i="4"/>
  <c r="DK46" i="4"/>
  <c r="DC46" i="4"/>
  <c r="CT46" i="4"/>
  <c r="CE46" i="4"/>
  <c r="BY46" i="4"/>
  <c r="BK46" i="4"/>
  <c r="BC46" i="4"/>
  <c r="AQ46" i="4"/>
  <c r="DS46" i="4"/>
  <c r="AO46" i="4"/>
  <c r="AL46" i="4"/>
  <c r="AK46" i="4"/>
  <c r="AH46" i="4"/>
  <c r="AG46" i="4"/>
  <c r="AF46" i="4"/>
  <c r="AE46" i="4"/>
  <c r="AB46" i="4"/>
  <c r="Z46" i="4"/>
  <c r="X46" i="4"/>
  <c r="U46" i="4"/>
  <c r="T46" i="4"/>
  <c r="S46" i="4"/>
  <c r="O46" i="4"/>
  <c r="N46" i="4"/>
  <c r="M46" i="4"/>
  <c r="H46" i="4"/>
  <c r="G46" i="4"/>
  <c r="DZ45" i="4"/>
  <c r="DX45" i="4"/>
  <c r="DW45" i="4"/>
  <c r="DU45" i="4"/>
  <c r="DT45" i="4"/>
  <c r="DQ45" i="4"/>
  <c r="DP45" i="4"/>
  <c r="DM45" i="4"/>
  <c r="CU45" i="4"/>
  <c r="CJ45" i="4"/>
  <c r="CI45" i="4"/>
  <c r="CE45" i="4"/>
  <c r="CD45" i="4"/>
  <c r="BY45" i="4"/>
  <c r="BJ45" i="4"/>
  <c r="AT45" i="4"/>
  <c r="DS45" i="4"/>
  <c r="AM45" i="4"/>
  <c r="AI45" i="4"/>
  <c r="Z45" i="4"/>
  <c r="W45" i="4"/>
  <c r="V45" i="4"/>
  <c r="U45" i="4"/>
  <c r="T45" i="4"/>
  <c r="S45" i="4"/>
  <c r="M45" i="4"/>
  <c r="H45" i="4"/>
  <c r="G45" i="4"/>
  <c r="DX44" i="4"/>
  <c r="DW44" i="4"/>
  <c r="DU44" i="4"/>
  <c r="DT44" i="4"/>
  <c r="DQ44" i="4"/>
  <c r="DP44" i="4"/>
  <c r="DN44" i="4"/>
  <c r="DM44" i="4"/>
  <c r="DL44" i="4"/>
  <c r="DC44" i="4"/>
  <c r="CH44" i="4"/>
  <c r="CE44" i="4"/>
  <c r="BY44" i="4"/>
  <c r="BL44" i="4"/>
  <c r="BK44" i="4"/>
  <c r="BF44" i="4"/>
  <c r="BE44" i="4"/>
  <c r="BD44" i="4"/>
  <c r="BC44" i="4"/>
  <c r="DR44" i="4"/>
  <c r="DS44" i="4"/>
  <c r="AP44" i="4"/>
  <c r="AO44" i="4"/>
  <c r="AL44" i="4"/>
  <c r="AK44" i="4"/>
  <c r="AH44" i="4"/>
  <c r="AG44" i="4"/>
  <c r="AF44" i="4"/>
  <c r="AE44" i="4"/>
  <c r="AD44" i="4"/>
  <c r="AC44" i="4"/>
  <c r="AB44" i="4"/>
  <c r="AA44" i="4"/>
  <c r="Z44" i="4"/>
  <c r="Y44" i="4"/>
  <c r="X44" i="4"/>
  <c r="W44" i="4"/>
  <c r="U44" i="4"/>
  <c r="T44" i="4"/>
  <c r="S44" i="4"/>
  <c r="O44" i="4"/>
  <c r="N44" i="4"/>
  <c r="K44" i="4"/>
  <c r="J44" i="4"/>
  <c r="H44" i="4"/>
  <c r="G44" i="4"/>
  <c r="DX43" i="4"/>
  <c r="DU43" i="4"/>
  <c r="DQ43" i="4"/>
  <c r="DP43" i="4"/>
  <c r="DO43" i="4"/>
  <c r="DN43" i="4"/>
  <c r="DM43" i="4"/>
  <c r="DL43" i="4"/>
  <c r="CE43" i="4"/>
  <c r="CD43" i="4"/>
  <c r="CB43" i="4"/>
  <c r="BY43" i="4"/>
  <c r="BL43" i="4"/>
  <c r="BK43" i="4"/>
  <c r="BG43" i="4"/>
  <c r="BF43" i="4"/>
  <c r="BE43" i="4"/>
  <c r="BC43" i="4"/>
  <c r="DR43" i="4"/>
  <c r="AT43" i="4"/>
  <c r="AS43" i="4"/>
  <c r="DS43" i="4"/>
  <c r="AO43" i="4"/>
  <c r="AK43" i="4"/>
  <c r="AH43" i="4"/>
  <c r="AG43" i="4"/>
  <c r="AF43" i="4"/>
  <c r="AE43" i="4"/>
  <c r="Z43" i="4"/>
  <c r="Y43" i="4"/>
  <c r="X43" i="4"/>
  <c r="U43" i="4"/>
  <c r="T43" i="4"/>
  <c r="S43" i="4"/>
  <c r="O43" i="4"/>
  <c r="N43" i="4"/>
  <c r="K43" i="4"/>
  <c r="J43" i="4"/>
  <c r="DY42" i="4"/>
  <c r="DX42" i="4"/>
  <c r="DV42" i="4"/>
  <c r="DU42" i="4"/>
  <c r="DT42" i="4"/>
  <c r="DQ42" i="4"/>
  <c r="DM42" i="4"/>
  <c r="DL42" i="4"/>
  <c r="DK42" i="4"/>
  <c r="DC42" i="4"/>
  <c r="CR42" i="4"/>
  <c r="CE42" i="4"/>
  <c r="BY42" i="4"/>
  <c r="BL42" i="4"/>
  <c r="BG42" i="4"/>
  <c r="AX42" i="4"/>
  <c r="AT42" i="4"/>
  <c r="AS42" i="4"/>
  <c r="AR42" i="4"/>
  <c r="AQ42" i="4"/>
  <c r="DS42" i="4"/>
  <c r="AO42" i="4"/>
  <c r="AH42" i="4"/>
  <c r="AG42" i="4"/>
  <c r="AF42" i="4"/>
  <c r="AE42" i="4"/>
  <c r="Y42" i="4"/>
  <c r="X42" i="4"/>
  <c r="U42" i="4"/>
  <c r="T42" i="4"/>
  <c r="P42" i="4"/>
  <c r="N42" i="4"/>
  <c r="L42" i="4"/>
  <c r="DX41" i="4"/>
  <c r="DU41" i="4"/>
  <c r="DT41" i="4"/>
  <c r="DQ41" i="4"/>
  <c r="DP41" i="4"/>
  <c r="DM41" i="4"/>
  <c r="DC41" i="4"/>
  <c r="CS41" i="4"/>
  <c r="CH41" i="4"/>
  <c r="BY41" i="4"/>
  <c r="BL41" i="4"/>
  <c r="BK41" i="4"/>
  <c r="BJ41" i="4"/>
  <c r="BI41" i="4"/>
  <c r="BE41" i="4"/>
  <c r="BC41" i="4"/>
  <c r="AY41" i="4"/>
  <c r="DR41" i="4"/>
  <c r="AT41" i="4"/>
  <c r="AS41" i="4"/>
  <c r="AR41" i="4"/>
  <c r="AQ41" i="4"/>
  <c r="DS41" i="4"/>
  <c r="AO41" i="4"/>
  <c r="AL41" i="4"/>
  <c r="AK41" i="4"/>
  <c r="AH41" i="4"/>
  <c r="AG41" i="4"/>
  <c r="AF41" i="4"/>
  <c r="AE41" i="4"/>
  <c r="Z41" i="4"/>
  <c r="X41" i="4"/>
  <c r="U41" i="4"/>
  <c r="T41" i="4"/>
  <c r="S41" i="4"/>
  <c r="O41" i="4"/>
  <c r="N41" i="4"/>
  <c r="DX40" i="4"/>
  <c r="DW40" i="4"/>
  <c r="DU40" i="4"/>
  <c r="DQ40" i="4"/>
  <c r="DP40" i="4"/>
  <c r="DM40" i="4"/>
  <c r="DL40" i="4"/>
  <c r="DC40" i="4"/>
  <c r="CS40" i="4"/>
  <c r="CR40" i="4"/>
  <c r="CH40" i="4"/>
  <c r="CE40" i="4"/>
  <c r="CD40" i="4"/>
  <c r="CC40" i="4"/>
  <c r="BK40" i="4"/>
  <c r="BG40" i="4"/>
  <c r="AS40" i="4"/>
  <c r="DS40" i="4"/>
  <c r="AO40" i="4"/>
  <c r="AK40" i="4"/>
  <c r="AH40" i="4"/>
  <c r="AG40" i="4"/>
  <c r="AF40" i="4"/>
  <c r="AE40" i="4"/>
  <c r="AD40" i="4"/>
  <c r="AC40" i="4"/>
  <c r="Z40" i="4"/>
  <c r="X40" i="4"/>
  <c r="U40" i="4"/>
  <c r="S40" i="4"/>
  <c r="O40" i="4"/>
  <c r="N40" i="4"/>
  <c r="L40" i="4"/>
  <c r="DX39" i="4"/>
  <c r="DW39" i="4"/>
  <c r="DV39" i="4"/>
  <c r="DU39" i="4"/>
  <c r="DQ39" i="4"/>
  <c r="DP39" i="4"/>
  <c r="DM39" i="4"/>
  <c r="DJ39" i="4"/>
  <c r="DC39" i="4"/>
  <c r="CW39" i="4"/>
  <c r="CJ39" i="4"/>
  <c r="CI39" i="4"/>
  <c r="CH39" i="4"/>
  <c r="CF39" i="4"/>
  <c r="CE39" i="4"/>
  <c r="CD39" i="4"/>
  <c r="CC39" i="4"/>
  <c r="CB39" i="4"/>
  <c r="CA39" i="4"/>
  <c r="BZ39" i="4"/>
  <c r="BY39" i="4"/>
  <c r="BL39" i="4"/>
  <c r="BK39" i="4"/>
  <c r="BG39" i="4"/>
  <c r="BE39" i="4"/>
  <c r="BD39" i="4"/>
  <c r="BC39" i="4"/>
  <c r="BA39" i="4"/>
  <c r="DR39" i="4"/>
  <c r="AS39" i="4"/>
  <c r="AQ39" i="4"/>
  <c r="DS39" i="4"/>
  <c r="AO39" i="4"/>
  <c r="AK39" i="4"/>
  <c r="AI39" i="4"/>
  <c r="AH39" i="4"/>
  <c r="AG39" i="4"/>
  <c r="AF39" i="4"/>
  <c r="AE39" i="4"/>
  <c r="AD39" i="4"/>
  <c r="AC39" i="4"/>
  <c r="AB39" i="4"/>
  <c r="AA39" i="4"/>
  <c r="Z39" i="4"/>
  <c r="X39" i="4"/>
  <c r="W39" i="4"/>
  <c r="V39" i="4"/>
  <c r="U39" i="4"/>
  <c r="S39" i="4"/>
  <c r="N39" i="4"/>
  <c r="M39" i="4"/>
  <c r="J39" i="4"/>
  <c r="H39" i="4"/>
  <c r="G39" i="4"/>
  <c r="DX38" i="4"/>
  <c r="DW38" i="4"/>
  <c r="DU38" i="4"/>
  <c r="DT38" i="4"/>
  <c r="DQ38" i="4"/>
  <c r="DP38" i="4"/>
  <c r="DM38" i="4"/>
  <c r="DC38" i="4"/>
  <c r="CJ38" i="4"/>
  <c r="CI38" i="4"/>
  <c r="CH38" i="4"/>
  <c r="CD38" i="4"/>
  <c r="CC38" i="4"/>
  <c r="BL38" i="4"/>
  <c r="BJ38" i="4"/>
  <c r="AY38" i="4"/>
  <c r="AQ38" i="4"/>
  <c r="DS38" i="4"/>
  <c r="AO38" i="4"/>
  <c r="AN38" i="4"/>
  <c r="AM38" i="4"/>
  <c r="AJ38" i="4"/>
  <c r="AI38" i="4"/>
  <c r="AA38" i="4"/>
  <c r="Z38" i="4"/>
  <c r="Y38" i="4"/>
  <c r="X38" i="4"/>
  <c r="W38" i="4"/>
  <c r="V38" i="4"/>
  <c r="U38" i="4"/>
  <c r="S38" i="4"/>
  <c r="P38" i="4"/>
  <c r="N38" i="4"/>
  <c r="K38" i="4"/>
  <c r="J38" i="4"/>
  <c r="H38" i="4"/>
  <c r="G38" i="4"/>
  <c r="DZ37" i="4"/>
  <c r="DY37" i="4"/>
  <c r="DX37" i="4"/>
  <c r="DU37" i="4"/>
  <c r="DQ37" i="4"/>
  <c r="DP37" i="4"/>
  <c r="DM37" i="4"/>
  <c r="CE37" i="4"/>
  <c r="BW37" i="4"/>
  <c r="BL37" i="4"/>
  <c r="BF37" i="4"/>
  <c r="AO37" i="4"/>
  <c r="AI37" i="4"/>
  <c r="Z37" i="4"/>
  <c r="U37" i="4"/>
  <c r="K37" i="4"/>
  <c r="DZ36" i="4"/>
  <c r="DX36" i="4"/>
  <c r="DW36" i="4"/>
  <c r="DV36" i="4"/>
  <c r="DU36" i="4"/>
  <c r="DT36" i="4"/>
  <c r="DQ36" i="4"/>
  <c r="DM36" i="4"/>
  <c r="DC36" i="4"/>
  <c r="CT36" i="4"/>
  <c r="CF36" i="4"/>
  <c r="BY36" i="4"/>
  <c r="BL36" i="4"/>
  <c r="BK36" i="4"/>
  <c r="BJ36" i="4"/>
  <c r="BF36" i="4"/>
  <c r="BD36" i="4"/>
  <c r="BC36" i="4"/>
  <c r="DR36" i="4"/>
  <c r="AX36" i="4"/>
  <c r="AT36" i="4"/>
  <c r="AS36" i="4"/>
  <c r="AQ36" i="4"/>
  <c r="DS36" i="4"/>
  <c r="AO36" i="4"/>
  <c r="AN36" i="4"/>
  <c r="AM36" i="4"/>
  <c r="AL36" i="4"/>
  <c r="AK36" i="4"/>
  <c r="AI36" i="4"/>
  <c r="AD36" i="4"/>
  <c r="AC36" i="4"/>
  <c r="Z36" i="4"/>
  <c r="X36" i="4"/>
  <c r="W36" i="4"/>
  <c r="V36" i="4"/>
  <c r="U36" i="4"/>
  <c r="T36" i="4"/>
  <c r="S36" i="4"/>
  <c r="N36" i="4"/>
  <c r="M36" i="4"/>
  <c r="L36" i="4"/>
  <c r="K36" i="4"/>
  <c r="J36" i="4"/>
  <c r="H36" i="4"/>
  <c r="G36" i="4"/>
  <c r="DZ35" i="4"/>
  <c r="DY35" i="4"/>
  <c r="DX35" i="4"/>
  <c r="DU35" i="4"/>
  <c r="DT35" i="4"/>
  <c r="DQ35" i="4"/>
  <c r="DM35" i="4"/>
  <c r="CV35" i="4"/>
  <c r="CH35" i="4"/>
  <c r="CE35" i="4"/>
  <c r="BY35" i="4"/>
  <c r="BW35" i="4"/>
  <c r="BL35" i="4"/>
  <c r="BK35" i="4"/>
  <c r="BG35" i="4"/>
  <c r="BE35" i="4"/>
  <c r="BD35" i="4"/>
  <c r="BC35" i="4"/>
  <c r="DR35" i="4"/>
  <c r="AS35" i="4"/>
  <c r="AQ35" i="4"/>
  <c r="DS35" i="4"/>
  <c r="AO35" i="4"/>
  <c r="AL35" i="4"/>
  <c r="AK35" i="4"/>
  <c r="AJ35" i="4"/>
  <c r="AF35" i="4"/>
  <c r="AD35" i="4"/>
  <c r="AC35" i="4"/>
  <c r="AB35" i="4"/>
  <c r="Z35" i="4"/>
  <c r="Y35" i="4"/>
  <c r="X35" i="4"/>
  <c r="U35" i="4"/>
  <c r="P35" i="4"/>
  <c r="O35" i="4"/>
  <c r="N35" i="4"/>
  <c r="M35" i="4"/>
  <c r="DX34" i="4"/>
  <c r="DU34" i="4"/>
  <c r="DT34" i="4"/>
  <c r="DQ34" i="4"/>
  <c r="DM34" i="4"/>
  <c r="DC34" i="4"/>
  <c r="CR34" i="4"/>
  <c r="CE34" i="4"/>
  <c r="BY34" i="4"/>
  <c r="BL34" i="4"/>
  <c r="BK34" i="4"/>
  <c r="BI34" i="4"/>
  <c r="DR34" i="4"/>
  <c r="AS34" i="4"/>
  <c r="DS34" i="4"/>
  <c r="AO34" i="4"/>
  <c r="AN34" i="4"/>
  <c r="AM34" i="4"/>
  <c r="AK34" i="4"/>
  <c r="AI34" i="4"/>
  <c r="AA34" i="4"/>
  <c r="Z34" i="4"/>
  <c r="X34" i="4"/>
  <c r="W34" i="4"/>
  <c r="U34" i="4"/>
  <c r="S34" i="4"/>
  <c r="N34" i="4"/>
  <c r="M34" i="4"/>
  <c r="L34" i="4"/>
  <c r="K34" i="4"/>
  <c r="J34" i="4"/>
  <c r="H34" i="4"/>
  <c r="DX33" i="4"/>
  <c r="DW33" i="4"/>
  <c r="DU33" i="4"/>
  <c r="DQ33" i="4"/>
  <c r="DP33" i="4"/>
  <c r="DM33" i="4"/>
  <c r="BY33" i="4"/>
  <c r="BC33" i="4"/>
  <c r="DS33" i="4"/>
  <c r="AL33" i="4"/>
  <c r="AB33" i="4"/>
  <c r="Z33" i="4"/>
  <c r="W33" i="4"/>
  <c r="U33" i="4"/>
  <c r="S33" i="4"/>
  <c r="N33" i="4"/>
  <c r="L33" i="4"/>
  <c r="K33" i="4"/>
  <c r="H33" i="4"/>
  <c r="G33" i="4"/>
  <c r="DX32" i="4"/>
  <c r="DW32" i="4"/>
  <c r="DU32" i="4"/>
  <c r="DT32" i="4"/>
  <c r="DQ32" i="4"/>
  <c r="DP32" i="4"/>
  <c r="DM32" i="4"/>
  <c r="DL32" i="4"/>
  <c r="CX32" i="4"/>
  <c r="CH32" i="4"/>
  <c r="BY32" i="4"/>
  <c r="BJ32" i="4"/>
  <c r="BC32" i="4"/>
  <c r="AQ32" i="4"/>
  <c r="DS32" i="4"/>
  <c r="AI32" i="4"/>
  <c r="Z32" i="4"/>
  <c r="X32" i="4"/>
  <c r="U32" i="4"/>
  <c r="T32" i="4"/>
  <c r="S32" i="4"/>
  <c r="O32" i="4"/>
  <c r="N32" i="4"/>
  <c r="M32" i="4"/>
  <c r="J32" i="4"/>
  <c r="DX31" i="4"/>
  <c r="DU31" i="4"/>
  <c r="DQ31" i="4"/>
  <c r="DP31" i="4"/>
  <c r="DM31" i="4"/>
  <c r="CH31" i="4"/>
  <c r="CE31" i="4"/>
  <c r="CC31" i="4"/>
  <c r="CA31" i="4"/>
  <c r="BZ31" i="4"/>
  <c r="BY31" i="4"/>
  <c r="BL31" i="4"/>
  <c r="BK31" i="4"/>
  <c r="BJ31" i="4"/>
  <c r="BG31" i="4"/>
  <c r="BF31" i="4"/>
  <c r="BE31" i="4"/>
  <c r="BD31" i="4"/>
  <c r="DR31" i="4"/>
  <c r="AT31" i="4"/>
  <c r="AS31" i="4"/>
  <c r="AQ31" i="4"/>
  <c r="DS31" i="4"/>
  <c r="AO31" i="4"/>
  <c r="AM31" i="4"/>
  <c r="AL31" i="4"/>
  <c r="AK31" i="4"/>
  <c r="AJ31" i="4"/>
  <c r="AH31" i="4"/>
  <c r="AG31" i="4"/>
  <c r="AF31" i="4"/>
  <c r="AE31" i="4"/>
  <c r="AD31" i="4"/>
  <c r="AC31" i="4"/>
  <c r="AB31" i="4"/>
  <c r="Z31" i="4"/>
  <c r="Y31" i="4"/>
  <c r="U31" i="4"/>
  <c r="T31" i="4"/>
  <c r="S31" i="4"/>
  <c r="O31" i="4"/>
  <c r="N31" i="4"/>
  <c r="M31" i="4"/>
  <c r="H31" i="4"/>
  <c r="G31" i="4"/>
  <c r="DZ30" i="4"/>
  <c r="DY30" i="4"/>
  <c r="DX30" i="4"/>
  <c r="DU30" i="4"/>
  <c r="DT30" i="4"/>
  <c r="DQ30" i="4"/>
  <c r="DM30" i="4"/>
  <c r="DC30" i="4"/>
  <c r="CU30" i="4"/>
  <c r="CP30" i="4"/>
  <c r="CJ30" i="4"/>
  <c r="CI30" i="4"/>
  <c r="CH30" i="4"/>
  <c r="CE30" i="4"/>
  <c r="BZ30" i="4"/>
  <c r="BY30" i="4"/>
  <c r="BL30" i="4"/>
  <c r="BG30" i="4"/>
  <c r="BF30" i="4"/>
  <c r="BE30" i="4"/>
  <c r="AT30" i="4"/>
  <c r="AQ30" i="4"/>
  <c r="AO30" i="4"/>
  <c r="AL30" i="4"/>
  <c r="AK30" i="4"/>
  <c r="AJ30" i="4"/>
  <c r="AI30" i="4"/>
  <c r="AH30" i="4"/>
  <c r="AG30" i="4"/>
  <c r="AF30" i="4"/>
  <c r="AE30" i="4"/>
  <c r="AD30" i="4"/>
  <c r="AC30" i="4"/>
  <c r="Z30" i="4"/>
  <c r="X30" i="4"/>
  <c r="W30" i="4"/>
  <c r="V30" i="4"/>
  <c r="U30" i="4"/>
  <c r="S30" i="4"/>
  <c r="O30" i="4"/>
  <c r="N30" i="4"/>
  <c r="M30" i="4"/>
  <c r="K30" i="4"/>
  <c r="J30" i="4"/>
  <c r="H30" i="4"/>
  <c r="G30" i="4"/>
  <c r="DX29" i="4"/>
  <c r="DU29" i="4"/>
  <c r="DQ29" i="4"/>
  <c r="DM29" i="4"/>
  <c r="BL29" i="4"/>
  <c r="AT29" i="4"/>
  <c r="AR29" i="4"/>
  <c r="AQ29" i="4"/>
  <c r="DS29" i="4"/>
  <c r="AO29" i="4"/>
  <c r="AF29" i="4"/>
  <c r="U29" i="4"/>
  <c r="O29" i="4"/>
  <c r="G29" i="4"/>
  <c r="DZ28" i="4"/>
  <c r="DX28" i="4"/>
  <c r="DW28" i="4"/>
  <c r="DU28" i="4"/>
  <c r="DT28" i="4"/>
  <c r="DQ28" i="4"/>
  <c r="DP28" i="4"/>
  <c r="DM28" i="4"/>
  <c r="CU28" i="4"/>
  <c r="CH28" i="4"/>
  <c r="BL28" i="4"/>
  <c r="BJ28" i="4"/>
  <c r="BF28" i="4"/>
  <c r="BE28" i="4"/>
  <c r="AS28" i="4"/>
  <c r="DS28" i="4"/>
  <c r="AL28" i="4"/>
  <c r="AJ28" i="4"/>
  <c r="AI28" i="4"/>
  <c r="AF28" i="4"/>
  <c r="AD28" i="4"/>
  <c r="AC28" i="4"/>
  <c r="AB28" i="4"/>
  <c r="AA28" i="4"/>
  <c r="Z28" i="4"/>
  <c r="W28" i="4"/>
  <c r="V28" i="4"/>
  <c r="U28" i="4"/>
  <c r="T28" i="4"/>
  <c r="S28" i="4"/>
  <c r="O28" i="4"/>
  <c r="N28" i="4"/>
  <c r="M28" i="4"/>
  <c r="L28" i="4"/>
  <c r="K28" i="4"/>
  <c r="J28" i="4"/>
  <c r="H28" i="4"/>
  <c r="G28" i="4"/>
  <c r="DZ27" i="4"/>
  <c r="DY27" i="4"/>
  <c r="DX27" i="4"/>
  <c r="DP27" i="4"/>
  <c r="DM27" i="4"/>
  <c r="AQ27" i="4"/>
  <c r="AL27" i="4"/>
  <c r="AK27" i="4"/>
  <c r="U27" i="4"/>
  <c r="DX26" i="4"/>
  <c r="DW26" i="4"/>
  <c r="DU26" i="4"/>
  <c r="DT26" i="4"/>
  <c r="DQ26" i="4"/>
  <c r="DP26" i="4"/>
  <c r="DM26" i="4"/>
  <c r="DB26" i="4"/>
  <c r="CE26" i="4"/>
  <c r="BY26" i="4"/>
  <c r="BK26" i="4"/>
  <c r="BJ26" i="4"/>
  <c r="BC26" i="4"/>
  <c r="AT26" i="4"/>
  <c r="AS26" i="4"/>
  <c r="AR26" i="4"/>
  <c r="AL26" i="4"/>
  <c r="AK26" i="4"/>
  <c r="AI26" i="4"/>
  <c r="Z26" i="4"/>
  <c r="W26" i="4"/>
  <c r="V26" i="4"/>
  <c r="U26" i="4"/>
  <c r="T26" i="4"/>
  <c r="S26" i="4"/>
  <c r="O26" i="4"/>
  <c r="N26" i="4"/>
  <c r="M26" i="4"/>
  <c r="L26" i="4"/>
  <c r="K26" i="4"/>
  <c r="J26" i="4"/>
  <c r="H26" i="4"/>
  <c r="G26" i="4"/>
  <c r="DW25" i="4"/>
  <c r="DU25" i="4"/>
  <c r="DT25" i="4"/>
  <c r="DQ25" i="4"/>
  <c r="DP25" i="4"/>
  <c r="DM25" i="4"/>
  <c r="DC25" i="4"/>
  <c r="CV25" i="4"/>
  <c r="CH25" i="4"/>
  <c r="CE25" i="4"/>
  <c r="CC25" i="4"/>
  <c r="CB25" i="4"/>
  <c r="CA25" i="4"/>
  <c r="BZ25" i="4"/>
  <c r="BL25" i="4"/>
  <c r="BK25" i="4"/>
  <c r="BJ25" i="4"/>
  <c r="DS25" i="4"/>
  <c r="AO25" i="4"/>
  <c r="AN25" i="4"/>
  <c r="AM25" i="4"/>
  <c r="AL25" i="4"/>
  <c r="AK25" i="4"/>
  <c r="AJ25" i="4"/>
  <c r="AI25" i="4"/>
  <c r="AD25" i="4"/>
  <c r="AC25" i="4"/>
  <c r="Z25" i="4"/>
  <c r="X25" i="4"/>
  <c r="W25" i="4"/>
  <c r="V25" i="4"/>
  <c r="S25" i="4"/>
  <c r="O25" i="4"/>
  <c r="N25" i="4"/>
  <c r="M25" i="4"/>
  <c r="L25" i="4"/>
  <c r="K25" i="4"/>
  <c r="J25" i="4"/>
  <c r="H25" i="4"/>
  <c r="G25" i="4"/>
  <c r="DX24" i="4"/>
  <c r="DW24" i="4"/>
  <c r="DU24" i="4"/>
  <c r="DQ24" i="4"/>
  <c r="DP24" i="4"/>
  <c r="DM24" i="4"/>
  <c r="DC24" i="4"/>
  <c r="CS24" i="4"/>
  <c r="CR24" i="4"/>
  <c r="BJ24" i="4"/>
  <c r="BC24" i="4"/>
  <c r="AQ24" i="4"/>
  <c r="AL24" i="4"/>
  <c r="AJ24" i="4"/>
  <c r="AI24" i="4"/>
  <c r="AH24" i="4"/>
  <c r="AG24" i="4"/>
  <c r="AF24" i="4"/>
  <c r="AE24" i="4"/>
  <c r="Z24" i="4"/>
  <c r="X24" i="4"/>
  <c r="U24" i="4"/>
  <c r="T24" i="4"/>
  <c r="O24" i="4"/>
  <c r="N24" i="4"/>
  <c r="L24" i="4"/>
  <c r="K24" i="4"/>
  <c r="J24" i="4"/>
  <c r="DW23" i="4"/>
  <c r="CF23" i="4"/>
  <c r="CE23" i="4"/>
  <c r="CD23" i="4"/>
  <c r="BF23" i="4"/>
  <c r="AT23" i="4"/>
  <c r="AR23" i="4"/>
  <c r="DS23" i="4"/>
  <c r="AP23" i="4"/>
  <c r="AO23" i="4"/>
  <c r="AD23" i="4"/>
  <c r="AC23" i="4"/>
  <c r="AB23" i="4"/>
  <c r="AA23" i="4"/>
  <c r="T23" i="4"/>
  <c r="O23" i="4"/>
  <c r="M23" i="4"/>
  <c r="J23" i="4"/>
  <c r="H23" i="4"/>
  <c r="G23" i="4"/>
  <c r="DZ22" i="4"/>
  <c r="DY22" i="4"/>
  <c r="DX22" i="4"/>
  <c r="DU22" i="4"/>
  <c r="DQ22" i="4"/>
  <c r="DP22" i="4"/>
  <c r="DM22" i="4"/>
  <c r="CV22" i="4"/>
  <c r="CJ22" i="4"/>
  <c r="CI22" i="4"/>
  <c r="AT22" i="4"/>
  <c r="AS22" i="4"/>
  <c r="AR22" i="4"/>
  <c r="AQ22" i="4"/>
  <c r="Z22" i="4"/>
  <c r="U22" i="4"/>
  <c r="M22" i="4"/>
  <c r="DZ21" i="4"/>
  <c r="DY21" i="4"/>
  <c r="DX21" i="4"/>
  <c r="DU21" i="4"/>
  <c r="DQ21" i="4"/>
  <c r="DM21" i="4"/>
  <c r="CF21" i="4"/>
  <c r="CE21" i="4"/>
  <c r="AO21" i="4"/>
  <c r="Z21" i="4"/>
  <c r="U21" i="4"/>
  <c r="N21" i="4"/>
  <c r="DZ20" i="4"/>
  <c r="DY20" i="4"/>
  <c r="DX20" i="4"/>
  <c r="DU20" i="4"/>
  <c r="DQ20" i="4"/>
  <c r="DM20" i="4"/>
  <c r="CE20" i="4"/>
  <c r="BI20" i="4"/>
  <c r="BF20" i="4"/>
  <c r="DS20" i="4"/>
  <c r="AO20" i="4"/>
  <c r="AN20" i="4"/>
  <c r="AM20" i="4"/>
  <c r="AL20" i="4"/>
  <c r="AK20" i="4"/>
  <c r="AI20" i="4"/>
  <c r="AD20" i="4"/>
  <c r="AC20" i="4"/>
  <c r="X20" i="4"/>
  <c r="U20" i="4"/>
  <c r="T20" i="4"/>
  <c r="S20" i="4"/>
  <c r="O20" i="4"/>
  <c r="N20" i="4"/>
  <c r="M20" i="4"/>
  <c r="J20" i="4"/>
  <c r="H20" i="4"/>
  <c r="G20" i="4"/>
  <c r="DX19" i="4"/>
  <c r="DW19" i="4"/>
  <c r="DV19" i="4"/>
  <c r="DU19" i="4"/>
  <c r="DT19" i="4"/>
  <c r="DQ19" i="4"/>
  <c r="DM19" i="4"/>
  <c r="DC19" i="4"/>
  <c r="CV19" i="4"/>
  <c r="CT19" i="4"/>
  <c r="BY19" i="4"/>
  <c r="BK19" i="4"/>
  <c r="AX19" i="4"/>
  <c r="AR19" i="4"/>
  <c r="DS19" i="4"/>
  <c r="AP19" i="4"/>
  <c r="AO19" i="4"/>
  <c r="AK19" i="4"/>
  <c r="AI19" i="4"/>
  <c r="AD19" i="4"/>
  <c r="AC19" i="4"/>
  <c r="AA19" i="4"/>
  <c r="Z19" i="4"/>
  <c r="X19" i="4"/>
  <c r="W19" i="4"/>
  <c r="V19" i="4"/>
  <c r="U19" i="4"/>
  <c r="S19" i="4"/>
  <c r="O19" i="4"/>
  <c r="N19" i="4"/>
  <c r="K19" i="4"/>
  <c r="J19" i="4"/>
  <c r="H19" i="4"/>
  <c r="G19" i="4"/>
  <c r="DZ18" i="4"/>
  <c r="DY18" i="4"/>
  <c r="DX18" i="4"/>
  <c r="DU18" i="4"/>
  <c r="DT18" i="4"/>
  <c r="DQ18" i="4"/>
  <c r="DP18" i="4"/>
  <c r="DM18" i="4"/>
  <c r="CH18" i="4"/>
  <c r="CE18" i="4"/>
  <c r="BI18" i="4"/>
  <c r="DS18" i="4"/>
  <c r="AF18" i="4"/>
  <c r="AE18" i="4"/>
  <c r="AB18" i="4"/>
  <c r="X18" i="4"/>
  <c r="W18" i="4"/>
  <c r="V18" i="4"/>
  <c r="U18" i="4"/>
  <c r="S18" i="4"/>
  <c r="O18" i="4"/>
  <c r="N18" i="4"/>
  <c r="M18" i="4"/>
  <c r="K18" i="4"/>
  <c r="J18" i="4"/>
  <c r="H18" i="4"/>
  <c r="G18" i="4"/>
  <c r="DZ17" i="4"/>
  <c r="DY17" i="4"/>
  <c r="DX17" i="4"/>
  <c r="DU17" i="4"/>
  <c r="DT17" i="4"/>
  <c r="DQ17" i="4"/>
  <c r="DP17" i="4"/>
  <c r="DM17" i="4"/>
  <c r="DC17" i="4"/>
  <c r="CE17" i="4"/>
  <c r="BY17" i="4"/>
  <c r="DR17" i="4"/>
  <c r="DS17" i="4"/>
  <c r="AL17" i="4"/>
  <c r="AF17" i="4"/>
  <c r="X17" i="4"/>
  <c r="U17" i="4"/>
  <c r="S17" i="4"/>
  <c r="O17" i="4"/>
  <c r="N17" i="4"/>
  <c r="L17" i="4"/>
  <c r="DX16" i="4"/>
  <c r="DU16" i="4"/>
  <c r="DT16" i="4"/>
  <c r="DQ16" i="4"/>
  <c r="DM16" i="4"/>
  <c r="CH16" i="4"/>
  <c r="CE16" i="4"/>
  <c r="CD16" i="4"/>
  <c r="CB16" i="4"/>
  <c r="CA16" i="4"/>
  <c r="BZ16" i="4"/>
  <c r="BL16" i="4"/>
  <c r="BF16" i="4"/>
  <c r="BE16" i="4"/>
  <c r="AS16" i="4"/>
  <c r="AQ16" i="4"/>
  <c r="DS16" i="4"/>
  <c r="AP16" i="4"/>
  <c r="AO16" i="4"/>
  <c r="AN16" i="4"/>
  <c r="AM16" i="4"/>
  <c r="AL16" i="4"/>
  <c r="AK16" i="4"/>
  <c r="AH16" i="4"/>
  <c r="AG16" i="4"/>
  <c r="AF16" i="4"/>
  <c r="AE16" i="4"/>
  <c r="AB16" i="4"/>
  <c r="AA16" i="4"/>
  <c r="X16" i="4"/>
  <c r="W16" i="4"/>
  <c r="V16" i="4"/>
  <c r="U16" i="4"/>
  <c r="T16" i="4"/>
  <c r="S16" i="4"/>
  <c r="O16" i="4"/>
  <c r="M16" i="4"/>
  <c r="L16" i="4"/>
  <c r="K16" i="4"/>
  <c r="J16" i="4"/>
  <c r="H16" i="4"/>
  <c r="G16" i="4"/>
  <c r="DZ15" i="4"/>
  <c r="DX15" i="4"/>
  <c r="DW15" i="4"/>
  <c r="DU15" i="4"/>
  <c r="DT15" i="4"/>
  <c r="DQ15" i="4"/>
  <c r="DM15" i="4"/>
  <c r="DC15" i="4"/>
  <c r="BY15" i="4"/>
  <c r="BK15" i="4"/>
  <c r="BJ15" i="4"/>
  <c r="AT15" i="4"/>
  <c r="AS15" i="4"/>
  <c r="DS15" i="4"/>
  <c r="AN15" i="4"/>
  <c r="AM15" i="4"/>
  <c r="AL15" i="4"/>
  <c r="AK15" i="4"/>
  <c r="AI15" i="4"/>
  <c r="AD15" i="4"/>
  <c r="AC15" i="4"/>
  <c r="AA15" i="4"/>
  <c r="Z15" i="4"/>
  <c r="X15" i="4"/>
  <c r="W15" i="4"/>
  <c r="V15" i="4"/>
  <c r="U15" i="4"/>
  <c r="S15" i="4"/>
  <c r="N15" i="4"/>
  <c r="K15" i="4"/>
  <c r="J15" i="4"/>
  <c r="H15" i="4"/>
  <c r="G15" i="4"/>
  <c r="DX14" i="4"/>
  <c r="DT14" i="4"/>
  <c r="DQ14" i="4"/>
  <c r="DM14" i="4"/>
  <c r="DJ14" i="4"/>
  <c r="BY14" i="4"/>
  <c r="BK14" i="4"/>
  <c r="BF14" i="4"/>
  <c r="BE14" i="4"/>
  <c r="AZ14" i="4"/>
  <c r="DR14" i="4"/>
  <c r="AQ14" i="4"/>
  <c r="DS14" i="4"/>
  <c r="AP14" i="4"/>
  <c r="AO14" i="4"/>
  <c r="AN14" i="4"/>
  <c r="AL14" i="4"/>
  <c r="AK14" i="4"/>
  <c r="AF14" i="4"/>
  <c r="AD14" i="4"/>
  <c r="AC14" i="4"/>
  <c r="AB14" i="4"/>
  <c r="AA14" i="4"/>
  <c r="Y14" i="4"/>
  <c r="X14" i="4"/>
  <c r="U14" i="4"/>
  <c r="O14" i="4"/>
  <c r="M14" i="4"/>
  <c r="G14" i="4"/>
  <c r="DZ13" i="4"/>
  <c r="DY13" i="4"/>
  <c r="DX13" i="4"/>
  <c r="DW13" i="4"/>
  <c r="DU13" i="4"/>
  <c r="DT13" i="4"/>
  <c r="DQ13" i="4"/>
  <c r="DP13" i="4"/>
  <c r="DM13" i="4"/>
  <c r="DC13" i="4"/>
  <c r="CF13" i="4"/>
  <c r="CE13" i="4"/>
  <c r="CD13" i="4"/>
  <c r="BZ13" i="4"/>
  <c r="BY13" i="4"/>
  <c r="BJ13" i="4"/>
  <c r="BG13" i="4"/>
  <c r="BE13" i="4"/>
  <c r="AX13" i="4"/>
  <c r="AT13" i="4"/>
  <c r="AQ13" i="4"/>
  <c r="DS13" i="4"/>
  <c r="AP13" i="4"/>
  <c r="AO13" i="4"/>
  <c r="AN13" i="4"/>
  <c r="AM13" i="4"/>
  <c r="AK13" i="4"/>
  <c r="AI13" i="4"/>
  <c r="AH13" i="4"/>
  <c r="AG13" i="4"/>
  <c r="AF13" i="4"/>
  <c r="AE13" i="4"/>
  <c r="AA13" i="4"/>
  <c r="Z13" i="4"/>
  <c r="X13" i="4"/>
  <c r="W13" i="4"/>
  <c r="V13" i="4"/>
  <c r="U13" i="4"/>
  <c r="S13" i="4"/>
  <c r="O13" i="4"/>
  <c r="N13" i="4"/>
  <c r="K13" i="4"/>
  <c r="J13" i="4"/>
  <c r="H13" i="4"/>
  <c r="G13" i="4"/>
  <c r="DY12" i="4"/>
  <c r="DX12" i="4"/>
  <c r="DW12" i="4"/>
  <c r="DU12" i="4"/>
  <c r="DT12" i="4"/>
  <c r="DQ12" i="4"/>
  <c r="DM12" i="4"/>
  <c r="CF12" i="4"/>
  <c r="CE12" i="4"/>
  <c r="BY12" i="4"/>
  <c r="BL12" i="4"/>
  <c r="BK12" i="4"/>
  <c r="BG12" i="4"/>
  <c r="BF12" i="4"/>
  <c r="AS12" i="4"/>
  <c r="AQ12" i="4"/>
  <c r="AL12" i="4"/>
  <c r="AK12" i="4"/>
  <c r="X12" i="4"/>
  <c r="W12" i="4"/>
  <c r="V12" i="4"/>
  <c r="U12" i="4"/>
  <c r="T12" i="4"/>
  <c r="S12" i="4"/>
  <c r="N12" i="4"/>
  <c r="M12" i="4"/>
  <c r="L12" i="4"/>
  <c r="K12" i="4"/>
  <c r="J12" i="4"/>
  <c r="H12" i="4"/>
  <c r="G12" i="4"/>
  <c r="DY11" i="4"/>
  <c r="DX11" i="4"/>
  <c r="DW11" i="4"/>
  <c r="DV11" i="4"/>
  <c r="DU11" i="4"/>
  <c r="DT11" i="4"/>
  <c r="DQ11" i="4"/>
  <c r="DP11" i="4"/>
  <c r="DM11" i="4"/>
  <c r="DC11" i="4"/>
  <c r="CD11" i="4"/>
  <c r="CC11" i="4"/>
  <c r="BY11" i="4"/>
  <c r="BI11" i="4"/>
  <c r="BF11" i="4"/>
  <c r="BE11" i="4"/>
  <c r="BD11" i="4"/>
  <c r="BC11" i="4"/>
  <c r="BA11" i="4"/>
  <c r="AS11" i="4"/>
  <c r="AR11" i="4"/>
  <c r="AQ11" i="4"/>
  <c r="DS11" i="4"/>
  <c r="AP11" i="4"/>
  <c r="AO11" i="4"/>
  <c r="AN11" i="4"/>
  <c r="AM11" i="4"/>
  <c r="AD11" i="4"/>
  <c r="AC11" i="4"/>
  <c r="AB11" i="4"/>
  <c r="AA11" i="4"/>
  <c r="Y11" i="4"/>
  <c r="X11" i="4"/>
  <c r="W11" i="4"/>
  <c r="V11" i="4"/>
  <c r="U11" i="4"/>
  <c r="T11" i="4"/>
  <c r="S11" i="4"/>
  <c r="P11" i="4"/>
  <c r="O11" i="4"/>
  <c r="M11" i="4"/>
  <c r="L11" i="4"/>
  <c r="K11" i="4"/>
  <c r="J11" i="4"/>
  <c r="H11" i="4"/>
  <c r="G11" i="4"/>
  <c r="DY10" i="4"/>
  <c r="DX10" i="4"/>
  <c r="DW10" i="4"/>
  <c r="DU10" i="4"/>
  <c r="DT10" i="4"/>
  <c r="DQ10" i="4"/>
  <c r="DM10" i="4"/>
  <c r="CR10" i="4"/>
  <c r="BY10" i="4"/>
  <c r="BK10" i="4"/>
  <c r="BF10" i="4"/>
  <c r="BE10" i="4"/>
  <c r="DR10" i="4"/>
  <c r="AQ10" i="4"/>
  <c r="DS10" i="4"/>
  <c r="AP10" i="4"/>
  <c r="AO10" i="4"/>
  <c r="AN10" i="4"/>
  <c r="AM10" i="4"/>
  <c r="AL10" i="4"/>
  <c r="AK10" i="4"/>
  <c r="AH10" i="4"/>
  <c r="AG10" i="4"/>
  <c r="AF10" i="4"/>
  <c r="AE10" i="4"/>
  <c r="AB10" i="4"/>
  <c r="AA10" i="4"/>
  <c r="Y10" i="4"/>
  <c r="W10" i="4"/>
  <c r="V10" i="4"/>
  <c r="U10" i="4"/>
  <c r="S10" i="4"/>
  <c r="O10" i="4"/>
  <c r="N10" i="4"/>
  <c r="K10" i="4"/>
  <c r="J10" i="4"/>
  <c r="H10" i="4"/>
  <c r="G10" i="4"/>
  <c r="DY9" i="4"/>
  <c r="DX9" i="4"/>
  <c r="DW9" i="4"/>
  <c r="DU9" i="4"/>
  <c r="DT9" i="4"/>
  <c r="DQ9" i="4"/>
  <c r="DP9" i="4"/>
  <c r="DM9" i="4"/>
  <c r="DC9" i="4"/>
  <c r="CT9" i="4"/>
  <c r="CE9" i="4"/>
  <c r="BY9" i="4"/>
  <c r="BK9" i="4"/>
  <c r="BF9" i="4"/>
  <c r="BE9" i="4"/>
  <c r="BD9" i="4"/>
  <c r="DS9" i="4"/>
  <c r="AP9" i="4"/>
  <c r="AO9" i="4"/>
  <c r="AL9" i="4"/>
  <c r="AK9" i="4"/>
  <c r="AJ9" i="4"/>
  <c r="AI9" i="4"/>
  <c r="AD9" i="4"/>
  <c r="AC9" i="4"/>
  <c r="AB9" i="4"/>
  <c r="Z9" i="4"/>
  <c r="X9" i="4"/>
  <c r="W9" i="4"/>
  <c r="U9" i="4"/>
  <c r="T9" i="4"/>
  <c r="S9" i="4"/>
  <c r="O9" i="4"/>
  <c r="N9" i="4"/>
  <c r="M9" i="4"/>
  <c r="H9" i="4"/>
  <c r="G9" i="4"/>
  <c r="DY8" i="4"/>
  <c r="DX8" i="4"/>
  <c r="DW8" i="4"/>
  <c r="DV8" i="4"/>
  <c r="DU8" i="4"/>
  <c r="DQ8" i="4"/>
  <c r="DM8" i="4"/>
  <c r="CI8" i="4"/>
  <c r="CH8" i="4"/>
  <c r="BY8" i="4"/>
  <c r="BL8" i="4"/>
  <c r="BK8" i="4"/>
  <c r="BJ8" i="4"/>
  <c r="BG8" i="4"/>
  <c r="BF8" i="4"/>
  <c r="BE8" i="4"/>
  <c r="BD8" i="4"/>
  <c r="BC8" i="4"/>
  <c r="AO8" i="4"/>
  <c r="AL8" i="4"/>
  <c r="AK8" i="4"/>
  <c r="AJ8" i="4"/>
  <c r="AI8" i="4"/>
  <c r="AD8" i="4"/>
  <c r="AC8" i="4"/>
  <c r="AB8" i="4"/>
  <c r="AA8" i="4"/>
  <c r="U8" i="4"/>
  <c r="T8" i="4"/>
  <c r="O8" i="4"/>
  <c r="N8" i="4"/>
  <c r="M8" i="4"/>
  <c r="L8" i="4"/>
  <c r="DY7" i="4"/>
  <c r="DX7" i="4"/>
  <c r="DW7" i="4"/>
  <c r="DU7" i="4"/>
  <c r="DM7" i="4"/>
  <c r="CE7" i="4"/>
  <c r="CC7" i="4"/>
  <c r="CA7" i="4"/>
  <c r="BZ7" i="4"/>
  <c r="BY7" i="4"/>
  <c r="BK7" i="4"/>
  <c r="BI7" i="4"/>
  <c r="BH7" i="4"/>
  <c r="BF7" i="4"/>
  <c r="BD7" i="4"/>
  <c r="BA7" i="4"/>
  <c r="AT7" i="4"/>
  <c r="DS7" i="4"/>
  <c r="AP7" i="4"/>
  <c r="AO7" i="4"/>
  <c r="AK7" i="4"/>
  <c r="AH7" i="4"/>
  <c r="AG7" i="4"/>
  <c r="AF7" i="4"/>
  <c r="AE7" i="4"/>
  <c r="AD7" i="4"/>
  <c r="AC7" i="4"/>
  <c r="W7" i="4"/>
  <c r="S7" i="4"/>
  <c r="M7" i="4"/>
  <c r="L7" i="4"/>
  <c r="K7" i="4"/>
  <c r="J7" i="4"/>
  <c r="H7" i="4"/>
  <c r="G7" i="4"/>
  <c r="DZ6" i="4"/>
  <c r="DY6" i="4"/>
  <c r="DX6" i="4"/>
  <c r="DW6" i="4"/>
  <c r="DU6" i="4"/>
  <c r="DT6" i="4"/>
  <c r="DQ6" i="4"/>
  <c r="DM6" i="4"/>
  <c r="CU6" i="4"/>
  <c r="CH6" i="4"/>
  <c r="AO6" i="4"/>
  <c r="AL6" i="4"/>
  <c r="AI6" i="4"/>
  <c r="Z6" i="4"/>
  <c r="W6" i="4"/>
  <c r="U6" i="4"/>
  <c r="S6" i="4"/>
  <c r="P6" i="4"/>
  <c r="O6" i="4"/>
  <c r="N6" i="4"/>
  <c r="M6" i="4"/>
  <c r="J6" i="4"/>
  <c r="H6" i="4"/>
  <c r="G6" i="4"/>
  <c r="DX5" i="4"/>
  <c r="DV5" i="4"/>
  <c r="DU5" i="4"/>
  <c r="DQ5" i="4"/>
  <c r="DP5" i="4"/>
  <c r="DM5" i="4"/>
  <c r="CV5" i="4"/>
  <c r="BY5" i="4"/>
  <c r="BJ5" i="4"/>
  <c r="BD5" i="4"/>
  <c r="DS5" i="4"/>
  <c r="AL5" i="4"/>
  <c r="AF5" i="4"/>
  <c r="AA5" i="4"/>
  <c r="Z5" i="4"/>
  <c r="U5" i="4"/>
  <c r="P5" i="4"/>
  <c r="N5" i="4"/>
  <c r="K5" i="4"/>
  <c r="DZ4" i="4"/>
  <c r="DY4" i="4"/>
  <c r="DX4" i="4"/>
  <c r="DW4" i="4"/>
  <c r="DV4" i="4"/>
  <c r="DU4" i="4"/>
  <c r="DT4" i="4"/>
  <c r="DQ4" i="4"/>
  <c r="DP4" i="4"/>
  <c r="DM4" i="4"/>
  <c r="DL4" i="4"/>
  <c r="DK4" i="4"/>
  <c r="DJ4" i="4"/>
  <c r="DC4" i="4"/>
  <c r="CW4" i="4"/>
  <c r="CP4" i="4"/>
  <c r="CE4" i="4"/>
  <c r="BY4" i="4"/>
  <c r="BL4" i="4"/>
  <c r="BJ4" i="4"/>
  <c r="BG4" i="4"/>
  <c r="BF4" i="4"/>
  <c r="BE4" i="4"/>
  <c r="BD4" i="4"/>
  <c r="BC4" i="4"/>
  <c r="DS4" i="4"/>
  <c r="AO4" i="4"/>
  <c r="AM4" i="4"/>
  <c r="AI4" i="4"/>
  <c r="AH4" i="4"/>
  <c r="AG4" i="4"/>
  <c r="AF4" i="4"/>
  <c r="AE4" i="4"/>
  <c r="AD4" i="4"/>
  <c r="AC4" i="4"/>
  <c r="AA4" i="4"/>
  <c r="Z4" i="4"/>
  <c r="X4" i="4"/>
  <c r="W4" i="4"/>
  <c r="V4" i="4"/>
  <c r="U4" i="4"/>
  <c r="T4" i="4"/>
  <c r="S4" i="4"/>
  <c r="O4" i="4"/>
  <c r="N4" i="4"/>
  <c r="K4" i="4"/>
  <c r="J4" i="4"/>
  <c r="H4" i="4"/>
  <c r="G4" i="4"/>
  <c r="DX3" i="4"/>
  <c r="DQ3" i="4"/>
  <c r="DM3" i="4"/>
  <c r="DL3" i="4"/>
  <c r="DC3" i="4"/>
  <c r="CJ3" i="4"/>
  <c r="CI3" i="4"/>
  <c r="CH3" i="4"/>
  <c r="CE3" i="4"/>
  <c r="CD3" i="4"/>
  <c r="CB3" i="4"/>
  <c r="BJ3" i="4"/>
  <c r="BG3" i="4"/>
  <c r="BF3" i="4"/>
  <c r="DR3" i="4"/>
  <c r="AT3" i="4"/>
  <c r="AQ3" i="4"/>
  <c r="DS3" i="4"/>
  <c r="AK3" i="4"/>
  <c r="AH3" i="4"/>
  <c r="AG3" i="4"/>
  <c r="AF3" i="4"/>
  <c r="AE3" i="4"/>
  <c r="AD3" i="4"/>
  <c r="AC3" i="4"/>
  <c r="AA3" i="4"/>
  <c r="Z3" i="4"/>
  <c r="Y3" i="4"/>
  <c r="V3" i="4"/>
  <c r="U3" i="4"/>
  <c r="T3" i="4"/>
  <c r="S3" i="4"/>
  <c r="P3" i="4"/>
  <c r="N3" i="4"/>
  <c r="L3" i="4"/>
  <c r="K3" i="4"/>
  <c r="J3" i="4"/>
</calcChain>
</file>

<file path=xl/sharedStrings.xml><?xml version="1.0" encoding="utf-8"?>
<sst xmlns="http://schemas.openxmlformats.org/spreadsheetml/2006/main" count="13390" uniqueCount="3477">
  <si>
    <t>Worksheet</t>
  </si>
  <si>
    <t>Title</t>
  </si>
  <si>
    <t>Description</t>
  </si>
  <si>
    <t>Worksheet 1</t>
  </si>
  <si>
    <t>Table of Contents</t>
  </si>
  <si>
    <t>Worksheet 2</t>
  </si>
  <si>
    <t>Terms of usage, definition of mass shootings, description of data sources and methods</t>
  </si>
  <si>
    <t>Worksheet 3</t>
  </si>
  <si>
    <t>Worksheet 4</t>
  </si>
  <si>
    <t>Full Database with Source Links</t>
  </si>
  <si>
    <t>Worksheet 5</t>
  </si>
  <si>
    <t>Community Database</t>
  </si>
  <si>
    <t>Worksheet 6</t>
  </si>
  <si>
    <t>Codebook</t>
  </si>
  <si>
    <t>Documentation of the layout and code definitions of the database</t>
  </si>
  <si>
    <t>Worksheet 7</t>
  </si>
  <si>
    <t>Missing Data</t>
  </si>
  <si>
    <t>Analysis of missing data</t>
  </si>
  <si>
    <t>Worksheet 8</t>
  </si>
  <si>
    <t>Trend Data</t>
  </si>
  <si>
    <t>Analysis of the frequency and deadliness of mass shootings over time and per capita</t>
  </si>
  <si>
    <t>Case #</t>
  </si>
  <si>
    <t>Perpetrator Name</t>
  </si>
  <si>
    <t>Date</t>
  </si>
  <si>
    <t>Location</t>
  </si>
  <si>
    <t>Victims</t>
  </si>
  <si>
    <t>Crime and Violence</t>
  </si>
  <si>
    <t>Trauma and Crisis</t>
  </si>
  <si>
    <t>Heath and Mental Health</t>
  </si>
  <si>
    <t>Grievance and Motivation</t>
  </si>
  <si>
    <t>Social Contagion</t>
  </si>
  <si>
    <t>Weapons</t>
  </si>
  <si>
    <t>Resolution of Case</t>
  </si>
  <si>
    <t>Shooter Last Name</t>
  </si>
  <si>
    <t>Shooter First Name</t>
  </si>
  <si>
    <t>Full Date</t>
  </si>
  <si>
    <t>Day of Week</t>
  </si>
  <si>
    <t>Day</t>
  </si>
  <si>
    <t>Month</t>
  </si>
  <si>
    <t>Year</t>
  </si>
  <si>
    <t>Shooting Location Address</t>
  </si>
  <si>
    <t>City</t>
  </si>
  <si>
    <t>State</t>
  </si>
  <si>
    <t>Region</t>
  </si>
  <si>
    <t>Urban/Suburban/Rural</t>
  </si>
  <si>
    <t>Bifurcated</t>
  </si>
  <si>
    <t>If Bifurcated, Other Location</t>
  </si>
  <si>
    <t>Armed Person on Scene</t>
  </si>
  <si>
    <t>Number Killed</t>
  </si>
  <si>
    <t>Number Injured</t>
  </si>
  <si>
    <t>Kidnapping or Hostage Situation</t>
  </si>
  <si>
    <t>Age</t>
  </si>
  <si>
    <t>Gender</t>
  </si>
  <si>
    <t>Race</t>
  </si>
  <si>
    <t>Immigrant</t>
  </si>
  <si>
    <t>Sexual Orientation</t>
  </si>
  <si>
    <t>Religion</t>
  </si>
  <si>
    <t>Education</t>
  </si>
  <si>
    <t>Relationship Status</t>
  </si>
  <si>
    <t>Children</t>
  </si>
  <si>
    <t>Employment Status</t>
  </si>
  <si>
    <t>Military Service</t>
  </si>
  <si>
    <t>Criminal Record/Police Contact</t>
  </si>
  <si>
    <t>Previous Homicide(s)</t>
  </si>
  <si>
    <t>Interest in Firearms</t>
  </si>
  <si>
    <t>Gang Affiliation</t>
  </si>
  <si>
    <t>Bully</t>
  </si>
  <si>
    <t>Bullied</t>
  </si>
  <si>
    <t>Parental Suicide</t>
  </si>
  <si>
    <t>Childhood trauma</t>
  </si>
  <si>
    <t>Adult trauma</t>
  </si>
  <si>
    <t>Suicidality</t>
  </si>
  <si>
    <t>Prior Hospitalization</t>
  </si>
  <si>
    <t>Prior Counseling</t>
  </si>
  <si>
    <t>Psychiatric Medication</t>
  </si>
  <si>
    <t>Mental Illness</t>
  </si>
  <si>
    <t>Autism Spectrum</t>
  </si>
  <si>
    <t>Substance Use</t>
  </si>
  <si>
    <t>Health issues</t>
  </si>
  <si>
    <t>Domestic spillage</t>
  </si>
  <si>
    <t>Unknown</t>
  </si>
  <si>
    <t>Interest in past mass violence</t>
  </si>
  <si>
    <t>Planning</t>
  </si>
  <si>
    <t>Performance</t>
  </si>
  <si>
    <t>Total weapons brought to the scene</t>
  </si>
  <si>
    <t>Legal Purchase</t>
  </si>
  <si>
    <t>Illegal Purchase</t>
  </si>
  <si>
    <t>Gifted</t>
  </si>
  <si>
    <t>Theft</t>
  </si>
  <si>
    <t>Other weapons or gear</t>
  </si>
  <si>
    <t>Attempt to Flee</t>
  </si>
  <si>
    <t>Insanity Defense</t>
  </si>
  <si>
    <t>Criminal Sentence</t>
  </si>
  <si>
    <t>Whitman</t>
  </si>
  <si>
    <t>Charles</t>
  </si>
  <si>
    <t>Monday</t>
  </si>
  <si>
    <t>110 Inner Campus Drive, Austin, TX 78705</t>
  </si>
  <si>
    <t>Austin</t>
  </si>
  <si>
    <t>brain tumor</t>
  </si>
  <si>
    <t>Robert Smith killed 5 people a few months after this shooting and said he was inspired by Whitman.</t>
  </si>
  <si>
    <t>NA</t>
  </si>
  <si>
    <t>Smith</t>
  </si>
  <si>
    <t>Robert</t>
  </si>
  <si>
    <t>Saturday</t>
  </si>
  <si>
    <t>Rose-Mar College of Beauty in Mesa, AZ</t>
  </si>
  <si>
    <t>Mesa</t>
  </si>
  <si>
    <t>Happened a few months after the Charles Whitman mass shooting, which Smith appeared to emulate.</t>
  </si>
  <si>
    <t>knife, nylon cord</t>
  </si>
  <si>
    <t>Held</t>
  </si>
  <si>
    <t>Leo</t>
  </si>
  <si>
    <t>599 South Highland Street Lockhaven, PA17745</t>
  </si>
  <si>
    <t>Lock Haven</t>
  </si>
  <si>
    <t>holster</t>
  </si>
  <si>
    <t>Pearson</t>
  </si>
  <si>
    <t>Eric</t>
  </si>
  <si>
    <t>11703 Lake Rd, Ironwood, MI 49938</t>
  </si>
  <si>
    <t>Ironwood</t>
  </si>
  <si>
    <t>Lambright</t>
  </si>
  <si>
    <t>Donald</t>
  </si>
  <si>
    <t>Pennsylvania Turnpike near Harrisburg, PA</t>
  </si>
  <si>
    <t>Harrisburg</t>
  </si>
  <si>
    <t>White</t>
  </si>
  <si>
    <t>Joseph</t>
  </si>
  <si>
    <t>Wednesday</t>
  </si>
  <si>
    <t>Building 12 W.A. Harriman Campus Albany, NY 12240 .</t>
  </si>
  <si>
    <t>Albany</t>
  </si>
  <si>
    <t>ear plugs</t>
  </si>
  <si>
    <t>McLeod</t>
  </si>
  <si>
    <t>Harvey Glenn</t>
  </si>
  <si>
    <t>4321 Lassiter at North Hills Ave, Raleigh, NC 27609</t>
  </si>
  <si>
    <t>Raleigh</t>
  </si>
  <si>
    <t>Grace</t>
  </si>
  <si>
    <t>Edwin</t>
  </si>
  <si>
    <t>383 Kings Highway N, Cherry Hill, NJ 08034</t>
  </si>
  <si>
    <t>Cherry Hill</t>
  </si>
  <si>
    <t>Essex</t>
  </si>
  <si>
    <t>Mark</t>
  </si>
  <si>
    <t>Sunday</t>
  </si>
  <si>
    <t>4200 Old Gentilly Rd, New Orleans, LA 70126</t>
  </si>
  <si>
    <t>cherry bombs, firecrackers</t>
  </si>
  <si>
    <t>Sander</t>
  </si>
  <si>
    <t>12370 US Highway 101 N, Smith River, CA 95567</t>
  </si>
  <si>
    <t>Smith River</t>
  </si>
  <si>
    <t>Allaway</t>
  </si>
  <si>
    <t>Edward</t>
  </si>
  <si>
    <t>800 N State College Blvd, Fullerton, CA 92831</t>
  </si>
  <si>
    <t>Fullerton</t>
  </si>
  <si>
    <t>Cowan</t>
  </si>
  <si>
    <t>Fred</t>
  </si>
  <si>
    <t>55 Weyman Ave, New Rochelle NY, 10805</t>
  </si>
  <si>
    <t>bandoliers</t>
  </si>
  <si>
    <t>Henry</t>
  </si>
  <si>
    <t>Dewitt</t>
  </si>
  <si>
    <t>5711 S. Sixth St., Klamath Falls, OR 97603</t>
  </si>
  <si>
    <t>Klamath Falls</t>
  </si>
  <si>
    <t>Benoist</t>
  </si>
  <si>
    <t>Emile Pierre</t>
  </si>
  <si>
    <t>Friday</t>
  </si>
  <si>
    <t>210 Mountain Ave, Hackettstown, NJ 07840</t>
  </si>
  <si>
    <t>Chin</t>
  </si>
  <si>
    <t>Gan Fong</t>
  </si>
  <si>
    <t>2099 Post Rd, Warwick, RI 02886</t>
  </si>
  <si>
    <t>Warwick</t>
  </si>
  <si>
    <t>Chvarak</t>
  </si>
  <si>
    <t>Barry</t>
  </si>
  <si>
    <t>9870 Dyer Street, El Paso, TX 79924</t>
  </si>
  <si>
    <t>El Paso</t>
  </si>
  <si>
    <t>King</t>
  </si>
  <si>
    <t>Alvin</t>
  </si>
  <si>
    <t>202 West W M Watson Blvd Daingerfield, TX 75638</t>
  </si>
  <si>
    <t>Daingerfield</t>
  </si>
  <si>
    <t>helmet, flak jacket</t>
  </si>
  <si>
    <t>Belmonte</t>
  </si>
  <si>
    <t>Victor</t>
  </si>
  <si>
    <t>his own home in Coraopolis, PA and around there driving</t>
  </si>
  <si>
    <t>Coraopolis</t>
  </si>
  <si>
    <t>Moore</t>
  </si>
  <si>
    <t>Lawrence</t>
  </si>
  <si>
    <t>Thursday</t>
  </si>
  <si>
    <t>Front St NE, Salem, OR</t>
  </si>
  <si>
    <t>Salem</t>
  </si>
  <si>
    <t>Bevins</t>
  </si>
  <si>
    <t>William</t>
  </si>
  <si>
    <t>Mountain Truck Parts Store Allen KY</t>
  </si>
  <si>
    <t>Allen</t>
  </si>
  <si>
    <t>arthritis, high blood pressure</t>
  </si>
  <si>
    <t>Meach</t>
  </si>
  <si>
    <t>1600 Lidia Selkregg Ln, Anchorage, AK 99508 (south entrance) and 801 Pine St, Anchorage, AK 99508 (north entrance)</t>
  </si>
  <si>
    <t>venereal disease</t>
  </si>
  <si>
    <t>Parish</t>
  </si>
  <si>
    <t>John</t>
  </si>
  <si>
    <t>902 Avenue N, Grand Prairie, TX 75050</t>
  </si>
  <si>
    <t>Grand Prairie</t>
  </si>
  <si>
    <t>Brown</t>
  </si>
  <si>
    <t>Carl</t>
  </si>
  <si>
    <t>3147 Northwest North River Dr., Miami, FL 33142</t>
  </si>
  <si>
    <t>Miami</t>
  </si>
  <si>
    <t>Leacock</t>
  </si>
  <si>
    <t>Alban</t>
  </si>
  <si>
    <t>2175 Broadway, New York, NY 10024</t>
  </si>
  <si>
    <t>Manhattan</t>
  </si>
  <si>
    <t>Hastings</t>
  </si>
  <si>
    <t>Louis</t>
  </si>
  <si>
    <t>Tuesday</t>
  </si>
  <si>
    <t>McCarthy, Alaska</t>
  </si>
  <si>
    <t>McCarthy</t>
  </si>
  <si>
    <t>knife, knife sharpener, police radio scanner, flare gun, wire cutters, silencer</t>
  </si>
  <si>
    <t>Moreno</t>
  </si>
  <si>
    <t>Eliseo</t>
  </si>
  <si>
    <t>College Station, Texas</t>
  </si>
  <si>
    <t>College Station</t>
  </si>
  <si>
    <t>Silka</t>
  </si>
  <si>
    <t>Michael</t>
  </si>
  <si>
    <t>Zitziana River, near Manley Hot Springs, Alaska, U.S.</t>
  </si>
  <si>
    <t>Manley Hot Springs</t>
  </si>
  <si>
    <t>Belachheb</t>
  </si>
  <si>
    <t>Abdelkrim</t>
  </si>
  <si>
    <t>intersection of LBJ Freeway and Midway Road, Dallas TX</t>
  </si>
  <si>
    <t>Dallas</t>
  </si>
  <si>
    <t>organic brain disease</t>
  </si>
  <si>
    <t>Huberty</t>
  </si>
  <si>
    <t>James</t>
  </si>
  <si>
    <t>727 E San Ysidro Blvd, San Ysidro, CA 92073</t>
  </si>
  <si>
    <t>San Ysidro</t>
  </si>
  <si>
    <t>Crossley</t>
  </si>
  <si>
    <t>Wayne</t>
  </si>
  <si>
    <t>1127 Central Ave, Hot Springs, AR 71901</t>
  </si>
  <si>
    <t>Hot Springs</t>
  </si>
  <si>
    <t>3rd mass shooting in a bar/restaurant in a month.</t>
  </si>
  <si>
    <t>Hammett</t>
  </si>
  <si>
    <t>Mansel</t>
  </si>
  <si>
    <t>1926 Baldridge Ave; Connellsville, Pennsylvania 15425</t>
  </si>
  <si>
    <t>South Connellsville</t>
  </si>
  <si>
    <t>Sherrill</t>
  </si>
  <si>
    <t>Patrick</t>
  </si>
  <si>
    <t>200 N Broadway, Edmond, OK 73034</t>
  </si>
  <si>
    <t>Edmond</t>
  </si>
  <si>
    <t>Cruse</t>
  </si>
  <si>
    <t>4711 Babcock St NE, Palm Bay, FL 32905</t>
  </si>
  <si>
    <t>Palm Bay</t>
  </si>
  <si>
    <t>Farley</t>
  </si>
  <si>
    <t>Richard</t>
  </si>
  <si>
    <t>495 East Java Drive, Sunnyvale CA 94089</t>
  </si>
  <si>
    <t>smoke bombs, gas mask, knife, ear protectors, bandoleers, flammable liquid, matches</t>
  </si>
  <si>
    <t>Hayes</t>
  </si>
  <si>
    <t>3336 Old Salisbury Rd, Winston-Salem, NC 27127</t>
  </si>
  <si>
    <t>Winston-Salem</t>
  </si>
  <si>
    <t>Henderson</t>
  </si>
  <si>
    <t>Clemmie</t>
  </si>
  <si>
    <t>1310 S Ashland Ave, Chicago, IL 60608</t>
  </si>
  <si>
    <t>Chicago</t>
  </si>
  <si>
    <t>brain damage (causing seizures) from being shot in the head</t>
  </si>
  <si>
    <t>Purdy</t>
  </si>
  <si>
    <t>20 E. Fulton St, Stockton, CA 95204</t>
  </si>
  <si>
    <t>Stockton</t>
  </si>
  <si>
    <t>extreme dependence on drugs and alcohol</t>
  </si>
  <si>
    <t>ammo pouch, ear plugs, flak jacket, pipe bomb, fireworks, flammable liquids</t>
  </si>
  <si>
    <t>Wesbecker</t>
  </si>
  <si>
    <t>643 S 6th St Louisville, KY 40202</t>
  </si>
  <si>
    <t>Louisville</t>
  </si>
  <si>
    <t>Pough</t>
  </si>
  <si>
    <t>7870 Baymeadows Way, Jacksonville, FL 32256</t>
  </si>
  <si>
    <t>Jacksonville</t>
  </si>
  <si>
    <t>Harris</t>
  </si>
  <si>
    <t>143 E Ridgewood Ave, Ridgewood, NJ 07450</t>
  </si>
  <si>
    <t>Ridgewood</t>
  </si>
  <si>
    <t>He referenced the 1986 post office mass shooting where Patrick Sherrill killed 14 people.</t>
  </si>
  <si>
    <t>Hennard</t>
  </si>
  <si>
    <t>George</t>
  </si>
  <si>
    <t>1705 E Central Texas Expy, Kileen, TX 76541</t>
  </si>
  <si>
    <t>Killeen</t>
  </si>
  <si>
    <t>He studied the mass shooting carried out by James Huberty in a fast-food restaurant in 1984.</t>
  </si>
  <si>
    <t>Lu</t>
  </si>
  <si>
    <t>Gang</t>
  </si>
  <si>
    <t>203 Van Allen Hall Iowa City, Iowa 52242</t>
  </si>
  <si>
    <t>Occurred 2 weeks after the then-deadliest mass shooting in America.</t>
  </si>
  <si>
    <t>Daigneau</t>
  </si>
  <si>
    <t>Harrodsburg, KY</t>
  </si>
  <si>
    <t>Harrodsburg</t>
  </si>
  <si>
    <t>back injury, war flashbacks, presumably PTSD</t>
  </si>
  <si>
    <t>McIlvane</t>
  </si>
  <si>
    <t>Thomas</t>
  </si>
  <si>
    <t>200 W 2nd St, Royal Oak, MI 48068</t>
  </si>
  <si>
    <t>Royal Oak</t>
  </si>
  <si>
    <t>Occurred 1 month after another postal worker (Joseph Harris) committed a mass shooting.</t>
  </si>
  <si>
    <t>Rogovich</t>
  </si>
  <si>
    <t>location with most dead - 4139 E McDowell Rd, Phoenix, AZ 85008</t>
  </si>
  <si>
    <t>Phoenix</t>
  </si>
  <si>
    <t>Houston</t>
  </si>
  <si>
    <t>4446 Olive Ave, Olivehurst, CA 95961</t>
  </si>
  <si>
    <t>Olivehurst</t>
  </si>
  <si>
    <t>brain damage</t>
  </si>
  <si>
    <t>bandoliers, ammunition belt</t>
  </si>
  <si>
    <t>Miller</t>
  </si>
  <si>
    <t>105 9th St #3, Watkins Glen, NY 14891</t>
  </si>
  <si>
    <t>Watkins Glen</t>
  </si>
  <si>
    <t>Drake III</t>
  </si>
  <si>
    <t>Lynwood</t>
  </si>
  <si>
    <t>1144 Black Oak Dr, Paso Robles, CA 93446</t>
  </si>
  <si>
    <t>Morro Bay</t>
  </si>
  <si>
    <t>Ferri</t>
  </si>
  <si>
    <t>Gian</t>
  </si>
  <si>
    <t>101 California Street, San Francisco, CA 94111</t>
  </si>
  <si>
    <t>San Francisco</t>
  </si>
  <si>
    <t>ear protection</t>
  </si>
  <si>
    <t>French</t>
  </si>
  <si>
    <t>Kenneth</t>
  </si>
  <si>
    <t>528 N McPherson Church Rd, Fayetteville, NC 28303</t>
  </si>
  <si>
    <t>Fayetteville</t>
  </si>
  <si>
    <t>Buquet</t>
  </si>
  <si>
    <t>850 Arnele Ave El Cajon, CA 92020</t>
  </si>
  <si>
    <t>El Cajon</t>
  </si>
  <si>
    <t>Winterbourne</t>
  </si>
  <si>
    <t>Alan</t>
  </si>
  <si>
    <t>4839 Market St., Oxnard, CA 93003</t>
  </si>
  <si>
    <t>Ferguson</t>
  </si>
  <si>
    <t>Colin</t>
  </si>
  <si>
    <t>Nassau Boulevard and Merillon Ave Garden City Park, NY 11040</t>
  </si>
  <si>
    <t>Dunlap</t>
  </si>
  <si>
    <t>Nathan</t>
  </si>
  <si>
    <t>12293 East Iliff Avenue, Aurora, CO 80014</t>
  </si>
  <si>
    <t>Aurora</t>
  </si>
  <si>
    <t>Mellberg</t>
  </si>
  <si>
    <t>Dean</t>
  </si>
  <si>
    <t>701 Hospital Loop, Fairchild AFB, WA 99011</t>
  </si>
  <si>
    <t>Rodriguez</t>
  </si>
  <si>
    <t>Raeford, Hoke County, NC</t>
  </si>
  <si>
    <t>Simpson</t>
  </si>
  <si>
    <t>2535 Rand Morgan Rd; Corpus Christi, Texas 78410</t>
  </si>
  <si>
    <t>Corpus Christi</t>
  </si>
  <si>
    <t>Woods</t>
  </si>
  <si>
    <t>Willie</t>
  </si>
  <si>
    <t>555 Ramirez St. Los Angeles, CA 90012</t>
  </si>
  <si>
    <t>Los Angeles</t>
  </si>
  <si>
    <t>Vernon</t>
  </si>
  <si>
    <t>2186 White Plains Rd, Bronx, NY 10462</t>
  </si>
  <si>
    <t>Bronx</t>
  </si>
  <si>
    <t>matches, lighter fluid</t>
  </si>
  <si>
    <t>McCree</t>
  </si>
  <si>
    <t>Clifton</t>
  </si>
  <si>
    <t>Just across the Las Olas Boulevard Bridge, Fort Lauderdale, FL 333301</t>
  </si>
  <si>
    <t>Tornes</t>
  </si>
  <si>
    <t>555 S West St Jackson, MS 39201</t>
  </si>
  <si>
    <t>Jackson</t>
  </si>
  <si>
    <t>Drega</t>
  </si>
  <si>
    <t>64 Trooper Leslie G Lord Mem Hwy, Colebrook, NH 03576</t>
  </si>
  <si>
    <t>Colebrook</t>
  </si>
  <si>
    <t>bulletproof vest, pipe bombs</t>
  </si>
  <si>
    <t>Wise</t>
  </si>
  <si>
    <t>Hastings Arthur</t>
  </si>
  <si>
    <t>2063 University PKWY, Aiken, SC 29801</t>
  </si>
  <si>
    <t>Serrano</t>
  </si>
  <si>
    <t>Nelson</t>
  </si>
  <si>
    <t>1520 Centennial Blvd, Bartow, FL 33830</t>
  </si>
  <si>
    <t>Bartow</t>
  </si>
  <si>
    <t>Torres</t>
  </si>
  <si>
    <t>Arturo</t>
  </si>
  <si>
    <t>1808 N Bativa St, Orange, CA 92865</t>
  </si>
  <si>
    <t>Orange</t>
  </si>
  <si>
    <t>back injury</t>
  </si>
  <si>
    <t>Beck</t>
  </si>
  <si>
    <t>Matthew</t>
  </si>
  <si>
    <t>777 Brook St, Rocky Hill, CT 06067</t>
  </si>
  <si>
    <t>Newington</t>
  </si>
  <si>
    <t>stress-related medical leave</t>
  </si>
  <si>
    <t>knife</t>
  </si>
  <si>
    <t>Golden</t>
  </si>
  <si>
    <t>Andrew</t>
  </si>
  <si>
    <t>1800 AR-91, Jonesboro, AR 72404</t>
  </si>
  <si>
    <t>Jonesboro</t>
  </si>
  <si>
    <t>crossbow, machete, military belt, knives</t>
  </si>
  <si>
    <t>Johnson</t>
  </si>
  <si>
    <t>Mitchell</t>
  </si>
  <si>
    <t>Kinkel</t>
  </si>
  <si>
    <t>Kip</t>
  </si>
  <si>
    <t>333 58th St, Springfield, OR 97478</t>
  </si>
  <si>
    <t>Springfield</t>
  </si>
  <si>
    <t>Shon</t>
  </si>
  <si>
    <t>1615 N Tobey Ave, Gonzalez, LA 70737</t>
  </si>
  <si>
    <t>Gonzales</t>
  </si>
  <si>
    <t>Klebold</t>
  </si>
  <si>
    <t>Dylan</t>
  </si>
  <si>
    <t>6201 S Pierce St, Littleton, CO 80123</t>
  </si>
  <si>
    <t>Columbine</t>
  </si>
  <si>
    <t>They wanted the attack to fall on the anniversary of the Oklahoma City bombing. Many shooters have since admired or imitated the Columbine shooting.</t>
  </si>
  <si>
    <t>pipe bombs</t>
  </si>
  <si>
    <t>Floyd</t>
  </si>
  <si>
    <t>Zane</t>
  </si>
  <si>
    <t>1300 E Flamingo Rd, Las Vegas, NV 89119</t>
  </si>
  <si>
    <t>Las Vegas</t>
  </si>
  <si>
    <t>Barton</t>
  </si>
  <si>
    <t>3500 Piedmont Road NE Atlanta, GA 30305</t>
  </si>
  <si>
    <t>Atlanta</t>
  </si>
  <si>
    <t>Ashbrook</t>
  </si>
  <si>
    <t>Larry</t>
  </si>
  <si>
    <t>5522 Whitman Ave, Fort Worth, TX 76133</t>
  </si>
  <si>
    <t>Fort Worth</t>
  </si>
  <si>
    <t>pipe bomb</t>
  </si>
  <si>
    <t>Uyesugi</t>
  </si>
  <si>
    <t>Byran</t>
  </si>
  <si>
    <t>700 Bishop St #1200, Honolulu, HI 96813</t>
  </si>
  <si>
    <t>Honolulu</t>
  </si>
  <si>
    <t>brain injury</t>
  </si>
  <si>
    <t>Izquierdo-Leyva</t>
  </si>
  <si>
    <t>Silvio</t>
  </si>
  <si>
    <t>7700 Courtney Campbell Causeway Tampa, FL 33607</t>
  </si>
  <si>
    <t>Tampa</t>
  </si>
  <si>
    <t>3311 N Belt Line Rd, Irving, TX 75062</t>
  </si>
  <si>
    <t>Irving</t>
  </si>
  <si>
    <t>Baumhammers</t>
  </si>
  <si>
    <t>1980 Park Manor Blvd, Pittsburgh, PA 15205</t>
  </si>
  <si>
    <t>Mount Lebanon</t>
  </si>
  <si>
    <t>Molotov cocktails</t>
  </si>
  <si>
    <t>McDermott</t>
  </si>
  <si>
    <t>200 Harvard Mill Sq #210 Wakefield, MA 01880</t>
  </si>
  <si>
    <t>Wakefield</t>
  </si>
  <si>
    <t>explosives at home</t>
  </si>
  <si>
    <t>Park</t>
  </si>
  <si>
    <t>9889 Harwin Dr # 301, Houston, TX 77036</t>
  </si>
  <si>
    <t>Baker</t>
  </si>
  <si>
    <t>2701 Navistar Dr. Lisle, IL 60532</t>
  </si>
  <si>
    <t>Melrose Park</t>
  </si>
  <si>
    <t>Stagner</t>
  </si>
  <si>
    <t>Steven</t>
  </si>
  <si>
    <t>1320 Rail Ave, Rifle, CO 81650</t>
  </si>
  <si>
    <t>Rifle</t>
  </si>
  <si>
    <t>2710 Ramp Way, Sacramento, CA 95818</t>
  </si>
  <si>
    <t>Sacramento</t>
  </si>
  <si>
    <t>He wanted to outdo a recent incident where a man killed 6 people and he mentioned the Oklahoma City bombing.</t>
  </si>
  <si>
    <t>Lockey</t>
  </si>
  <si>
    <t>2323 Foundation Dr South Bend, IN 46628</t>
  </si>
  <si>
    <t>South Bend</t>
  </si>
  <si>
    <t>Patterson</t>
  </si>
  <si>
    <t>Emanuel Burl</t>
  </si>
  <si>
    <t>2709 Governors Dr SW, Huntsville, AL 35805</t>
  </si>
  <si>
    <t>Huntsville</t>
  </si>
  <si>
    <t>Williams</t>
  </si>
  <si>
    <t>Doug</t>
  </si>
  <si>
    <t>5017 Lockheed Dr, Meridian, MS 39301</t>
  </si>
  <si>
    <t>high blood pressure</t>
  </si>
  <si>
    <t>bandolier</t>
  </si>
  <si>
    <t>Tapia</t>
  </si>
  <si>
    <t>Salvador</t>
  </si>
  <si>
    <t>3918 S Wallace St, Chicago, IL 60609</t>
  </si>
  <si>
    <t>Reeves</t>
  </si>
  <si>
    <t>Ralph</t>
  </si>
  <si>
    <t>313 N State Ave, Oldtown, ID 83822</t>
  </si>
  <si>
    <t>Oldtown</t>
  </si>
  <si>
    <t>Elijah</t>
  </si>
  <si>
    <t>4612 Speaker Rd, Kansas City, KS 66106</t>
  </si>
  <si>
    <t>Vang</t>
  </si>
  <si>
    <t>Chai</t>
  </si>
  <si>
    <t>Birchwood, Sawyer County, WI</t>
  </si>
  <si>
    <t>Birchwood</t>
  </si>
  <si>
    <t>Gale</t>
  </si>
  <si>
    <t>5055 Sinclair Rd, Columbus, OH 43229</t>
  </si>
  <si>
    <t>Columbus</t>
  </si>
  <si>
    <t>Nichols</t>
  </si>
  <si>
    <t>Brian</t>
  </si>
  <si>
    <t>136 Pryor St SW, Atlanta, GA 30303</t>
  </si>
  <si>
    <t>Ratzmann</t>
  </si>
  <si>
    <t>Terry</t>
  </si>
  <si>
    <t>375 S Moorland Rd, Brookfield, WI 53005</t>
  </si>
  <si>
    <t>Brookfield</t>
  </si>
  <si>
    <t>Weise</t>
  </si>
  <si>
    <t>Jeffrey</t>
  </si>
  <si>
    <t>23990 MN-1, Red Lake, MN 56671</t>
  </si>
  <si>
    <t>Red Lake</t>
  </si>
  <si>
    <t>bulletproof vest, gun belt</t>
  </si>
  <si>
    <t>Cranshaw</t>
  </si>
  <si>
    <t>Freddy</t>
  </si>
  <si>
    <t>11330 FM100, Honey Grove, TX 75446</t>
  </si>
  <si>
    <t>San Marco</t>
  </si>
  <si>
    <t>Jennifer</t>
  </si>
  <si>
    <t>400 Storke Rd, Goleta, CA 93199</t>
  </si>
  <si>
    <t>Goleta</t>
  </si>
  <si>
    <t>Huff</t>
  </si>
  <si>
    <t>Kyle</t>
  </si>
  <si>
    <t>2112 East Republican Street, Seattle, WA 98112</t>
  </si>
  <si>
    <t>Seattle</t>
  </si>
  <si>
    <t>Bell</t>
  </si>
  <si>
    <t>Anthony</t>
  </si>
  <si>
    <t>B, 1935 Dallas Dr ste b, Baton Rouge, LA 70806</t>
  </si>
  <si>
    <t>Baton Rouge</t>
  </si>
  <si>
    <t>Roberts</t>
  </si>
  <si>
    <t>4876 White Oak Rd, Paradise, PA 17562</t>
  </si>
  <si>
    <t>Bart Township</t>
  </si>
  <si>
    <t>taser, knives, chains</t>
  </si>
  <si>
    <t>Talovic</t>
  </si>
  <si>
    <t>Sulejman</t>
  </si>
  <si>
    <t>602 South 700 East Salt Lake City, UT, 84102</t>
  </si>
  <si>
    <t>Salt Lake City</t>
  </si>
  <si>
    <t>Cho</t>
  </si>
  <si>
    <t>Seung-Hui</t>
  </si>
  <si>
    <t>494 Old Turner St, Blacksburg, VA</t>
  </si>
  <si>
    <t>Blacksburg</t>
  </si>
  <si>
    <t>serious early childhood health problems</t>
  </si>
  <si>
    <t>ammunition vest, knives, chains</t>
  </si>
  <si>
    <t>Hawkins</t>
  </si>
  <si>
    <t>1000 California St, Omaha, Nebraska 68114</t>
  </si>
  <si>
    <t>Omaha</t>
  </si>
  <si>
    <t>This was the 2nd mass shooting at a mall in 2007.</t>
  </si>
  <si>
    <t>Murray</t>
  </si>
  <si>
    <t>12750 W 63rd Ave, Arvada, CO 80004</t>
  </si>
  <si>
    <t>Arvada</t>
  </si>
  <si>
    <t>He studied previous mass shootings, including the Westroads Mall shooting a week earlier, Columbine and Virginia Tech.</t>
  </si>
  <si>
    <t>smoke grenades</t>
  </si>
  <si>
    <t>Thornton</t>
  </si>
  <si>
    <t>139 S Kirkwood Rd, Kirkwood, MO 63122</t>
  </si>
  <si>
    <t>Kirkwood</t>
  </si>
  <si>
    <t>Kazmierczak</t>
  </si>
  <si>
    <t>Cole Hall, DeKalb, IL 60115</t>
  </si>
  <si>
    <t>holsters</t>
  </si>
  <si>
    <t>Leeds</t>
  </si>
  <si>
    <t>Lee</t>
  </si>
  <si>
    <t>1500 Black Road, Santa Maria, CA 93458</t>
  </si>
  <si>
    <t>Santa Maria</t>
  </si>
  <si>
    <t>Higdon</t>
  </si>
  <si>
    <t>Wesley</t>
  </si>
  <si>
    <t>390 Community Dr Henderson, KY 42420</t>
  </si>
  <si>
    <t>Zamora</t>
  </si>
  <si>
    <t>Isaac</t>
  </si>
  <si>
    <t>19300 block of Bridle Place, Alger, WA 98284</t>
  </si>
  <si>
    <t>Alger</t>
  </si>
  <si>
    <t>Stewart</t>
  </si>
  <si>
    <t>801 Pinehurst Ave, Carthage, NC 28327</t>
  </si>
  <si>
    <t>Carthage</t>
  </si>
  <si>
    <t>Wong</t>
  </si>
  <si>
    <t>Jiverly</t>
  </si>
  <si>
    <t>131 Front St, Binghampton, NY 13905</t>
  </si>
  <si>
    <t>Binghamton</t>
  </si>
  <si>
    <t>body armor</t>
  </si>
  <si>
    <t>Gonzalez</t>
  </si>
  <si>
    <t>Marcos</t>
  </si>
  <si>
    <t>729 Worth St, Mt Airy, NC 27030</t>
  </si>
  <si>
    <t>Mt. Airy</t>
  </si>
  <si>
    <t>Hasan</t>
  </si>
  <si>
    <t>Nidal</t>
  </si>
  <si>
    <t>Building #121 761st Tank Battalion Ave, Killeen, TX 76544</t>
  </si>
  <si>
    <t>laser sights, earplugs</t>
  </si>
  <si>
    <t>Clemmons</t>
  </si>
  <si>
    <t>Maurice</t>
  </si>
  <si>
    <t>11401 Steele St. S., Tacoma, WA 98444</t>
  </si>
  <si>
    <t>Parkland</t>
  </si>
  <si>
    <t>Galstyan</t>
  </si>
  <si>
    <t>Nerses</t>
  </si>
  <si>
    <t>11651 Riverside Dr, North Hollywood, CA 91602</t>
  </si>
  <si>
    <t>Regalado</t>
  </si>
  <si>
    <t>Gerardo</t>
  </si>
  <si>
    <t>495 E. 49th Street, Hialeah, FL 33013</t>
  </si>
  <si>
    <t>Hialeah</t>
  </si>
  <si>
    <t>Omar</t>
  </si>
  <si>
    <t>131 Chapel Road Manchester, CT 06042</t>
  </si>
  <si>
    <t>McCray</t>
  </si>
  <si>
    <t>Riccardo</t>
  </si>
  <si>
    <t>268 Main St, Buffalo, NY 14202</t>
  </si>
  <si>
    <t>Neace</t>
  </si>
  <si>
    <t>Stanley</t>
  </si>
  <si>
    <t>2401 Quicksand Rd #11, Jackson, KY 41339</t>
  </si>
  <si>
    <t>on disability</t>
  </si>
  <si>
    <t>Loughner</t>
  </si>
  <si>
    <t>Jared</t>
  </si>
  <si>
    <t>7100 N Oracle Road, Tucson, Arizona 85704</t>
  </si>
  <si>
    <t>Hance</t>
  </si>
  <si>
    <t>804 Minota Ave Akron, OH 44306-3420</t>
  </si>
  <si>
    <t>Copley Township</t>
  </si>
  <si>
    <t>Sencion</t>
  </si>
  <si>
    <t>Eduardo</t>
  </si>
  <si>
    <t>3883 S Carson St, Carson City, NV 89701</t>
  </si>
  <si>
    <t>Carson City</t>
  </si>
  <si>
    <t>Dekraai</t>
  </si>
  <si>
    <t>Scott</t>
  </si>
  <si>
    <t>500 Pacific Coast Highway #100, Seal Beach, CA 90740</t>
  </si>
  <si>
    <t>Seal Beach</t>
  </si>
  <si>
    <t>bulletproof vest</t>
  </si>
  <si>
    <t>Goh</t>
  </si>
  <si>
    <t>One</t>
  </si>
  <si>
    <t>7900 Oakport St, Oakland, CA</t>
  </si>
  <si>
    <t>Oakland</t>
  </si>
  <si>
    <t>Stawicki</t>
  </si>
  <si>
    <t>Ian</t>
  </si>
  <si>
    <t>5828 Roosevelt Way NE, Seattle, WA 98105</t>
  </si>
  <si>
    <t>Holmes</t>
  </si>
  <si>
    <t>14300 E Alameda Ave, Aurora, CO 80012</t>
  </si>
  <si>
    <t>Arcan Cetin planned to imitate this shooting.</t>
  </si>
  <si>
    <t>tactical gear, gas mask, tear gas canisters, bombs</t>
  </si>
  <si>
    <t>Page</t>
  </si>
  <si>
    <t>Wade</t>
  </si>
  <si>
    <t>7512 South Howell Ave, Oak Creek, WI 53154</t>
  </si>
  <si>
    <t>Oak Creek</t>
  </si>
  <si>
    <t>Engeldinger</t>
  </si>
  <si>
    <t>2322 W Chestnut Ave, Minneapolis, MN 55405</t>
  </si>
  <si>
    <t>Lanza</t>
  </si>
  <si>
    <t>Adam</t>
  </si>
  <si>
    <t>12 Dickenson Dr, Sandy Hook, CT 06482</t>
  </si>
  <si>
    <t>Newtown</t>
  </si>
  <si>
    <t>malnutrition and possible brain damage; seizures as a child</t>
  </si>
  <si>
    <t>Myers</t>
  </si>
  <si>
    <t>Kurt</t>
  </si>
  <si>
    <t>17 S Main St, Herkimer, NY 13350</t>
  </si>
  <si>
    <t>Herkimer</t>
  </si>
  <si>
    <t>Clark III</t>
  </si>
  <si>
    <t>Dennis</t>
  </si>
  <si>
    <t>33311 18th Ln S, Federal Way, WA 98003</t>
  </si>
  <si>
    <t>Zawahri</t>
  </si>
  <si>
    <t>1900 Pico Blvd, Santa Monica, CA</t>
  </si>
  <si>
    <t>Santa Monica</t>
  </si>
  <si>
    <t>bulletproof vest without ballistic panels</t>
  </si>
  <si>
    <t>Vargas</t>
  </si>
  <si>
    <t>Pedro</t>
  </si>
  <si>
    <t>1485 W. 46th St., Hialeah, FL 33012</t>
  </si>
  <si>
    <t>gasoline</t>
  </si>
  <si>
    <t>Alexis</t>
  </si>
  <si>
    <t>Aaron</t>
  </si>
  <si>
    <t>601 M Street SE, Washington, DC 20003</t>
  </si>
  <si>
    <t>Rhoades</t>
  </si>
  <si>
    <t>Cherie Lash</t>
  </si>
  <si>
    <t>300 W 1st St, Alturas, CA 96101</t>
  </si>
  <si>
    <t>Alturas</t>
  </si>
  <si>
    <t>Rodger</t>
  </si>
  <si>
    <t>Elliot</t>
  </si>
  <si>
    <t>839 Embarcadero del Norte, Isla Vista, CA 93117</t>
  </si>
  <si>
    <t>knives</t>
  </si>
  <si>
    <t>Fryberg</t>
  </si>
  <si>
    <t>Jaylen</t>
  </si>
  <si>
    <t>5611 108th St NE, Marysville, WA 98271</t>
  </si>
  <si>
    <t>diabetes</t>
  </si>
  <si>
    <t>Roof</t>
  </si>
  <si>
    <t>Dylann</t>
  </si>
  <si>
    <t>110 Calhoun St, Charleston, SC 29401</t>
  </si>
  <si>
    <t>Abdulazeez</t>
  </si>
  <si>
    <t>Mohammad</t>
  </si>
  <si>
    <t>4051 Amnicola Hwy, Chattanooga, TN 37406</t>
  </si>
  <si>
    <t>Chattanooga</t>
  </si>
  <si>
    <t>load-bearing vest</t>
  </si>
  <si>
    <t>Harper-Mercer</t>
  </si>
  <si>
    <t>Chris</t>
  </si>
  <si>
    <t>1139 Umpqua College Rd Roseburg, OR 97470</t>
  </si>
  <si>
    <t>Hudson</t>
  </si>
  <si>
    <t>Tennesse Colony, Anderson County, TX</t>
  </si>
  <si>
    <t>Tennessee Colony</t>
  </si>
  <si>
    <t>Farook</t>
  </si>
  <si>
    <t>Syed Rizwan</t>
  </si>
  <si>
    <t>1365 S Waterman Ave, San Bernardino, CA 92408</t>
  </si>
  <si>
    <t>body armor, bombs</t>
  </si>
  <si>
    <t>Malik</t>
  </si>
  <si>
    <t>Tashfeen</t>
  </si>
  <si>
    <t>Dalton</t>
  </si>
  <si>
    <t>Jason</t>
  </si>
  <si>
    <t>5581 Cracker Barrel Blvd, Kalamazoo, MI 49009</t>
  </si>
  <si>
    <t>Kalamazoo</t>
  </si>
  <si>
    <t>1304 Franklin Ave, Wilkinsburg, PA 15221</t>
  </si>
  <si>
    <t>Wilkinsburg</t>
  </si>
  <si>
    <t>Mateen</t>
  </si>
  <si>
    <t>1912 South Orange Ave, Orlando, FL 32806</t>
  </si>
  <si>
    <t>Micah</t>
  </si>
  <si>
    <t>801 Main St, Dallas, TX 75202</t>
  </si>
  <si>
    <t>bombs, bulletproof vests at home</t>
  </si>
  <si>
    <t>Cetin</t>
  </si>
  <si>
    <t>Arcan</t>
  </si>
  <si>
    <t>201 Cascade Mall Dr., Burlington, WA 98233</t>
  </si>
  <si>
    <t>Burlington</t>
  </si>
  <si>
    <t>Initially tried to emulate James Holmes by shooting at a movie theater.</t>
  </si>
  <si>
    <t>Santiago</t>
  </si>
  <si>
    <t>Esteban</t>
  </si>
  <si>
    <t>100 Terminal Dr, Fort Lauderdale, FL 33315</t>
  </si>
  <si>
    <t>Fort Lauderdale</t>
  </si>
  <si>
    <t>Barber</t>
  </si>
  <si>
    <t>Briddell</t>
  </si>
  <si>
    <t>303 11th St, Yazoo City, MS 39194</t>
  </si>
  <si>
    <t>Yazoo City</t>
  </si>
  <si>
    <t>In 2016 he killed Justin Porter at a nightclub. In 2017 Porter's father shot two men he believed to be connected to his son's death.</t>
  </si>
  <si>
    <t>Nengmy</t>
  </si>
  <si>
    <t>1133 East Grand Ave, Rothschild, WI 54474</t>
  </si>
  <si>
    <t>Rothschild</t>
  </si>
  <si>
    <t>Neumann</t>
  </si>
  <si>
    <t>2427 Forsyth Rd # A, Orlando, FL 32807</t>
  </si>
  <si>
    <t>Paddock</t>
  </si>
  <si>
    <t>Stephen</t>
  </si>
  <si>
    <t>3950 S Las Vegas Blvd, Las Vegas, NV 89119</t>
  </si>
  <si>
    <t>significant allergies, arm injury, high blood pressure</t>
  </si>
  <si>
    <t>scopes, bump stocks, cameras, rifle supports</t>
  </si>
  <si>
    <t>Kelley</t>
  </si>
  <si>
    <t>Devin Patrick</t>
  </si>
  <si>
    <t>216 4th St, Sutherland Springs, TX 78161</t>
  </si>
  <si>
    <t>Sutherland Springs</t>
  </si>
  <si>
    <t>tactical gear, bulletproof vest</t>
  </si>
  <si>
    <t>Neal</t>
  </si>
  <si>
    <t>Kevin Janson</t>
  </si>
  <si>
    <t>17357 Stagecoach Rd, Corning, CA 96021</t>
  </si>
  <si>
    <t>Rancho Tehama Reserve</t>
  </si>
  <si>
    <t>military-style assault vest</t>
  </si>
  <si>
    <t>O'Brien Smith</t>
  </si>
  <si>
    <t>Timothy</t>
  </si>
  <si>
    <t>Ed's Car Wash on Indian Creek Valley Road in Melcroft, Saltlick Township</t>
  </si>
  <si>
    <t>Saltlick Township</t>
  </si>
  <si>
    <t>bulletproof vest shell (no panels)</t>
  </si>
  <si>
    <t>Cruz</t>
  </si>
  <si>
    <t>Nikolas</t>
  </si>
  <si>
    <t>5901 Pine Island Rd, Parkland, FL 33076</t>
  </si>
  <si>
    <t>Davis</t>
  </si>
  <si>
    <t>8940 Fenkell Ave, Detroit, MI 48238</t>
  </si>
  <si>
    <t>Detroit</t>
  </si>
  <si>
    <t>Reinking</t>
  </si>
  <si>
    <t>Travis</t>
  </si>
  <si>
    <t>3571 Murfreesboro Pike, Antioch, TN 95717</t>
  </si>
  <si>
    <t>Pagourtzis</t>
  </si>
  <si>
    <t>Dimitrios</t>
  </si>
  <si>
    <t>16000 Hwy 6, Santa Fe, TX 77517</t>
  </si>
  <si>
    <t>bombs</t>
  </si>
  <si>
    <t>Ramos</t>
  </si>
  <si>
    <t>Jarrod</t>
  </si>
  <si>
    <t>888 Bestgate Rd Annapolis, MD 21401</t>
  </si>
  <si>
    <t>Annapolis</t>
  </si>
  <si>
    <t>Casarez</t>
  </si>
  <si>
    <t>Javier</t>
  </si>
  <si>
    <t>660 Manwell Blvd, Bakersfield, CA 93307</t>
  </si>
  <si>
    <t>Bakersfield</t>
  </si>
  <si>
    <t>Bowers</t>
  </si>
  <si>
    <t>5898 Wilkins Ave, Pittsburgh, PA 15217</t>
  </si>
  <si>
    <t>Pittsburgh</t>
  </si>
  <si>
    <t>Long</t>
  </si>
  <si>
    <t>Ian David</t>
  </si>
  <si>
    <t>99 Rolling Oaks Dr., Thousand Oaks, CA 91361</t>
  </si>
  <si>
    <t>Thousand Oaks</t>
  </si>
  <si>
    <t>Xaver</t>
  </si>
  <si>
    <t>Zephen</t>
  </si>
  <si>
    <t>1901 US Hwy 27 S, Sebring, FL 33870</t>
  </si>
  <si>
    <t>Martin</t>
  </si>
  <si>
    <t>Gary</t>
  </si>
  <si>
    <t>401 S Highland Ave, Aurora, IL 60506</t>
  </si>
  <si>
    <t>Craddock</t>
  </si>
  <si>
    <t>DeWayne</t>
  </si>
  <si>
    <t>Municipal Center Building 10, 2425 Nimmo Pkwy, Virginia Beach, VA 23456</t>
  </si>
  <si>
    <t>Virginia Beach</t>
  </si>
  <si>
    <t>silencer</t>
  </si>
  <si>
    <t>Crusius</t>
  </si>
  <si>
    <t>7101 Gateway Blvd W, El Paso, TX 79925</t>
  </si>
  <si>
    <t>Betts</t>
  </si>
  <si>
    <t>Connor</t>
  </si>
  <si>
    <t>430 E 5th St, Dayton, OH 45402</t>
  </si>
  <si>
    <t>Dayton</t>
  </si>
  <si>
    <t>Occured 12 hours after the mass shooting in an El Paso Walmart.</t>
  </si>
  <si>
    <t>mask, body armor</t>
  </si>
  <si>
    <t>Ator</t>
  </si>
  <si>
    <t>Seth</t>
  </si>
  <si>
    <t>42nd Street, Odessa, TX</t>
  </si>
  <si>
    <t>Odessa</t>
  </si>
  <si>
    <t>School Performance</t>
  </si>
  <si>
    <t>School Performance Specified</t>
  </si>
  <si>
    <t>Birth Order</t>
  </si>
  <si>
    <t>Number of Siblings</t>
  </si>
  <si>
    <t>Older Siblings</t>
  </si>
  <si>
    <t>Younger Siblings</t>
  </si>
  <si>
    <t xml:space="preserve">Employment Type </t>
  </si>
  <si>
    <t>Miltary Branch</t>
  </si>
  <si>
    <t>Community Involvement</t>
  </si>
  <si>
    <t>Community Involvement Specified</t>
  </si>
  <si>
    <t>History of Physical Violence</t>
  </si>
  <si>
    <t>History of Domestic Abuse</t>
  </si>
  <si>
    <t>Domestic Abuse Type 1</t>
  </si>
  <si>
    <t xml:space="preserve">Domestic Abuse Type 2  </t>
  </si>
  <si>
    <t>Domestic Abuse Type 3</t>
  </si>
  <si>
    <t>History of Sexual Offenses</t>
  </si>
  <si>
    <t>Terror Group Affiliation</t>
  </si>
  <si>
    <t>Known Hate Group or Chat Room Affiliation</t>
  </si>
  <si>
    <t>Raised by Single Parent</t>
  </si>
  <si>
    <t>Childhood Trauma</t>
  </si>
  <si>
    <t>Childhood SES</t>
  </si>
  <si>
    <t>Adult Trauma</t>
  </si>
  <si>
    <t>Recent Breakup</t>
  </si>
  <si>
    <t>Recent Employment Change or Trouble</t>
  </si>
  <si>
    <t>Recent or Ongoing Stressor</t>
  </si>
  <si>
    <t>Inability to Perform Daily Tasks</t>
  </si>
  <si>
    <t>Rapid Mood Swings</t>
  </si>
  <si>
    <t>Increased Agitation</t>
  </si>
  <si>
    <t>Abusive Behavior</t>
  </si>
  <si>
    <t>Isolation</t>
  </si>
  <si>
    <t>Losing Touch with Reality</t>
  </si>
  <si>
    <t>Voluntary or Mandatory Counseling</t>
  </si>
  <si>
    <t>Treatment 6 Months Prior to Shooting</t>
  </si>
  <si>
    <t>Known Family Mental Health History</t>
  </si>
  <si>
    <t>Health Issues</t>
  </si>
  <si>
    <t>Health Issues - Specify</t>
  </si>
  <si>
    <t xml:space="preserve">Domestic Spillage </t>
  </si>
  <si>
    <t>Role of Psychosis in the Shooting</t>
  </si>
  <si>
    <t xml:space="preserve">Social Media Use </t>
  </si>
  <si>
    <t xml:space="preserve">Leakage </t>
  </si>
  <si>
    <t>Leakage 1 How</t>
  </si>
  <si>
    <t xml:space="preserve">Leakage 1 Who </t>
  </si>
  <si>
    <t xml:space="preserve">Leakage 1 Specific/Nonspecific </t>
  </si>
  <si>
    <t>Leakage 2 How</t>
  </si>
  <si>
    <t>Leakage 2 Who</t>
  </si>
  <si>
    <t xml:space="preserve">Leakage 2 Specific/Nonspecific </t>
  </si>
  <si>
    <t>Interest in Past Mass Violence</t>
  </si>
  <si>
    <t>Relationship with Other Shooting(s)</t>
  </si>
  <si>
    <t>Specify Relationship to Other Shooting(s)</t>
  </si>
  <si>
    <t>Legacy Token</t>
  </si>
  <si>
    <t>Pop Culture Connection</t>
  </si>
  <si>
    <t>Specify Pop Culture Connection</t>
  </si>
  <si>
    <t>Violent Video Games</t>
  </si>
  <si>
    <t>Total Firearms Brought to the Scene</t>
  </si>
  <si>
    <t xml:space="preserve">Assembled with Legal Parts </t>
  </si>
  <si>
    <t>Other Weapons or Gear</t>
  </si>
  <si>
    <t>Specify Other Weapons or Gear</t>
  </si>
  <si>
    <t>On-Scene Outcome</t>
  </si>
  <si>
    <t>1</t>
  </si>
  <si>
    <t>2</t>
  </si>
  <si>
    <t>5</t>
  </si>
  <si>
    <t>0</t>
  </si>
  <si>
    <t>3</t>
  </si>
  <si>
    <t>formerly an altar boy and Eagle Scout</t>
  </si>
  <si>
    <t>hatchet, hammer, knives, wrench, ropes, water, gasoline, matches, food and camping supplies</t>
  </si>
  <si>
    <t>.22-caliber pistol</t>
  </si>
  <si>
    <t>school board member, director of the local Boy Scout troop, hunted with friends</t>
  </si>
  <si>
    <t>.308-caliber Remington rifle</t>
  </si>
  <si>
    <t>.22-caliber Marlin semi-automatic rifle</t>
  </si>
  <si>
    <t>.44-caliber Magnum carbine rifle</t>
  </si>
  <si>
    <t xml:space="preserve"> </t>
  </si>
  <si>
    <t>.22-caliber semi-automatic rifle</t>
  </si>
  <si>
    <t xml:space="preserve">New Rochelle </t>
  </si>
  <si>
    <t/>
  </si>
  <si>
    <t>.22-caliber Marlin Model 60 semi-automatic rifle</t>
  </si>
  <si>
    <t>.35-caliber Marlin rifle</t>
  </si>
  <si>
    <t xml:space="preserve">0 </t>
  </si>
  <si>
    <t>9mm Luger semi-automatic pistol</t>
  </si>
  <si>
    <t>.30-caliber automatic rifle</t>
  </si>
  <si>
    <t>.38-caliber pistol</t>
  </si>
  <si>
    <t xml:space="preserve">NA </t>
  </si>
  <si>
    <t>12-gauge shotgun</t>
  </si>
  <si>
    <t>.38-caliber revolver</t>
  </si>
  <si>
    <t>9mm Smith &amp; Wesson Model 459 automatic pistol</t>
  </si>
  <si>
    <t xml:space="preserve">1
</t>
  </si>
  <si>
    <t xml:space="preserve">0
</t>
  </si>
  <si>
    <t>.38-caliber snub-nosed revolver</t>
  </si>
  <si>
    <t>.22-caliber rifle</t>
  </si>
  <si>
    <t>.357 Magnum revolver</t>
  </si>
  <si>
    <t>nice neighbor, regularly went to restaurants and talked to the staff and customers, participated in martial arts competitions</t>
  </si>
  <si>
    <t>.22-caliber Ruger sawed-off semi-automatic carbine rifle</t>
  </si>
  <si>
    <t>Handgun</t>
  </si>
  <si>
    <t>Fascinated with the Terminator movies. Saw The Terminator 23 times, including the night before the shooting, and talked about attacking the school in a similar manner to scenes from the movies.</t>
  </si>
  <si>
    <t>9mm Llama semi-automatic pistol</t>
  </si>
  <si>
    <t>leg cancer</t>
  </si>
  <si>
    <t>barely maintained a C average and repeated many courses due to untreated dyslexia, took 7 years to complete his degree</t>
  </si>
  <si>
    <t xml:space="preserve">head, back, and neck injuries  </t>
  </si>
  <si>
    <t>9mm Ruger P-89 pistol</t>
  </si>
  <si>
    <t>.25-caliber semi-automatic pistol</t>
  </si>
  <si>
    <t>Puppy Creek Family Fun Center
Zodiac Club</t>
  </si>
  <si>
    <t>9mm handgun</t>
  </si>
  <si>
    <t>9mm Glock semi-automatic pistol</t>
  </si>
  <si>
    <t>9mm pistol</t>
  </si>
  <si>
    <t xml:space="preserve">Aiken </t>
  </si>
  <si>
    <t>9mm Glock pistol</t>
  </si>
  <si>
    <t>1998</t>
  </si>
  <si>
    <t>37</t>
  </si>
  <si>
    <t xml:space="preserve">1 </t>
  </si>
  <si>
    <t>9mm Larson pistol</t>
  </si>
  <si>
    <t>12-gauge pump-action shotgun</t>
  </si>
  <si>
    <t>excelled, especially in math and science</t>
  </si>
  <si>
    <t>9mm Glock 17 pistol</t>
  </si>
  <si>
    <t>.357-caliber Magnum Smith &amp; Wesson revolver</t>
  </si>
  <si>
    <t>.38-caliber Charter Arms revolver</t>
  </si>
  <si>
    <t>9mm semi-automatic pistol</t>
  </si>
  <si>
    <t>9mm Beretta pistol</t>
  </si>
  <si>
    <t xml:space="preserve">Sash </t>
  </si>
  <si>
    <t>9mm Smith &amp; Wesson 915 pistol</t>
  </si>
  <si>
    <t>2008</t>
  </si>
  <si>
    <t>good student</t>
  </si>
  <si>
    <t>9</t>
  </si>
  <si>
    <t xml:space="preserve">2 </t>
  </si>
  <si>
    <t>.45-caliber Hi-Point pistol</t>
  </si>
  <si>
    <t>breathing problems, leg injury</t>
  </si>
  <si>
    <t xml:space="preserve">Hialeah </t>
  </si>
  <si>
    <t>.45-caliber Glock pistol</t>
  </si>
  <si>
    <t>4</t>
  </si>
  <si>
    <t>9mm Glock 19 pistol</t>
  </si>
  <si>
    <t>.45-caliber pistol</t>
  </si>
  <si>
    <t xml:space="preserve">Seattle 
</t>
  </si>
  <si>
    <t>9mm Springfield Armory XDM pistol</t>
  </si>
  <si>
    <t>32</t>
  </si>
  <si>
    <t xml:space="preserve">Marysville </t>
  </si>
  <si>
    <t>.40-caliber Beretta PX4 Storm pistol</t>
  </si>
  <si>
    <t>.45-caliber Glock 41 pistol</t>
  </si>
  <si>
    <t xml:space="preserve">Orlando </t>
  </si>
  <si>
    <t>2.32 GPA, 260th out of 393 students</t>
  </si>
  <si>
    <t>Bushmaster AR-15 semi-automatic rifle</t>
  </si>
  <si>
    <t>12-gauge Mossberg pump-action shotgun</t>
  </si>
  <si>
    <t>.50-caliber Smith &amp; Wesson 500 revolver</t>
  </si>
  <si>
    <t>.223-caliber AR-15 style rifle</t>
  </si>
  <si>
    <t>Anderson</t>
  </si>
  <si>
    <t>David</t>
  </si>
  <si>
    <t>223 Martin Luther King Dr, Jersey City, NJ 07305</t>
  </si>
  <si>
    <t>Graham</t>
  </si>
  <si>
    <t>Francine</t>
  </si>
  <si>
    <t>224 Martin Luther King Dr, Jersey City, NJ 07305</t>
  </si>
  <si>
    <t>Ferrill</t>
  </si>
  <si>
    <t>Modified</t>
  </si>
  <si>
    <t>Extended Magazine</t>
  </si>
  <si>
    <t>When Obtained</t>
  </si>
  <si>
    <t>Notes</t>
  </si>
  <si>
    <t>Remington 700 6mm bolt-action rifle</t>
  </si>
  <si>
    <t>Remington .35-caliber Model 141 pump-action rifle</t>
  </si>
  <si>
    <t>.30-caliber M1 carbine</t>
  </si>
  <si>
    <t>6.35mm Galesi-brescia pistol</t>
  </si>
  <si>
    <t>9mm Luger pistol</t>
  </si>
  <si>
    <t>.357 Magnum Smith &amp; Wesson revolver</t>
  </si>
  <si>
    <t>12-gauge Sears sawed-off shotgun</t>
  </si>
  <si>
    <t>.38-caliber Smith &amp; Wesson revolver</t>
  </si>
  <si>
    <t>.30-06 rifle</t>
  </si>
  <si>
    <t>.30-caliber M1 semi-automatic rifle</t>
  </si>
  <si>
    <t>.30-caliber Marlin carbine</t>
  </si>
  <si>
    <t>.22-caliber AR-7 automatic rifle with sawed-off barrel</t>
  </si>
  <si>
    <t>.30-30-caliber rifle</t>
  </si>
  <si>
    <t>5.56mm M-16 automatic rifle</t>
  </si>
  <si>
    <t>.223-caliber M-16 style semi-automatic rifle</t>
  </si>
  <si>
    <t>.44-caliber Magnum Ruger semi-automatic carbine rifle</t>
  </si>
  <si>
    <t>.30-30 carbine rifle</t>
  </si>
  <si>
    <t>.223-caliber AR-15 rifle with bayonet and scope</t>
  </si>
  <si>
    <t>.30-caliber M1 carbine rifle with bayonet</t>
  </si>
  <si>
    <t>.22-caliber pearl-handled pistol</t>
  </si>
  <si>
    <t>.30-caliber M1 carbine rifle</t>
  </si>
  <si>
    <t>.25-caliber automatic pistol</t>
  </si>
  <si>
    <t>12-gauge Mossberg 500 Persuader pump-action shotgun</t>
  </si>
  <si>
    <t>.223-caliber Ruger Mini-14 semi-automatic rifle with collapsible stock, silencer</t>
  </si>
  <si>
    <t>.22-caliber pistol with silencer</t>
  </si>
  <si>
    <t>Pistol</t>
  </si>
  <si>
    <t>.357 Magnum Smith &amp; Wesson stainless steel revolver</t>
  </si>
  <si>
    <t>.22-caliber revolver</t>
  </si>
  <si>
    <t>.357 Smith &amp; Wesson blue steel revolver</t>
  </si>
  <si>
    <t>Remington 870 shotgun</t>
  </si>
  <si>
    <t xml:space="preserve">Large-caliber Rolling Block replica single-shot rifle </t>
  </si>
  <si>
    <t>9mm Israeli Military Industries Uzi Model A carbine</t>
  </si>
  <si>
    <t>12-gauge Winchester 1200 pump-action shotgun</t>
  </si>
  <si>
    <t>9mm Browning P-35 Hi-Power pistol</t>
  </si>
  <si>
    <t>.45-caliber Colt pistol</t>
  </si>
  <si>
    <t>12-gauge Smith &amp; Wesson shotgun</t>
  </si>
  <si>
    <t>.45-caliber Remington pistol</t>
  </si>
  <si>
    <t>.45-caliber Colt semi-automatic pistol</t>
  </si>
  <si>
    <t>.223-caliber Ruger Mini-14 semi-automatic rifle</t>
  </si>
  <si>
    <t>.357-caliber Ruger Blackhawk revolver</t>
  </si>
  <si>
    <t>20-gauge Winchester pump-action shotgun</t>
  </si>
  <si>
    <t>Sentinel revolver</t>
  </si>
  <si>
    <t>9mm Browning semi-automatic pistol</t>
  </si>
  <si>
    <t>12-gauge Benelli Riot semi-automatic shotgun</t>
  </si>
  <si>
    <t>Smith &amp; Wesson pistol</t>
  </si>
  <si>
    <t>.22-250 rifle with scope</t>
  </si>
  <si>
    <t>Pump-action shotgun</t>
  </si>
  <si>
    <t>Semiautomatic pistol</t>
  </si>
  <si>
    <t xml:space="preserve">7.62mm Norinco 56S AK-47 style semi-automatic rifle </t>
  </si>
  <si>
    <t>9mm Taurus pistol</t>
  </si>
  <si>
    <t>.380-caliber Intratec MAC-11 semi-automatic machine pistol</t>
  </si>
  <si>
    <t>.38-caliber snub-nose revolver</t>
  </si>
  <si>
    <t>9mm Sig-Sauer pistol</t>
  </si>
  <si>
    <t>7.62mm AK-47 semi-automatic rifle</t>
  </si>
  <si>
    <t>.30-caliber Univeral M1 carbine rifle</t>
  </si>
  <si>
    <t>.38-caliber Smith &amp; Wesson Model 36 revolver</t>
  </si>
  <si>
    <t>James Pough killed someone years before but the judge withheld a guilty verdict as long as he completed probation, which he did. Under state law, he was not considered a convicted felon, but under federal law he should have been. There was a loophole: the purchases were legal under state law, but the state law did not comply with federal law. Because he was not a convicted felon in the state database he was able to buy guns.</t>
  </si>
  <si>
    <t>9mm machine pistol</t>
  </si>
  <si>
    <t>.22-caliber MAC 10 machine gun with silencer</t>
  </si>
  <si>
    <t>9mm Uzi machine pistol</t>
  </si>
  <si>
    <t>9mm Glock 17 semi-automatic pistol</t>
  </si>
  <si>
    <t>9mm Ruger P89 pistol</t>
  </si>
  <si>
    <t>.38-caliber snub-nose Taurus revolver</t>
  </si>
  <si>
    <t>.22-caliber rifle with stock sawed-off and pistol grip</t>
  </si>
  <si>
    <t>12-gauge Maverick pump-action shotgun</t>
  </si>
  <si>
    <t>.32-caliber revolver</t>
  </si>
  <si>
    <t>.45-caliber Norinco Model 1911A1 pistol</t>
  </si>
  <si>
    <t>9mm Intratec Tec-DC9 semi-automatic machine pistol</t>
  </si>
  <si>
    <t>.44 Magnum Smith &amp; Wesson Classic revolver</t>
  </si>
  <si>
    <t>.300-caliber Browning rifle with scope</t>
  </si>
  <si>
    <t>.223-caliber Ruger Mini-14 rifle</t>
  </si>
  <si>
    <t>7.62mm MAK-90 AK-47 style rifle</t>
  </si>
  <si>
    <t>9mm Ruger pistol</t>
  </si>
  <si>
    <t>9mm CZ Model 85 pistol</t>
  </si>
  <si>
    <t>.45-caliber semi-automatic pistol</t>
  </si>
  <si>
    <t>Ingram MAC-11 machine pistol</t>
  </si>
  <si>
    <t>9mm Intratec TEC-9 automatic pistol</t>
  </si>
  <si>
    <t>.223-caliber Colt AR-15 rifle</t>
  </si>
  <si>
    <t>9mm Ruger P85 pistol</t>
  </si>
  <si>
    <t>.32-caliber handgun</t>
  </si>
  <si>
    <t>.22-caliber gun</t>
  </si>
  <si>
    <t>7.62mm AK47S semi-automatic rifle with pistol grip</t>
  </si>
  <si>
    <t>Shotgun</t>
  </si>
  <si>
    <t>67, 68</t>
  </si>
  <si>
    <t>Golden, Johnson</t>
  </si>
  <si>
    <t>Andrew, Mitchell</t>
  </si>
  <si>
    <t>.380-caliber FIE pistol</t>
  </si>
  <si>
    <t>.30-06 Remington 742 rifle with scope</t>
  </si>
  <si>
    <t>.380-caliber Star pistol</t>
  </si>
  <si>
    <t>.30-caliber Universal M1 carbine replica rifle</t>
  </si>
  <si>
    <t>.357-caliber Ruger Security Six revolver</t>
  </si>
  <si>
    <t>.22-caliber Double Deuce Buddie two-shot derringer</t>
  </si>
  <si>
    <t>.44 Magnum Ruger rifle</t>
  </si>
  <si>
    <t>.38-caliber Davis Industries two-shot derringer</t>
  </si>
  <si>
    <t>.22-caliber Ruger semi-automatic rifle</t>
  </si>
  <si>
    <t>.22-caliber Ruger pistol</t>
  </si>
  <si>
    <t>71, 72</t>
  </si>
  <si>
    <t>Klebold, Harris</t>
  </si>
  <si>
    <t>Dylan, Eric</t>
  </si>
  <si>
    <t>12 gauge Savage Springfield 67H pump-action sawed-off shotgun</t>
  </si>
  <si>
    <t>12-gauge Savage 311D double-barreled sawed-off shotgun</t>
  </si>
  <si>
    <t>9mm Hi-Point 995 carbine</t>
  </si>
  <si>
    <t>9mm Intratec Tec-DC9 machine pistol</t>
  </si>
  <si>
    <t>.45-caliber Colt 1911 A-1 pistol</t>
  </si>
  <si>
    <t>.22 Harrington &amp; Richardson revolver</t>
  </si>
  <si>
    <t>.25-caliber Raven Arms pistol</t>
  </si>
  <si>
    <t>.380-caliber AMT semi-automatic pistol</t>
  </si>
  <si>
    <t>9mm Ruger P85 semi-automatic pistol</t>
  </si>
  <si>
    <t>9mm Lorcin semi-automatic pistol</t>
  </si>
  <si>
    <t>12-gauge Winchester 1300 pump-action shotgun</t>
  </si>
  <si>
    <t>AK-47 style semi-automatic rifle</t>
  </si>
  <si>
    <t>.32-caliber Spanish Retolaza pistol</t>
  </si>
  <si>
    <t>.460-caliber Magnum Weatherby Mark V bolt-action rifle with scope</t>
  </si>
  <si>
    <t>Revolver</t>
  </si>
  <si>
    <t>.30-30 Marlin rifle with scope</t>
  </si>
  <si>
    <t>7.62mm SKS 1954R rifle</t>
  </si>
  <si>
    <t>.38-caliber special revolver</t>
  </si>
  <si>
    <t>Remington H70 shotgun</t>
  </si>
  <si>
    <t>12-gauge sawed-off shotgun</t>
  </si>
  <si>
    <t>.22-caliber Magnum derringer</t>
  </si>
  <si>
    <t>.45-caliber Ruger pistol</t>
  </si>
  <si>
    <t>.22-caliber rifle with scope</t>
  </si>
  <si>
    <t>.380-caliber Walther PP pistol</t>
  </si>
  <si>
    <t>7.62mm SKS AK-47 style semi-automatic rifle</t>
  </si>
  <si>
    <t>Glock pistol</t>
  </si>
  <si>
    <t>.40-caliber Glock 23 pistol</t>
  </si>
  <si>
    <t>12-gauge Remington 870 pump-action shotgun</t>
  </si>
  <si>
    <t>.22-caliber Ruger MK II pistol</t>
  </si>
  <si>
    <t>.40-caliber Ruger P-94 pistol</t>
  </si>
  <si>
    <t>.223-caliber Bushmaster XM15 AR-15 style rifle</t>
  </si>
  <si>
    <t>12-gauge Winchester Defender 1300 pump-action shotgun with a pistol grip</t>
  </si>
  <si>
    <t>12-gauge Browning shotgun</t>
  </si>
  <si>
    <t>9mm Springfield Arms semi-automatic pistol</t>
  </si>
  <si>
    <t>.30-06 Ruger bolt-action rifle</t>
  </si>
  <si>
    <t>Mossberg Maverick Arms M88 shotgun with a pistol grip</t>
  </si>
  <si>
    <t>.38 Special Smith &amp; Wesson M36 revolver</t>
  </si>
  <si>
    <t>Seung-Hui Cho had been ordered to get mental treatment by a judge and so shouldn’t have been eligible to buy a gun under federal law. VA worded their statute differently so that it did not apply to his situation, and he was still able to legally buy guns with a background check.</t>
  </si>
  <si>
    <t>.22-caliber Walther P22 pistol</t>
  </si>
  <si>
    <t>7.62mm WASR-10 Century Arms AK-47 style semi-automatic rifle</t>
  </si>
  <si>
    <t>.40-caliber Beretta pistol</t>
  </si>
  <si>
    <t>9mm Springfield Armory pistol</t>
  </si>
  <si>
    <t>AK-47 rifle</t>
  </si>
  <si>
    <t>.40-caliber Smith &amp; Wesson semi-automatic pistol</t>
  </si>
  <si>
    <t>.44-caliber Magnum Smith &amp; Wesson revolver</t>
  </si>
  <si>
    <t>9mm short Kurz SIG Sauer P232 pistol</t>
  </si>
  <si>
    <t>12-gauge Remington Sportsman 48 sawed-off shotgun</t>
  </si>
  <si>
    <t>.380-caliber Hi-Point CF380 pistol</t>
  </si>
  <si>
    <t>Winchester lever-action rifle</t>
  </si>
  <si>
    <t>Winchester 1300 pump-action shotgun</t>
  </si>
  <si>
    <t>.22-caliber handgun</t>
  </si>
  <si>
    <t>9mm Beretta 92FS pistol with laser sight</t>
  </si>
  <si>
    <t>.45-caliber Beretta PX4 Storm pistol</t>
  </si>
  <si>
    <t>High-powered assault rifle</t>
  </si>
  <si>
    <t>5.7mm FN Herstal Five-seveN pistol with laser sight</t>
  </si>
  <si>
    <t>.38-caliber Smith &amp; Wesson double action revolver</t>
  </si>
  <si>
    <t>9mm Glock 17 Luger pistol</t>
  </si>
  <si>
    <t>.40-caliber Glock pistol</t>
  </si>
  <si>
    <t>9mm Ruger SR9 pistol</t>
  </si>
  <si>
    <t>.45-caliber Hi-Point ACP pistol</t>
  </si>
  <si>
    <t>.357 Magnum six-shot revolver</t>
  </si>
  <si>
    <t>7.62mm Norinco MAK-90 AK-47 style rifle modified to full automatic</t>
  </si>
  <si>
    <t>7.62mm Romarm GP-WASR-10 semi-automatic rifle</t>
  </si>
  <si>
    <t>9mm Glock 26</t>
  </si>
  <si>
    <t>.38-caliber Colt Agent revolver</t>
  </si>
  <si>
    <t>.44 Magnum Smith &amp; Wesson revolver</t>
  </si>
  <si>
    <t>.45-caliber Heckler &amp; Koch pistol</t>
  </si>
  <si>
    <t>9mm Springfield pistol</t>
  </si>
  <si>
    <t>12-gauge pump-action Remington 870 shotgun</t>
  </si>
  <si>
    <t>.223 Smith &amp; Wesson M&amp;P15 AR-15 style rifle</t>
  </si>
  <si>
    <t>5.56mm Bushmaster XM15-E2S AR-15 style semi-automatic rifle</t>
  </si>
  <si>
    <t>10mm Glock 20 pistol</t>
  </si>
  <si>
    <t>9mm SIG Sauer P226 pistol</t>
  </si>
  <si>
    <t>.22-caliber Savage Mark II bolt-action rifle</t>
  </si>
  <si>
    <t>12-gauge Izhmash Saiga semi-automatic shotgun</t>
  </si>
  <si>
    <t>.40-caliber Taurus pistol</t>
  </si>
  <si>
    <t>Mossberg 500 shotgun with pistol grip</t>
  </si>
  <si>
    <t>.223-caliber AR-15 style semi-automatic rifle assembled from parts</t>
  </si>
  <si>
    <t>.44-caliber antique black powder pistol modified to shoot .45-caliber bullets</t>
  </si>
  <si>
    <t>12-gauge Remington 870 Express sawed-off shotgun</t>
  </si>
  <si>
    <t>9mm Beretta semi-automatic pistol</t>
  </si>
  <si>
    <t>9mm Glock 34 Long Slide pistol</t>
  </si>
  <si>
    <t>9mm SIG Sauer P226R pistol</t>
  </si>
  <si>
    <t>7.62mm AK-47 style semi-automatic rifle</t>
  </si>
  <si>
    <t>12-gauge Saiga 12 semi-automatic shotgun with pistol grip</t>
  </si>
  <si>
    <t>9mm Smith &amp; Wesson pistol</t>
  </si>
  <si>
    <t>.40-caliber Smith &amp; Wesson 99 pistol</t>
  </si>
  <si>
    <t>5.56x45mm Del-Ton DTI15 AR-15 style rifle</t>
  </si>
  <si>
    <t>.40-caliber Taurus PT24/7 pistol</t>
  </si>
  <si>
    <t>.38-caliber Smith &amp; Wesson M624-2 revolver</t>
  </si>
  <si>
    <t>.380-caliber HiPoint pistol</t>
  </si>
  <si>
    <t>Hunting rifle</t>
  </si>
  <si>
    <t>.40-caliber Smith &amp; Wesson handgun</t>
  </si>
  <si>
    <t>142, 143</t>
  </si>
  <si>
    <t>Farook, Malik</t>
  </si>
  <si>
    <t>Syed Rizwan, Tashfeen</t>
  </si>
  <si>
    <t>.223-caliber DPMS A-15 AR-15 style rifle</t>
  </si>
  <si>
    <t>.223-caliber Smith &amp; Wesson M&amp;P15 AR-15 style rifle</t>
  </si>
  <si>
    <t>9mm Llama pistol</t>
  </si>
  <si>
    <t>9mm Walther P99 pistol</t>
  </si>
  <si>
    <t>.223-caliber Sig Sauer MCX AR-15 style semi-automatic rifle</t>
  </si>
  <si>
    <t>Saiga AK-74 assault rifle with red dot optic</t>
  </si>
  <si>
    <t>.22-caliber Ruger 10/22 rifle</t>
  </si>
  <si>
    <t>9mm Walther semi-automatic pistol</t>
  </si>
  <si>
    <t>7mm Browning rifle</t>
  </si>
  <si>
    <t>.223-caliber Christensen Arms CA-15 AR-15 Wylde with bump stock, vertical fore grip</t>
  </si>
  <si>
    <t>.223-caliber Colt Competition AR-15 with bump stock, vertical fore grip</t>
  </si>
  <si>
    <t>.223-caliber Colt M4 carbine AR-15 with bump stock, vertical fore grip, front sight</t>
  </si>
  <si>
    <t>.223-caliber Colt M4 carbine AR-15 with bump stock, vertical fore grip</t>
  </si>
  <si>
    <t>.223-caliber Daniel Defense DDM4V11 AR-15 with bump stock, vertical fore grip, EOTech optic</t>
  </si>
  <si>
    <t>.223-caliber Daniel Defense M4A1 AR-15 with bump stock, vertical fore grip, EOTech optic</t>
  </si>
  <si>
    <t>.308-caliber Daniel Defense DD5V1 AR-10 with bipod, scope</t>
  </si>
  <si>
    <t>.223-caliber FNH FN15 AR-15 with bump stock, vertical fore grip, EOTech optic</t>
  </si>
  <si>
    <t>.223-caliber FNH FN15 AR-15 with bump stock, vertical fore grip</t>
  </si>
  <si>
    <t>.308-caliber FNH FM15 AR-10 with bipod, scope</t>
  </si>
  <si>
    <t>.308-caliber LMT LM308MWS AR-10 with bipod, scope</t>
  </si>
  <si>
    <t>.223-caliber LMT Def. 2000 AR-15 with bump stock, vertical fore grip</t>
  </si>
  <si>
    <t>.308-caliber LMT LM308MWS AR-10 with bipod, red dot scope</t>
  </si>
  <si>
    <t>.223-caliber LWRC M61C AR-15 with bump stock, vertical fore grip</t>
  </si>
  <si>
    <t>.223-caliber LWRC M61C AR-15 with bump stock, vertical fore grip, EOTech optic</t>
  </si>
  <si>
    <t>.223-caliber Noveske Rifleworks N4 AR-15 with bump stock, vertical fore grip, EOTech optic</t>
  </si>
  <si>
    <t>.223-caliber POF USA P15 AR-15 with bump stock, vertical fore grip</t>
  </si>
  <si>
    <t>.223-caliber POF USA P15 AR-15 with bump stock, vertical fore grip, EOTech optic</t>
  </si>
  <si>
    <t>.308-caliber POF USA P-308 AR-10 with bipod and scope</t>
  </si>
  <si>
    <t>.308-caliber Ruger American bolt-action rifle with scope</t>
  </si>
  <si>
    <t>.308-caliber Ruger SR0762 AR-10 with bipod, scope</t>
  </si>
  <si>
    <t>.308-caliber Sig Sauer SIG716 AR-10 with bipod, red dot optic</t>
  </si>
  <si>
    <t>.38-caliber Smith &amp; Wesson 342 AirLite revolver</t>
  </si>
  <si>
    <t>.223-caliber Ruger AR-556 AR-15 style rifle</t>
  </si>
  <si>
    <t>.22-caliber Ruger SR22 pistol</t>
  </si>
  <si>
    <t>AR-15 style semi-automatic rifle assembled from parts</t>
  </si>
  <si>
    <t>.223-caliber AR-15 semi-automatic rifle</t>
  </si>
  <si>
    <t>.308-caliber rifle</t>
  </si>
  <si>
    <t>12-gauge Remington 870 short-barreled shotgun</t>
  </si>
  <si>
    <t>.38-caliber Rossi revolver</t>
  </si>
  <si>
    <t>Colt AR-15 semi-automatic rifle</t>
  </si>
  <si>
    <t>Glock .357 pistol</t>
  </si>
  <si>
    <t>.45-caliber Glock 21 pistol</t>
  </si>
  <si>
    <t>.45-caliber Glock 21 pistol with sound suppressor</t>
  </si>
  <si>
    <t>7.62mm WASR-10 AK-47 style rifle</t>
  </si>
  <si>
    <t>.223-caliber Anderson AM-15 pistol modified to function like an AR-15 rifle</t>
  </si>
  <si>
    <t>172, 173</t>
  </si>
  <si>
    <t>Anderson, Graham</t>
  </si>
  <si>
    <t>David, Francine</t>
  </si>
  <si>
    <t>AR-15 style rifle</t>
  </si>
  <si>
    <t>12-gauge Mossberg shotgun</t>
  </si>
  <si>
    <t>9mm Ruger semi-automatic pistol</t>
  </si>
  <si>
    <t>.22-caliber Ruger Mark IV pistol with homemade silencer</t>
  </si>
  <si>
    <t>Handgun with silencer</t>
  </si>
  <si>
    <t>Victim Name</t>
  </si>
  <si>
    <t>Kathleen "Kathy" Whitman</t>
  </si>
  <si>
    <t>wife</t>
  </si>
  <si>
    <t>Margaret Whitman</t>
  </si>
  <si>
    <t>mother</t>
  </si>
  <si>
    <t>Martin "Mark" Gabour</t>
  </si>
  <si>
    <t>Marguerite Lamport</t>
  </si>
  <si>
    <t>Edna Elizabeth Townsley</t>
  </si>
  <si>
    <t>employee on campus</t>
  </si>
  <si>
    <t>Thomas Frederick Eckman</t>
  </si>
  <si>
    <t>student</t>
  </si>
  <si>
    <t>Robert Hamilton Boyer</t>
  </si>
  <si>
    <t>visiting professor</t>
  </si>
  <si>
    <t>Thomas Aquinas Ashton</t>
  </si>
  <si>
    <t>Karen Griffith</t>
  </si>
  <si>
    <t>Thomas Ray Karr</t>
  </si>
  <si>
    <t>Claudia Rutt</t>
  </si>
  <si>
    <t>Paul Bolton Sonntag</t>
  </si>
  <si>
    <t>Billy Paul Speed</t>
  </si>
  <si>
    <t>Roy Dell Schmidt</t>
  </si>
  <si>
    <t>Harry Walchuk</t>
  </si>
  <si>
    <t>Joyce Sellers</t>
  </si>
  <si>
    <t>Debra Sellers</t>
  </si>
  <si>
    <t>Glenda Carter</t>
  </si>
  <si>
    <t>Mary Olsen</t>
  </si>
  <si>
    <t>Carol Farmer</t>
  </si>
  <si>
    <t>Allen E. Barrett Jr.</t>
  </si>
  <si>
    <t>coworker</t>
  </si>
  <si>
    <t>Richard Davenport</t>
  </si>
  <si>
    <t>Donald V. Walden</t>
  </si>
  <si>
    <t>Carmen H. Edwards</t>
  </si>
  <si>
    <t>supervisor</t>
  </si>
  <si>
    <t>Elmer Weaver</t>
  </si>
  <si>
    <t>Floyd Quiggle</t>
  </si>
  <si>
    <t>neighbor</t>
  </si>
  <si>
    <t>Vienna Gustafson</t>
  </si>
  <si>
    <t>Raymond Hautala</t>
  </si>
  <si>
    <t>owned a service station that Pearson picked up orders from</t>
  </si>
  <si>
    <t>Sally Johnson</t>
  </si>
  <si>
    <t>Rudolph Maurin</t>
  </si>
  <si>
    <t>Helvi Puisto (Mrs. Axel Puisto)</t>
  </si>
  <si>
    <t>Katherine Rigoni</t>
  </si>
  <si>
    <t>Daniel Weiss</t>
  </si>
  <si>
    <t>Ignatius Keenan</t>
  </si>
  <si>
    <t>Ruby Keenan</t>
  </si>
  <si>
    <t>Annette Lambright</t>
  </si>
  <si>
    <t>Vincent Saitta</t>
  </si>
  <si>
    <t>Sandra L Peters</t>
  </si>
  <si>
    <t>Patricia Chromik</t>
  </si>
  <si>
    <t>Linda D. Willis</t>
  </si>
  <si>
    <t>Melvin D. Harrison Jr.</t>
  </si>
  <si>
    <t>James G. Henry</t>
  </si>
  <si>
    <t>Jackie Wharton</t>
  </si>
  <si>
    <t>Joseph Boyd</t>
  </si>
  <si>
    <t>Robert Bartone</t>
  </si>
  <si>
    <t>Joseph A. DePalma</t>
  </si>
  <si>
    <t>Theodore G Hall</t>
  </si>
  <si>
    <t>Charles Merkel</t>
  </si>
  <si>
    <t>Stephen B. Robinson</t>
  </si>
  <si>
    <t>Frank Schneider</t>
  </si>
  <si>
    <t>Walter Sherwood Collins</t>
  </si>
  <si>
    <t>Paul Persigo</t>
  </si>
  <si>
    <t>Phillip Coleman</t>
  </si>
  <si>
    <t>Robert Vernon Steagall Jr</t>
  </si>
  <si>
    <t>Louis Joseph Sirgo</t>
  </si>
  <si>
    <t>Gordon Knott</t>
  </si>
  <si>
    <t>Shirley Gail Knott</t>
  </si>
  <si>
    <t>Ella Beam</t>
  </si>
  <si>
    <t>Percy Harmon</t>
  </si>
  <si>
    <t>Barbara Harmon</t>
  </si>
  <si>
    <t>Paul F. Herzberg</t>
  </si>
  <si>
    <t>Bruce Jacobson</t>
  </si>
  <si>
    <t>Seth Fessenden</t>
  </si>
  <si>
    <t>Frank Teplansky</t>
  </si>
  <si>
    <t>Donald Karges</t>
  </si>
  <si>
    <t>Deborah Paulsen</t>
  </si>
  <si>
    <t>Stephen Becker</t>
  </si>
  <si>
    <t>Joseph Hicks</t>
  </si>
  <si>
    <t>Frederick Holmes</t>
  </si>
  <si>
    <t>James Green</t>
  </si>
  <si>
    <t>Pariyarathu Varghese</t>
  </si>
  <si>
    <t>Allen McLeod</t>
  </si>
  <si>
    <t>Gary Lee Anderson</t>
  </si>
  <si>
    <t>Michael Mortenson</t>
  </si>
  <si>
    <t>Robert David Seater</t>
  </si>
  <si>
    <t>Carrol Ann Seater</t>
  </si>
  <si>
    <t>James L Trueman</t>
  </si>
  <si>
    <t>Andrew Lane Walker</t>
  </si>
  <si>
    <t>Jeffrey L Gianquitti</t>
  </si>
  <si>
    <t>William Nagle</t>
  </si>
  <si>
    <t>Clifford C. Sowers</t>
  </si>
  <si>
    <t>Robert Visconti</t>
  </si>
  <si>
    <t>Stephen Werner</t>
  </si>
  <si>
    <t>Robert Lee</t>
  </si>
  <si>
    <t>boss</t>
  </si>
  <si>
    <t>John O'Dell</t>
  </si>
  <si>
    <t>Danny Linn</t>
  </si>
  <si>
    <t>Dorothy Johnston</t>
  </si>
  <si>
    <t>Cecila G. Bagity</t>
  </si>
  <si>
    <t>died of a heart attack during the shooting</t>
  </si>
  <si>
    <t>Randy Wayne Steele</t>
  </si>
  <si>
    <t>Kathleen Lynn Austin</t>
  </si>
  <si>
    <t>Marianne Laweka</t>
  </si>
  <si>
    <t>Jana L. Carpenter</t>
  </si>
  <si>
    <t>Fredrick Bergford</t>
  </si>
  <si>
    <t>Gene Gandy</t>
  </si>
  <si>
    <t>Mary Regina "Gina" Linam</t>
  </si>
  <si>
    <t>James Y. "Red" McDaniel</t>
  </si>
  <si>
    <t>usher at church King used to attend</t>
  </si>
  <si>
    <t>Thelma Richardson</t>
  </si>
  <si>
    <t>Kenneth Truitt</t>
  </si>
  <si>
    <t>usher at church that King used to attend</t>
  </si>
  <si>
    <t>Lois Sima</t>
  </si>
  <si>
    <t>Joseph A. Olinger</t>
  </si>
  <si>
    <t>Andrew Price</t>
  </si>
  <si>
    <t>Dorothy Glaser</t>
  </si>
  <si>
    <t>John William Cooper</t>
  </si>
  <si>
    <t>Lori J. Cunningham</t>
  </si>
  <si>
    <t>Robert E. Hamblin</t>
  </si>
  <si>
    <t>Allen L. Wilcox</t>
  </si>
  <si>
    <t>Roger Click</t>
  </si>
  <si>
    <t>friend</t>
  </si>
  <si>
    <t>Rufus Hamilton</t>
  </si>
  <si>
    <t>Roger Hatfield</t>
  </si>
  <si>
    <t>Garvey Hamilton</t>
  </si>
  <si>
    <t>Michael Halbert</t>
  </si>
  <si>
    <t>Joseph Dean Kimler</t>
  </si>
  <si>
    <t>Vern J. Sylvester</t>
  </si>
  <si>
    <t>Sabrina Lynn Imlach</t>
  </si>
  <si>
    <t>Rebecca Dawn Phillips</t>
  </si>
  <si>
    <t>Dave Bahl</t>
  </si>
  <si>
    <t xml:space="preserve">customer </t>
  </si>
  <si>
    <t>Wyvonne Kohler</t>
  </si>
  <si>
    <t>Martin Douglas Moran</t>
  </si>
  <si>
    <t>Moody Charles Smith</t>
  </si>
  <si>
    <t>Richard Svoboda</t>
  </si>
  <si>
    <t>Eddie Eugene Ulrich</t>
  </si>
  <si>
    <t>Nelson Barrios</t>
  </si>
  <si>
    <t>Brown visited the shop where he worked the day before</t>
  </si>
  <si>
    <t>Loni Jeffries</t>
  </si>
  <si>
    <t>Carl Lee</t>
  </si>
  <si>
    <t>Ernestine Moore</t>
  </si>
  <si>
    <t>Brown visited the shop where she worked the day before</t>
  </si>
  <si>
    <t>Magnum Moore</t>
  </si>
  <si>
    <t>Martha Steelman</t>
  </si>
  <si>
    <t>Juan Tres Palacios</t>
  </si>
  <si>
    <t>Pedro Vasquez</t>
  </si>
  <si>
    <t>Christine Leacock</t>
  </si>
  <si>
    <t>Jacob Zimmer</t>
  </si>
  <si>
    <t>landlord/boss</t>
  </si>
  <si>
    <t>Unidentified male</t>
  </si>
  <si>
    <t>possible romantic rival</t>
  </si>
  <si>
    <t>Unidentified female</t>
  </si>
  <si>
    <t>goddaughter</t>
  </si>
  <si>
    <t>Maxine Beverly Edwards</t>
  </si>
  <si>
    <t>Florence Evelyn "Flo" Hegland</t>
  </si>
  <si>
    <t>Lester E. "Les" Hegland</t>
  </si>
  <si>
    <t>Harley King</t>
  </si>
  <si>
    <t>Amy Lou Nash</t>
  </si>
  <si>
    <t>Charles Timothy "Tim" Nash</t>
  </si>
  <si>
    <t>Ann M. Bennatt</t>
  </si>
  <si>
    <t>James Aubry Bennatt</t>
  </si>
  <si>
    <t>Russell Lynn Boyd</t>
  </si>
  <si>
    <t>Esther Garza</t>
  </si>
  <si>
    <t>sister-in-law</t>
  </si>
  <si>
    <t>Juan Garza</t>
  </si>
  <si>
    <t>brother-in-law</t>
  </si>
  <si>
    <t>Allie Wilkins</t>
  </si>
  <si>
    <t>Fred Burk</t>
  </si>
  <si>
    <t>possibly met before shooting</t>
  </si>
  <si>
    <t>Larry Joe McVey</t>
  </si>
  <si>
    <t>Dale Kevin Madajski</t>
  </si>
  <si>
    <t>Joyce Klein</t>
  </si>
  <si>
    <t>Lyman Klein</t>
  </si>
  <si>
    <t>Marshall Klein</t>
  </si>
  <si>
    <t>Albert Moulton Hagen Jr.</t>
  </si>
  <si>
    <t>Troy Lynn Duncan</t>
  </si>
  <si>
    <t>Marcell Mae Ford</t>
  </si>
  <si>
    <t>ex-girlfriend</t>
  </si>
  <si>
    <t>Ligia Kozlowski</t>
  </si>
  <si>
    <t>Linda Lowe</t>
  </si>
  <si>
    <t>Joseph John Minasi</t>
  </si>
  <si>
    <t>Frank Parker</t>
  </si>
  <si>
    <t>Janice Smith</t>
  </si>
  <si>
    <t>Elsa Herlinda Borboa-Firro</t>
  </si>
  <si>
    <t>Neva Denise Caine</t>
  </si>
  <si>
    <t>Michelle Deanne Carncross</t>
  </si>
  <si>
    <t>María Elena Colmenero-Silva</t>
  </si>
  <si>
    <t>David Flores Delgado</t>
  </si>
  <si>
    <t>Gloria López González</t>
  </si>
  <si>
    <t>Omarr Alonso Hernandez</t>
  </si>
  <si>
    <t>Blythe Regan Herrera</t>
  </si>
  <si>
    <t>Matao Herrera</t>
  </si>
  <si>
    <t>Paulina Aquino López</t>
  </si>
  <si>
    <t>Margarita Padilla</t>
  </si>
  <si>
    <t>Claudia Pérez Fuentes</t>
  </si>
  <si>
    <t>Jose Rubén Lozano-Pérez</t>
  </si>
  <si>
    <t>Carlos Reyes Jr.</t>
  </si>
  <si>
    <t>Jackie Lynn Wright Reyes</t>
  </si>
  <si>
    <t>Victor Maxmillian Rivera</t>
  </si>
  <si>
    <t>Miguel Victoria-Ulloa</t>
  </si>
  <si>
    <t>Arisdelsi Vuelvas-Vargas</t>
  </si>
  <si>
    <t>Hugo Luis Velázquez Vazquez</t>
  </si>
  <si>
    <t>Alicia Aida Velázquez Victoria</t>
  </si>
  <si>
    <t>Laurence Herman Versluis</t>
  </si>
  <si>
    <t>Juanita Allen</t>
  </si>
  <si>
    <t>Tom Altringer</t>
  </si>
  <si>
    <t>Helen C. Frazee</t>
  </si>
  <si>
    <t>banned Crossley from bar</t>
  </si>
  <si>
    <t>James F. Stephens</t>
  </si>
  <si>
    <t>Donald Abbott</t>
  </si>
  <si>
    <t>John Coligan</t>
  </si>
  <si>
    <t>Paul Edward Gabelt</t>
  </si>
  <si>
    <t>Ralph Tomaro</t>
  </si>
  <si>
    <t>Patricia Ann Chambers</t>
  </si>
  <si>
    <t>Judy Stephens Denney</t>
  </si>
  <si>
    <t>Richard Charles "Rick" Esser, Jr.</t>
  </si>
  <si>
    <t>Patricia Ann Gabbard</t>
  </si>
  <si>
    <t>Jonna Gragert Hamilton</t>
  </si>
  <si>
    <t>Patty Jean Husband</t>
  </si>
  <si>
    <t>William F. Miller</t>
  </si>
  <si>
    <t>Kenneth W. Morey</t>
  </si>
  <si>
    <t>Betty Ann Jarred</t>
  </si>
  <si>
    <t>Leroy Orrin Phillips</t>
  </si>
  <si>
    <t>Jerry Ralph Pyle Jr</t>
  </si>
  <si>
    <t>Paul Michael Rockne</t>
  </si>
  <si>
    <t>Thomas Wade Shader Jr.</t>
  </si>
  <si>
    <t>Patti Lou Welch</t>
  </si>
  <si>
    <t>Emad Al-Tawakuly</t>
  </si>
  <si>
    <t>Nabil Al-Hameli</t>
  </si>
  <si>
    <t>Gerald Douglas Johnson</t>
  </si>
  <si>
    <t>Ronald Midgely Grogan</t>
  </si>
  <si>
    <t>Ruth Greene</t>
  </si>
  <si>
    <t>Lester Watson</t>
  </si>
  <si>
    <t>Ronald Doney</t>
  </si>
  <si>
    <t>Lawrence J. Kane</t>
  </si>
  <si>
    <t>former coworker</t>
  </si>
  <si>
    <t>Helen Lamparter</t>
  </si>
  <si>
    <t>Glenda Moritz</t>
  </si>
  <si>
    <t>Ronald Steven Reed</t>
  </si>
  <si>
    <t>Joseph Lawrence Silva</t>
  </si>
  <si>
    <t>Wayne "Buddy" Williams Jr.</t>
  </si>
  <si>
    <t>Crystal Susan Cantrell</t>
  </si>
  <si>
    <t>Melinda Yvonne Hayes</t>
  </si>
  <si>
    <t>Ronald Lee Hull</t>
  </si>
  <si>
    <t>Thomas Walter Nicholson</t>
  </si>
  <si>
    <t>Arthur Baker</t>
  </si>
  <si>
    <t>John Van Dyke</t>
  </si>
  <si>
    <t>saw him regularly on street</t>
  </si>
  <si>
    <t>Robert Quinn</t>
  </si>
  <si>
    <t>Irma C. Ruiz</t>
  </si>
  <si>
    <t>Sokhim An</t>
  </si>
  <si>
    <t>Ram Chun</t>
  </si>
  <si>
    <t>Oeun Lim</t>
  </si>
  <si>
    <t>Rathanan Or</t>
  </si>
  <si>
    <t>Thuy Tran</t>
  </si>
  <si>
    <t>Richard "Dickie" Barger</t>
  </si>
  <si>
    <t>friend, former coworker</t>
  </si>
  <si>
    <t>Kenneth Fentress</t>
  </si>
  <si>
    <t>James G. "Buck" Husband</t>
  </si>
  <si>
    <t>Sharon Needy</t>
  </si>
  <si>
    <t>William "Bill" Ganote</t>
  </si>
  <si>
    <t>Paul Sallee</t>
  </si>
  <si>
    <t>James Wible</t>
  </si>
  <si>
    <t>Lloyd White</t>
  </si>
  <si>
    <t>Unidentified person</t>
  </si>
  <si>
    <t>Louis Carl Bacon</t>
  </si>
  <si>
    <t>Doretta Drake</t>
  </si>
  <si>
    <t>Jewel Belote</t>
  </si>
  <si>
    <t>worked at office which repossesed Pough's car</t>
  </si>
  <si>
    <t>Julia White Burgess</t>
  </si>
  <si>
    <t>Janice David</t>
  </si>
  <si>
    <t>Sharon Louise Hall</t>
  </si>
  <si>
    <t>Denise Sapp Highfill</t>
  </si>
  <si>
    <t>Barbara Duckwall Holland</t>
  </si>
  <si>
    <t>Cynthia Perry</t>
  </si>
  <si>
    <t>Lee M. Simonton</t>
  </si>
  <si>
    <t>Drew Woods</t>
  </si>
  <si>
    <t>Cornelius Kasten Jr.</t>
  </si>
  <si>
    <t>Donald McNaught</t>
  </si>
  <si>
    <t>may have been former coworker</t>
  </si>
  <si>
    <t>Carol Ott</t>
  </si>
  <si>
    <t>former supervisor</t>
  </si>
  <si>
    <t>Joseph M. VanderPaauw</t>
  </si>
  <si>
    <t>Patricia B. Carney</t>
  </si>
  <si>
    <t>Jimmie Eugene Caruthers</t>
  </si>
  <si>
    <t>Kriemhild "Kitty" Davis</t>
  </si>
  <si>
    <t>Steven Charles Dody</t>
  </si>
  <si>
    <t>Alphonse "Al" Gratia</t>
  </si>
  <si>
    <t>Ursula Edith "Suzy" Gratia</t>
  </si>
  <si>
    <t>Debra Gray</t>
  </si>
  <si>
    <t>Michael Griffith</t>
  </si>
  <si>
    <t>Venice Ellen Henehan</t>
  </si>
  <si>
    <t>Clodine Delphia Humphrey</t>
  </si>
  <si>
    <t>Sylvia Mathilde King</t>
  </si>
  <si>
    <t>Zona Mae Hunnicutt Lynn</t>
  </si>
  <si>
    <t>Connie Deen Peterson</t>
  </si>
  <si>
    <t>Ruth Marie Pujol</t>
  </si>
  <si>
    <t>Su-Zann Neal Rashott</t>
  </si>
  <si>
    <t>John Raymond Romero Jr.</t>
  </si>
  <si>
    <t>Thomas Earl Simmons</t>
  </si>
  <si>
    <t>Glen Arval Spivey</t>
  </si>
  <si>
    <t>Nancy Faye Hedgepeth Stansbury</t>
  </si>
  <si>
    <t>Olgica Andonovska Taylor</t>
  </si>
  <si>
    <t>James Walter Welsh</t>
  </si>
  <si>
    <t>Lula Belle Welsh</t>
  </si>
  <si>
    <t>Iva Juanita Williams</t>
  </si>
  <si>
    <t>Theresa Anne Cleary</t>
  </si>
  <si>
    <t>school administrator</t>
  </si>
  <si>
    <t>Christoph K. Goertz</t>
  </si>
  <si>
    <t>professor</t>
  </si>
  <si>
    <t>Dwight Nicholson</t>
  </si>
  <si>
    <t>Robert A. Smith</t>
  </si>
  <si>
    <t>Linhua Shan</t>
  </si>
  <si>
    <t>classmate</t>
  </si>
  <si>
    <t xml:space="preserve">Fred Marion Alsman </t>
  </si>
  <si>
    <t>Thomas Earl Bannister</t>
  </si>
  <si>
    <t>Donna Daigneau</t>
  </si>
  <si>
    <t>estranged wife</t>
  </si>
  <si>
    <t>Palmer Lee Rousey</t>
  </si>
  <si>
    <t>Mary Ellen Benincasa</t>
  </si>
  <si>
    <t>Christopher Louis Carlisle</t>
  </si>
  <si>
    <t>Keith Cszewski</t>
  </si>
  <si>
    <t>Rose Marie Proos</t>
  </si>
  <si>
    <t>Rebecca Kay Carreon</t>
  </si>
  <si>
    <t>Phyllis Theresa Mancuso</t>
  </si>
  <si>
    <t>Tekleberhan Manna</t>
  </si>
  <si>
    <t>Marie Eamelia Pendergast</t>
  </si>
  <si>
    <t>Robert Brens</t>
  </si>
  <si>
    <t>former teacher</t>
  </si>
  <si>
    <t>Judith "Judy" Davis</t>
  </si>
  <si>
    <t>Beamon Hill</t>
  </si>
  <si>
    <t>Jason Edward White</t>
  </si>
  <si>
    <t>Denise M. Van Amburg</t>
  </si>
  <si>
    <t>Phyllis Caslin</t>
  </si>
  <si>
    <t>Florence A. Pike</t>
  </si>
  <si>
    <t>previously met</t>
  </si>
  <si>
    <t>Nancy J. Wheeler</t>
  </si>
  <si>
    <t>Danny Cizek</t>
  </si>
  <si>
    <t>Joe Garcia</t>
  </si>
  <si>
    <t>worked at a club Drake frequented</t>
  </si>
  <si>
    <t>David Law</t>
  </si>
  <si>
    <t>Norman Metcalf</t>
  </si>
  <si>
    <t>former roommate</t>
  </si>
  <si>
    <t>Kris Staub</t>
  </si>
  <si>
    <t>Andrew Zatko</t>
  </si>
  <si>
    <t>former landlord</t>
  </si>
  <si>
    <t>Allen J. Berk</t>
  </si>
  <si>
    <t>Jack Berman</t>
  </si>
  <si>
    <t>Deborah Fogel</t>
  </si>
  <si>
    <t>Donald Michael Merrill</t>
  </si>
  <si>
    <t>Shirley Mooser</t>
  </si>
  <si>
    <t>John C. Scully</t>
  </si>
  <si>
    <t>Jody Sposato</t>
  </si>
  <si>
    <t>David Sutcliffe</t>
  </si>
  <si>
    <t>Wesley Scott Cover</t>
  </si>
  <si>
    <t>James F. Kidd</t>
  </si>
  <si>
    <t>Ethel Contos Parrous</t>
  </si>
  <si>
    <t>Peter Nicholas Parrous</t>
  </si>
  <si>
    <t>Rebecca Negrete</t>
  </si>
  <si>
    <t>Laxmi Patel</t>
  </si>
  <si>
    <t>Helen-Mary Spatz</t>
  </si>
  <si>
    <t>Charles Brad Tucker</t>
  </si>
  <si>
    <t>Richard M. Bateman</t>
  </si>
  <si>
    <t>James Edward O'Brien</t>
  </si>
  <si>
    <t>Anna F. Velasco</t>
  </si>
  <si>
    <t>WInterbourne frequently visited unemployment office and may have met her</t>
  </si>
  <si>
    <t>Richard Villegas</t>
  </si>
  <si>
    <t>WInterbourne frequently visited unemployment office and may have met him</t>
  </si>
  <si>
    <t>Amy Federici</t>
  </si>
  <si>
    <t>James Gorycki</t>
  </si>
  <si>
    <t>Mi Kyung Kim</t>
  </si>
  <si>
    <t>Maria Theresa Magtoto</t>
  </si>
  <si>
    <t>Dennis F. McCarthy</t>
  </si>
  <si>
    <t>Richard C. Nettleton</t>
  </si>
  <si>
    <t>Sylvia Crowell</t>
  </si>
  <si>
    <t>Benjamin Grant</t>
  </si>
  <si>
    <t>Margaret Kohlberg</t>
  </si>
  <si>
    <t>Colleen O'Connor</t>
  </si>
  <si>
    <t>Thomas Brigham</t>
  </si>
  <si>
    <t>evaluated Mellberg</t>
  </si>
  <si>
    <t>Alan London</t>
  </si>
  <si>
    <t>Christine McCaren</t>
  </si>
  <si>
    <t>Anita Linder</t>
  </si>
  <si>
    <t>Deborah Hunter</t>
  </si>
  <si>
    <t>Jamie Hunter</t>
  </si>
  <si>
    <t>Steve Locklear</t>
  </si>
  <si>
    <t>acquaintance</t>
  </si>
  <si>
    <t>Timothy Powell</t>
  </si>
  <si>
    <t>James Morrison</t>
  </si>
  <si>
    <t>Wendy P. Gilmore</t>
  </si>
  <si>
    <t>Derek Harrison</t>
  </si>
  <si>
    <t>Joann Rossler</t>
  </si>
  <si>
    <t>former boss</t>
  </si>
  <si>
    <t>Walter Charles Rossler</t>
  </si>
  <si>
    <t>Richard Tomlinson</t>
  </si>
  <si>
    <t>Neil Carpenter</t>
  </si>
  <si>
    <t>Anthony J. Gain</t>
  </si>
  <si>
    <t>James Walton</t>
  </si>
  <si>
    <t>Marty Wakefield</t>
  </si>
  <si>
    <t>Kwong Bae</t>
  </si>
  <si>
    <t>Maria Carrasquillo</t>
  </si>
  <si>
    <t>Rafael Gonzalez</t>
  </si>
  <si>
    <t>Ricardo Gonzalez</t>
  </si>
  <si>
    <t>Henry Lucero Inga</t>
  </si>
  <si>
    <t>Joseph Belotto</t>
  </si>
  <si>
    <t>Kenneth A. Brunjes</t>
  </si>
  <si>
    <t>Mark A. Bretz</t>
  </si>
  <si>
    <t>Joseph Timothy Clifford</t>
  </si>
  <si>
    <t>Donald Leroy Moon Jr.</t>
  </si>
  <si>
    <t>Stanley Adams</t>
  </si>
  <si>
    <t>Dwight Craft</t>
  </si>
  <si>
    <t>Merideth Moree</t>
  </si>
  <si>
    <t>Rick Robbins</t>
  </si>
  <si>
    <t xml:space="preserve">  </t>
  </si>
  <si>
    <t>Glenda Tornes</t>
  </si>
  <si>
    <t>Vickie Marie Bunnell</t>
  </si>
  <si>
    <t>lived in same town and Drega had previous disputes with town government</t>
  </si>
  <si>
    <t>Dennis Joos</t>
  </si>
  <si>
    <t>Leslie G. Lord</t>
  </si>
  <si>
    <t>Scott E. Phillips</t>
  </si>
  <si>
    <t>Ernest Leonard Filyaw Jr.</t>
  </si>
  <si>
    <t>Charles Griffeth</t>
  </si>
  <si>
    <t>David Moore</t>
  </si>
  <si>
    <t>Esther Sheryl Wood</t>
  </si>
  <si>
    <t>Frank Dosso</t>
  </si>
  <si>
    <t>former work acquaintances</t>
  </si>
  <si>
    <t>George Gonsalves</t>
  </si>
  <si>
    <t>former business partner</t>
  </si>
  <si>
    <t>Diane Dosso Patisso</t>
  </si>
  <si>
    <t>George Patisso Jr.</t>
  </si>
  <si>
    <t>Hal Bruce Bierlein</t>
  </si>
  <si>
    <t>Wayne Allen Bowers</t>
  </si>
  <si>
    <t>Michael James Kelley</t>
  </si>
  <si>
    <t>Paul White</t>
  </si>
  <si>
    <t>Otho R. Brown</t>
  </si>
  <si>
    <t>Michael T. Logan</t>
  </si>
  <si>
    <t>Linda A. Blogoslawski Mlynarczyk</t>
  </si>
  <si>
    <t>Frederick W. Rubelmann III</t>
  </si>
  <si>
    <t>Natalie Brooks</t>
  </si>
  <si>
    <t>Paige Ann Herring</t>
  </si>
  <si>
    <t>Stephanie Johnson</t>
  </si>
  <si>
    <t>Britthney Varner-Wilson</t>
  </si>
  <si>
    <t>Shannon Wright</t>
  </si>
  <si>
    <t>teacher</t>
  </si>
  <si>
    <t>Bill Kinkel</t>
  </si>
  <si>
    <t>father</t>
  </si>
  <si>
    <t>Faith Kinkel</t>
  </si>
  <si>
    <t>Mikael Nickolauson</t>
  </si>
  <si>
    <t>Ben Walker</t>
  </si>
  <si>
    <t>Vaniaro Jackson</t>
  </si>
  <si>
    <t>Carla Miller</t>
  </si>
  <si>
    <t>Shon Miller Jr.</t>
  </si>
  <si>
    <t>son</t>
  </si>
  <si>
    <t>Mildred Vessel</t>
  </si>
  <si>
    <t>mother-in-law</t>
  </si>
  <si>
    <t>Cassie Bernall</t>
  </si>
  <si>
    <t>classmate, possibly known</t>
  </si>
  <si>
    <t>Steven Curnow</t>
  </si>
  <si>
    <t>Corey DePooter</t>
  </si>
  <si>
    <t>Kelly Fleming</t>
  </si>
  <si>
    <t>Matthew Kechter</t>
  </si>
  <si>
    <t>Daniel Mauser</t>
  </si>
  <si>
    <t>Daniel Rohrbough</t>
  </si>
  <si>
    <t>classmate, definitely known</t>
  </si>
  <si>
    <t>William "Dave" Sanders</t>
  </si>
  <si>
    <t>Rachel Scott</t>
  </si>
  <si>
    <t>Isaiah Shoels</t>
  </si>
  <si>
    <t>John Tomlin</t>
  </si>
  <si>
    <t>Lauren Townsend</t>
  </si>
  <si>
    <t>Kyle Velasquez</t>
  </si>
  <si>
    <t>Thomas Darnell</t>
  </si>
  <si>
    <t>Carlos "Chuck" Leos</t>
  </si>
  <si>
    <t>Dennis Troy Sargent</t>
  </si>
  <si>
    <t>Luci Tarantino</t>
  </si>
  <si>
    <t>Leigh Ann Vandiver Barton</t>
  </si>
  <si>
    <t>Matthew David Barton</t>
  </si>
  <si>
    <t xml:space="preserve">   </t>
  </si>
  <si>
    <t>Mychelle Elizabeth Barton</t>
  </si>
  <si>
    <t>daughter</t>
  </si>
  <si>
    <t>Russell J. Brown</t>
  </si>
  <si>
    <t>may have met at the brokerage house both traded at</t>
  </si>
  <si>
    <t>Dean Delawalla</t>
  </si>
  <si>
    <t>Joseph J. Dessert</t>
  </si>
  <si>
    <t>Kevin Middleton Dial</t>
  </si>
  <si>
    <t>office manager of brokerage house Barton frequented</t>
  </si>
  <si>
    <t>Jamshid Havash</t>
  </si>
  <si>
    <t>Vadewattee Muralidhara</t>
  </si>
  <si>
    <t>Edward Quinn</t>
  </si>
  <si>
    <t>Allen Charles Tenenbaum</t>
  </si>
  <si>
    <t>Scott Allyn Webb</t>
  </si>
  <si>
    <t>Kristi Kathleen Beckel</t>
  </si>
  <si>
    <t>Shawn Brown</t>
  </si>
  <si>
    <t>Sydney Rochelle Browning</t>
  </si>
  <si>
    <t>Joseph Daniel "Joey" Ennis</t>
  </si>
  <si>
    <t>Cassandra Fawn Griffin</t>
  </si>
  <si>
    <t>Susan Kimberly "Kim" Jones</t>
  </si>
  <si>
    <t>Justin Michael Stegner Ray</t>
  </si>
  <si>
    <t>Jason Balatico</t>
  </si>
  <si>
    <t>Ford Kanehira</t>
  </si>
  <si>
    <t>Ronald Kataoka</t>
  </si>
  <si>
    <t>Ronald Kawamae</t>
  </si>
  <si>
    <t>Melvin Lee</t>
  </si>
  <si>
    <t>Peter Mark</t>
  </si>
  <si>
    <t>John Sakamoto</t>
  </si>
  <si>
    <t>Jose Aguilar</t>
  </si>
  <si>
    <t>Barbara Carter</t>
  </si>
  <si>
    <t>George Jones</t>
  </si>
  <si>
    <t>Eric Pedroso</t>
  </si>
  <si>
    <t>Dolores Perdomo</t>
  </si>
  <si>
    <t>Roberto Jimenez Jr.</t>
  </si>
  <si>
    <t>Dennis Lee</t>
  </si>
  <si>
    <t>Augustin Villasenor</t>
  </si>
  <si>
    <t>Benjamin Villasenor</t>
  </si>
  <si>
    <t>Rhoda Wheeler</t>
  </si>
  <si>
    <t>Anita "Nicki" Gordon</t>
  </si>
  <si>
    <t>Garry Dewane Lee</t>
  </si>
  <si>
    <t>Thao "Tony" Pham</t>
  </si>
  <si>
    <t>Ji-ye "Jerry" Sun</t>
  </si>
  <si>
    <t>Anil Thakur</t>
  </si>
  <si>
    <t>Jennifer Bragg Capobianco</t>
  </si>
  <si>
    <t>Janice Hagerty</t>
  </si>
  <si>
    <t>Louis Javelle</t>
  </si>
  <si>
    <t>Rose M. Manfredi</t>
  </si>
  <si>
    <t>Paul Marceau</t>
  </si>
  <si>
    <t>Cheryl Troy</t>
  </si>
  <si>
    <t>Craig Wood</t>
  </si>
  <si>
    <t>Chong Chang</t>
  </si>
  <si>
    <t>business acquaintance</t>
  </si>
  <si>
    <t>Hyung Chang</t>
  </si>
  <si>
    <t>Kathy Chang</t>
  </si>
  <si>
    <t>Byong Sun Park</t>
  </si>
  <si>
    <t>Michael Victor Brus</t>
  </si>
  <si>
    <t>Daniel Thomas Dorsch</t>
  </si>
  <si>
    <t>William Allen Garcia</t>
  </si>
  <si>
    <t>Robert Edward Wehrheim</t>
  </si>
  <si>
    <t>Juan Manuel Hernandez-Carrillo</t>
  </si>
  <si>
    <t>Melquiades Medrano-Velasquez</t>
  </si>
  <si>
    <t>Juan Carlos Medrano-Velasquez</t>
  </si>
  <si>
    <t>Angelica Toscano</t>
  </si>
  <si>
    <t>George Bernardino</t>
  </si>
  <si>
    <t>John Derek Glimstad</t>
  </si>
  <si>
    <t>Marsha Marie Jackson</t>
  </si>
  <si>
    <t>Nina Susu</t>
  </si>
  <si>
    <t>Nikolay Popovich</t>
  </si>
  <si>
    <t>Dave Arpasi</t>
  </si>
  <si>
    <t>coworkers</t>
  </si>
  <si>
    <t>John Contadeluci</t>
  </si>
  <si>
    <t>Robert Downs Jr.</t>
  </si>
  <si>
    <t>Craig Schafer</t>
  </si>
  <si>
    <t>Benjamin Ferguson</t>
  </si>
  <si>
    <t>fellow jobseeker</t>
  </si>
  <si>
    <t>Billy Wayne Knox Sr.</t>
  </si>
  <si>
    <t>Billy Eugene Knox Jr.</t>
  </si>
  <si>
    <t>David Seiler</t>
  </si>
  <si>
    <t>DeLois Bailey</t>
  </si>
  <si>
    <t>Sam Cockrell</t>
  </si>
  <si>
    <t>Micky Fitzgerald</t>
  </si>
  <si>
    <t>Lynette McCall</t>
  </si>
  <si>
    <t>Charlie J. Miller</t>
  </si>
  <si>
    <t>Thomas Willis</t>
  </si>
  <si>
    <t>Calvin Ramsey</t>
  </si>
  <si>
    <t>Robert Taylor</t>
  </si>
  <si>
    <t>Juan Valles</t>
  </si>
  <si>
    <t>Alan Earl Weiner</t>
  </si>
  <si>
    <t>Daniel Weiner</t>
  </si>
  <si>
    <t>Howard Weiner</t>
  </si>
  <si>
    <t>Chester W. Cavaliere</t>
  </si>
  <si>
    <t>Henry "Hank" Franklin Shumake</t>
  </si>
  <si>
    <t>LeRoy G. Wiese</t>
  </si>
  <si>
    <t>Tiki Danielle Wiese</t>
  </si>
  <si>
    <t>Ardell L. Edwards</t>
  </si>
  <si>
    <t>Lonnie Ellenberg</t>
  </si>
  <si>
    <t>Jose Ibarra</t>
  </si>
  <si>
    <t>Travis Lamont Nelson</t>
  </si>
  <si>
    <t>Leonardo Rodriguez</t>
  </si>
  <si>
    <t>Robert "Bob" Crotteau</t>
  </si>
  <si>
    <t>Joey Crotteau</t>
  </si>
  <si>
    <t>Dennis "Denny" Drew</t>
  </si>
  <si>
    <t>Allan James "Al" Laski</t>
  </si>
  <si>
    <t>Mark Roidt</t>
  </si>
  <si>
    <t>Jessica Willers</t>
  </si>
  <si>
    <t>Darrell "Dimebag" Abbott</t>
  </si>
  <si>
    <t xml:space="preserve">They had never met, but Gale targeted Abbott </t>
  </si>
  <si>
    <t>Erin Alexander Halk</t>
  </si>
  <si>
    <t>Nathan Anthony Bray</t>
  </si>
  <si>
    <t>Jeffery "Mayhem" Thompson</t>
  </si>
  <si>
    <t>Rowland Wayne Barnes</t>
  </si>
  <si>
    <t>oversaw Nichols's trial prior to shooting</t>
  </si>
  <si>
    <t>Julie Ann Brandau</t>
  </si>
  <si>
    <t>Hoyt Keith Teasley</t>
  </si>
  <si>
    <t>David Gray Wilhelm</t>
  </si>
  <si>
    <t>Gloria Sue Critari</t>
  </si>
  <si>
    <t>fellow church member</t>
  </si>
  <si>
    <t>Harold Diekmeier</t>
  </si>
  <si>
    <t>James Isaac Gregory</t>
  </si>
  <si>
    <t>Randy Lynn Gregory</t>
  </si>
  <si>
    <t>Gerald Anthony Miller</t>
  </si>
  <si>
    <t>Bart J. Oliver</t>
  </si>
  <si>
    <t>Richard Reeves</t>
  </si>
  <si>
    <t>Derrick Brun</t>
  </si>
  <si>
    <t>school security guard</t>
  </si>
  <si>
    <t>Dewayne Lewis</t>
  </si>
  <si>
    <t>Chase Lussier</t>
  </si>
  <si>
    <t>Daryl "Dash" Lussier</t>
  </si>
  <si>
    <t>grandfather</t>
  </si>
  <si>
    <t>Neva Rogers</t>
  </si>
  <si>
    <t>Chanelle Rosebear</t>
  </si>
  <si>
    <t>Michelle Sigana</t>
  </si>
  <si>
    <t>grandfather's girlfriend</t>
  </si>
  <si>
    <t>Thurlene Stillday</t>
  </si>
  <si>
    <t>Alicia White</t>
  </si>
  <si>
    <t>James Wayne Armstrong</t>
  </si>
  <si>
    <t>neighboring church pastor</t>
  </si>
  <si>
    <t>Ernest Wesley Brown</t>
  </si>
  <si>
    <t>neighboring church leader</t>
  </si>
  <si>
    <t>Holly Ann Love Brown</t>
  </si>
  <si>
    <t>Ceri Litterio</t>
  </si>
  <si>
    <t>Ze Vang Fairchild</t>
  </si>
  <si>
    <t>likely a former coworker</t>
  </si>
  <si>
    <t>Beverly Ann Graham</t>
  </si>
  <si>
    <t>former neighbor</t>
  </si>
  <si>
    <t>Nicola Michelle Grant</t>
  </si>
  <si>
    <t>Maleka M. Higgins</t>
  </si>
  <si>
    <t>Dexter E. Shannon</t>
  </si>
  <si>
    <t>Guadalupe Swartz</t>
  </si>
  <si>
    <t>Charlotte Colton</t>
  </si>
  <si>
    <t>Jeremy Robert Martin</t>
  </si>
  <si>
    <t>Melissa Moore</t>
  </si>
  <si>
    <t>Justin Schwartz</t>
  </si>
  <si>
    <t>Suzanne Thorne</t>
  </si>
  <si>
    <t>Jason Travers</t>
  </si>
  <si>
    <t>Christopher Williamson</t>
  </si>
  <si>
    <t>Erica Bell</t>
  </si>
  <si>
    <t>Gloria Howard</t>
  </si>
  <si>
    <t>in-law</t>
  </si>
  <si>
    <t>Leonard Howard</t>
  </si>
  <si>
    <t>Doloris McGrew</t>
  </si>
  <si>
    <t>Darlene Mills Selvage</t>
  </si>
  <si>
    <t>Naomi Rose Ebersol</t>
  </si>
  <si>
    <t>Roberts delivered milk to the community and she may have known him</t>
  </si>
  <si>
    <t>Marian Stoltzfus Fisher</t>
  </si>
  <si>
    <t>Lena Zook Miller</t>
  </si>
  <si>
    <t>Mary Liz Miller</t>
  </si>
  <si>
    <t>Anna Mae Stoltzfus</t>
  </si>
  <si>
    <t>Teresa Ellis</t>
  </si>
  <si>
    <t>Brad Frantz</t>
  </si>
  <si>
    <t>Kirsten Hinckley</t>
  </si>
  <si>
    <t>Vanessa Quinn</t>
  </si>
  <si>
    <t>Jeffery Walker</t>
  </si>
  <si>
    <t>Ross Abdallah Alameddine</t>
  </si>
  <si>
    <t>Christopher James Bishop</t>
  </si>
  <si>
    <t>faculty</t>
  </si>
  <si>
    <t>Brian Roy Bluhm</t>
  </si>
  <si>
    <t>Ryan Christopher Clark</t>
  </si>
  <si>
    <t>Austin Michelle Cloyd</t>
  </si>
  <si>
    <t>Jocelyne Couture-Nowak</t>
  </si>
  <si>
    <t>Kevin P. Granata</t>
  </si>
  <si>
    <t>Matthew Gregory Gwaltney</t>
  </si>
  <si>
    <t>Caitlin Millar Hammaren</t>
  </si>
  <si>
    <t>Jeremy Michael Herbstritt</t>
  </si>
  <si>
    <t>Rachael Elizabeth Hill</t>
  </si>
  <si>
    <t>Emily Jane Hilscher</t>
  </si>
  <si>
    <t>Cho was infatuated with her</t>
  </si>
  <si>
    <t>Jarrett Lee Lane</t>
  </si>
  <si>
    <t>Matthew Joseph La Porte</t>
  </si>
  <si>
    <t xml:space="preserve">Henry J. Lee </t>
  </si>
  <si>
    <t>Liviu Librescu</t>
  </si>
  <si>
    <t>G. V. Loganathan</t>
  </si>
  <si>
    <t>Partahi Mamora Halomoan Lumbantoruan</t>
  </si>
  <si>
    <t>Lauren Ashley McCain</t>
  </si>
  <si>
    <t>Daniel Patrick O'Neil</t>
  </si>
  <si>
    <t>Juan Ramon Ortiz-Ortiz</t>
  </si>
  <si>
    <t>Minal Hiralal Panchal</t>
  </si>
  <si>
    <t>Daniel Alejandro Perez Cueva</t>
  </si>
  <si>
    <t>Erin Nicole Peterson</t>
  </si>
  <si>
    <t>Michael Steven Pohle Jr.</t>
  </si>
  <si>
    <t>Julia Kathleen Pryde</t>
  </si>
  <si>
    <t>Mary Karen Read</t>
  </si>
  <si>
    <t>Reema Joseph Samaha</t>
  </si>
  <si>
    <t>Waleed Mohamed Shaalan</t>
  </si>
  <si>
    <t>Leslie Geraldine Sherman</t>
  </si>
  <si>
    <t>Maxine Shelly Turner</t>
  </si>
  <si>
    <t>Nicole Regina White</t>
  </si>
  <si>
    <t>Beverly Flynn</t>
  </si>
  <si>
    <t>Gary Joy</t>
  </si>
  <si>
    <t>Janet Jorgensen</t>
  </si>
  <si>
    <t>John McDonald</t>
  </si>
  <si>
    <t>Gary Scharf</t>
  </si>
  <si>
    <t>Angella "Angie" Schuster</t>
  </si>
  <si>
    <t>Dianne Clavin Trent</t>
  </si>
  <si>
    <t>Maggie Webb</t>
  </si>
  <si>
    <t>Philip Crouse</t>
  </si>
  <si>
    <t>Tiffany Johnson</t>
  </si>
  <si>
    <t>Rachel Elizabeth Works</t>
  </si>
  <si>
    <t>Stephanie Pauline Works</t>
  </si>
  <si>
    <t>Thomas Frederick "Tom" Ballman</t>
  </si>
  <si>
    <t>acquainted through Thornton's disputes with city government</t>
  </si>
  <si>
    <t>William King "Bill" Biggs</t>
  </si>
  <si>
    <t>Connie Conroy Karr</t>
  </si>
  <si>
    <t>Michael H.T. Lynch</t>
  </si>
  <si>
    <t>Mike Emil Swoboda</t>
  </si>
  <si>
    <t>Kenneth Dale Yost</t>
  </si>
  <si>
    <t>Gayle Dubowski</t>
  </si>
  <si>
    <t>Catalina Garcia</t>
  </si>
  <si>
    <t>Julianna Gehant</t>
  </si>
  <si>
    <t>Ryanne Mace</t>
  </si>
  <si>
    <t>Daniel Parmenter</t>
  </si>
  <si>
    <t>Golden "Dave" Duboise</t>
  </si>
  <si>
    <t>Ricardo Cardenas Leal</t>
  </si>
  <si>
    <t>Robert Louis Leeds</t>
  </si>
  <si>
    <t>Terry Edward Majan</t>
  </si>
  <si>
    <t>Joshua Hinojosa</t>
  </si>
  <si>
    <t>Trisha Mirelez</t>
  </si>
  <si>
    <t>Israel Monroy</t>
  </si>
  <si>
    <t>Kevin G. Taylor</t>
  </si>
  <si>
    <t>Rachael Vasquez</t>
  </si>
  <si>
    <t>Julie Ann Binschus</t>
  </si>
  <si>
    <t>Greg N. Gillum</t>
  </si>
  <si>
    <t>Anne Jackson</t>
  </si>
  <si>
    <t>Jackson frequently had contact with Zamora in her job as a police officer</t>
  </si>
  <si>
    <t>LeRoy Lange</t>
  </si>
  <si>
    <t>David Radcliffe</t>
  </si>
  <si>
    <t>Chester Rose</t>
  </si>
  <si>
    <t>Jerry Avant Jr.</t>
  </si>
  <si>
    <t>Louise DeKler</t>
  </si>
  <si>
    <t>Lillian Dunn</t>
  </si>
  <si>
    <t>Tessie Garner</t>
  </si>
  <si>
    <t>John Walter Goldston</t>
  </si>
  <si>
    <t>Bessie Hendrick</t>
  </si>
  <si>
    <t>Margaret Johnson</t>
  </si>
  <si>
    <t>Jesse Musser</t>
  </si>
  <si>
    <t>Parveen Ali</t>
  </si>
  <si>
    <t>former classmate</t>
  </si>
  <si>
    <t>Almir O. Alves</t>
  </si>
  <si>
    <t>Maria Sonia Bernard</t>
  </si>
  <si>
    <t xml:space="preserve">former classmate
</t>
  </si>
  <si>
    <t>Marc Henry Bernard</t>
  </si>
  <si>
    <t>Li Guo</t>
  </si>
  <si>
    <t>Lan Ho</t>
  </si>
  <si>
    <t xml:space="preserve"> former classmate</t>
  </si>
  <si>
    <t>Layla Khalil</t>
  </si>
  <si>
    <t>Roberta King</t>
  </si>
  <si>
    <t>worked for the center where Wong took classes</t>
  </si>
  <si>
    <t>Jiang Ling</t>
  </si>
  <si>
    <t>Hong Xiu Mao</t>
  </si>
  <si>
    <t>Dolores Yigal</t>
  </si>
  <si>
    <t>Hai Hong Zhong</t>
  </si>
  <si>
    <t>Maria K. Zobniw</t>
  </si>
  <si>
    <t>Javier Manuel Martinez</t>
  </si>
  <si>
    <t>acquaintances</t>
  </si>
  <si>
    <t>Juan Manuel Martinez</t>
  </si>
  <si>
    <t>Victor Alfonso Martinez-Jimenez</t>
  </si>
  <si>
    <t>Marcos Alvedo Aguilar</t>
  </si>
  <si>
    <t>Michael Grant Cahill</t>
  </si>
  <si>
    <t>worked at Fort Hood</t>
  </si>
  <si>
    <t>Libardo Eduardo Caraveo</t>
  </si>
  <si>
    <t>NA, arrived the day before the shooting</t>
  </si>
  <si>
    <t>Justin Michael DeCrow</t>
  </si>
  <si>
    <t>stationed at Fort Hood</t>
  </si>
  <si>
    <t>John P. Gaffaney</t>
  </si>
  <si>
    <t>Frederick Greene</t>
  </si>
  <si>
    <t>Jason Dean Hunt</t>
  </si>
  <si>
    <t>Amy Sue Krueger</t>
  </si>
  <si>
    <t>NA, arrived two days before the shooting</t>
  </si>
  <si>
    <t>Aaron Thomas Nemelka</t>
  </si>
  <si>
    <t>Michael S. Pearson</t>
  </si>
  <si>
    <t>Russell Gilbert Seager</t>
  </si>
  <si>
    <t xml:space="preserve">worked at Fort Hood </t>
  </si>
  <si>
    <t>Francheska Velez</t>
  </si>
  <si>
    <t>Juanita L. Warman</t>
  </si>
  <si>
    <t>Kham See Xiong</t>
  </si>
  <si>
    <t>Tina Griswold</t>
  </si>
  <si>
    <t>Ronald Owens</t>
  </si>
  <si>
    <t>Mark Renninger</t>
  </si>
  <si>
    <t>Greg Richards</t>
  </si>
  <si>
    <t>Harut Baburyan</t>
  </si>
  <si>
    <t>Sarkis Karadijan</t>
  </si>
  <si>
    <t>Vardan Tofalyan</t>
  </si>
  <si>
    <t>Hayk Yegnanyan</t>
  </si>
  <si>
    <t>Zaida Castillo</t>
  </si>
  <si>
    <t>Maysel Figueroa</t>
  </si>
  <si>
    <t>Lavinia Fonseca</t>
  </si>
  <si>
    <t>Liazan Molina</t>
  </si>
  <si>
    <t>William Carl Ackerman</t>
  </si>
  <si>
    <t>Bryan Cirigliano</t>
  </si>
  <si>
    <t>union representative</t>
  </si>
  <si>
    <t>Francis Fazio Jr.</t>
  </si>
  <si>
    <t>Louis J. Felder</t>
  </si>
  <si>
    <t>Victor James</t>
  </si>
  <si>
    <t>Edwin Kennison Jr.</t>
  </si>
  <si>
    <t>delivered to factory</t>
  </si>
  <si>
    <t>Craig Peppin</t>
  </si>
  <si>
    <t>Douglas A. Scruton</t>
  </si>
  <si>
    <t>Shawn-Tia McNeil</t>
  </si>
  <si>
    <t>Willie McCaa III</t>
  </si>
  <si>
    <t>Danyell Mackin Jr.</t>
  </si>
  <si>
    <t>Tiffany Wilhite</t>
  </si>
  <si>
    <t>Teresa Fugate</t>
  </si>
  <si>
    <t>Tammy R. Kilborn</t>
  </si>
  <si>
    <t>Sandra J. Neace</t>
  </si>
  <si>
    <t>Sandra Rachel Cockerham Strong</t>
  </si>
  <si>
    <t>stepdaughter</t>
  </si>
  <si>
    <t>Dennis Joe Turner</t>
  </si>
  <si>
    <t>stepdaughter's boyfriend</t>
  </si>
  <si>
    <t>Christina-Taylor Green</t>
  </si>
  <si>
    <t>Dorothy "Dot" Morris</t>
  </si>
  <si>
    <t>John Roll</t>
  </si>
  <si>
    <t>Phyllis Schneck</t>
  </si>
  <si>
    <t>Dorwan Stoddard</t>
  </si>
  <si>
    <t>Gabriel "Gabe" Zimmerman</t>
  </si>
  <si>
    <t>Craig Dieter</t>
  </si>
  <si>
    <t>girlfriend brother</t>
  </si>
  <si>
    <t>Scott Dieter</t>
  </si>
  <si>
    <t>girlfriend's nephew</t>
  </si>
  <si>
    <t>Autumn Johnson</t>
  </si>
  <si>
    <t>Bryan Johnson</t>
  </si>
  <si>
    <t>Gudrun Johnson</t>
  </si>
  <si>
    <t>Russell Johnson</t>
  </si>
  <si>
    <t>Amelia Shambaugh</t>
  </si>
  <si>
    <t>Florence Donovan-Gunderson</t>
  </si>
  <si>
    <t>Heath Austin Kelly</t>
  </si>
  <si>
    <t>Miranda Summerwind McElhiney</t>
  </si>
  <si>
    <t>Christian Riege</t>
  </si>
  <si>
    <t>Victoria Buzzo</t>
  </si>
  <si>
    <t>David Caouette</t>
  </si>
  <si>
    <t>Randy Lee Fannin</t>
  </si>
  <si>
    <t>Michele Fast</t>
  </si>
  <si>
    <t>Michelle Marie Fournier</t>
  </si>
  <si>
    <t>ex-wife</t>
  </si>
  <si>
    <t>Lucia Bernice Kondas</t>
  </si>
  <si>
    <t>Laura Lee Elody</t>
  </si>
  <si>
    <t>Christy Lynn Wilson</t>
  </si>
  <si>
    <t>Tshering Rinzing Bhutia</t>
  </si>
  <si>
    <t>Doris Chibuko</t>
  </si>
  <si>
    <t>Sonam Chodon</t>
  </si>
  <si>
    <t>Grace Eunhea Kim</t>
  </si>
  <si>
    <t>Katleen Ping</t>
  </si>
  <si>
    <t>receptionist at school Goh attended</t>
  </si>
  <si>
    <t>Judith Ona Seymour</t>
  </si>
  <si>
    <t>Lydia Sim</t>
  </si>
  <si>
    <t>Joe "Vito" Albanese</t>
  </si>
  <si>
    <t>Andrew Thomas "Drew" Keriakedes</t>
  </si>
  <si>
    <t>Donald Largen</t>
  </si>
  <si>
    <t>Kimberly Layfield</t>
  </si>
  <si>
    <t>Gloria Leonidas</t>
  </si>
  <si>
    <t>Jonathan Blunk</t>
  </si>
  <si>
    <t>Alexander Jonathan "A.J." Boik</t>
  </si>
  <si>
    <t>Jesse Childress</t>
  </si>
  <si>
    <t>Gordon Cowden</t>
  </si>
  <si>
    <t>Jessica Ghawi</t>
  </si>
  <si>
    <t>John Thomas Larimer</t>
  </si>
  <si>
    <t>Matt McQuinn</t>
  </si>
  <si>
    <t>Micayla Medek</t>
  </si>
  <si>
    <t>Veronica Moser-Sullivan</t>
  </si>
  <si>
    <t>Alex Matthew Sullivan</t>
  </si>
  <si>
    <t>Alexander C. Teves</t>
  </si>
  <si>
    <t>Rebecca Ann Wingo</t>
  </si>
  <si>
    <t>Satwant Singh Kaleka</t>
  </si>
  <si>
    <t>Paramjit Kaur</t>
  </si>
  <si>
    <t>Prakash Singh</t>
  </si>
  <si>
    <t>Ranjit Singh</t>
  </si>
  <si>
    <t>Sita Singh</t>
  </si>
  <si>
    <t>Suveg Singh</t>
  </si>
  <si>
    <t>Keith Basinski</t>
  </si>
  <si>
    <t>Jacob Beneke</t>
  </si>
  <si>
    <t>Rami Cooks</t>
  </si>
  <si>
    <t>Ronald Edberg</t>
  </si>
  <si>
    <t>Reuven Rahamim</t>
  </si>
  <si>
    <t>company owner</t>
  </si>
  <si>
    <t>Eric Rivers</t>
  </si>
  <si>
    <t>Rachel Davino</t>
  </si>
  <si>
    <t>Dawn Hochsprung</t>
  </si>
  <si>
    <t>Nancy Lanza</t>
  </si>
  <si>
    <t>Anne Marie Murphy</t>
  </si>
  <si>
    <t>Lauren Rousseau</t>
  </si>
  <si>
    <t>Mary Sherlach</t>
  </si>
  <si>
    <t>Victoria Soto</t>
  </si>
  <si>
    <t>Charlotte Bacon</t>
  </si>
  <si>
    <t>Daniel Barden</t>
  </si>
  <si>
    <t>Olivia Engel</t>
  </si>
  <si>
    <t>Josephine Gay</t>
  </si>
  <si>
    <t>Dylan Hockley</t>
  </si>
  <si>
    <t>Madeleine Hsu</t>
  </si>
  <si>
    <t>Catherine Hubbard</t>
  </si>
  <si>
    <t>Chase Kowalski</t>
  </si>
  <si>
    <t>Jesse Lewis</t>
  </si>
  <si>
    <t>Ana Marquez-Green</t>
  </si>
  <si>
    <t>James Mattioli</t>
  </si>
  <si>
    <t>Grace McDonnell</t>
  </si>
  <si>
    <t>Emilie Parker</t>
  </si>
  <si>
    <t>Jack Pinto</t>
  </si>
  <si>
    <t>Noah Pozner</t>
  </si>
  <si>
    <t>Caroline Previdi</t>
  </si>
  <si>
    <t>Jessica Rekos</t>
  </si>
  <si>
    <t>Avielle Richman</t>
  </si>
  <si>
    <t>Benjamin Wheeler</t>
  </si>
  <si>
    <t>Allison Wyatt</t>
  </si>
  <si>
    <t>Harry M. Montgomery</t>
  </si>
  <si>
    <t>Michael Ransear</t>
  </si>
  <si>
    <t>Michael S. Renshaw</t>
  </si>
  <si>
    <t>Thomas Stefka</t>
  </si>
  <si>
    <t>Justine Baez</t>
  </si>
  <si>
    <t>girlfriend</t>
  </si>
  <si>
    <t>Bradley Fischer</t>
  </si>
  <si>
    <t>Roland Scobee</t>
  </si>
  <si>
    <t>Ceasar Valdovinos</t>
  </si>
  <si>
    <t>Carlos Navarro Franco</t>
  </si>
  <si>
    <t>Marcela Franco</t>
  </si>
  <si>
    <t>Margarita Gomez</t>
  </si>
  <si>
    <t>Chris Zawahri</t>
  </si>
  <si>
    <t>brother</t>
  </si>
  <si>
    <t>Samir Zawahri</t>
  </si>
  <si>
    <t>Carlos Javier Gavilanes</t>
  </si>
  <si>
    <t>Merly S. Niebles</t>
  </si>
  <si>
    <t>Pricilla Perez</t>
  </si>
  <si>
    <t>Camira Pisciotti</t>
  </si>
  <si>
    <t>property manager</t>
  </si>
  <si>
    <t>Italo Pisciotti</t>
  </si>
  <si>
    <t>Patricio Simono</t>
  </si>
  <si>
    <t>Michael Arnold</t>
  </si>
  <si>
    <t>Martin Bodrog</t>
  </si>
  <si>
    <t>Arthur Daniels</t>
  </si>
  <si>
    <t>Sylvia Frasier</t>
  </si>
  <si>
    <t>Kathy Gaarde</t>
  </si>
  <si>
    <t>John Roger Johnson</t>
  </si>
  <si>
    <t>Mary Francis Knight</t>
  </si>
  <si>
    <t>Frank Kohler</t>
  </si>
  <si>
    <t>Vishnu Shalchendia Pandit</t>
  </si>
  <si>
    <t>Kenneth Bernard Proctor</t>
  </si>
  <si>
    <t>Gerald L. Read</t>
  </si>
  <si>
    <t>Richard Michael Ridgell</t>
  </si>
  <si>
    <t>Glenn Calonicco</t>
  </si>
  <si>
    <t>nephew</t>
  </si>
  <si>
    <t>Rurik Davis</t>
  </si>
  <si>
    <t>Angel Penn</t>
  </si>
  <si>
    <t>niece</t>
  </si>
  <si>
    <t>Shelia Lynn Russo</t>
  </si>
  <si>
    <t>tribal member</t>
  </si>
  <si>
    <t>George Chen</t>
  </si>
  <si>
    <t>roommate's friend</t>
  </si>
  <si>
    <t>Katherine Breann Cooper</t>
  </si>
  <si>
    <t>Cheng Yuan "James" Hong</t>
  </si>
  <si>
    <t>roommate</t>
  </si>
  <si>
    <t>Christopher Ross Michaels-Martinez</t>
  </si>
  <si>
    <t>Weihan "David" Wang</t>
  </si>
  <si>
    <t>Veronika Weiss</t>
  </si>
  <si>
    <t>Shaylee Chuckulnaskit</t>
  </si>
  <si>
    <t>Andrew Fryberg</t>
  </si>
  <si>
    <t>cousin</t>
  </si>
  <si>
    <t>Zoe Galasso</t>
  </si>
  <si>
    <t>Gia Soriano</t>
  </si>
  <si>
    <t>Sharonda Coleman-Singleton</t>
  </si>
  <si>
    <t>Depayne Middleton-Doctor</t>
  </si>
  <si>
    <t>Cynthia Hurd</t>
  </si>
  <si>
    <t>Susie Jackson</t>
  </si>
  <si>
    <t>Ethel Lance</t>
  </si>
  <si>
    <t>Clementa Carlos Pinckney</t>
  </si>
  <si>
    <t>Tywanza Sanders</t>
  </si>
  <si>
    <t>Daniel Lee Simmons Sr.</t>
  </si>
  <si>
    <t>Myra Thompson</t>
  </si>
  <si>
    <t>Carson A. Holmquist</t>
  </si>
  <si>
    <t>Randall Smith</t>
  </si>
  <si>
    <t>Thomas J. Sullivan</t>
  </si>
  <si>
    <t>Squire K. Wells</t>
  </si>
  <si>
    <t>David A. Wyatt</t>
  </si>
  <si>
    <t>Lucero Alcaraz</t>
  </si>
  <si>
    <t>Treven Taylor Anspach</t>
  </si>
  <si>
    <t>Rebecka Ann Carnes</t>
  </si>
  <si>
    <t>Quinn Glen Cooper</t>
  </si>
  <si>
    <t>Kim Saltmarsh Dietz</t>
  </si>
  <si>
    <t>Lucas Eibel</t>
  </si>
  <si>
    <t>Jason Dale Johnson</t>
  </si>
  <si>
    <t>Lawrence Levine</t>
  </si>
  <si>
    <t>Sarena Dawn Moore</t>
  </si>
  <si>
    <t>Carl Johnson</t>
  </si>
  <si>
    <t>Hannah Johnson</t>
  </si>
  <si>
    <t>Kade Johnson</t>
  </si>
  <si>
    <t>Austin Kamp</t>
  </si>
  <si>
    <t>Nathan Kamp</t>
  </si>
  <si>
    <t>Thomas Kamp</t>
  </si>
  <si>
    <t>Robert Adams</t>
  </si>
  <si>
    <t>Isaac Amanios</t>
  </si>
  <si>
    <t>Bennetta Betbadal</t>
  </si>
  <si>
    <t>Harry Bowman</t>
  </si>
  <si>
    <t>Sierra Clayborn</t>
  </si>
  <si>
    <t>Juan Espinoza</t>
  </si>
  <si>
    <t>Aurora Luz Godoy</t>
  </si>
  <si>
    <t>Shannon Johnson</t>
  </si>
  <si>
    <t>Larry Daniel Kaufman</t>
  </si>
  <si>
    <t>Damian Meins</t>
  </si>
  <si>
    <t>Tin Nguyen</t>
  </si>
  <si>
    <t>Nicholas Thalasinos</t>
  </si>
  <si>
    <t>Yvette Velasco</t>
  </si>
  <si>
    <t>Michael Raymond Wetzel</t>
  </si>
  <si>
    <t>Dorothy Judy Brown</t>
  </si>
  <si>
    <t>Barbara Hawthorne</t>
  </si>
  <si>
    <t>Mary Jo Nye</t>
  </si>
  <si>
    <t>Mary Lou Nye</t>
  </si>
  <si>
    <t>Richard Smith</t>
  </si>
  <si>
    <t>Tyler Smith</t>
  </si>
  <si>
    <t>145, 146</t>
  </si>
  <si>
    <t>Shada Mahone</t>
  </si>
  <si>
    <t>Brittany Powell</t>
  </si>
  <si>
    <t>Chanetta Powell</t>
  </si>
  <si>
    <t>Jerry Shelton</t>
  </si>
  <si>
    <t>Tina Shelton</t>
  </si>
  <si>
    <t>Stanley Almodovar III</t>
  </si>
  <si>
    <t>Amanda Alvear</t>
  </si>
  <si>
    <t>Oscar A. Aracena-Montero</t>
  </si>
  <si>
    <t>Rodolfo Ayala-Ayala</t>
  </si>
  <si>
    <t>Alejandro Barrios Martinez</t>
  </si>
  <si>
    <t>Martin Benitez Torres</t>
  </si>
  <si>
    <t>Antonio Davon Brown</t>
  </si>
  <si>
    <t>Darryl Roman Burt II</t>
  </si>
  <si>
    <t>Jonathan Antonio Camuy Vega</t>
  </si>
  <si>
    <t>Angel L. Candelario-Padro</t>
  </si>
  <si>
    <t>Simon Adrian Carrillo Fernandez</t>
  </si>
  <si>
    <t>Juan Chevez-Martinez</t>
  </si>
  <si>
    <t>Luis Daniel Conde</t>
  </si>
  <si>
    <t>Cory James Connell</t>
  </si>
  <si>
    <t>Tevin Eugene Crosby</t>
  </si>
  <si>
    <t>Frank Jimmy Dejesus Velazquez</t>
  </si>
  <si>
    <t>Deonka Deidra Drayton</t>
  </si>
  <si>
    <t>Mercedez Marisol Flores</t>
  </si>
  <si>
    <t>Peter O. Gonzalez-Cruz</t>
  </si>
  <si>
    <t>Juan Ramon Guerrero</t>
  </si>
  <si>
    <t>Paul Terrell Henry</t>
  </si>
  <si>
    <t>Frank Hernandez</t>
  </si>
  <si>
    <t>Miguel Angel Honorato</t>
  </si>
  <si>
    <t>Javier Jorge-Reyes</t>
  </si>
  <si>
    <t>Jason Benjamin Josaphat</t>
  </si>
  <si>
    <t>Eddie Jamoldroy Justice</t>
  </si>
  <si>
    <t>Anthony Luis Laureanodisla</t>
  </si>
  <si>
    <t>Christopher Andrew Leinonen</t>
  </si>
  <si>
    <t>Brenda Lee Marquez McCool</t>
  </si>
  <si>
    <t>Jean Carlos Mendez Perez</t>
  </si>
  <si>
    <t>Akyra Monet Murray</t>
  </si>
  <si>
    <t>Kimberly "KJ" Morris</t>
  </si>
  <si>
    <t>Jean Carlos Nieves Rodriguez</t>
  </si>
  <si>
    <t>Luis Omar Ocasio-Capo</t>
  </si>
  <si>
    <t>Geraldo A. Ortiz-Jimenez</t>
  </si>
  <si>
    <t>Eric Ivan Ortiz-Rivera</t>
  </si>
  <si>
    <t>Joel Rayon Paniagua</t>
  </si>
  <si>
    <t>Enrique L. Rios Jr.</t>
  </si>
  <si>
    <t>Juan P. Rivera Velazquez</t>
  </si>
  <si>
    <t>Yilmary Rodrigues Solivan</t>
  </si>
  <si>
    <t>Christopher Joseph Sanfeliz</t>
  </si>
  <si>
    <t>Xavier Emmanuel Serrano Rosado</t>
  </si>
  <si>
    <t>Gilberto Ramon Silva Menendez</t>
  </si>
  <si>
    <t>Edward Sotomayor Jr.</t>
  </si>
  <si>
    <t>Shane Evan Tomlinson</t>
  </si>
  <si>
    <t>Leroy Valentin Fernandez</t>
  </si>
  <si>
    <t>Luis S. Vielma</t>
  </si>
  <si>
    <t>Luis Daniel Wilson-Leon</t>
  </si>
  <si>
    <t>Jerald Arthur Wright</t>
  </si>
  <si>
    <t>Lorne Ahrens</t>
  </si>
  <si>
    <t>Michael Krol</t>
  </si>
  <si>
    <t>Michael J. Smith</t>
  </si>
  <si>
    <t>Brent Thompson</t>
  </si>
  <si>
    <t>Patrick Zamarripa</t>
  </si>
  <si>
    <t>Beatrice Dotson</t>
  </si>
  <si>
    <t>Wilton "Chuck" Eagan</t>
  </si>
  <si>
    <t>Belinda Sue Galde</t>
  </si>
  <si>
    <t>Sarai Lara</t>
  </si>
  <si>
    <t>Shayla Kathleen Martin</t>
  </si>
  <si>
    <t>Mary Louise Amzibel</t>
  </si>
  <si>
    <t>Terry Andres</t>
  </si>
  <si>
    <t>Michael Oehme</t>
  </si>
  <si>
    <t>Shirley Timmons</t>
  </si>
  <si>
    <t>Olga Weltering</t>
  </si>
  <si>
    <t>Jerrandan Allen</t>
  </si>
  <si>
    <t>possible acquaintance</t>
  </si>
  <si>
    <t>Edward Johnson</t>
  </si>
  <si>
    <t>Kevin Johnson</t>
  </si>
  <si>
    <t>Gabriel Townsend</t>
  </si>
  <si>
    <t>Karen Barclay</t>
  </si>
  <si>
    <t>wife's coworker</t>
  </si>
  <si>
    <t>Dianne Renaud-Look</t>
  </si>
  <si>
    <t>Sara Quirt Sann</t>
  </si>
  <si>
    <t>wife's divorce attorney</t>
  </si>
  <si>
    <t>Jason Weiland</t>
  </si>
  <si>
    <t>Kevin Clark</t>
  </si>
  <si>
    <t>Kevin Lawson</t>
  </si>
  <si>
    <t>Brenda Montanez-Crespo</t>
  </si>
  <si>
    <t>Jeffrey Roberts</t>
  </si>
  <si>
    <t>Robert Snyder</t>
  </si>
  <si>
    <t>Hannah Lassette Ahlers</t>
  </si>
  <si>
    <t>Heather Lorraine Alvarado</t>
  </si>
  <si>
    <t>Dorene Anderson</t>
  </si>
  <si>
    <t>Carrie Rae Barnette</t>
  </si>
  <si>
    <t>Jack Reginald Beaton Jr.</t>
  </si>
  <si>
    <t>Stephen Richard Berger</t>
  </si>
  <si>
    <t>Candice Ryan Bowers</t>
  </si>
  <si>
    <t>Denise Burditus</t>
  </si>
  <si>
    <t>Sandra Lee Casey</t>
  </si>
  <si>
    <t>Andrea Lee Anna Castilla</t>
  </si>
  <si>
    <t>Denise Marie Cohen</t>
  </si>
  <si>
    <t>Austin William Davis</t>
  </si>
  <si>
    <t>Thomas Allen Day Jr.</t>
  </si>
  <si>
    <t>Christiana Mae Duarte</t>
  </si>
  <si>
    <t>Stacee Ann Etcheber</t>
  </si>
  <si>
    <t>Brian Scott Fraser</t>
  </si>
  <si>
    <t>Keri Lynn Galvan</t>
  </si>
  <si>
    <t>Dana Leann Gardner</t>
  </si>
  <si>
    <t>Angela Christine Gomez</t>
  </si>
  <si>
    <t>Charleston Vernon Hartfield</t>
  </si>
  <si>
    <t>Christopher James Hazencomb</t>
  </si>
  <si>
    <t>Jennifer Topaz Irvine</t>
  </si>
  <si>
    <t>Teresa Nicol Kimura</t>
  </si>
  <si>
    <t>Jessica Lynn Klymchuk</t>
  </si>
  <si>
    <t>Carly Anne Kriebaum</t>
  </si>
  <si>
    <t>Rhonda M. LeRocque</t>
  </si>
  <si>
    <t>Victor Link</t>
  </si>
  <si>
    <t>Jordan Alan McIlldoon</t>
  </si>
  <si>
    <t>Kelsey Breanne Meadows</t>
  </si>
  <si>
    <t>Calla-Marie Medig</t>
  </si>
  <si>
    <t>Sonny Melton</t>
  </si>
  <si>
    <t>Patricia Mestas</t>
  </si>
  <si>
    <t>Austin Cooper Meyer</t>
  </si>
  <si>
    <t>Adrian Allan Murfitt</t>
  </si>
  <si>
    <t>Rachael Kathleen Parker</t>
  </si>
  <si>
    <t>Jennifer Marie Parks</t>
  </si>
  <si>
    <t>Carolyn Lee Parsons</t>
  </si>
  <si>
    <t>Lisa Marie Patterson</t>
  </si>
  <si>
    <t>John Joseph Phippen</t>
  </si>
  <si>
    <t>Melissa Viridiana Ramirez</t>
  </si>
  <si>
    <t>Jordyn Nicole Rivera</t>
  </si>
  <si>
    <t>Quinton Joe Robbins</t>
  </si>
  <si>
    <t>Cameron Lee Robinson</t>
  </si>
  <si>
    <t>Rocio Guillen Rocha</t>
  </si>
  <si>
    <t>Tara Ann Roe Smith</t>
  </si>
  <si>
    <t>Lisa Romero-Muniz</t>
  </si>
  <si>
    <t>Christopher Louis Roybal</t>
  </si>
  <si>
    <t>Brett Schwanbeck</t>
  </si>
  <si>
    <t>Bailey Dee Schweitzer</t>
  </si>
  <si>
    <t>Laura Anne Shipp</t>
  </si>
  <si>
    <t>Erick Steven Silva</t>
  </si>
  <si>
    <t>Susan Marie Smith</t>
  </si>
  <si>
    <t>Brennan Lee Stewart</t>
  </si>
  <si>
    <t>Derrick Dean "Bo" Taylor</t>
  </si>
  <si>
    <t>Neysa Christine Tonks</t>
  </si>
  <si>
    <t>Michelle Vo</t>
  </si>
  <si>
    <t>Kurt Allen Von Tillow</t>
  </si>
  <si>
    <t>William Winfield Wolfe Jr.</t>
  </si>
  <si>
    <t>Keith Allen Braden</t>
  </si>
  <si>
    <t>Robert Corrigan</t>
  </si>
  <si>
    <t>Shani Corrigan</t>
  </si>
  <si>
    <t>Bryan Holcombe</t>
  </si>
  <si>
    <t>Crystal Marie Holcombe</t>
  </si>
  <si>
    <t>Emily Rose Hill</t>
  </si>
  <si>
    <t>Gregory Lynn Hill</t>
  </si>
  <si>
    <t>Karla Plain Holcombe</t>
  </si>
  <si>
    <t>Marc Daniel "Danny" Holcombe</t>
  </si>
  <si>
    <t>Megan Gail Hill</t>
  </si>
  <si>
    <t>Noah Grace Holcombe</t>
  </si>
  <si>
    <t>Dennis Johnson</t>
  </si>
  <si>
    <t>Sara Johnson</t>
  </si>
  <si>
    <t>Annabelle Renae Pomeroy</t>
  </si>
  <si>
    <t>Haley Krueger</t>
  </si>
  <si>
    <t>Karen Sue Marshall</t>
  </si>
  <si>
    <t>Robert Scott Marshall</t>
  </si>
  <si>
    <t>Tara E. McNulty</t>
  </si>
  <si>
    <t>Ricardo Cardona Rodriguez</t>
  </si>
  <si>
    <t>Therese Sagan Rodriguez</t>
  </si>
  <si>
    <t>Joann Lookingbill Ward</t>
  </si>
  <si>
    <t>Brooke Ward</t>
  </si>
  <si>
    <t>Emily Garcia</t>
  </si>
  <si>
    <t>Peggy Lynn Warden</t>
  </si>
  <si>
    <t>Lula Woicinski White</t>
  </si>
  <si>
    <t>grandmother-in-law</t>
  </si>
  <si>
    <t>Barbara Anne Glisan</t>
  </si>
  <si>
    <t>Danny Lee Elliot</t>
  </si>
  <si>
    <t>Michelle Iris McFadyen</t>
  </si>
  <si>
    <t>Joseph Edward McHugh III</t>
  </si>
  <si>
    <t>Diana Lee Steele</t>
  </si>
  <si>
    <t>Chelsie Lou Cline</t>
  </si>
  <si>
    <t>Seth Cline</t>
  </si>
  <si>
    <t>Courtney Sue Snyder</t>
  </si>
  <si>
    <t>William Scott Porterfield</t>
  </si>
  <si>
    <t>Alyssa Alhadeff</t>
  </si>
  <si>
    <t>Martin Duque Anguiano</t>
  </si>
  <si>
    <t>Scott Beigel</t>
  </si>
  <si>
    <t>teacher at school Cruz used to attend</t>
  </si>
  <si>
    <t>Nicholas Dworet</t>
  </si>
  <si>
    <t>Aaron Feis</t>
  </si>
  <si>
    <t>assistant football coach at school Cruz used to attend</t>
  </si>
  <si>
    <t>Jaime Guttenberg</t>
  </si>
  <si>
    <t>Christopher Hixon</t>
  </si>
  <si>
    <t>athletic director at school Cruz used to attend</t>
  </si>
  <si>
    <t>Luke Hoyer</t>
  </si>
  <si>
    <t>Cara Loughran</t>
  </si>
  <si>
    <t>Gina Montalto</t>
  </si>
  <si>
    <t>Joaquin Oliver</t>
  </si>
  <si>
    <t>Alaina Petty</t>
  </si>
  <si>
    <t>Meadow Pollack</t>
  </si>
  <si>
    <t>Helena Ramsay</t>
  </si>
  <si>
    <t>Alex Schachter</t>
  </si>
  <si>
    <t>Carmen Schentrup</t>
  </si>
  <si>
    <t>Peter Wang</t>
  </si>
  <si>
    <t>Cierra Bargaineer</t>
  </si>
  <si>
    <t>Raphael Hall</t>
  </si>
  <si>
    <t>girlfriend's father</t>
  </si>
  <si>
    <t>Jamon D. Thomas</t>
  </si>
  <si>
    <t>Kristin Marie Thomas</t>
  </si>
  <si>
    <t>Cierra's friend</t>
  </si>
  <si>
    <t>Akilah DaSilva</t>
  </si>
  <si>
    <t>DeEbony Groves</t>
  </si>
  <si>
    <t>Joe R. Perez</t>
  </si>
  <si>
    <t>Taurean C. Sanderlin</t>
  </si>
  <si>
    <t>Jared Black</t>
  </si>
  <si>
    <t>Shana Lorraine Fisher</t>
  </si>
  <si>
    <t>Christian Riley Garcia</t>
  </si>
  <si>
    <t>Aaron Kyle McLeod</t>
  </si>
  <si>
    <t>Glenda Ann Perkins</t>
  </si>
  <si>
    <t>Angelique Ramirez</t>
  </si>
  <si>
    <t>Sabika Sheikh</t>
  </si>
  <si>
    <t>Christopher Jake Stone</t>
  </si>
  <si>
    <t>Cynthia Tisdale</t>
  </si>
  <si>
    <t>Kimberly Vaughan</t>
  </si>
  <si>
    <t>Gerald Fischman</t>
  </si>
  <si>
    <t>Rob Hiaasen</t>
  </si>
  <si>
    <t>John McNamara</t>
  </si>
  <si>
    <t>Rebecca Smith</t>
  </si>
  <si>
    <t>Wendi Winters</t>
  </si>
  <si>
    <t>Petra Maribel Bolanos de Casarez</t>
  </si>
  <si>
    <t>Eliseo Garcia Cazares</t>
  </si>
  <si>
    <t>employee</t>
  </si>
  <si>
    <t>Manuel Contreras</t>
  </si>
  <si>
    <t>Laura Garcia</t>
  </si>
  <si>
    <t>employee's daughter</t>
  </si>
  <si>
    <t>Antonio Valadez</t>
  </si>
  <si>
    <t>Joyce Fienberg</t>
  </si>
  <si>
    <t>Richard Gottfired</t>
  </si>
  <si>
    <t>Rose Mallinger</t>
  </si>
  <si>
    <t>Jerry Rabinowitz</t>
  </si>
  <si>
    <t>Cecil Rosenthal</t>
  </si>
  <si>
    <t>David Rosenthal</t>
  </si>
  <si>
    <t>Bernice Simon</t>
  </si>
  <si>
    <t>Sylvan Simon</t>
  </si>
  <si>
    <t>Daniel Stein</t>
  </si>
  <si>
    <t>Melvin Wax</t>
  </si>
  <si>
    <t>Irving Younger</t>
  </si>
  <si>
    <t>Sean Adler</t>
  </si>
  <si>
    <t>Cody Gifford-Coffman</t>
  </si>
  <si>
    <t>Blake Dingman</t>
  </si>
  <si>
    <t>Jacob Dunham</t>
  </si>
  <si>
    <t>Ron Helus</t>
  </si>
  <si>
    <t>Alaina Housley</t>
  </si>
  <si>
    <t>Daniel Manrique</t>
  </si>
  <si>
    <t>Justin Meek</t>
  </si>
  <si>
    <t>Mark Meza Jr.</t>
  </si>
  <si>
    <t>Kristina Morisette</t>
  </si>
  <si>
    <t>Telemachus Orfanos</t>
  </si>
  <si>
    <t>Noel Sparks</t>
  </si>
  <si>
    <t>Debra Cook</t>
  </si>
  <si>
    <t>Marisol Lopez</t>
  </si>
  <si>
    <t>Jessica Montague</t>
  </si>
  <si>
    <t>Ana Piñon-Williams</t>
  </si>
  <si>
    <t>Cynthia Lee Watson</t>
  </si>
  <si>
    <t>Russell Beyer</t>
  </si>
  <si>
    <t>Clayton Parks</t>
  </si>
  <si>
    <t>Vicente Juarez</t>
  </si>
  <si>
    <t>Josh Pinkard</t>
  </si>
  <si>
    <t>Trevor Wehner</t>
  </si>
  <si>
    <t>first day on job</t>
  </si>
  <si>
    <t>LaQuita Chenoah Brown</t>
  </si>
  <si>
    <t>Ryan Keith Cox</t>
  </si>
  <si>
    <t>Tara Welch Gallagher</t>
  </si>
  <si>
    <t>Mary Louise Crutsinger Gayle</t>
  </si>
  <si>
    <t>Alexander Mikhail Gusev</t>
  </si>
  <si>
    <t>Joshua Orion Hardy</t>
  </si>
  <si>
    <t>Michelle Marie "Missy" Langer</t>
  </si>
  <si>
    <t>Richard H. Nettleton</t>
  </si>
  <si>
    <t>Katherine Anne Marie Lusich-Nixon</t>
  </si>
  <si>
    <t>Christopher Kelly Rapp</t>
  </si>
  <si>
    <t>Herbert Ray "Bert" Snelling</t>
  </si>
  <si>
    <t>Robert Thomas "Bobby" Williams Sr.</t>
  </si>
  <si>
    <t>Jordan Kae Anchondo</t>
  </si>
  <si>
    <t>Andre Pablo Anchondo</t>
  </si>
  <si>
    <t>Arturo Benavides</t>
  </si>
  <si>
    <t>Leonardo Campos Jr.</t>
  </si>
  <si>
    <t>Maribel Hernandez</t>
  </si>
  <si>
    <t>Juan de Dios Velázquez Chairez</t>
  </si>
  <si>
    <t>Angelina Silva Englisbee</t>
  </si>
  <si>
    <t>Alexander Gerhard Hoffmann Roth</t>
  </si>
  <si>
    <t>David Alvah Johnson</t>
  </si>
  <si>
    <t>Luis Alfonso Juarez</t>
  </si>
  <si>
    <t>Gloria Irma Márquez Juárez</t>
  </si>
  <si>
    <t>Ivan Filiberto Manzano</t>
  </si>
  <si>
    <t>Elsa Mendoza de la Mora Márquez</t>
  </si>
  <si>
    <t>Sara Esther Regalado Moriel</t>
  </si>
  <si>
    <t>Margie Reckard</t>
  </si>
  <si>
    <t>Javier Amir Rodriguez</t>
  </si>
  <si>
    <t>María Eugenia Legarreta Rothe</t>
  </si>
  <si>
    <t>Teresa Trinidad Sanchez Guerra</t>
  </si>
  <si>
    <t>Jorge Calvillo García</t>
  </si>
  <si>
    <t>Adolfo Cerros Hernández Aguascalientes</t>
  </si>
  <si>
    <t>Raul Flores</t>
  </si>
  <si>
    <t>Maria Flores</t>
  </si>
  <si>
    <t>Guillermo Garcia</t>
  </si>
  <si>
    <t>Jordan Cofer [Betts]</t>
  </si>
  <si>
    <t>sibling</t>
  </si>
  <si>
    <t>Monica E. Brickhouse</t>
  </si>
  <si>
    <t>Nicholas P. Cumer</t>
  </si>
  <si>
    <t>Derrick R. Fudge</t>
  </si>
  <si>
    <t>Thomas J. McNichols</t>
  </si>
  <si>
    <t>Lois L. Oglesby</t>
  </si>
  <si>
    <t>Saeed Salah</t>
  </si>
  <si>
    <t>Logan M. Turner</t>
  </si>
  <si>
    <t>Beatrice N. Warren-Curtis</t>
  </si>
  <si>
    <t>Rodolfo "Rudy" Arco</t>
  </si>
  <si>
    <t>Kameron Karltess Brown</t>
  </si>
  <si>
    <t>Raul Garcia</t>
  </si>
  <si>
    <t>Mary Granados</t>
  </si>
  <si>
    <t>Joseph Griffith</t>
  </si>
  <si>
    <t>Leilah Hernandez</t>
  </si>
  <si>
    <t>Edwin Peregrino</t>
  </si>
  <si>
    <t>Leah Mindel Ferencz</t>
  </si>
  <si>
    <t>Douglas Miguel Rodriguez</t>
  </si>
  <si>
    <t>Moshe Deutsch</t>
  </si>
  <si>
    <t>Joseph Seals</t>
  </si>
  <si>
    <t>Jesus Valle Jr.</t>
  </si>
  <si>
    <t>Gennady Levshetz</t>
  </si>
  <si>
    <t>Trevor Wetselaar</t>
  </si>
  <si>
    <t>Dana Walk</t>
  </si>
  <si>
    <t>Dale Hudson</t>
  </si>
  <si>
    <t>Location (Code)</t>
  </si>
  <si>
    <t>Location (Specify)</t>
  </si>
  <si>
    <t>Shooting Start Time</t>
  </si>
  <si>
    <t>Shooting End Time</t>
  </si>
  <si>
    <t>Time of Day</t>
  </si>
  <si>
    <t>Zip Code</t>
  </si>
  <si>
    <t>Total Population</t>
  </si>
  <si>
    <t>Median Age</t>
  </si>
  <si>
    <t>% White Alone</t>
  </si>
  <si>
    <t>% Female Household</t>
  </si>
  <si>
    <t>% Rental Units</t>
  </si>
  <si>
    <t>% Employed</t>
  </si>
  <si>
    <t>% High School Graduate</t>
  </si>
  <si>
    <t>% College Graduate</t>
  </si>
  <si>
    <t>% Without Health Insurance</t>
  </si>
  <si>
    <t>Nearest Hospital (Miles)</t>
  </si>
  <si>
    <t>N Mental Health Providers in Zip Code</t>
  </si>
  <si>
    <t>N Gun Stores in Zip Code</t>
  </si>
  <si>
    <t>Size of Police Dept</t>
  </si>
  <si>
    <t>Homicide Rate</t>
  </si>
  <si>
    <t>Workplace</t>
  </si>
  <si>
    <t>Retail</t>
  </si>
  <si>
    <t>Public</t>
  </si>
  <si>
    <t>(0)3576</t>
  </si>
  <si>
    <t>(0)6067</t>
  </si>
  <si>
    <t>Golden (and Mitchell Johnson)</t>
  </si>
  <si>
    <t>K-12 School</t>
  </si>
  <si>
    <t>House of Worship</t>
  </si>
  <si>
    <t>Harris (and Dylan Klebold)</t>
  </si>
  <si>
    <t>Bryan</t>
  </si>
  <si>
    <t>Workplace (Hotel / Motel)</t>
  </si>
  <si>
    <t>Hate Crime Over Many Sites</t>
  </si>
  <si>
    <t>(0)1880</t>
  </si>
  <si>
    <t>Employment Agency</t>
  </si>
  <si>
    <t>Restaurant / Bar / Nightclub</t>
  </si>
  <si>
    <t>Hunting Trip</t>
  </si>
  <si>
    <t>Government Building / Place of Civic Importance</t>
  </si>
  <si>
    <t>Party</t>
  </si>
  <si>
    <t>College / University</t>
  </si>
  <si>
    <t>7:15</t>
  </si>
  <si>
    <t>9:45</t>
  </si>
  <si>
    <t>49 on-campus</t>
  </si>
  <si>
    <t>15:05</t>
  </si>
  <si>
    <t>16:14</t>
  </si>
  <si>
    <t>55 on-campus</t>
  </si>
  <si>
    <t>Workplace (Auto Salvage Yard)</t>
  </si>
  <si>
    <t>Nursing home</t>
  </si>
  <si>
    <t>Military Site</t>
  </si>
  <si>
    <t>(0)6042</t>
  </si>
  <si>
    <t>Neighborhood</t>
  </si>
  <si>
    <t>9:06</t>
  </si>
  <si>
    <t>10:30</t>
  </si>
  <si>
    <t>11:30</t>
  </si>
  <si>
    <t>Movie Theater</t>
  </si>
  <si>
    <t>(0)6482</t>
  </si>
  <si>
    <t>Parking lot</t>
  </si>
  <si>
    <t>11:52</t>
  </si>
  <si>
    <t>12:05</t>
  </si>
  <si>
    <t>Apartment building</t>
  </si>
  <si>
    <t>21:37</t>
  </si>
  <si>
    <t>Muhammad</t>
  </si>
  <si>
    <t>10:48</t>
  </si>
  <si>
    <t>Campsite</t>
  </si>
  <si>
    <t>Farook (and Tashfeen Malik)</t>
  </si>
  <si>
    <t>Workplace (Government Building / Place of Civic Importance)</t>
  </si>
  <si>
    <t>City - Attack on Law Enforcement</t>
  </si>
  <si>
    <t>18:52</t>
  </si>
  <si>
    <t>19:17</t>
  </si>
  <si>
    <t>Airport</t>
  </si>
  <si>
    <t>Outdoor Concert / Casino</t>
  </si>
  <si>
    <t>Public, including K-12 School</t>
  </si>
  <si>
    <t>Travis Jeffrey</t>
  </si>
  <si>
    <t>Pagourtzi</t>
  </si>
  <si>
    <t>Driving</t>
  </si>
  <si>
    <t>(0)7305</t>
  </si>
  <si>
    <t>DATE</t>
  </si>
  <si>
    <t>Full date</t>
  </si>
  <si>
    <t>Day of the week</t>
  </si>
  <si>
    <t>January = 1</t>
  </si>
  <si>
    <t>February = 2</t>
  </si>
  <si>
    <t>March = 3</t>
  </si>
  <si>
    <t>April = 4</t>
  </si>
  <si>
    <t>May = 5</t>
  </si>
  <si>
    <t>June = 6</t>
  </si>
  <si>
    <t>July = 7</t>
  </si>
  <si>
    <t>August = 8</t>
  </si>
  <si>
    <t>September = 9</t>
  </si>
  <si>
    <t>October = 10</t>
  </si>
  <si>
    <t>November = 11</t>
  </si>
  <si>
    <t>December = 12</t>
  </si>
  <si>
    <t>LOCATION</t>
  </si>
  <si>
    <t>Shooting location address</t>
  </si>
  <si>
    <t>City name</t>
  </si>
  <si>
    <t>Alabama = 1</t>
  </si>
  <si>
    <t>Alaska = 2</t>
  </si>
  <si>
    <t>Arizona = 3</t>
  </si>
  <si>
    <t>Arkansas = 4</t>
  </si>
  <si>
    <t>California = 5</t>
  </si>
  <si>
    <t>Colorado = 6</t>
  </si>
  <si>
    <t>Connecticut = 7</t>
  </si>
  <si>
    <t>Delaware = 8</t>
  </si>
  <si>
    <t>Florida = 9</t>
  </si>
  <si>
    <t>Georgia = 10</t>
  </si>
  <si>
    <t>Hawaii = 11</t>
  </si>
  <si>
    <t>Idaho = 12</t>
  </si>
  <si>
    <t>Illinois = 13</t>
  </si>
  <si>
    <t>Indiana =14</t>
  </si>
  <si>
    <t>Iowa = 15</t>
  </si>
  <si>
    <t>Kansas = 16</t>
  </si>
  <si>
    <t>Kentucky = 17</t>
  </si>
  <si>
    <t>Louisiana = 18</t>
  </si>
  <si>
    <t>Maine = 19</t>
  </si>
  <si>
    <t>Maryland = 20</t>
  </si>
  <si>
    <t>Massachusetts = 21</t>
  </si>
  <si>
    <t>Michigan = 22</t>
  </si>
  <si>
    <t>Minnesota = 23</t>
  </si>
  <si>
    <t>Mississippi = 24</t>
  </si>
  <si>
    <t>Missouri = 25</t>
  </si>
  <si>
    <t>Montana = 26</t>
  </si>
  <si>
    <t>Nebraska = 27</t>
  </si>
  <si>
    <t>Nevada = 28</t>
  </si>
  <si>
    <t>New Hamphire = 29</t>
  </si>
  <si>
    <t>New Jersey = 30</t>
  </si>
  <si>
    <t>New Mexico = 31</t>
  </si>
  <si>
    <t>New York = 32</t>
  </si>
  <si>
    <t>North Carolina = 33</t>
  </si>
  <si>
    <t>North Dakota = 34</t>
  </si>
  <si>
    <t>Ohio = 35</t>
  </si>
  <si>
    <t>Oklahoma = 36</t>
  </si>
  <si>
    <t>Oregon = 37</t>
  </si>
  <si>
    <t>Pennsylvania = 38</t>
  </si>
  <si>
    <t>Rhode Island = 39</t>
  </si>
  <si>
    <t>South Carolina = 40</t>
  </si>
  <si>
    <t>South Dakota = 41</t>
  </si>
  <si>
    <t>Tennessee = 42</t>
  </si>
  <si>
    <t>Texas = 43</t>
  </si>
  <si>
    <t>Utah = 44</t>
  </si>
  <si>
    <t>Vermont = 45</t>
  </si>
  <si>
    <t>Virginia = 46</t>
  </si>
  <si>
    <t>Washington = 47</t>
  </si>
  <si>
    <t>West Virginia = 48</t>
  </si>
  <si>
    <t>Wisconsin = 49</t>
  </si>
  <si>
    <t>Wyoming = 50</t>
  </si>
  <si>
    <t>Washington DC = 51</t>
  </si>
  <si>
    <t>South = 0 (Washington DC, Alabama, Arkansas, Delaware, Florida, Georgia, Kentucky, Louisiana, Maryland, Mississippi, North Carolina, Oklahoma, South Carolina, Tennessee, Texas, Virginia, West Virginia)</t>
  </si>
  <si>
    <t>Midwest = 1 (Illinois, Indiana, Iowa, Kansas, Michigan, Minnesota, Missouri, Nebraska, North Dakota, Ohio, South Dakota, Wisconsin)</t>
  </si>
  <si>
    <t>Northeast = 2 (Connecticut, Maine, Massachusetts, New Hampshire, New Jersey, New York, Pennsylvania, Rhode Island, Vermont)</t>
  </si>
  <si>
    <t>West = 3 (Alaska, Arizona, California, Colorado, Hawaii, Idaho, Montana, Nevada, New Mexico, Oregon, Utah, Washington, Wyoming)</t>
  </si>
  <si>
    <t>Urban, suburban, or rural area</t>
  </si>
  <si>
    <t>Urban = 0</t>
  </si>
  <si>
    <t>Suburban = 1</t>
  </si>
  <si>
    <t>Rural = 2</t>
  </si>
  <si>
    <t>Location type</t>
  </si>
  <si>
    <t>K-12 school = 0</t>
  </si>
  <si>
    <t>College/university = 1</t>
  </si>
  <si>
    <t>Government building / place of civic importance = 2</t>
  </si>
  <si>
    <t>House of worship = 3</t>
  </si>
  <si>
    <t>Retail = 4</t>
  </si>
  <si>
    <t>Restaurant/bar/nightclub = 5</t>
  </si>
  <si>
    <t>Workplace = 6</t>
  </si>
  <si>
    <t>Bifurcated (multiple locations)</t>
  </si>
  <si>
    <t>No = 0</t>
  </si>
  <si>
    <t>Yes = 1</t>
  </si>
  <si>
    <t>Location 2 (if bifurcated)</t>
  </si>
  <si>
    <t>Armed person on the scene when shooting started</t>
  </si>
  <si>
    <t xml:space="preserve">VICTIMS   </t>
  </si>
  <si>
    <t>Number killed</t>
  </si>
  <si>
    <t>Count</t>
  </si>
  <si>
    <t>Number injured</t>
  </si>
  <si>
    <t>Both = 2</t>
  </si>
  <si>
    <t>Kidnapping or hostage element</t>
  </si>
  <si>
    <t>Male = 0</t>
  </si>
  <si>
    <t>Female = 1</t>
  </si>
  <si>
    <t>White = 0</t>
  </si>
  <si>
    <t>Black = 1</t>
  </si>
  <si>
    <t>Latinx = 2</t>
  </si>
  <si>
    <t>Asian = 3</t>
  </si>
  <si>
    <t>Middle Eastern = 4</t>
  </si>
  <si>
    <t>Native American = 5</t>
  </si>
  <si>
    <t>Other = 6</t>
  </si>
  <si>
    <t>Sexual orientation</t>
  </si>
  <si>
    <t>Heterosexual = 0</t>
  </si>
  <si>
    <t>None = 0</t>
  </si>
  <si>
    <t>Christian = 1</t>
  </si>
  <si>
    <t>Muslim = 2</t>
  </si>
  <si>
    <t>Buddhist = 3</t>
  </si>
  <si>
    <t>Atheist = 4</t>
  </si>
  <si>
    <t>Cultural spirituality/other = 5</t>
  </si>
  <si>
    <t>Less than high school = 0</t>
  </si>
  <si>
    <t>High school/GED = 1</t>
  </si>
  <si>
    <t>Some college/trade school = 2</t>
  </si>
  <si>
    <t>Bachelor's degree = 3</t>
  </si>
  <si>
    <t>Graduate school/advanced degree = 4</t>
  </si>
  <si>
    <t>School performance</t>
  </si>
  <si>
    <t>Poor (D-F grades, under 2.0 GPA, failed classes, repeated grades) = 0</t>
  </si>
  <si>
    <t>Average (C's, 2.0-3.49 GPA) = 1</t>
  </si>
  <si>
    <t>Good (A-B grades, 3.5-4.0 GPA) = 2</t>
  </si>
  <si>
    <t>School performance specified</t>
  </si>
  <si>
    <t>Birth order</t>
  </si>
  <si>
    <t xml:space="preserve">Only child = 0 </t>
  </si>
  <si>
    <t>Oldest child = 1</t>
  </si>
  <si>
    <t>Middle child = 2</t>
  </si>
  <si>
    <t>Youngest child = 3</t>
  </si>
  <si>
    <t>Twin = 4</t>
  </si>
  <si>
    <t>Number of siblings</t>
  </si>
  <si>
    <t>Number of older siblings</t>
  </si>
  <si>
    <t xml:space="preserve">Number of younger siblings </t>
  </si>
  <si>
    <t>Relationship status</t>
  </si>
  <si>
    <t>Single = 0</t>
  </si>
  <si>
    <t>Boyfriend/girlfriend = 1</t>
  </si>
  <si>
    <t>Married = 2</t>
  </si>
  <si>
    <t>Divorced/separated/widowed = 3</t>
  </si>
  <si>
    <t>Children (shooter was a parent)</t>
  </si>
  <si>
    <t>Employment status</t>
  </si>
  <si>
    <t>Working = 0</t>
  </si>
  <si>
    <t>Not working = 1</t>
  </si>
  <si>
    <t>Employment type</t>
  </si>
  <si>
    <t>Blue collar = 0</t>
  </si>
  <si>
    <t>White collar = 1</t>
  </si>
  <si>
    <t>In between = 2</t>
  </si>
  <si>
    <t>Military service</t>
  </si>
  <si>
    <t>Joined but did not make it through training = 2</t>
  </si>
  <si>
    <t>Military branch</t>
  </si>
  <si>
    <t>Army = 0</t>
  </si>
  <si>
    <t>Navy = 1</t>
  </si>
  <si>
    <t>Air Force = 2</t>
  </si>
  <si>
    <t>Marines = 3</t>
  </si>
  <si>
    <t>Coast Guard = 4</t>
  </si>
  <si>
    <t xml:space="preserve">National Guard = 5
</t>
  </si>
  <si>
    <t>Community involvement</t>
  </si>
  <si>
    <t>No involvement = 0</t>
  </si>
  <si>
    <t>Somewhat involved = 1</t>
  </si>
  <si>
    <t>Heavily involved = 2</t>
  </si>
  <si>
    <t>Formerly involved but recently withdrawn = 3</t>
  </si>
  <si>
    <t>Community involvement specified</t>
  </si>
  <si>
    <t>No experience = 0</t>
  </si>
  <si>
    <t>Some experience (some practice before shooting, grew up around guns, owned guns for awhile before shooting) = 1</t>
  </si>
  <si>
    <t>More experienced (held a permit or license, certifications or classes taken, more intensive practice before shooting) = 2</t>
  </si>
  <si>
    <t>Very experienced = 3 (military, hunter, sharpshooter, years of consistent practice)</t>
  </si>
  <si>
    <t>CRIME AND VIOLENCE</t>
  </si>
  <si>
    <t>Criminal record / prior police contact</t>
  </si>
  <si>
    <t>Previous homicide(s)</t>
  </si>
  <si>
    <t>History of physical violence</t>
  </si>
  <si>
    <t>History of domestic abuse (including non-physical forms of abuse)</t>
  </si>
  <si>
    <t>Abused romantic partner = 1</t>
  </si>
  <si>
    <t>Abused other family member(s) = 2</t>
  </si>
  <si>
    <t>Abused romantic partner and other family member(s) = 3</t>
  </si>
  <si>
    <t>Non-sexual physical violence = 1</t>
  </si>
  <si>
    <t>Sexual violence = 2</t>
  </si>
  <si>
    <t>Threats / coercive control = 3</t>
  </si>
  <si>
    <t xml:space="preserve">Threats with a deadly weapon = 4 </t>
  </si>
  <si>
    <t>History of sexual offenses (rape, molestation, indecent exposure, child pornography, sexual harrassment, or other acts with a sexual motivation)</t>
  </si>
  <si>
    <t>Notable or obsessive interest in firearms</t>
  </si>
  <si>
    <t>Hate group community association = 1</t>
  </si>
  <si>
    <t>Other radical group association = 2</t>
  </si>
  <si>
    <t>Inspired by a hate group but no direct connection = 3</t>
  </si>
  <si>
    <t>Website or chat room postings relating to hate or hate groups = 4</t>
  </si>
  <si>
    <t>TRAUMA AND CRISIS</t>
  </si>
  <si>
    <t>Raised by single parent</t>
  </si>
  <si>
    <t>Suicide of parent</t>
  </si>
  <si>
    <t>Father = 1</t>
  </si>
  <si>
    <t>Mother = 2</t>
  </si>
  <si>
    <t>Abused by father = 1</t>
  </si>
  <si>
    <t>Abused by mother = 2</t>
  </si>
  <si>
    <t>Other major trauma = 3</t>
  </si>
  <si>
    <t>Abused by other family member(s) = 4</t>
  </si>
  <si>
    <t>Abused by other party = 5</t>
  </si>
  <si>
    <t>Abused by both parents = 6</t>
  </si>
  <si>
    <t>Childhood socioeconomic status</t>
  </si>
  <si>
    <t>Lower class = 0</t>
  </si>
  <si>
    <t>Middle class = 1</t>
  </si>
  <si>
    <t>Upper class = 2</t>
  </si>
  <si>
    <t>Recent or traumatic breakup</t>
  </si>
  <si>
    <t>Recent or traumatic change in work status or trouble at work</t>
  </si>
  <si>
    <t>Recent or ongoing stressor</t>
  </si>
  <si>
    <t>Inability to perform daily tasks</t>
  </si>
  <si>
    <t>Rapid mood swings</t>
  </si>
  <si>
    <t>Increased agitation</t>
  </si>
  <si>
    <t>Abusive behavior</t>
  </si>
  <si>
    <t xml:space="preserve">Losing touch with reality </t>
  </si>
  <si>
    <t>Paranoia</t>
  </si>
  <si>
    <t>HEALTH AND MENTAL HEALTH</t>
  </si>
  <si>
    <t>Yes, at any point before the shooting = 1</t>
  </si>
  <si>
    <t>Intended to die in shooting but had no previous suicidality = 2</t>
  </si>
  <si>
    <t>Hospitalization for psychiatric reasons</t>
  </si>
  <si>
    <t>Prior counseling</t>
  </si>
  <si>
    <t>Voluntary or mandatory counseling</t>
  </si>
  <si>
    <t>Voluntary = 0</t>
  </si>
  <si>
    <t>Mandatory (imposed by court or job) = 1</t>
  </si>
  <si>
    <t>Prescribed psychiatric medication</t>
  </si>
  <si>
    <t>Treatment (counseling, medication, hospital) in the 6 months prior to shooting</t>
  </si>
  <si>
    <t>Mental illness</t>
  </si>
  <si>
    <t>No signs of psychiatric diagnosis = 0</t>
  </si>
  <si>
    <t>Mood disorder = 1</t>
  </si>
  <si>
    <t>Thought disorder = 2</t>
  </si>
  <si>
    <t>Other psychiatric diagnosis = 3</t>
  </si>
  <si>
    <t>Both mood and thought disorders = 4</t>
  </si>
  <si>
    <t>Signs of mental illness but no diagnosis = 5</t>
  </si>
  <si>
    <t>Known family history of mental health issues</t>
  </si>
  <si>
    <t>No published/known history = 0</t>
  </si>
  <si>
    <t>Parents had mental health issues = 1</t>
  </si>
  <si>
    <t>Other close relatives had mental health issues = 2</t>
  </si>
  <si>
    <t>Autism spectrum disorder</t>
  </si>
  <si>
    <t>Diagnosed or extremely likely = 1</t>
  </si>
  <si>
    <t>Substance use and abuse</t>
  </si>
  <si>
    <t>Drank alcohol casually = 1</t>
  </si>
  <si>
    <t>Marijuana = 2</t>
  </si>
  <si>
    <t>Other drugs = 3</t>
  </si>
  <si>
    <t>Problem with alcohol and drugs = 4</t>
  </si>
  <si>
    <t>Problem with alcohol = 5</t>
  </si>
  <si>
    <t>Specify health issues</t>
  </si>
  <si>
    <t>GRIEVANCE AND MOTIVATION</t>
  </si>
  <si>
    <t>1 = Antisemitism</t>
  </si>
  <si>
    <t>2 = Islamophobia</t>
  </si>
  <si>
    <t>3 = Angry with Christianity/Christian God</t>
  </si>
  <si>
    <t>Yes, targeted partner or ex-partner = 1</t>
  </si>
  <si>
    <t>Role of psychosis in the shooting</t>
  </si>
  <si>
    <t>Psychotic symptoms played no role in the crime = 0</t>
  </si>
  <si>
    <t>Psychotic symptoms played a small role in the crime = 1</t>
  </si>
  <si>
    <t>Psychotic symptoms played a significant role in the crime, but was not the only cause = 2</t>
  </si>
  <si>
    <t>Psychotic symptoms completely caused the crime = 3</t>
  </si>
  <si>
    <t>Generalized anger (angry at a group, society, world, carries out symbolic killing) = 2</t>
  </si>
  <si>
    <t>SOCIAL CONTAGION</t>
  </si>
  <si>
    <t>Social media use related to shooting</t>
  </si>
  <si>
    <t>NA, pre-1999 = 2</t>
  </si>
  <si>
    <t>In person = 0</t>
  </si>
  <si>
    <t>Letter = 1</t>
  </si>
  <si>
    <t>Other writing = 2</t>
  </si>
  <si>
    <t>Other = 5</t>
  </si>
  <si>
    <t>Mental health professional = 0</t>
  </si>
  <si>
    <t>Immediate family = 1</t>
  </si>
  <si>
    <t>Wife/girlfriend = 2</t>
  </si>
  <si>
    <t>Police = 3</t>
  </si>
  <si>
    <t>Coworker/supervisor = 4</t>
  </si>
  <si>
    <t>Friend/neighbor = 5</t>
  </si>
  <si>
    <t>Classmate = 6</t>
  </si>
  <si>
    <t>Teacher/school staff = 7</t>
  </si>
  <si>
    <t>Waitress/Bartender/Clerk = 8</t>
  </si>
  <si>
    <t>Other = 9</t>
  </si>
  <si>
    <t>Nonspecific (threatened violence) = 0</t>
  </si>
  <si>
    <t>Specific (threatened shooting) = 1</t>
  </si>
  <si>
    <t>Relationship with other shooting(s)</t>
  </si>
  <si>
    <t>Specify relationship to other shooting(s)</t>
  </si>
  <si>
    <t>Legacy token (left something behind)</t>
  </si>
  <si>
    <t>Connection to pop culture</t>
  </si>
  <si>
    <t>Explicit reference = 1</t>
  </si>
  <si>
    <t>Specify pop culture connection</t>
  </si>
  <si>
    <t>Well-planned</t>
  </si>
  <si>
    <t>Performance ("will to representation")</t>
  </si>
  <si>
    <t>Played violent video games (first-person shooters)</t>
  </si>
  <si>
    <t>Played unspecified video games = 2</t>
  </si>
  <si>
    <t>NA (pre-1992) = 3</t>
  </si>
  <si>
    <t>RESOLUTION OF CASE</t>
  </si>
  <si>
    <t>On scene outcome</t>
  </si>
  <si>
    <t>Killed self = 0</t>
  </si>
  <si>
    <t>Killed on scene = 1</t>
  </si>
  <si>
    <t>Apprehended = 2</t>
  </si>
  <si>
    <t>Apprehended, then suicide before trial = 3</t>
  </si>
  <si>
    <t>Attempt to flee</t>
  </si>
  <si>
    <t>No attempt, resigned to die = 0</t>
  </si>
  <si>
    <t>Tried to escape/keep living freely = 1</t>
  </si>
  <si>
    <t>Insanity defense at trial</t>
  </si>
  <si>
    <t>N/A (dead before trial) = 2</t>
  </si>
  <si>
    <t>3 =  Trial pending</t>
  </si>
  <si>
    <t>Criminal sentence</t>
  </si>
  <si>
    <t>N/A = 0</t>
  </si>
  <si>
    <t>Death penalty = 1</t>
  </si>
  <si>
    <t>Life without parole = 2</t>
  </si>
  <si>
    <t>Life imprisonment (with possibility of parole) = 3</t>
  </si>
  <si>
    <t>Hospitalization = 4</t>
  </si>
  <si>
    <t>Juvenile detention = 5</t>
  </si>
  <si>
    <t>WEAPONS</t>
  </si>
  <si>
    <t>Specify other weapons or gear</t>
  </si>
  <si>
    <t>Handgun = 0</t>
  </si>
  <si>
    <t>Shotgun = 1</t>
  </si>
  <si>
    <t>Rifle = 2</t>
  </si>
  <si>
    <t>Semiautomatic assault weapon = 3</t>
  </si>
  <si>
    <t xml:space="preserve">Extended magazine (replacing the standard magazine with one of a higher capacity) </t>
  </si>
  <si>
    <t xml:space="preserve">No = 0 </t>
  </si>
  <si>
    <t>Gun used in shooting</t>
  </si>
  <si>
    <t>When obtained</t>
  </si>
  <si>
    <t>Less than one month prior to shooting = 0</t>
  </si>
  <si>
    <t>More than one month prior to shooting = 1</t>
  </si>
  <si>
    <t>Legal purchase</t>
  </si>
  <si>
    <t>No, illegal = 0</t>
  </si>
  <si>
    <t>Unregulated private sale = 2</t>
  </si>
  <si>
    <t>Legal but specific source unknown = 3</t>
  </si>
  <si>
    <t>Illegal purchase</t>
  </si>
  <si>
    <t>No, legal = 0</t>
  </si>
  <si>
    <t>System failure (background check missed something, records not reported) = 1</t>
  </si>
  <si>
    <t>Straw purchase = 2</t>
  </si>
  <si>
    <t>Lying and buying = 3</t>
  </si>
  <si>
    <t>Illegal street sale = 4</t>
  </si>
  <si>
    <t>Illegal but specific source unknown = 5</t>
  </si>
  <si>
    <t>Legal sale but illegal possession = 6</t>
  </si>
  <si>
    <t xml:space="preserve">Assembled with legal parts </t>
  </si>
  <si>
    <t xml:space="preserve">Gifted </t>
  </si>
  <si>
    <t xml:space="preserve">Theft </t>
  </si>
  <si>
    <t>Theft/borrowed from family or friend = 1</t>
  </si>
  <si>
    <t>Theft other = 2</t>
  </si>
  <si>
    <t>Age only</t>
  </si>
  <si>
    <t>Female =  1</t>
  </si>
  <si>
    <t xml:space="preserve">Knew Perpetrator </t>
  </si>
  <si>
    <t>Possibly = 2</t>
  </si>
  <si>
    <t>If known, relationship with perpetrator</t>
  </si>
  <si>
    <t>Time of Day (Start Time)</t>
  </si>
  <si>
    <t>Morning = 0</t>
  </si>
  <si>
    <t>Afternoon = 1</t>
  </si>
  <si>
    <t>Evening = 2</t>
  </si>
  <si>
    <t>Night = 3</t>
  </si>
  <si>
    <t>Total Population (U.S. Census)</t>
  </si>
  <si>
    <t>Nearest Hospital (in Miles)</t>
  </si>
  <si>
    <t>Size of Police Deptartment</t>
  </si>
  <si>
    <t>Homicide Rate (FBI UCR)</t>
  </si>
  <si>
    <t>Last Name</t>
  </si>
  <si>
    <t>First Name</t>
  </si>
  <si>
    <t>Number Missing Cells</t>
  </si>
  <si>
    <t>Percent Missing Cells</t>
  </si>
  <si>
    <t>Variable Name</t>
  </si>
  <si>
    <t>U.S. Population (Census)</t>
  </si>
  <si>
    <t>Total U.S. Murders (FBI UCR)</t>
  </si>
  <si>
    <t>U.S. Murder Rate per Million</t>
  </si>
  <si>
    <t>Mass Shootings (Incidents)</t>
  </si>
  <si>
    <t>Mass Shooting Rate Per Million</t>
  </si>
  <si>
    <t>Mass Shooting Yearly Growth Rate (Incidents)</t>
  </si>
  <si>
    <t>Mass Shooting 3 Year Average (Incidents)</t>
  </si>
  <si>
    <t>Mass Shooting 5 Year Average (Incidents)</t>
  </si>
  <si>
    <t>Mass Shooting 10 Year Average (Incidents)</t>
  </si>
  <si>
    <t>Mass Shooting Deaths (Total)</t>
  </si>
  <si>
    <t>Deaths per Mass Shooting (Mean)</t>
  </si>
  <si>
    <t>Mass Shooting Death Rate per Million</t>
  </si>
  <si>
    <t>Mass Shooting 3 Year Average (Deaths)</t>
  </si>
  <si>
    <t>Mass Shooting 5 Year Average (Deaths)</t>
  </si>
  <si>
    <t>Mass Shooting 10 Year Average (Deaths)</t>
  </si>
  <si>
    <t>Total</t>
  </si>
  <si>
    <t>Mean</t>
  </si>
  <si>
    <t>Yearly Growth Rate</t>
  </si>
  <si>
    <t>Mass Shootings by Decade</t>
  </si>
  <si>
    <t>N</t>
  </si>
  <si>
    <t>% of total</t>
  </si>
  <si>
    <t>Deadliest Mass Shootings</t>
  </si>
  <si>
    <t>Event</t>
  </si>
  <si>
    <t>Dead</t>
  </si>
  <si>
    <t>1960s</t>
  </si>
  <si>
    <t>Las Vegas, NV. Oct. 1, 2017</t>
  </si>
  <si>
    <t>1970s</t>
  </si>
  <si>
    <t>Orlando, FL. Jun. 12, 2016</t>
  </si>
  <si>
    <t>1980s</t>
  </si>
  <si>
    <t>Virginia Tech, VA. Apr. 16, 2007</t>
  </si>
  <si>
    <t>1990s</t>
  </si>
  <si>
    <t>Newtown, CT. Dec. 14, 2012</t>
  </si>
  <si>
    <t>2000s</t>
  </si>
  <si>
    <t>Sutherland Springs, TX, Nov. 5, 2017</t>
  </si>
  <si>
    <t>2010s</t>
  </si>
  <si>
    <t>Killeen, TX. Oct. 16, 1991</t>
  </si>
  <si>
    <t>El Paso, TX, Aug. 2, 2019</t>
  </si>
  <si>
    <t>San Ysidro, CA. Jul. 18, 1984</t>
  </si>
  <si>
    <t>Parkland, Florida, Feb. 14, 2018</t>
  </si>
  <si>
    <t>Austin, TX. Aug. 1, 1966</t>
  </si>
  <si>
    <t>San Bernardino, CA. Dec. 2, 2015</t>
  </si>
  <si>
    <t>Edmond, OK. Aug. 20, 1986</t>
  </si>
  <si>
    <t>Fort Hood, TX. Nov. 5, 2009</t>
  </si>
  <si>
    <t>Littleton, CO. Apr. 20, 1999</t>
  </si>
  <si>
    <t>Binghamton, NY. Apr. 3, 2009</t>
  </si>
  <si>
    <t>Aurora, CO. Jul. 12, 2012</t>
  </si>
  <si>
    <t>Thousand Oaks, CA. Nov. 8, 2018</t>
  </si>
  <si>
    <t>Atlanta, GA. Jul. 29, 1999</t>
  </si>
  <si>
    <t>Washington DC. Sep. 16, 2013</t>
  </si>
  <si>
    <t>Virginia Beach, VA. May 31, 2019</t>
  </si>
  <si>
    <t>He referenced the movies No Way Out, Die Hard, Indiana Jones, and unspecified Clint Eastwood films where a single "cowboy" fights against a group of bad guys who pick on him and cover for each other. This mirrors his dispute with the university physics department, which he believed was working against him.</t>
  </si>
  <si>
    <t>He loved the song "Crept and We Came" by Bone Thugs-n-Harmony, which is about massacre killings.picked up a pose from the Oliver Stone movie ''Natural Born Killers,'' telling a friend it would be ''pretty cool'' to go on a killing spree just like the two lead characters in the film.</t>
  </si>
  <si>
    <t>computer programmer at Stanford, assumed good grades</t>
  </si>
  <si>
    <t>formerly volunteered rescuing birds, became reclusive</t>
  </si>
  <si>
    <t>barely passable grades, went to college on a wrestling scholarship and dropped out after a year</t>
  </si>
  <si>
    <t xml:space="preserve">pyloric stenosis </t>
  </si>
  <si>
    <t>Specify Armed Person</t>
  </si>
  <si>
    <t>AK-47 style rifle converted to fully automatic</t>
  </si>
  <si>
    <t>Assault rifle converted to fully automatic</t>
  </si>
  <si>
    <t>Motive: Religious Hate</t>
  </si>
  <si>
    <t>Motive: Misogyny</t>
  </si>
  <si>
    <t xml:space="preserve">Motive: Homophobia
</t>
  </si>
  <si>
    <t>Motive: Economic Issue</t>
  </si>
  <si>
    <t>Motive: Employment Issue</t>
  </si>
  <si>
    <t>Motive: Legal Issue</t>
  </si>
  <si>
    <t>Motive: Relationship Issue</t>
  </si>
  <si>
    <t xml:space="preserve">Motive: Interpersonal Conflict </t>
  </si>
  <si>
    <t>Motive: Fame-Seeking</t>
  </si>
  <si>
    <t xml:space="preserve">Motive: Other </t>
  </si>
  <si>
    <t>Motive: Unknown</t>
  </si>
  <si>
    <t>Motive: Racism/Xenophobia</t>
  </si>
  <si>
    <t>Place of residence = 7</t>
  </si>
  <si>
    <t>Outdoors = 8</t>
  </si>
  <si>
    <t xml:space="preserve">He stopped talking to his friends in the months leading up to the shooting. He only ate canned food because he was paranoid that someone was going to poison him and he thought someone had tapped his telephone line. He felt persecuted by coworkers and bosses, a carpool group which criticized his driving, and his neighbors who he thought burned leaves just to upset him. </t>
  </si>
  <si>
    <t>In the six months before the shooting, he became depressed, had a shorter temper, and began to "shut down." He had threatened his mother-in-law and continued to be controlling of his wife.</t>
  </si>
  <si>
    <t>He spent thousands of dollars in the weeks leading up to the shooting, became angry at his wife, and left the house carrying a bag of guns two days before the shooting.</t>
  </si>
  <si>
    <t xml:space="preserve">Friends noticed a downward spiral in the three days before the shooting. He was upset about a recent DUI arrest and felt very conflicted about his drug use and his religion. He had been depressed and suicidal for awhile. </t>
  </si>
  <si>
    <t xml:space="preserve">He got in a fistfight at homecoming when another student insulted Native Americans. He broke up with his girlfriend that weekend, who said he had a shorter fuse with her than was normal, and sent her many suicidal texts afterwards. He had trouble adjusting to high school and was not participating in classes. His Twitter posts were also of a distraught and suicidal nature. His friends noticed rapid mood swings. </t>
  </si>
  <si>
    <t>His moods were volatile, and he attacked people for minor slights (like splashing his coffee on a pair of women who did not smile at him). He posted videos online that concerned his mother and caused police to perform a wellness check. He had always been withdrawn and friendless. He believed that he was perfect and deserved to have a beautiful girlfriend and that women as a whole conspired against him to make him miserable. He had delusions of grandeur.</t>
  </si>
  <si>
    <t>In the months leading up to the shooting, he withdrew from his friends, had insomnia, damaged his friend's car by putting sugar in the gas tank, and was noticeably depressed. He called police to report that he was hearing voices from the ceiling of his hotel room, that he was being followed by three people, that they were using a microwave machine to send vibrations to control him, and they prevented him from falling asleep. He sought help at the VA hospital and reported that he was still being followed by people who wanted to hurt him.</t>
  </si>
  <si>
    <t>Three days before the shooting, he was deposed in a lawsuit because he had been sending abusive emails to former coworkers. He admitted to sending them and apologized hours before the shooting. He then called 911 to report that he was being targeted and that an attorney was casting witchcraft on him. His mother also called 911 and said he needed a psychological exam. In the days before the shooting, he withdrew from a neighbor who he was usually friendly with.</t>
  </si>
  <si>
    <t xml:space="preserve">He was depressed and paranoid for several years before the shooting, and had delusions and hallucinations that people were following him. He stopped speaking to his parents two years before the shooting. Immediately before the shooting, he was fired for chronic tardiness. </t>
  </si>
  <si>
    <t>Two weeks before the shooting, he told a fellow grad student that he was bad news and mentioned dysphoric mania. In the months before, he had stopped smiling and joking in class. He told a classmate that he wanted to kill people when his life was over. He suddenly quit the graduate program after doing very poorly on his oral exams. He thought that he could add to the value of his own life by killing others. He told a psychiatrist that he was thinking about killing people.</t>
  </si>
  <si>
    <t>He believed that the administrators of the college he attended were conspiring against him and having him bugged and followed. He dropped out of school. He had debt from old unpaid rent, and he was angry that the university would not refund his tuition. He was withdrawn and felt that other students had made fun of his poor English, though that was unlikely since most of them were not native speakers.</t>
  </si>
  <si>
    <t>He had anger issues and was violent towards his wife. He and his wife were getting divorced and were locked in a bitter custody battle. He threatened to kill his wife and held a gun to her head.</t>
  </si>
  <si>
    <t>His mother died a few months before the shooting. He was violent toward a family who took him in after her death, and threatened to bring his gun to their house. Someone reported to police that he was stockpiling weapons and could be a potential school shooter. Someone else called the FBI and told them that Cruz was "going to explode," a month before the shooting. He said that he wanted to kill people in his Instagram posts.</t>
  </si>
  <si>
    <t>He broke up with his girlfriend a few months before but continued to be obsessed with her. He left gifts on her car, bought her flowers when she was sick, and was jealous when she began dating someone else. She made a Facebook post saying that she needed to get taken out, either on a date or by a sniper - he replied that he could do both.</t>
  </si>
  <si>
    <t xml:space="preserve">A few months before the shooting, shortly after his son was born, he told the FBI that he was being mind-controlled into joining the Islamic State. A month before, relatives noticed that he changed, and said he lost his mind and was hallucinating. </t>
  </si>
  <si>
    <t>orthopedic disorder</t>
  </si>
  <si>
    <t>He had been depressed recently after learning he would need surgery on a knee injury. He was known for not talking to anyone when he was working out in the health club and seemed angry to observers.</t>
  </si>
  <si>
    <t>A few years before the shooting, he became obsessed with famous murderers and alarmed his classmates with his views. His obsession with murderers began after JFK was assassinated - he had been Smith's hero.</t>
  </si>
  <si>
    <t>In the days before the shooting, he was paranoid that "the man" was after him and falsely told a cousin that he was distributing arms across the country. He had recently quit his job. Relatives said that he was very affected by racism and had been for years.</t>
  </si>
  <si>
    <t>A few years before the shooting, Essex came home from the Navy remarkably changed. He was filled with hatred for white people, denounced Christianity, and began to drift from place to place. After the shooting, his apartment walls were discovered to be painted with disjointed hateful statements.</t>
  </si>
  <si>
    <t>He had delusional and paranoid beliefs for years before the shooting, which led to his first wife leaving him. Shortly before the shooting, he experienced hallucinations and was convinced that his coworkers were forcing his second wife to star in pornographic films. His wife left him 6 weeks before the shooting. Some of his coworkers were frightened by his angry outbursts.</t>
  </si>
  <si>
    <t>He had been despondent in the weeks before the shooting after his wife left him, and had attempted suicide. In the week before the shooting, he did not sleep and abused substances.</t>
  </si>
  <si>
    <t>In the weeks before the shooting, he became withdrawn and reclusive. He avoided all social interactions and planned to walk ten hours to get to his father's house. Once at his father's house, he believed "the enemy" was closing in on him and shot his neighbors. His mother had died a few months before.</t>
  </si>
  <si>
    <t>His father said he had been "awfully pressed" for the last 2 months. He had been banned from a bar about 2 months before for violence.</t>
  </si>
  <si>
    <t>He had been under a lot of pressure at work for the last 2 years, with coworkers saying they were expected to do things that "a human being cannot do for 8 hours a day." He was worried about layoffs. He was suspended on the morning of the shooting for talking to his wife and arguing with supervisors.</t>
  </si>
  <si>
    <t>He changed three years earlier when his mother died and he said he no longer had anything to live for. His wife got a restraining order and his car was repossessed a few months before the shooting. He became isolated from friends.</t>
  </si>
  <si>
    <t>He had felt pressured in the last few months, after graduating with a PhD but failing to find a job in his field. He felt cheated because another student had won a prestigious department prize. His temper scared people.</t>
  </si>
  <si>
    <t xml:space="preserve">His wife had left him a few months before, and about two months before he admitted himself into a PTSD treatment program. Three weeks before he was involuntarily discharged from the program because he hit or threatened a nurse. His estranged wife thought he might have killed himself a week before the shooting. </t>
  </si>
  <si>
    <t>Six months before the shooting, police revoked his concealed carry permit after they became concerned about his mental stability when investigating reports that he had been threatened. Six days before the shooting, he lost an arbitration hearing, making his firing from the post office final.</t>
  </si>
  <si>
    <t>Pete</t>
  </si>
  <si>
    <t>He had PTSD after being molested by a high school teacher, which caused him to fail a class required to get a diploma. Three months before, he lost his job due to not having a high school diploma. His girlfriend left him shortly before the shooting. In the two months before the shooting, he began hearing voices and hallucinating. He talked about committing violence with a friend.</t>
  </si>
  <si>
    <t>His wages were being garnished to pay for child support. The day before the shooting, he went to the social services office and told them he wasn't the father. A manager told him to get a lawyer and he said if he had to get a lawyer, he would just kill himself.</t>
  </si>
  <si>
    <t xml:space="preserve">He was bankrupt with liens on his property. Acquaintances noted that he was strange and secretive. A note found after his death revealed paranoia of a conspiracy targeting him. </t>
  </si>
  <si>
    <t xml:space="preserve">On the day of the shooting, he drank heavily and seemed strange to his friends. He called his mother crying about the abuse she and his sister faced from his father. His mother was very concerned about him. He went to a party where he was hyperactive, erratic, and told children to shoot and kill Black people. Friends were alarmed by his odd behavior and he told them his sister had been raped by Black men. </t>
  </si>
  <si>
    <t>His cousin noticed that he was "even more removed" than usual at Thanksgiving, a few weeks before the shooting. He had struggled with an inability to get a job for years, becoming isolated and paranoid that the company he had previously worked for was sabotaging his job prospects.</t>
  </si>
  <si>
    <t>In the two months before the shooting, he stopped eating and sleeping, failed to maintain his personal hygiene, and began committing armed robberies. He was in a hypomanic and delusional state. A week before the shooting, he was fired from his job.</t>
  </si>
  <si>
    <t xml:space="preserve">He was forcibly discharged from the Air Force less than a month earlier due to recurring bizarre behavior. He was diagnosed as obsessive and paranoid. His obsessions interfered with his work. </t>
  </si>
  <si>
    <t>He was facing disciplinary action at work for unathorized expenses and was very agitated about it. He became too upset to discuss the issue and offered to pay thousands of dollars out of pocket instead of trying to work it out. His email drafts showed irrational and suspicious beliefs. He had insomnia. About six months before, he stopped communicating with his mother and ex-wife. On the day of the shooting, he resigned from his job.</t>
  </si>
  <si>
    <t>His wife noticed that he had been depressed in the days leading up to the shooting.</t>
  </si>
  <si>
    <t xml:space="preserve">He was arrested for assaulting someone at a gas station a week before the shooting. Neighbors knew him to be moody and drink until he passed out. He was upset about the sale of "his" family land to the victims of the shooting, which happened 3 months before the shooting. </t>
  </si>
  <si>
    <t>His neighbor reported that he was stressed after being fired a few months before the shooting and blamed himself for the termination. He was broke and rent was due soon.</t>
  </si>
  <si>
    <t>He was getting divorced and was unhappy that his wife wanted to do it through the legal system rather than the Hmong system. He threatened his wife and tried to force her to sign nonexistent divorce papers. He had money issues and was very angry about having to pay child support. The day before the shooting, legal action to garnish his wages began.</t>
  </si>
  <si>
    <t>In the years before the shooting, he had little to no social interactions and spent increasing amounts of time engrossed in anti-semitic rhetoric and threats online.</t>
  </si>
  <si>
    <t>For over a year before the shooting, he frequently argued with his mother loud enough for neighbors to hear, kicked holes in the walls, and seemed to have untreated PTSD. He did not have any friends.</t>
  </si>
  <si>
    <t>He was fired from his job a few hours before the shooting and called police and the FBI to report atrocities he felt he had suffered there, and his workplace called the police to report his behavior after being fired. He had threatened his neighbor with a gun a few weeks before. He had previously been adjudicated mentally defective.</t>
  </si>
  <si>
    <t>A friend hid his gun one night when a very drunk Roof boasted about plans to start a race war. A few months before the shooting, he was arrested for possession of Suboxone and banned from the local mall. Friends heard him making racist comments. He documented his new beliefs in racial conspiracy theories.</t>
  </si>
  <si>
    <t xml:space="preserve">He had crippling social and emotional disabilities. He became obsessed with mass murderers and discussed them online. In the years leading up to the shooting, he blacked out the windows in his room and would only communicate with his mother through email. He was malnourished to the point of possible brain damage. His mother was planning for them to move and the prospect was very stressful for him. </t>
  </si>
  <si>
    <t xml:space="preserve">In the days before the shooting, he had been depressed and had trouble sleeping. He was grieving the loss of a family member. He had unusual behaviors, like removing all of the batteries from the clocks in his house because the ticking sound bothered him. </t>
  </si>
  <si>
    <t xml:space="preserve">He had become more hostile to neighbors in recent months and was going to be evicted. </t>
  </si>
  <si>
    <t>His wife left him two weeks before the shooting. He appeared distressed about it to neighbors, lost weight, was agitated and had trouble spending time in their apartment. The day before the shooting, he let his pet pigeons go and cleaned out their apartment.</t>
  </si>
  <si>
    <t xml:space="preserve">A letter found after the shooting detailed his paranoid beliefs about being the target of a police conspiracy. He had always been quiet but became more so in the two weeks before the shooting - he stopped eating dinner and watching TV, and would rarely leave his bedroom. </t>
  </si>
  <si>
    <t xml:space="preserve">His wife left him a few weeks before the shooting. She noted that he was in an unstable mental state after she left and she believed he would try to kill her. He had threatened her with a gun a week before the shooting. </t>
  </si>
  <si>
    <t>On the day of the shooting, his supervisor reprimanded him for using his phone at work. He called his girlfriend and threatened to kill the supervisor. He hit a coworker while they were on a break, causing his supervisor to reprimand him again. He believed he would be fired.</t>
  </si>
  <si>
    <t>He had been upset about a recent performance evaluation at work which he felt was unfair. He was afraid he would be fired and thought that he was being picked on by his supervisors.</t>
  </si>
  <si>
    <t>A few years before the shooting, he was discharged from the Marines after 33 days as a recruit. After this, he began to have legal troubles and furious arguments with his parents, whom he lived with. He had some psychiatric treatment and was on probation.</t>
  </si>
  <si>
    <t xml:space="preserve">For the two weeks before the shooting, he had been in a pay dispute with his employers. He had also recently been banned from making deliveries to a certain customer, as they called him a troublemaker. </t>
  </si>
  <si>
    <t>He was fired a week before the shooting and called a mental health clinic the day before to request an appointment.</t>
  </si>
  <si>
    <t>He had been fired a year before and told his neighbors that he felt targeted - he had failed a drug test and believed he was fired due to being Black. The week before the shooting, he lost his new job and his water heater broke. Family members described him as distraught.</t>
  </si>
  <si>
    <t>A few weeks before the shooting, he was fired after a confrontation with his supervisor. He felt like he was a victim of racism and returned to kill the supervisor who fired him as well as people who had gotten jobs he wanted.</t>
  </si>
  <si>
    <t>He felt that he had been unfairly fired for a commonly accepted practice. Friends noticed him becoming embittered and distressed before the shooting. He likely threatened and harassed the boss who fired him. On the day of the shooting, his parents noticed he was pale, agitated, and nervous. He had not told his family that he had been fired or that he had been let go from his new job a week before.</t>
  </si>
  <si>
    <t>He was frequently in trouble at school for behavior issues, including occasional violence, and was self-harming. He claimed to be a gang member. He did not seem to have close friends.</t>
  </si>
  <si>
    <t>In the year before the shooting, his personality changed. He was depressed, short-tempered and withdrawn from family, and got into trouble at school for the first time in his life. He was arrested for breaking into a van and stealing equipment, and got uncharacteristically angry at his mother. He turned in school assignments with violent imagery. He went to counseling and seemed to be doing better.</t>
  </si>
  <si>
    <t>A year before the shooting, he got arrested for breaking into a van. His parents put him on antidepressants and had him see a therapist. He began to express violent thoughts in school projects and to his friends, and got into trouble for creating a website threatening his classmate. He enjoyed making bombs. Five days before the shooting, he found out he could not join the Marines due to his antidepressant use, which was crushing to him.</t>
  </si>
  <si>
    <t>On the day of the shooting, he seemed agitated and a little bit more sarcastic to his boss. He had been fired a few weeks earlier after missing shifts and "acting differently."</t>
  </si>
  <si>
    <t>He felt like he was being poked by someone, sometimes all day long, for years before the shooting. He was paranoid and believed that his coworkers had killed his pet fish and were sabatoging his work. He was afraid he would lose his job if he couldn't master a new training. He saw dark shadows when trying to sleep. He heard voices and threatened his coworkers.</t>
  </si>
  <si>
    <t>He had been mentally ill for seven years before the shooting, and was diagnosed with "delusional disorder of the persecutional type." He believed his face was badly scarred, that the FBI was monitoring him, and that he was harassed by strangers on a trip abroad. He lived with his parents and was unable to function in a job.</t>
  </si>
  <si>
    <t>Less than two weeks before the shooting, he was informed that his paychecks would be garnished by the IRS. This was very upsetting to him and he insisted he would not give them any money. A few days before the shooting he was informed that his car would be repossessed. He then had three coworkers witness the signing of his will. The day before the shooting was Christmas, and his family did not see any signs of trouble. On the morning of the shooting, he seemed friendly and normal. He claimed to have had a psychotic break where he believed he was being time-traveled back to Nazi Germany to kill Hitler, instead of his coworkers.</t>
  </si>
  <si>
    <t>Ki Yung</t>
  </si>
  <si>
    <t>In the weeks leading up to the shooting, acquaintances noticed Park acting erratically. He believed his wife was having an affair with the supplier for their store, and accused the supplier of wrecking his business. Friends thought that these accusations were unfounded and were just the result of mental problems.</t>
  </si>
  <si>
    <t>A year before the shooting, his behavior changed dramatically for the worse. Six months later, he was fired for "ten different reasons," including inconsistently showing up to work. In the six months before the shooting, he would call his old workplace and leave drunken ramblings on their answering machines. He had threatened at least one of his former bosses.</t>
  </si>
  <si>
    <t>He had gotten noticeably more depressed weeks before the shooting. He had a drinking problem, lost his job, and was homeless and living in a camper. His girlfriend's father was worried about him and told Reeves to get some help, and had been especially worried that Reeves would do something irrational on the day of the shooting.</t>
  </si>
  <si>
    <t xml:space="preserve">In the months before the shooting, his family faced money troubles and he became exhausted and depressed working two jobs. The night before the shooting, his son noticed that his father seemed dull and sad. </t>
  </si>
  <si>
    <t>Eight months before the shootings, his friends noticed bizarre behavior and began to distance themselves from him. He believed that his favorite band, Pantera, had stolen song lyrics from him, talked about killing people, said that God told him to kill Marilyn Manson, petted an imaginary dog, and stared at walls while talking to himself. About a year before, he had been discharged early from the Marines after being diagnosed with schizophrenia.</t>
  </si>
  <si>
    <t>In the weeks before the shooting, he had been noticeably depressed and had uncharacteristically walked out of a sermon at church. He seemed angry at the church's teachings and prediction of an upcoming apocalypse. His temp job was coming to an end soon.</t>
  </si>
  <si>
    <t xml:space="preserve">For several years before the shooting, he self-harmed, wrote and posted violent stories on writing websites, threatened to kill himself, and mostly only interacted with people on the internet. Shortly before the shooting, he was switched from attending classes to studying at home with a teacher to help with his "issues." </t>
  </si>
  <si>
    <t>For several years, he had been abrasive and occasionally threatened his neighbors with obscenities and guns. Six months before the shooting, he became very reclusive and hardly ever left his house.</t>
  </si>
  <si>
    <t>His brother noticed that he withdrew from life in the months before the shooting. He did not have friends or a steady job in Seattle. He became obsessed with rave culture and delusionally believed it was "raping" him.</t>
  </si>
  <si>
    <t>Bushmaster XM15 AR-15 style rifle modified to shoot a 6.8mm round</t>
  </si>
  <si>
    <t>In the weeks leading up to the shooting, he sent hate mail to the Youth With a Mission center, where he had years before been removed from a mission trip program over concerns about his mental health. He had recently lost his job. He had always been socially awkward with a bad temper.</t>
  </si>
  <si>
    <t>In the months before the shooting, he was vocal about his opposition to US military actions and was distressed about his upcoming deployment to Afghanistan. He openly struggled between the duties of his military job and his religion.</t>
  </si>
  <si>
    <t>His girlfriend could tell something was wrong on the day of the shooting, and said he had a dazed and confused look on his face. He repeatedly told her everything was okay. When he got to work he was shown video evidence of his theft from the company and was forced to resign.</t>
  </si>
  <si>
    <t xml:space="preserve">Several years before the shooting, he changed dramatically as he became enthralled in delusions and conspiracy theories. He was suspended from college, lost his friends, challenged basic facts and societal norms, and scared his teachers and classmates. He had a short temper and was very erratic. </t>
  </si>
  <si>
    <t>Notably Depressed Mood</t>
  </si>
  <si>
    <t>Unusually Calm or Happy</t>
  </si>
  <si>
    <t>A few years before the shooting, he began to have delusions that his family was trying to poison him. He boarded up the doors and windows in his house to ward off evil spirits. In the months before, he also believed his coworkers were trying to poison him.</t>
  </si>
  <si>
    <t>For years, Brown had gone on unhinged rants in his classroom. His wife left him when he wouldn't get psychiatric help and eventually he was suspended from his teaching position. Two days before the shooting, he found out that he was not going to be allowed to return to teaching in the fall. He had delusions of grandeur and was paranoid. The day before the shooting, he argued with repair shop employees over a bill and left muttering threats - he returned the next day and shot them.</t>
  </si>
  <si>
    <t>After being married two years before, he had attempted suicide three times. He was distraught that his wife was leaving him and blamed her for losing his job. He had been involuntarily committed several times in the eight months before the shooting and diagnosed as psychotic and suicidal.</t>
  </si>
  <si>
    <t xml:space="preserve">His father died a few months before the shooting, and Ashbrook began taking his leftover prescription medications. He destroyed his house before the shooting - punching holes in walls, pouring cement into toilets, etc. He sent a letter to a local newspaper where he described a CIA conspiracy, fears that he was a murder suspect, and beliefs that police were drugging him. Before this, he had always been known to neighbors as scary, abused his father, and had been arrested for drug charges. </t>
  </si>
  <si>
    <t xml:space="preserve">Two days before the shooting, he was suspended from his job after his ex-girlfriend and coworker reported that he had bashed in the front of her car with an axe after she broke up with him. After being suspended, he threatened violence, and his supervisors were so concerned by the threats that they notified the FBI. </t>
  </si>
  <si>
    <t>About a year and a half before the shooting, teachers and classmates began to worry about his mental health and stability. He displayed violent behaviors and writings, refused to speak in class, told his roommates about his supermodel alien girlfriend, threatened suicide, and stalked several female classmates. Five months before, he was court-ordered to get outpatient mental health treatment.</t>
  </si>
  <si>
    <t xml:space="preserve">He had recently been divorced and believed that his ex-wife cheated on him. He kicked his wife out of their home before the divorce was finalized, sent her divorce papers in a language she couldn't read, and suddenly broke down crying when discussing her with a neighbor. </t>
  </si>
  <si>
    <t>Two years before the shooting, after she started dating David Anderson, she changed from being a friendly and responsible person. A neighbor described the change as being like "Jekyll and Hyde." Neighbors heard her and Anderson chanting at night, she stopped working, became isolated and unfriendly, and was evicted from her condo after not paying the mortgage. They became homeless and lived in a van.</t>
  </si>
  <si>
    <t>Signs of Crisis</t>
  </si>
  <si>
    <t>Timeline of Signs of Crisis</t>
  </si>
  <si>
    <t>Signs of Crisis Expanded</t>
  </si>
  <si>
    <t>A few days before, he had been arrested for filing a false police report on a stolen car and said he would rather die than go back to jail. He didn't have any friends. He had a history of deep depression.</t>
  </si>
  <si>
    <t>He quit his job suddenly a few weeks before the shooting and bought a gun. He planned to commit suicide afterwards.</t>
  </si>
  <si>
    <t xml:space="preserve">He was very upset that his wife had left him, and he abused alcohol. He planned to kill his wife on the night of the shooting. </t>
  </si>
  <si>
    <t>He had long been referred to by his neighbors as “Crazy Pat.” He was inexplicably bad at his job and felt like he was being mistreated. The day before the shooting, he told someone that he had to get out of the post office. </t>
  </si>
  <si>
    <t xml:space="preserve">He had been a reclusive, paranoid, and abusive person for as long as his neighbors could remember. He got very angry at the children of the neighborhood for being near his house and threatened them with his gun. </t>
  </si>
  <si>
    <t>He stalked a coworker for over four years, and was fired because he refused to stop. She had applied for a temporary restraining order against him and there was supposed to be a hearing to make it permanent the day after the shooting. </t>
  </si>
  <si>
    <t>He stood on street corners preaching nonsense and doing martial arts demonstrations. He had PTSD from fighting in Vietnam and had been shot in the head a few years before the shooting. The day before the shooting, he was in an unusually good mood and planned to be baptized that weekend. </t>
  </si>
  <si>
    <t xml:space="preserve">He had been abusing drugs and alcohol severely since he was a teenager and had frequently been arrested for small crimes. He told his brother about his desire to massacre people. </t>
  </si>
  <si>
    <t xml:space="preserve">He was upset about a recent breakup with his girlfriend and the death of his stepfather a few years earlier. </t>
  </si>
  <si>
    <t>He had been called “Crazy Jim” by acquaintances for a long time and felt wronged by many people he met. Six months before the shooting, he was evicted and his wife left him, taking their infant daughter with her. He left a suicide note where he referred to himself as Jesse Cole Younger and damned the American family to hell.</t>
  </si>
  <si>
    <t>He had been diagnosed with schizophrenia years before the shooting. He had assault convictions and issues with drug use. Before the shooting, he stopped taking his psychiatric medication. He had previously killed someone. He felt like he was the victim of a conspiracy.</t>
  </si>
  <si>
    <t xml:space="preserve">He had been fighting against town officials for years over petty things. He fired guns into the air to scare officials off his property and was verbally abusive and threatening to them. He blamed the city officials for his wife’s cancer death. His behavior frightened one town official so much that she started carrying a pistol around with her. </t>
  </si>
  <si>
    <t>He was angry about being forced out of his business by his partners a few months before the shooting, and particularly disliked one of the partners. He told someone he felt like killing that business partner.</t>
  </si>
  <si>
    <t>He had issues for years, involving violence, emotional issues, suicidality, poor performance in school, and minor delinquency. The day he shot his parents, he was charged with two felonies for buying a stolen gun in school. He wrote that he could not face telling his parents about the charges so he shot them instead. He also heard voices.</t>
  </si>
  <si>
    <t xml:space="preserve">He had been in and out of psychiatric hospitals for schizophrenia for 20 years. He had a recurring delusion that he was Michael the Archangel and he was on a mission to rid the world of wicked people. He was witnessed doing other bizarre things indicative of psychosis shortly before the shooting. </t>
  </si>
  <si>
    <t xml:space="preserve">He had always been known to throw tantrums at work and to fight with coworkers. Shortly before the shooting, he was afraid he would lose his job. 34 years before, he had planned to kidnap his child and commit a mass shooting from a clock tower. </t>
  </si>
  <si>
    <t>He was described as “very unstable” and a “strange guy.” He had been committed several years before. Immediately before the shooting, he got into an argument over $20 and a CD player. He was unemployed and seeking a job.</t>
  </si>
  <si>
    <t>He had been threatening violence for years, particularly aimed at Black people. He was known to have anger management issues. He felt like everybody was against him and that he was ignored when he asked for help from his supervisors.</t>
  </si>
  <si>
    <t>A few years before the shooting, she was given early retirement due to her psychosis. She talked to imaginary people, took her clothes off in public, had bizarre business ideas, and had to be carried out of the post office by police officers once.</t>
  </si>
  <si>
    <t>He had been abusive to his romantic partners for decades. His wife had just left him.</t>
  </si>
  <si>
    <t> The morning of the shooting, he walked his kids to the bus, which was unusual, and had them come back to give him an extra hug. Right before the shooting, he called his wife to say goodbye. He had periodic bouts of depression for twenty years following the death of his firstborn child shortly after she was born. He had always been a bit isolated and not particularly social. In the week before the shooting he actually seemed unusually comfortable in social situations where he was normally awkward. </t>
  </si>
  <si>
    <t>He had been in and out of mental hospitals since he was four. He had anger issues, threatened violence against his stepmother, and was severely depressed. His parents gave up custody of him to the state when their insurance would not pay for any more treatment. In the days before the shooting, he lost his job at McDonald’s and broke up with a girlfriend. The night before the shooting, his mother had dinner with him and claimed to sense that something was wrong with him. </t>
  </si>
  <si>
    <t>He fought against the city government for 8 years, allowing his anger to consume his whole life. He protested outside of buildings and disrupted city council meetings. He had thousands of dollars in fines which the city were prepared to waive if he just stopped bothering them. He filed a civil rights lawsuit against the city and lost a few days before the shooting - it had been his last hope. He had massive debts and had previously become extremely angry and shoved someone who asked him to stop protesting. A few days before the shooting, he seemed depressed.</t>
  </si>
  <si>
    <t>He was diagnosed with paranoid schizophrenia 10 years before the shootings. He had stopped taking his medication three months before the shooting. He believed the victims were Mafia members planning to kill him. Immediately before the shooting, he called his family’s lawyer and asked if he would defend Leeds if he had to do something to defend himself. </t>
  </si>
  <si>
    <t>He had serious mental health issues for over a decade before the shooting, and his mother tried repeatedly to get help for him. He was under community supervision for petty crimes. A week before the shooting, his parents had told him he couldn’t sleep in their home anymore. Three days before the shooting, he agreed to get a mental health evaluation for the first time. After the shooting, he claimed that God had told him to kill evil.</t>
  </si>
  <si>
    <t>He had always been isolated and socially withdrawn. An old boss saw him three months before the shooting and was surprised when Myers would not even engage in conversation. His family had not had contact with him in years. He was in debt and being harassed by debt collectors.</t>
  </si>
  <si>
    <t xml:space="preserve">As a teenager, he shot his ex-girlfriend with a BB gun. He had anger issues for years and had been abusive to his partners. </t>
  </si>
  <si>
    <t xml:space="preserve">Years before, he was given psychiatric treatment after looking up assault weapons in school. He told friends he wanted to hurt people. Neighbors often heard him screaming and cursing. </t>
  </si>
  <si>
    <t>She was being investigated for the embezzlement of federal grant money intended for the tribe. She had recently been replaced as chairwoman by her brother. On the day of the shooting, the tribal council was holding a hearing to evict her from her house on tribal land, a very serious punishment.  A neighbor said she had always been a bully.</t>
  </si>
  <si>
    <t xml:space="preserve">He had periods of intense anger his entire life, sometimes threatening his mother with a gun. He was withdrawn and quiet with no friends. Shortly before the shooting, he wrote a manifesto talking about how he had always been the most hated person in the world and how he admired Elliot Rodger. </t>
  </si>
  <si>
    <t xml:space="preserve">He had lost a significant amount of money gambling in the two years before the shooting. In the months before the shooting, he seemed slightly depressed. His girlfriend thought he was going to break up with her. </t>
  </si>
  <si>
    <t xml:space="preserve">He had always been angry, volatile, and occasionally violent. He was getting court-ordered mental health treatment. He had assaulted his stepfather and ex-girlfriends and was not allowed to walk at his high school graduation due to sexually harassing and touching his classmates. </t>
  </si>
  <si>
    <t xml:space="preserve">He had told friends that he was going to kill people who were out to get him. </t>
  </si>
  <si>
    <t>He had mental health issues, including paranoia and delusions, for decades. 10 months before the shooting, he was arrested for stabbing a neighbor. The day before the shooting, he called his mother and told her it was all over and he had done everything he could to fight against the people in his neighborhood. His sister said they got calls like that for 20 years and it did not especially concern them. His sister said his mental health “continually deteriorated” over the last year especially.</t>
  </si>
  <si>
    <t xml:space="preserve">He had paranoid schizophrenia and was acting erratically in the years before the shooting, with paranoid and delusional beliefs. He had stopped contacting his parents about six months before, when he moved out of state. During the shooting, he was wearing only a coat. </t>
  </si>
  <si>
    <t>He had stopped communicating with family members a few years prior to the shooting. He had previously become obsessed with a former classmate and was charged with harassing her, and then he became obsessed with bringing down the newspaper which reported his conviction.</t>
  </si>
  <si>
    <t>He quit his job a few weeks before the shooting. He had previously been treated in mental hospitals and had expressed violent thoughts.</t>
  </si>
  <si>
    <t>In the days before the shooting, he was worried about his ex vandalizing his car and installed cameras nearby. Immediately before the shooting he was fired for workplace rule violations. He had previous convictions for domestic violence.</t>
  </si>
  <si>
    <t xml:space="preserve">He became estranged from his family in the early 2000s and began to hate police officers, go in and out of jail, and was frequently homeless. Ten years before the shooting, he was arrested for assaulting and threatening to kill a girlfriend. For at least a few years before the shooting, he became involved with the Black Hebrew Israelites and believed that Jewish people were imposters. </t>
  </si>
  <si>
    <t>About a year before the shooting, he told coworkers that people from the brewery where they worked were coming into his house, bugging his computer, and moving his furniture around. He also told his neighbor that spies were following him around to make sure he wasn't faking an injury to get worker's compensation. He had an ongoing dispute with a coworker.</t>
  </si>
  <si>
    <t>unspecified</t>
  </si>
  <si>
    <t>polio and spastic paralysis</t>
  </si>
  <si>
    <t>debilitating mental health issues</t>
  </si>
  <si>
    <t>knee injury</t>
  </si>
  <si>
    <t>thyroid condition, heart abnormality, parts of fingers missing from injury</t>
  </si>
  <si>
    <t>born with only a partial right arm and used a prosthetic</t>
  </si>
  <si>
    <t xml:space="preserve">About six months before the shooting, he became delusional, assaulted police officers, and sexually assaulted his stepdaughter. He believed that he was Jesus Christ, that he had been cursed, that his wife could get $37 billion from an online church, and that he could fly and would save the world. He thought the criminal justice system was conspiring against him. </t>
  </si>
  <si>
    <t>He had been argumentative and angry for years, but it had gotten noticeably worse shortly before the shooting. He was asked to leave a café due to belligerent behavior in front of elderly customers a week before, and when he went back he was again asked to leave and then began shooting. People did not want to associate with him due to his odd behavior. He told his girlfriend that he was a married father of six and others that he was on a CIA death squad.  On the morning of the shooting he was in an unusually good mood.</t>
  </si>
  <si>
    <t>Known Prejudices 1</t>
  </si>
  <si>
    <t>Known Prejudices 2</t>
  </si>
  <si>
    <t xml:space="preserve">Known Prejudices 3 </t>
  </si>
  <si>
    <t>Specify armed person on scene (if applicable)</t>
  </si>
  <si>
    <t>Domestic abuse type 1</t>
  </si>
  <si>
    <t>Domestic abuse type 2</t>
  </si>
  <si>
    <t>Domestic abuse type 3</t>
  </si>
  <si>
    <t xml:space="preserve">Bully </t>
  </si>
  <si>
    <t xml:space="preserve">Bullied </t>
  </si>
  <si>
    <t>Days before shooting = 0</t>
  </si>
  <si>
    <t>Timeframe of when signs of crisis began</t>
  </si>
  <si>
    <t>Weeks before shooting = 1</t>
  </si>
  <si>
    <t>Months before shooting = 2</t>
  </si>
  <si>
    <t>Years before shooting = 3</t>
  </si>
  <si>
    <t>Signs of being in crisis (notable behavioral changes)</t>
  </si>
  <si>
    <t>Notably depressed mood</t>
  </si>
  <si>
    <t>Signs of crisis specified</t>
  </si>
  <si>
    <t>Unusually calm or happy</t>
  </si>
  <si>
    <t>None known = 0</t>
  </si>
  <si>
    <t>Racism = 1</t>
  </si>
  <si>
    <t>Misogyny = 2</t>
  </si>
  <si>
    <t>Homophobia = 3</t>
  </si>
  <si>
    <t>Religious hatred = 4</t>
  </si>
  <si>
    <t>Yes, targeting people of color = 1</t>
  </si>
  <si>
    <t>Yes, targeting white people = 2</t>
  </si>
  <si>
    <t>Known prejudices 1 (not motive)</t>
  </si>
  <si>
    <t>Known prejudices 2 (not motive)</t>
  </si>
  <si>
    <t>Known prejudices 3 (not motive</t>
  </si>
  <si>
    <t>Motive: Racism</t>
  </si>
  <si>
    <t xml:space="preserve">Motive: Religious hate </t>
  </si>
  <si>
    <t>Motive: Homophobia</t>
  </si>
  <si>
    <t>Motive: Employment issue (fired, lost promotion)</t>
  </si>
  <si>
    <t>Motive: Economic issue (issues with money)</t>
  </si>
  <si>
    <t>Motive: Legal issue</t>
  </si>
  <si>
    <t>Motive: Fame-seeking</t>
  </si>
  <si>
    <t>Motive: Relationship issues (break-up, separation)</t>
  </si>
  <si>
    <t>A few months before the shooting, he saw a psychiatrist for anger issues, inability to complete his schoolwork, and difficulty handling his parents' divorce. He mentioned a fantasy about going up on top of the tower and shooting people. The psychiatrist noted his rapid mood swings and overwhelming periods of hostility with little provocation.</t>
  </si>
  <si>
    <t>After being charged with incest, he began to plan for an apocalypse. He charted silver and gold prices, hoarded nonperishable food, applied for Cuban and Soviet citizenship, and assembled an arsenal of weapons. His son feared that if he testified against King, King would kill him.</t>
  </si>
  <si>
    <t xml:space="preserve">He had been erratic for two days before the shooting - his family attempted to have him committed. He was distraught over his pregnant wife leaving him 2 weeks earlier. He was agitated, paranoid, repeatedly ran into the road to "moon" passing cars, and fired a rifle into the air in the day before the shooting. </t>
  </si>
  <si>
    <t>He asked his managers for assistance with his depression and job-related stress, and was instead forced leave his job a year before the shooting. He threatened to get even with the company. His grandmother died a month earlier. He believed there were conspiracies against him and seemed disoriented in the weeks before the shooting, after his medication had been changed. Without his job, he became isolated and angry.</t>
  </si>
  <si>
    <t xml:space="preserve">A few months before the shooting, he sent two young female neighbors a letter praising their virtue while denouncing all of the other women in town as vipers seeking his destruction. He was seen screaming at a woman shortly after, and threatened a convenience store clerk because he believed people were going to his house. On the morning of the shooting, he was unusually friendly and calm as he made his customary convenience store breakfast purchase. </t>
  </si>
  <si>
    <t>He had delusions of grandeur, racial paranoia, and believed he was the victim of a conspiracy. For years he had been obsessed with racism and believed it was the cause of all his failures. A few weeks before the shooting, his landlord told him to move out. In the two weeks before the shooting, his landlord noticed he was uncharacteristically calm and became very concerned that he would kill himself.</t>
  </si>
  <si>
    <t>A coworker noticed that Beck had become withdrawn, moody, and was no longer friendly in the office. Other coworkers noted that he was withdrawn and unfriendly in the week before the shooting. He looked sickly and lost weight. He was fighting to get paid more for the work he was doing and had been on stress-related medical leave for the past four months. He was upset that he had been passed over for a promotion. He had been severely depressed and attempted suicide in the last year.</t>
  </si>
  <si>
    <t xml:space="preserve">He had been paranoid for 14 years - he used to tape his employees’ phone calls because he thought they were talking about him. He had always been abusive and was the only suspect in the murder of his first wife and mother-in-law. A few months before the shooting, he was upset so he killed his daughter’s cat to make himself feel better. In the days leading up to the shooting he was depressed, had lost large amounts of money, and changed his will twice. </t>
  </si>
  <si>
    <t>In the 18 months before the shooting, his mother died, he lost his job, and he transferred out of the NIU program he loved after his major was deemphasized. He became isolated from the only place he had ever felt accepted when he was reprimanded for an inappropriate post on an NIU message board. Three weeks before the shooting, he stopped taking his antidepressant medication because it made him feel like a zombie.</t>
  </si>
  <si>
    <t xml:space="preserve">A week before the shooting, he began ranting about how white police officers were carrying out a genocide on Black people. He told a friend that it was "getting out of hand." </t>
  </si>
  <si>
    <t>1.9 GPA</t>
  </si>
  <si>
    <t>good grades, on student council</t>
  </si>
  <si>
    <t>brilliant, attended several colleges</t>
  </si>
  <si>
    <t>black groups</t>
  </si>
  <si>
    <t>stomach issues and jaw corrective surgery</t>
  </si>
  <si>
    <t>average grades, failed a lot of courses</t>
  </si>
  <si>
    <t>varsity sports in high school, no involvement as an adult</t>
  </si>
  <si>
    <t>church</t>
  </si>
  <si>
    <t xml:space="preserve">New Orleans </t>
  </si>
  <si>
    <t>average</t>
  </si>
  <si>
    <t>Cub Scouts, band</t>
  </si>
  <si>
    <t>former Sunday School teacher, no recent involvement</t>
  </si>
  <si>
    <t>brillant, top quarter of his class</t>
  </si>
  <si>
    <t>neighborhood community</t>
  </si>
  <si>
    <t>honor student</t>
  </si>
  <si>
    <t xml:space="preserve">Hackettstown </t>
  </si>
  <si>
    <t>PhD</t>
  </si>
  <si>
    <t>former church member, became reclusive</t>
  </si>
  <si>
    <t>unsuccessful in college</t>
  </si>
  <si>
    <t xml:space="preserve">Anchorage </t>
  </si>
  <si>
    <t>flunking out, but very intelligent</t>
  </si>
  <si>
    <t>friendly with customers, engaged in college classes, joined Alcoholics Anonymous</t>
  </si>
  <si>
    <t>teaching degree, assumed good grades</t>
  </si>
  <si>
    <t>unspecified "poor health"</t>
  </si>
  <si>
    <t>high school dropout</t>
  </si>
  <si>
    <t>very poor student</t>
  </si>
  <si>
    <t>51st out of 77 in high school, failed at least one course</t>
  </si>
  <si>
    <t>master's degree</t>
  </si>
  <si>
    <t xml:space="preserve">Sunnyvale </t>
  </si>
  <si>
    <t xml:space="preserve">very good grades, graduated 61st out of 520 </t>
  </si>
  <si>
    <t xml:space="preserve">Chicago      </t>
  </si>
  <si>
    <t>poor student, dropped out in 9th grade</t>
  </si>
  <si>
    <t xml:space="preserve">He had a magazine which prominently covered the recent Stockton mass shooting. </t>
  </si>
  <si>
    <t>He was obsessed with the Steely Dan song "Don't Take Me Alive," which is about a violent confrontation with police.</t>
  </si>
  <si>
    <t xml:space="preserve">Iowa City  </t>
  </si>
  <si>
    <t>PhD, very gifted student</t>
  </si>
  <si>
    <t>involved in physics department, regularly went to bars</t>
  </si>
  <si>
    <t>did not graduate high school due to failed classes, previously had to repeat grades and was on an IEP</t>
  </si>
  <si>
    <t>church, gambling at a card room</t>
  </si>
  <si>
    <t>Earlier in the day he watched the movie The Unforgiven and imitated the drinking and shooting going on. He called several people and then did the mass shooting that night.</t>
  </si>
  <si>
    <t>dean's list</t>
  </si>
  <si>
    <t>involved in neighborhood, environmental causes, local politics</t>
  </si>
  <si>
    <t>not notable</t>
  </si>
  <si>
    <t xml:space="preserve">Spokane </t>
  </si>
  <si>
    <t>diligent student</t>
  </si>
  <si>
    <t>studious, nearly completed an engineering degree</t>
  </si>
  <si>
    <t>therapy group</t>
  </si>
  <si>
    <t xml:space="preserve">Fort Lauerdale </t>
  </si>
  <si>
    <t xml:space="preserve">40
</t>
  </si>
  <si>
    <t>involved in neighborhood community</t>
  </si>
  <si>
    <t>genius</t>
  </si>
  <si>
    <t xml:space="preserve">Jonesboro </t>
  </si>
  <si>
    <t>did just enough to get by</t>
  </si>
  <si>
    <t>band</t>
  </si>
  <si>
    <t>mostly A's and B's</t>
  </si>
  <si>
    <t>church, youth group volunteering</t>
  </si>
  <si>
    <t>maintained adequate grades</t>
  </si>
  <si>
    <t xml:space="preserve">This was the 4th American school shooting in the 1997-1998 school year. </t>
  </si>
  <si>
    <t>A's</t>
  </si>
  <si>
    <t>school events</t>
  </si>
  <si>
    <t>pectus excavatum</t>
  </si>
  <si>
    <t>helpful in neighborhood</t>
  </si>
  <si>
    <t>Boy Scouts</t>
  </si>
  <si>
    <t>spotty, remedial classes</t>
  </si>
  <si>
    <t>mostly good grades, got a GED at 18</t>
  </si>
  <si>
    <t>top third of class</t>
  </si>
  <si>
    <t>high intelligence, bad grades</t>
  </si>
  <si>
    <t>hyperactive thyroid, high blood pressure</t>
  </si>
  <si>
    <t>excelled in school</t>
  </si>
  <si>
    <t xml:space="preserve">Meridian </t>
  </si>
  <si>
    <t>frequent customer at tavern</t>
  </si>
  <si>
    <t xml:space="preserve">Kansas City </t>
  </si>
  <si>
    <t>construction school</t>
  </si>
  <si>
    <t>B's in English</t>
  </si>
  <si>
    <t>very involved in cultural activities</t>
  </si>
  <si>
    <t>special education plan, missed 33 days of 10th grade</t>
  </si>
  <si>
    <t>played football, frequent customer at a restaurant and talked to staff, talked to tattoo parlor employees</t>
  </si>
  <si>
    <t>He was obsessed with the band Pantera and targeted their lead singer at the shooting, blaming him for the band breaking up.</t>
  </si>
  <si>
    <t>some college</t>
  </si>
  <si>
    <t>average grades</t>
  </si>
  <si>
    <t>struggling, held back</t>
  </si>
  <si>
    <t>He watched the movie Elephant two weeks before the shooting, which portrays a Columbine-like school shooting.</t>
  </si>
  <si>
    <t>good student, smart</t>
  </si>
  <si>
    <t>poor study habits, below grade level</t>
  </si>
  <si>
    <t>church, soccer dad, well-liked by neighbors</t>
  </si>
  <si>
    <t>did less than half his schoolwork, dropped out to get a GED</t>
  </si>
  <si>
    <t>mosque</t>
  </si>
  <si>
    <t>2.32 GPA in college</t>
  </si>
  <si>
    <t xml:space="preserve">He referenced Columbine and did the shooting in the same week of April (8 years after Columbine). </t>
  </si>
  <si>
    <t>college degree</t>
  </si>
  <si>
    <t>formerly involved in community, ran for city council, headed up volunteer groups</t>
  </si>
  <si>
    <t xml:space="preserve">DeKalb </t>
  </si>
  <si>
    <t>award-winning student</t>
  </si>
  <si>
    <t>formerly very involved in NIU campus community</t>
  </si>
  <si>
    <t>He loved the Saw movies and got a tattoo of the villain on his arm and dressed up as him for Halloween.</t>
  </si>
  <si>
    <t xml:space="preserve">Killeen
</t>
  </si>
  <si>
    <t>graduated with honors</t>
  </si>
  <si>
    <t>mosque, friendly with neighbors</t>
  </si>
  <si>
    <t>expelled at 16 for bringing a gun to school</t>
  </si>
  <si>
    <t xml:space="preserve">Manchester </t>
  </si>
  <si>
    <t>sports</t>
  </si>
  <si>
    <t xml:space="preserve">Buffalo </t>
  </si>
  <si>
    <t>highschool dropout</t>
  </si>
  <si>
    <t xml:space="preserve">Tucson </t>
  </si>
  <si>
    <t>unremarkable student</t>
  </si>
  <si>
    <t>formerly volunteered at an animal shelter</t>
  </si>
  <si>
    <t>helpful to neighbors</t>
  </si>
  <si>
    <t>formerly active in community</t>
  </si>
  <si>
    <t>debilitating leg injury</t>
  </si>
  <si>
    <t>regular at businesses, tried to join musician crowd</t>
  </si>
  <si>
    <t>head injury, hearing loss</t>
  </si>
  <si>
    <t>top 1% of class, 3.949 GPA</t>
  </si>
  <si>
    <t>involved in college community</t>
  </si>
  <si>
    <t>N/A (despite rumors he was emulating the Joker from Batman)</t>
  </si>
  <si>
    <t>white power music groups</t>
  </si>
  <si>
    <t xml:space="preserve">Minneapolis </t>
  </si>
  <si>
    <t>3.26 GPA</t>
  </si>
  <si>
    <t xml:space="preserve">Federal Way </t>
  </si>
  <si>
    <t>low grades</t>
  </si>
  <si>
    <t>3.5 gpa</t>
  </si>
  <si>
    <t xml:space="preserve">Washington D.C.
</t>
  </si>
  <si>
    <t>Buddhist temple, helped at friend's restaurant</t>
  </si>
  <si>
    <t>tribal chairwoman</t>
  </si>
  <si>
    <t xml:space="preserve">Isla Vista </t>
  </si>
  <si>
    <t>good grades in high school</t>
  </si>
  <si>
    <t xml:space="preserve">5
</t>
  </si>
  <si>
    <t>good grades, though slipping</t>
  </si>
  <si>
    <t>cultural involvement, football team, wrestling, homecoming prince</t>
  </si>
  <si>
    <t xml:space="preserve">Charleston  </t>
  </si>
  <si>
    <t>repeated 9th grade</t>
  </si>
  <si>
    <t xml:space="preserve">high grades and awards </t>
  </si>
  <si>
    <t xml:space="preserve">Roseburg  </t>
  </si>
  <si>
    <t>1.75 gpa, academic probation</t>
  </si>
  <si>
    <t>grad school</t>
  </si>
  <si>
    <t>top grades</t>
  </si>
  <si>
    <t>average student</t>
  </si>
  <si>
    <t>top half of class, though formerly a very poor student</t>
  </si>
  <si>
    <t>1.98 GPA</t>
  </si>
  <si>
    <t>attended protests and events, went to self-defense classes</t>
  </si>
  <si>
    <t>injury at birth, kidney failure</t>
  </si>
  <si>
    <t>Hmong cultural community</t>
  </si>
  <si>
    <t xml:space="preserve">Las Vegas </t>
  </si>
  <si>
    <t>2.97 GPA</t>
  </si>
  <si>
    <t>chronic head and neck pain from a motorcycle accident</t>
  </si>
  <si>
    <t>failed out of high school</t>
  </si>
  <si>
    <t>formerly on high school JROTC rifle team</t>
  </si>
  <si>
    <t>Santa Fe</t>
  </si>
  <si>
    <t>All A's</t>
  </si>
  <si>
    <t>football team, church dance troupe</t>
  </si>
  <si>
    <t>Wore a shirt with the phrase "Born to Kill" on it, referencing the movie Full Metal Jacket.</t>
  </si>
  <si>
    <t>NSA internship in high school, BS in computer engineering</t>
  </si>
  <si>
    <t xml:space="preserve">He referenced the French Charlie Hebdo mass shooting. </t>
  </si>
  <si>
    <t xml:space="preserve">Sebring </t>
  </si>
  <si>
    <t>played in bands, attended protests</t>
  </si>
  <si>
    <t>Jersey City</t>
  </si>
  <si>
    <t>Pipe bomb, homemade silencer, homemade device to catch shell casings, ballistic panels on their van, and body armor</t>
  </si>
  <si>
    <t>formerly very active in neighborhood community</t>
  </si>
  <si>
    <t>4115 W. State Street, Milwaukee, WI 53208</t>
  </si>
  <si>
    <t>Milwaukee</t>
  </si>
  <si>
    <t>helpful in neighborhood community</t>
  </si>
  <si>
    <t>chronic back pain, rotator cuff injury at work</t>
  </si>
  <si>
    <t>Firearm Proficiency</t>
  </si>
  <si>
    <t xml:space="preserve">Known Prejudice 3 </t>
  </si>
  <si>
    <t>Known Prejudice 2</t>
  </si>
  <si>
    <t>Known Prejudice 1</t>
  </si>
  <si>
    <t>Type of firearm</t>
  </si>
  <si>
    <t xml:space="preserve">Motive: Interperso  l Conflict </t>
  </si>
  <si>
    <t>Hen  rd</t>
  </si>
  <si>
    <t xml:space="preserve">  than</t>
  </si>
  <si>
    <t>School Specify</t>
  </si>
  <si>
    <t>Other Location</t>
  </si>
  <si>
    <t>Shooting Address</t>
  </si>
  <si>
    <t>Case Number</t>
  </si>
  <si>
    <t>Kidnapping or Hostage</t>
  </si>
  <si>
    <t>Criminal Record</t>
  </si>
  <si>
    <t>Previous Homicide</t>
  </si>
  <si>
    <t>Physical Violence</t>
  </si>
  <si>
    <t>Domestic Abuse</t>
  </si>
  <si>
    <t>Sexual Offenses</t>
  </si>
  <si>
    <t>Firearms Database</t>
  </si>
  <si>
    <t>Victims Database</t>
  </si>
  <si>
    <t>Worksheet 9</t>
  </si>
  <si>
    <t>Worksheet 10</t>
  </si>
  <si>
    <t>Worksheet 11</t>
  </si>
  <si>
    <t>How plans were leaked (i.e. writing, in person, social media)</t>
  </si>
  <si>
    <t>Who plans were leaded to (i.e. parent, friend, teacher, coworker, spouse)</t>
  </si>
  <si>
    <t>Specific or unspecific plans</t>
  </si>
  <si>
    <t>Exact type of crisis prior to the shooting</t>
  </si>
  <si>
    <t>Timeline of crisis</t>
  </si>
  <si>
    <t>Unusually happy or calm</t>
  </si>
  <si>
    <t>Losing touch with reality</t>
  </si>
  <si>
    <t>Victim name</t>
  </si>
  <si>
    <t>Victim age</t>
  </si>
  <si>
    <t>Victim gender</t>
  </si>
  <si>
    <t>Victim race</t>
  </si>
  <si>
    <t>Was it used in the shooting?</t>
  </si>
  <si>
    <t>Was it modified?</t>
  </si>
  <si>
    <t>Extended magazine?</t>
  </si>
  <si>
    <t>Caliber</t>
  </si>
  <si>
    <t>0 - psychotic symptoms played no role in the crime </t>
  </si>
  <si>
    <t>1 - mental health symptoms played a small role in the crime (perpetrator experienced psychosis prior to the crime or during it, but it was not the main motivating factor)</t>
  </si>
  <si>
    <t>3 - psychotic symptoms completely caused the crime (perpetrator experienced psychosis prior AND during the crime, was responding to delusions or hallucinations in planning AND committing this crime, and had no other motive)</t>
  </si>
  <si>
    <t xml:space="preserve">Previous sex offense </t>
  </si>
  <si>
    <t xml:space="preserve">Use of violent video games </t>
  </si>
  <si>
    <t xml:space="preserve">Mental health treatment - mandatory or voluntary </t>
  </si>
  <si>
    <t>Mental health treatment within six months of the shooting</t>
  </si>
  <si>
    <t xml:space="preserve">Family history of mental illness </t>
  </si>
  <si>
    <t xml:space="preserve">Childhood socioeconomic status </t>
  </si>
  <si>
    <t xml:space="preserve">Birth order </t>
  </si>
  <si>
    <t xml:space="preserve">Performance in school </t>
  </si>
  <si>
    <t>Connection to fiction or pop culture</t>
  </si>
  <si>
    <t>Armed person on the scene - specify who</t>
  </si>
  <si>
    <t>2 - mental health symptoms played a significant role in the crime, but was not the only cause (perpetrator experienced psychosis prior to the crime or during it, but it was not the only motivating factor)</t>
  </si>
  <si>
    <t>172 mass shooters, 54 years, over 100 variables</t>
  </si>
  <si>
    <t>Information on all firearms used in mass shootings in the database since 1966</t>
  </si>
  <si>
    <t>Jewish = 6</t>
  </si>
  <si>
    <t>Firearm proficiency</t>
  </si>
  <si>
    <t>completed graduate school and scored first on a tough administrative analyst exam</t>
  </si>
  <si>
    <t>boxing tournaments</t>
  </si>
  <si>
    <t>able to pass classes but unable to retain information, repeated 5th grade, dropped out of school at age 14</t>
  </si>
  <si>
    <t>bulletproof vest, gas mask, samurai sword, hand grenades, bombs</t>
  </si>
  <si>
    <t>Oxnard</t>
  </si>
  <si>
    <t>Nassau County</t>
  </si>
  <si>
    <t>Inspired by the movie Natural Born Killers.</t>
  </si>
  <si>
    <t>He spray-painted the word "NOW" outside of the shooting site, referencing the Nirvana song "I Want to Know Now."</t>
  </si>
  <si>
    <t>Images from his manifesto appeared to reference movies like Heathers, Terminator 2, Basketball Diaries, Old Boy, and The Matrix. He also emulates Jesus Christ on the cross.</t>
  </si>
  <si>
    <t>He used lyrics from the song Anarchy by KMFDM in his manifesto.</t>
  </si>
  <si>
    <t>struggled in high school, went to alternative school for GED</t>
  </si>
  <si>
    <t xml:space="preserve">Embry-Riddle Aeronautical University </t>
  </si>
  <si>
    <t>former MMA fighter, occasional mosque</t>
  </si>
  <si>
    <t>His manifesto referenced the mass shooters Elliot Rodger, Adam Lanza, Eric Harris and Dylan Klebold, and Seung-Hui Cho. He also mentions Vester Flanagan, who killed 2 people in response to Dylann Roof's mass shooting.</t>
  </si>
  <si>
    <t>San Bernardino</t>
  </si>
  <si>
    <t>smoke grenades, gas mask</t>
  </si>
  <si>
    <t xml:space="preserve">Nashville </t>
  </si>
  <si>
    <t>knife, smoke grenades</t>
  </si>
  <si>
    <t>NJ</t>
  </si>
  <si>
    <t>WI</t>
  </si>
  <si>
    <t>Offender Background</t>
  </si>
  <si>
    <t>Hate Group Association</t>
  </si>
  <si>
    <t>Terror Group Association</t>
  </si>
  <si>
    <t>Gang Association</t>
  </si>
  <si>
    <t>LGB = 1</t>
  </si>
  <si>
    <t>OFFENDER BACKGROUND</t>
  </si>
  <si>
    <t>Gang association</t>
  </si>
  <si>
    <t>Terror group association</t>
  </si>
  <si>
    <t>Hate group association</t>
  </si>
  <si>
    <t>Leakage - How?</t>
  </si>
  <si>
    <t>Leakage - Who?</t>
  </si>
  <si>
    <t>Additonal leakage - How?</t>
  </si>
  <si>
    <t>Additional leakage - Who?</t>
  </si>
  <si>
    <t>Leakage - Specific?</t>
  </si>
  <si>
    <t>Additional leakage - Specific?</t>
  </si>
  <si>
    <t>His Facebook had a photo with a member of the music group Public Enemy, which features radically pro-black messages.</t>
  </si>
  <si>
    <t>He loved the song "Crept and We Came" by Bone Thugs-n-Harmony, which is about massacre killings. Picked up a pose from the Oliver Stone movie ''Natural Born Killers,'' telling a friend it would be ''pretty cool'' to go on a killing spree just like the two lead characters in the film.</t>
  </si>
  <si>
    <t>Tangential reference = 2</t>
  </si>
  <si>
    <t>Chronological</t>
  </si>
  <si>
    <t>Full Database</t>
  </si>
  <si>
    <t>FULL DATABASE</t>
  </si>
  <si>
    <t>4 = Both Antisemitism and Islamophobia</t>
  </si>
  <si>
    <t>Motive: Interpersonal conflict (non-domestic, with coworkers, friends, family)</t>
  </si>
  <si>
    <t>2 shooters who were acquitted were removed from the database (cases 145 and 146)</t>
  </si>
  <si>
    <t>Exact make of firearm</t>
  </si>
  <si>
    <t>The “other” category was recoded to either “outside” or “place of residence”</t>
  </si>
  <si>
    <t>FIREARMS TAB (guns used for each shooting in database)</t>
  </si>
  <si>
    <t>VICTIMS TAB (individuals killed for each shooting in database)</t>
  </si>
  <si>
    <t>COMMUNITY TAB (Shootings 1995 and after only)</t>
  </si>
  <si>
    <t>If Known, Relationship to Shooter</t>
  </si>
  <si>
    <t>Knew Shooter</t>
  </si>
  <si>
    <t>145/6</t>
  </si>
  <si>
    <t>67/68</t>
  </si>
  <si>
    <t>71/72</t>
  </si>
  <si>
    <t>145/146</t>
  </si>
  <si>
    <r>
      <t xml:space="preserve">Frequently Asked Questions - </t>
    </r>
    <r>
      <rPr>
        <b/>
        <sz val="11"/>
        <color rgb="FFFF0000"/>
        <rFont val="Arial"/>
        <family val="2"/>
      </rPr>
      <t>READ THIS FIRST</t>
    </r>
  </si>
  <si>
    <t>Community-level data for 113 mass shootings post 1995</t>
  </si>
  <si>
    <r>
      <t xml:space="preserve">New in Version 2 - </t>
    </r>
    <r>
      <rPr>
        <b/>
        <sz val="11"/>
        <color rgb="FFFF0000"/>
        <rFont val="Arial"/>
        <family val="2"/>
      </rPr>
      <t>READ THIS SECOND</t>
    </r>
  </si>
  <si>
    <t>List of all updates to this latest version of the database (July 2020)</t>
  </si>
  <si>
    <t>Version 2.0. Updated July 2020</t>
  </si>
  <si>
    <t>The Violence Project Mass Shooter Database</t>
  </si>
  <si>
    <t xml:space="preserve">Version 1.0 of the The Violence Project Mass Shooter Database was released in November 2019. </t>
  </si>
  <si>
    <t>Version 2.0 was released in July 2020 and includes the following updates:</t>
  </si>
  <si>
    <t>One new shooting from 2019 (case 173) and another from 2020 (case 174) that met our definition were added</t>
  </si>
  <si>
    <t>Leakage (communication to a third party of an intent to do harm) prior to the shooting</t>
  </si>
  <si>
    <t>Internet / social media = 4</t>
  </si>
  <si>
    <t>Phone / text = 3</t>
  </si>
  <si>
    <t xml:space="preserve">Firearms proficiency </t>
  </si>
  <si>
    <t>Victim relationship to shooter</t>
  </si>
  <si>
    <t>When was it obtained?</t>
  </si>
  <si>
    <t>How was it obtained (legal / illegal)?</t>
  </si>
  <si>
    <t>Used in Shooting?</t>
  </si>
  <si>
    <t>Small (e.g., .22-, .25- and .32-caliber) = 0</t>
  </si>
  <si>
    <t>Medium (e.g., .380s, .38s and 9mms) = 1</t>
  </si>
  <si>
    <t>Large (e.g., .40s, .44 magnums, .45s, 10mms and 7.62 x 39s.) = 2</t>
  </si>
  <si>
    <t>Law enforcement or public safety professional = 1</t>
  </si>
  <si>
    <t>Civilian = 2</t>
  </si>
  <si>
    <t>Number of siblings (older or younger)</t>
  </si>
  <si>
    <t>Make and Model</t>
  </si>
  <si>
    <t>Classification</t>
  </si>
  <si>
    <t>Make and model</t>
  </si>
  <si>
    <t>Yes, but only for suicide attempt = 2</t>
  </si>
  <si>
    <t>Federal Firearms Licensed dealer = 1</t>
  </si>
  <si>
    <t>Theft at the scene of the shooting (taken from law enforcement or security guard) = 3</t>
  </si>
  <si>
    <t>Same as worksheet 5, but with data hyperlinked to sources</t>
  </si>
  <si>
    <t>Information on all victims killed in mass shootings in the database since 1966</t>
  </si>
  <si>
    <t>Principal Investigators: Jillian Peterson and James Densley</t>
  </si>
  <si>
    <t>Any minor errors noted by users have been corrected</t>
  </si>
  <si>
    <t>We expanded the leakage variables:</t>
  </si>
  <si>
    <t>We expanded the crisis variables:</t>
  </si>
  <si>
    <t>We added a new victims tab documenting every person killed by a mass shooter in the database:</t>
  </si>
  <si>
    <t>We added a new firearms tab that separately codes each and every gun brought to a mass shooting:</t>
  </si>
  <si>
    <t>We updated the coding for the role of psychosis in the shooting:</t>
  </si>
  <si>
    <t>We updated the coding for location:</t>
  </si>
  <si>
    <t>New violence variables were added:</t>
  </si>
  <si>
    <t>New mental health variables were added:</t>
  </si>
  <si>
    <t>New family variables were added:</t>
  </si>
  <si>
    <t>Other new variables were added:</t>
  </si>
  <si>
    <t>We also updated the codebook to clarify definitions.</t>
  </si>
  <si>
    <t>Community involvement (participation in civic life and membership in local clubs and organizations)</t>
  </si>
  <si>
    <t>History of domestic abuse / type of domestic abuse (including coercive control)</t>
  </si>
  <si>
    <t>Workplace / Capital Gazette Newspaper</t>
  </si>
  <si>
    <t>142/3</t>
  </si>
  <si>
    <t>mobile home community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</si>
</sst>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_(* \(#,##0.0\);_(* &quot;-&quot;??.0_);_(@_)"/>
    <numFmt numFmtId="166" formatCode="_(* #,##0_);_(* \(#,##0\);_(* &quot;-&quot;??_);_(@_)"/>
  </numFmts>
  <fonts count="28">
    <font>
      <sz val="11"/>
      <color rgb="FF000000"/>
      <name val="Calibri"/>
    </font>
    <font>
      <sz val="12"/>
      <color theme="1"/>
      <name val="Calibri"/>
      <family val="2"/>
      <scheme val="minor"/>
    </font>
    <font>
      <b/>
      <sz val="11"/>
      <color rgb="FF000000"/>
      <name val="Arial"/>
      <family val="2"/>
    </font>
    <font>
      <sz val="11"/>
      <color rgb="FF000000"/>
      <name val="Arial"/>
      <family val="2"/>
    </font>
    <font>
      <b/>
      <sz val="12"/>
      <color rgb="FF000000"/>
      <name val="Calibri"/>
      <family val="2"/>
    </font>
    <font>
      <sz val="12"/>
      <color rgb="FF000000"/>
      <name val="Calibri"/>
      <family val="2"/>
    </font>
    <font>
      <i/>
      <sz val="12"/>
      <color rgb="FF000000"/>
      <name val="Calibri"/>
      <family val="2"/>
    </font>
    <font>
      <sz val="11"/>
      <color theme="1"/>
      <name val="Arial"/>
      <family val="2"/>
    </font>
    <font>
      <sz val="11"/>
      <color rgb="FF000000"/>
      <name val="Calibri"/>
      <family val="2"/>
    </font>
    <font>
      <sz val="11"/>
      <color theme="1"/>
      <name val="Calibri"/>
      <family val="2"/>
    </font>
    <font>
      <sz val="11"/>
      <color rgb="FF000000"/>
      <name val="Arial"/>
      <family val="2"/>
    </font>
    <font>
      <b/>
      <sz val="11"/>
      <color theme="1"/>
      <name val="Arial"/>
      <family val="2"/>
    </font>
    <font>
      <u/>
      <sz val="11"/>
      <color theme="10"/>
      <name val="Calibri"/>
      <family val="2"/>
    </font>
    <font>
      <b/>
      <sz val="12"/>
      <color theme="1"/>
      <name val="Arial"/>
      <family val="2"/>
    </font>
    <font>
      <b/>
      <sz val="11"/>
      <color rgb="FFFF0000"/>
      <name val="Arial"/>
      <family val="2"/>
    </font>
    <font>
      <u/>
      <sz val="11"/>
      <color theme="1"/>
      <name val="Arial"/>
      <family val="2"/>
    </font>
    <font>
      <u/>
      <sz val="11"/>
      <color theme="1"/>
      <name val="Calibri"/>
      <family val="2"/>
    </font>
    <font>
      <sz val="11"/>
      <color theme="1"/>
      <name val="Roboto"/>
    </font>
    <font>
      <sz val="11"/>
      <name val="Arial"/>
      <family val="2"/>
    </font>
    <font>
      <b/>
      <sz val="11"/>
      <color rgb="FFFFFF00"/>
      <name val="Arial"/>
      <family val="2"/>
    </font>
    <font>
      <b/>
      <sz val="11"/>
      <color rgb="FFC00000"/>
      <name val="Arial"/>
      <family val="2"/>
    </font>
    <font>
      <b/>
      <sz val="11"/>
      <color rgb="FFFFC000"/>
      <name val="Arial"/>
      <family val="2"/>
    </font>
    <font>
      <b/>
      <sz val="11"/>
      <color rgb="FF92D050"/>
      <name val="Arial"/>
      <family val="2"/>
    </font>
    <font>
      <b/>
      <sz val="11"/>
      <color rgb="FF00B050"/>
      <name val="Arial"/>
      <family val="2"/>
    </font>
    <font>
      <b/>
      <sz val="11"/>
      <color rgb="FF00B0F0"/>
      <name val="Arial"/>
      <family val="2"/>
    </font>
    <font>
      <b/>
      <sz val="11"/>
      <color rgb="FF0070C0"/>
      <name val="Arial"/>
      <family val="2"/>
    </font>
    <font>
      <b/>
      <sz val="11"/>
      <color rgb="FF002060"/>
      <name val="Arial"/>
      <family val="2"/>
    </font>
    <font>
      <b/>
      <sz val="11"/>
      <color rgb="FF7030A0"/>
      <name val="Arial"/>
      <family val="2"/>
    </font>
  </fonts>
  <fills count="66">
    <fill>
      <patternFill patternType="none"/>
    </fill>
    <fill>
      <patternFill patternType="gray125"/>
    </fill>
    <fill>
      <patternFill patternType="solid">
        <fgColor rgb="FFFFFFFF"/>
        <bgColor rgb="FFFFFFFF"/>
      </patternFill>
    </fill>
    <fill>
      <patternFill patternType="solid">
        <fgColor rgb="FFEAD1DC"/>
        <bgColor rgb="FFEAD1DC"/>
      </patternFill>
    </fill>
    <fill>
      <patternFill patternType="solid">
        <fgColor rgb="FFD9EAD3"/>
        <bgColor rgb="FFD9EAD3"/>
      </patternFill>
    </fill>
    <fill>
      <patternFill patternType="solid">
        <fgColor rgb="FFC9DAF8"/>
        <bgColor rgb="FFC9DAF8"/>
      </patternFill>
    </fill>
    <fill>
      <patternFill patternType="solid">
        <fgColor rgb="FFE6B8AF"/>
        <bgColor rgb="FFE6B8AF"/>
      </patternFill>
    </fill>
    <fill>
      <patternFill patternType="solid">
        <fgColor rgb="FFEA9999"/>
        <bgColor rgb="FFEA9999"/>
      </patternFill>
    </fill>
    <fill>
      <patternFill patternType="solid">
        <fgColor rgb="FFD8D8D8"/>
        <bgColor rgb="FFD8D8D8"/>
      </patternFill>
    </fill>
    <fill>
      <patternFill patternType="solid">
        <fgColor rgb="FFFF0000"/>
        <bgColor rgb="FFFF0000"/>
      </patternFill>
    </fill>
    <fill>
      <patternFill patternType="solid">
        <fgColor rgb="FFFFF2CC"/>
        <bgColor rgb="FFFFF2CC"/>
      </patternFill>
    </fill>
    <fill>
      <patternFill patternType="solid">
        <fgColor rgb="FFD9D2E9"/>
        <bgColor rgb="FFD9D2E9"/>
      </patternFill>
    </fill>
    <fill>
      <patternFill patternType="solid">
        <fgColor rgb="FFF4CCCC"/>
        <bgColor rgb="FFF4CCCC"/>
      </patternFill>
    </fill>
    <fill>
      <patternFill patternType="solid">
        <fgColor rgb="FFD0E0E3"/>
        <bgColor rgb="FFD0E0E3"/>
      </patternFill>
    </fill>
    <fill>
      <patternFill patternType="solid">
        <fgColor rgb="FFFCE5CD"/>
        <bgColor rgb="FFFCE5CD"/>
      </patternFill>
    </fill>
    <fill>
      <patternFill patternType="solid">
        <fgColor rgb="FFCFE2F3"/>
        <bgColor rgb="FFCFE2F3"/>
      </patternFill>
    </fill>
    <fill>
      <patternFill patternType="solid">
        <fgColor rgb="FFB6D7A8"/>
        <bgColor rgb="FFB6D7A8"/>
      </patternFill>
    </fill>
    <fill>
      <patternFill patternType="solid">
        <fgColor rgb="FFFFD966"/>
        <bgColor rgb="FFFFD966"/>
      </patternFill>
    </fill>
    <fill>
      <patternFill patternType="solid">
        <fgColor rgb="FFF79646"/>
        <bgColor rgb="FFF79646"/>
      </patternFill>
    </fill>
    <fill>
      <patternFill patternType="solid">
        <fgColor rgb="FFFFFFFF"/>
        <bgColor indexed="64"/>
      </patternFill>
    </fill>
    <fill>
      <patternFill patternType="solid">
        <fgColor rgb="FFFFFF00"/>
        <bgColor indexed="64"/>
      </patternFill>
    </fill>
    <fill>
      <patternFill patternType="solid">
        <fgColor rgb="FFFF0000"/>
        <bgColor indexed="64"/>
      </patternFill>
    </fill>
    <fill>
      <patternFill patternType="solid">
        <fgColor theme="0"/>
        <bgColor rgb="FFFFFFFF"/>
      </patternFill>
    </fill>
    <fill>
      <patternFill patternType="solid">
        <fgColor theme="0"/>
        <bgColor indexed="64"/>
      </patternFill>
    </fill>
    <fill>
      <patternFill patternType="solid">
        <fgColor theme="2"/>
        <bgColor rgb="FFFFFFFF"/>
      </patternFill>
    </fill>
    <fill>
      <patternFill patternType="solid">
        <fgColor theme="0"/>
        <bgColor rgb="FFFFFF00"/>
      </patternFill>
    </fill>
    <fill>
      <patternFill patternType="solid">
        <fgColor theme="0"/>
        <bgColor rgb="FFFF0000"/>
      </patternFill>
    </fill>
    <fill>
      <patternFill patternType="solid">
        <fgColor theme="0"/>
        <bgColor rgb="FFC9DAF8"/>
      </patternFill>
    </fill>
    <fill>
      <patternFill patternType="solid">
        <fgColor theme="2"/>
        <bgColor indexed="64"/>
      </patternFill>
    </fill>
    <fill>
      <patternFill patternType="solid">
        <fgColor theme="4" tint="0.79998168889431442"/>
        <bgColor rgb="FFFFFFFF"/>
      </patternFill>
    </fill>
    <fill>
      <patternFill patternType="solid">
        <fgColor theme="9" tint="0.79998168889431442"/>
        <bgColor rgb="FFFFFFFF"/>
      </patternFill>
    </fill>
    <fill>
      <patternFill patternType="solid">
        <fgColor theme="6" tint="0.79998168889431442"/>
        <bgColor rgb="FFFFFFFF"/>
      </patternFill>
    </fill>
    <fill>
      <patternFill patternType="solid">
        <fgColor theme="7" tint="0.79998168889431442"/>
        <bgColor rgb="FFFFFFFF"/>
      </patternFill>
    </fill>
    <fill>
      <patternFill patternType="solid">
        <fgColor theme="5" tint="0.79998168889431442"/>
        <bgColor rgb="FFFFFFFF"/>
      </patternFill>
    </fill>
    <fill>
      <patternFill patternType="solid">
        <fgColor theme="0"/>
        <bgColor rgb="FFA2C4C9"/>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rgb="FFFFFFFF"/>
      </patternFill>
    </fill>
    <fill>
      <patternFill patternType="solid">
        <fgColor theme="0" tint="-0.14999847407452621"/>
        <bgColor rgb="FFFFFF00"/>
      </patternFill>
    </fill>
    <fill>
      <patternFill patternType="solid">
        <fgColor theme="4" tint="0.39997558519241921"/>
        <bgColor rgb="FFEAD1DC"/>
      </patternFill>
    </fill>
    <fill>
      <patternFill patternType="solid">
        <fgColor theme="5" tint="0.39997558519241921"/>
        <bgColor rgb="FFD9EAD3"/>
      </patternFill>
    </fill>
    <fill>
      <patternFill patternType="solid">
        <fgColor theme="6" tint="0.39997558519241921"/>
        <bgColor rgb="FFC9DAF8"/>
      </patternFill>
    </fill>
    <fill>
      <patternFill patternType="solid">
        <fgColor theme="7" tint="0.39997558519241921"/>
        <bgColor rgb="FFF4CCCC"/>
      </patternFill>
    </fill>
    <fill>
      <patternFill patternType="solid">
        <fgColor theme="8" tint="0.39997558519241921"/>
        <bgColor rgb="FFEA9999"/>
      </patternFill>
    </fill>
    <fill>
      <patternFill patternType="solid">
        <fgColor theme="8" tint="0.39997558519241921"/>
        <bgColor rgb="FF92D050"/>
      </patternFill>
    </fill>
    <fill>
      <patternFill patternType="solid">
        <fgColor rgb="FFFF0000"/>
        <bgColor rgb="FFF4CCCC"/>
      </patternFill>
    </fill>
    <fill>
      <patternFill patternType="solid">
        <fgColor theme="9" tint="0.39997558519241921"/>
        <bgColor rgb="FFFFFF00"/>
      </patternFill>
    </fill>
    <fill>
      <patternFill patternType="solid">
        <fgColor theme="9" tint="0.39997558519241921"/>
        <bgColor rgb="FFFFFFFF"/>
      </patternFill>
    </fill>
    <fill>
      <patternFill patternType="solid">
        <fgColor rgb="FFFFFF00"/>
        <bgColor rgb="FFF6B26B"/>
      </patternFill>
    </fill>
    <fill>
      <patternFill patternType="solid">
        <fgColor rgb="FF92D050"/>
        <bgColor rgb="FFB4A7D6"/>
      </patternFill>
    </fill>
    <fill>
      <patternFill patternType="solid">
        <fgColor rgb="FF92D050"/>
        <bgColor rgb="FFFFFFFF"/>
      </patternFill>
    </fill>
    <fill>
      <patternFill patternType="solid">
        <fgColor rgb="FF00B0F0"/>
        <bgColor rgb="FF92D050"/>
      </patternFill>
    </fill>
    <fill>
      <patternFill patternType="solid">
        <fgColor rgb="FFFF0000"/>
        <bgColor rgb="FFA2C4C9"/>
      </patternFill>
    </fill>
    <fill>
      <patternFill patternType="solid">
        <fgColor rgb="FFFF0000"/>
        <bgColor rgb="FFEA9999"/>
      </patternFill>
    </fill>
    <fill>
      <patternFill patternType="solid">
        <fgColor theme="7" tint="0.79998168889431442"/>
        <bgColor indexed="64"/>
      </patternFill>
    </fill>
    <fill>
      <patternFill patternType="solid">
        <fgColor theme="7" tint="0.79998168889431442"/>
        <bgColor rgb="FFA4C2F4"/>
      </patternFill>
    </fill>
    <fill>
      <patternFill patternType="solid">
        <fgColor theme="0" tint="-4.9989318521683403E-2"/>
        <bgColor indexed="64"/>
      </patternFill>
    </fill>
    <fill>
      <patternFill patternType="solid">
        <fgColor theme="0" tint="-4.9989318521683403E-2"/>
        <bgColor rgb="FFFFFFFF"/>
      </patternFill>
    </fill>
  </fills>
  <borders count="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s>
  <cellStyleXfs count="2">
    <xf numFmtId="0" fontId="0" fillId="0" borderId="0"/>
    <xf numFmtId="0" fontId="12" fillId="0" borderId="0" applyNumberFormat="0" applyFill="0" applyBorder="0" applyAlignment="0" applyProtection="0"/>
  </cellStyleXfs>
  <cellXfs count="334">
    <xf numFmtId="0" fontId="0" fillId="0" borderId="0" xfId="0" applyFont="1" applyAlignment="1"/>
    <xf numFmtId="0" fontId="2" fillId="0" borderId="0" xfId="0" applyFont="1"/>
    <xf numFmtId="0" fontId="3" fillId="0" borderId="0" xfId="0" applyFont="1"/>
    <xf numFmtId="0" fontId="3" fillId="0" borderId="2" xfId="0" applyFont="1" applyBorder="1"/>
    <xf numFmtId="0" fontId="4" fillId="0" borderId="0" xfId="0" applyFont="1" applyAlignment="1">
      <alignment vertical="center"/>
    </xf>
    <xf numFmtId="0" fontId="0" fillId="0" borderId="0" xfId="0" applyFont="1"/>
    <xf numFmtId="0" fontId="5" fillId="0" borderId="0" xfId="0" applyFont="1" applyAlignment="1">
      <alignment vertical="center"/>
    </xf>
    <xf numFmtId="0" fontId="0" fillId="0" borderId="0" xfId="0" applyFont="1" applyAlignment="1">
      <alignment horizontal="left" vertical="center"/>
    </xf>
    <xf numFmtId="0" fontId="5" fillId="0" borderId="0" xfId="0" applyFont="1" applyAlignment="1">
      <alignment horizontal="left" vertical="center"/>
    </xf>
    <xf numFmtId="0" fontId="6" fillId="0" borderId="0" xfId="0" applyFont="1" applyAlignment="1">
      <alignment vertical="center"/>
    </xf>
    <xf numFmtId="0" fontId="0" fillId="0" borderId="0" xfId="0" applyFont="1" applyAlignment="1">
      <alignment wrapText="1"/>
    </xf>
    <xf numFmtId="0" fontId="3" fillId="0" borderId="0" xfId="0" applyFont="1" applyAlignment="1">
      <alignment horizontal="center"/>
    </xf>
    <xf numFmtId="0" fontId="2" fillId="8" borderId="2" xfId="0" applyFont="1" applyFill="1" applyBorder="1" applyAlignment="1">
      <alignment horizontal="center"/>
    </xf>
    <xf numFmtId="0" fontId="3" fillId="0" borderId="2" xfId="0" applyFont="1" applyBorder="1" applyAlignment="1">
      <alignment horizontal="center"/>
    </xf>
    <xf numFmtId="0" fontId="7" fillId="2" borderId="2" xfId="0" applyFont="1" applyFill="1" applyBorder="1" applyAlignment="1">
      <alignment horizontal="center" vertical="center"/>
    </xf>
    <xf numFmtId="0" fontId="3" fillId="0" borderId="2" xfId="0" applyFont="1" applyBorder="1" applyAlignment="1">
      <alignment horizontal="center" vertical="center"/>
    </xf>
    <xf numFmtId="0" fontId="7" fillId="0" borderId="2" xfId="0" applyFont="1" applyBorder="1" applyAlignment="1">
      <alignment horizontal="center" vertical="center"/>
    </xf>
    <xf numFmtId="0" fontId="3" fillId="0" borderId="0" xfId="0" applyFont="1" applyAlignment="1">
      <alignment horizontal="center" vertical="center"/>
    </xf>
    <xf numFmtId="0" fontId="10" fillId="2" borderId="2" xfId="0" applyFont="1" applyFill="1" applyBorder="1" applyAlignment="1">
      <alignment horizontal="center"/>
    </xf>
    <xf numFmtId="0" fontId="2" fillId="8" borderId="2" xfId="0" applyFont="1" applyFill="1" applyBorder="1" applyAlignment="1">
      <alignment horizontal="center" vertical="center"/>
    </xf>
    <xf numFmtId="0" fontId="0" fillId="0" borderId="0" xfId="0" applyFont="1" applyAlignment="1">
      <alignment horizontal="center"/>
    </xf>
    <xf numFmtId="10" fontId="3" fillId="0" borderId="2" xfId="0" applyNumberFormat="1" applyFont="1" applyBorder="1" applyAlignment="1">
      <alignment horizontal="center"/>
    </xf>
    <xf numFmtId="0" fontId="13" fillId="0" borderId="3" xfId="0" applyFont="1" applyBorder="1" applyAlignment="1">
      <alignment horizontal="center"/>
    </xf>
    <xf numFmtId="0" fontId="13" fillId="20" borderId="3" xfId="0" applyFont="1" applyFill="1" applyBorder="1" applyAlignment="1">
      <alignment horizontal="center"/>
    </xf>
    <xf numFmtId="0" fontId="3" fillId="0" borderId="0" xfId="0" applyFont="1" applyAlignment="1"/>
    <xf numFmtId="0" fontId="3" fillId="0" borderId="0" xfId="0" applyFont="1"/>
    <xf numFmtId="0" fontId="0" fillId="0" borderId="0" xfId="0" applyFont="1" applyAlignment="1"/>
    <xf numFmtId="0" fontId="2" fillId="8" borderId="2" xfId="0" applyFont="1" applyFill="1" applyBorder="1" applyAlignment="1">
      <alignment horizontal="left" vertical="center"/>
    </xf>
    <xf numFmtId="0" fontId="3" fillId="0" borderId="0" xfId="0" applyFont="1" applyAlignment="1">
      <alignment horizontal="left"/>
    </xf>
    <xf numFmtId="0" fontId="7" fillId="0" borderId="3" xfId="0" applyFont="1" applyBorder="1" applyAlignment="1">
      <alignment horizontal="left"/>
    </xf>
    <xf numFmtId="0" fontId="8" fillId="0" borderId="0" xfId="0" applyFont="1" applyAlignment="1">
      <alignment horizontal="left"/>
    </xf>
    <xf numFmtId="0" fontId="3" fillId="0" borderId="0" xfId="0" applyFont="1" applyAlignment="1">
      <alignment horizontal="left" vertical="center" indent="1"/>
    </xf>
    <xf numFmtId="0" fontId="3" fillId="0" borderId="0" xfId="0" applyFont="1" applyAlignment="1">
      <alignment vertical="center"/>
    </xf>
    <xf numFmtId="0" fontId="2" fillId="0" borderId="0" xfId="0" applyFont="1" applyAlignment="1">
      <alignment vertical="center"/>
    </xf>
    <xf numFmtId="0" fontId="13" fillId="35" borderId="3" xfId="0" applyFont="1" applyFill="1" applyBorder="1" applyAlignment="1">
      <alignment horizontal="center"/>
    </xf>
    <xf numFmtId="0" fontId="3" fillId="0" borderId="3" xfId="0" applyFont="1" applyBorder="1" applyAlignment="1">
      <alignment horizontal="center"/>
    </xf>
    <xf numFmtId="0" fontId="13" fillId="37" borderId="3" xfId="0" applyFont="1" applyFill="1" applyBorder="1" applyAlignment="1">
      <alignment horizontal="center"/>
    </xf>
    <xf numFmtId="0" fontId="13" fillId="38" borderId="3" xfId="0" applyFont="1" applyFill="1" applyBorder="1" applyAlignment="1">
      <alignment horizontal="center"/>
    </xf>
    <xf numFmtId="0" fontId="13" fillId="39" borderId="3" xfId="0" applyFont="1" applyFill="1" applyBorder="1" applyAlignment="1">
      <alignment horizontal="center"/>
    </xf>
    <xf numFmtId="0" fontId="13" fillId="40" borderId="3" xfId="0" applyFont="1" applyFill="1" applyBorder="1" applyAlignment="1">
      <alignment horizontal="center"/>
    </xf>
    <xf numFmtId="0" fontId="13" fillId="41" borderId="3" xfId="0" applyFont="1" applyFill="1" applyBorder="1" applyAlignment="1">
      <alignment horizontal="center"/>
    </xf>
    <xf numFmtId="0" fontId="13" fillId="42" borderId="3" xfId="0" applyFont="1" applyFill="1" applyBorder="1" applyAlignment="1">
      <alignment horizontal="center"/>
    </xf>
    <xf numFmtId="0" fontId="13" fillId="43" borderId="3" xfId="0" applyFont="1" applyFill="1" applyBorder="1" applyAlignment="1">
      <alignment horizontal="center"/>
    </xf>
    <xf numFmtId="0" fontId="13" fillId="44" borderId="3" xfId="0" applyFont="1" applyFill="1" applyBorder="1" applyAlignment="1">
      <alignment horizontal="center"/>
    </xf>
    <xf numFmtId="0" fontId="13" fillId="21" borderId="3" xfId="0" applyFont="1" applyFill="1" applyBorder="1" applyAlignment="1">
      <alignment horizontal="center"/>
    </xf>
    <xf numFmtId="0" fontId="13" fillId="43" borderId="3" xfId="0" applyFont="1" applyFill="1" applyBorder="1" applyAlignment="1">
      <alignment horizontal="center" vertical="center"/>
    </xf>
    <xf numFmtId="0" fontId="13" fillId="62" borderId="3" xfId="0" applyFont="1" applyFill="1" applyBorder="1" applyAlignment="1">
      <alignment horizontal="center"/>
    </xf>
    <xf numFmtId="0" fontId="3" fillId="21" borderId="3" xfId="0" applyFont="1" applyFill="1" applyBorder="1" applyAlignment="1">
      <alignment horizontal="center"/>
    </xf>
    <xf numFmtId="0" fontId="7" fillId="2" borderId="3" xfId="0" applyFont="1" applyFill="1" applyBorder="1" applyAlignment="1">
      <alignment horizontal="center" vertical="center"/>
    </xf>
    <xf numFmtId="0" fontId="3" fillId="0" borderId="3" xfId="0" applyFont="1" applyBorder="1" applyAlignment="1">
      <alignment horizontal="center" vertical="center"/>
    </xf>
    <xf numFmtId="0" fontId="3" fillId="36" borderId="3" xfId="0" applyFont="1" applyFill="1" applyBorder="1" applyAlignment="1">
      <alignment horizontal="center" vertical="center"/>
    </xf>
    <xf numFmtId="0" fontId="7" fillId="2" borderId="3" xfId="0" applyFont="1" applyFill="1" applyBorder="1" applyAlignment="1">
      <alignment horizontal="center" vertical="center" wrapText="1"/>
    </xf>
    <xf numFmtId="0" fontId="7" fillId="0" borderId="3" xfId="0" applyFont="1" applyBorder="1" applyAlignment="1">
      <alignment horizontal="center" vertical="center"/>
    </xf>
    <xf numFmtId="0" fontId="7" fillId="0" borderId="3" xfId="0" applyFont="1" applyBorder="1"/>
    <xf numFmtId="0" fontId="7" fillId="2" borderId="3" xfId="0" applyFont="1" applyFill="1" applyBorder="1"/>
    <xf numFmtId="0" fontId="8" fillId="0" borderId="0" xfId="0" applyFont="1" applyAlignment="1">
      <alignment horizontal="center"/>
    </xf>
    <xf numFmtId="0" fontId="8" fillId="0" borderId="0" xfId="0" applyFont="1" applyAlignment="1"/>
    <xf numFmtId="10" fontId="8" fillId="0" borderId="2" xfId="0" applyNumberFormat="1" applyFont="1" applyBorder="1" applyAlignment="1">
      <alignment horizontal="center"/>
    </xf>
    <xf numFmtId="0" fontId="13" fillId="35" borderId="3" xfId="0" applyFont="1" applyFill="1" applyBorder="1" applyAlignment="1">
      <alignment horizontal="center" vertical="center"/>
    </xf>
    <xf numFmtId="0" fontId="3" fillId="21" borderId="3" xfId="0" applyFont="1" applyFill="1" applyBorder="1" applyAlignment="1">
      <alignment horizontal="center" vertical="center"/>
    </xf>
    <xf numFmtId="0" fontId="13" fillId="37" borderId="3" xfId="0" applyFont="1" applyFill="1" applyBorder="1" applyAlignment="1">
      <alignment horizontal="center" vertical="center"/>
    </xf>
    <xf numFmtId="0" fontId="13" fillId="38" borderId="3" xfId="0" applyFont="1" applyFill="1" applyBorder="1" applyAlignment="1">
      <alignment horizontal="center" vertical="center"/>
    </xf>
    <xf numFmtId="0" fontId="13" fillId="39" borderId="3" xfId="0" applyFont="1" applyFill="1" applyBorder="1" applyAlignment="1">
      <alignment horizontal="center" vertical="center"/>
    </xf>
    <xf numFmtId="0" fontId="13" fillId="40" borderId="3" xfId="0" applyFont="1" applyFill="1" applyBorder="1" applyAlignment="1">
      <alignment horizontal="center" vertical="center"/>
    </xf>
    <xf numFmtId="0" fontId="13" fillId="41" borderId="3" xfId="0" applyFont="1" applyFill="1" applyBorder="1" applyAlignment="1">
      <alignment horizontal="center" vertical="center"/>
    </xf>
    <xf numFmtId="0" fontId="13" fillId="42" borderId="3" xfId="0" applyFont="1" applyFill="1" applyBorder="1" applyAlignment="1">
      <alignment horizontal="center" vertical="center"/>
    </xf>
    <xf numFmtId="0" fontId="13" fillId="20" borderId="3" xfId="0" applyFont="1" applyFill="1" applyBorder="1" applyAlignment="1">
      <alignment horizontal="center" vertical="center"/>
    </xf>
    <xf numFmtId="0" fontId="13" fillId="44" borderId="3" xfId="0" applyFont="1" applyFill="1" applyBorder="1" applyAlignment="1">
      <alignment horizontal="center" vertical="center"/>
    </xf>
    <xf numFmtId="0" fontId="13" fillId="21" borderId="3" xfId="0" applyFont="1" applyFill="1" applyBorder="1" applyAlignment="1">
      <alignment horizontal="center" vertical="center"/>
    </xf>
    <xf numFmtId="0" fontId="13" fillId="62" borderId="3" xfId="0" applyFont="1" applyFill="1" applyBorder="1" applyAlignment="1">
      <alignment horizontal="center" vertical="center"/>
    </xf>
    <xf numFmtId="0" fontId="13" fillId="36" borderId="3" xfId="0" applyFont="1" applyFill="1" applyBorder="1" applyAlignment="1">
      <alignment horizontal="center" vertical="center"/>
    </xf>
    <xf numFmtId="0" fontId="13" fillId="0" borderId="3" xfId="0" applyFont="1" applyBorder="1" applyAlignment="1">
      <alignment horizontal="center" vertical="center"/>
    </xf>
    <xf numFmtId="14" fontId="3" fillId="0" borderId="3" xfId="0" applyNumberFormat="1" applyFont="1" applyBorder="1" applyAlignment="1">
      <alignment horizontal="center" vertical="center"/>
    </xf>
    <xf numFmtId="1" fontId="3" fillId="0" borderId="3" xfId="0" applyNumberFormat="1" applyFont="1" applyBorder="1" applyAlignment="1">
      <alignment horizontal="center" vertical="center"/>
    </xf>
    <xf numFmtId="0" fontId="3" fillId="0" borderId="3"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36" borderId="3" xfId="0" applyNumberFormat="1" applyFont="1" applyFill="1" applyBorder="1" applyAlignment="1">
      <alignment horizontal="center" vertical="center"/>
    </xf>
    <xf numFmtId="0" fontId="1" fillId="8" borderId="2" xfId="0" applyFont="1" applyFill="1" applyBorder="1" applyAlignment="1">
      <alignment horizontal="center" vertical="center" wrapText="1"/>
    </xf>
    <xf numFmtId="0" fontId="1" fillId="0" borderId="0" xfId="0" applyFont="1" applyAlignment="1">
      <alignment horizontal="center" vertical="center"/>
    </xf>
    <xf numFmtId="0" fontId="1" fillId="0" borderId="2" xfId="0" applyFont="1" applyBorder="1" applyAlignment="1">
      <alignment horizontal="center" vertical="center"/>
    </xf>
    <xf numFmtId="0" fontId="1" fillId="2" borderId="2" xfId="0" applyFont="1" applyFill="1" applyBorder="1" applyAlignment="1">
      <alignment horizontal="center" vertical="center"/>
    </xf>
    <xf numFmtId="49" fontId="1" fillId="0" borderId="2" xfId="0" applyNumberFormat="1" applyFont="1" applyBorder="1" applyAlignment="1">
      <alignment horizontal="center" vertical="center"/>
    </xf>
    <xf numFmtId="0" fontId="1" fillId="0" borderId="2" xfId="0" applyFont="1" applyFill="1" applyBorder="1" applyAlignment="1">
      <alignment horizontal="center" vertical="center"/>
    </xf>
    <xf numFmtId="0" fontId="1" fillId="0" borderId="0" xfId="0" applyFont="1" applyFill="1" applyAlignment="1">
      <alignment horizontal="center" vertical="center"/>
    </xf>
    <xf numFmtId="49" fontId="1" fillId="0" borderId="2" xfId="0" applyNumberFormat="1" applyFont="1" applyFill="1" applyBorder="1" applyAlignment="1">
      <alignment horizontal="center" vertical="center"/>
    </xf>
    <xf numFmtId="0" fontId="8" fillId="0" borderId="2" xfId="0" applyFont="1" applyBorder="1" applyAlignment="1">
      <alignment horizontal="center"/>
    </xf>
    <xf numFmtId="0" fontId="10" fillId="0" borderId="2" xfId="0" applyFont="1" applyBorder="1" applyAlignment="1">
      <alignment horizontal="center"/>
    </xf>
    <xf numFmtId="0" fontId="2" fillId="0" borderId="2" xfId="0" applyFont="1" applyBorder="1" applyAlignment="1">
      <alignment horizontal="center" vertical="center"/>
    </xf>
    <xf numFmtId="3" fontId="2" fillId="0" borderId="2" xfId="0" applyNumberFormat="1" applyFont="1" applyBorder="1" applyAlignment="1">
      <alignment horizontal="center" vertical="center"/>
    </xf>
    <xf numFmtId="3" fontId="3" fillId="0" borderId="2" xfId="0" applyNumberFormat="1" applyFont="1" applyBorder="1" applyAlignment="1">
      <alignment horizontal="center" vertical="center"/>
    </xf>
    <xf numFmtId="0" fontId="11" fillId="45" borderId="3" xfId="0" applyFont="1" applyFill="1" applyBorder="1" applyAlignment="1">
      <alignment horizontal="center" vertical="center" wrapText="1"/>
    </xf>
    <xf numFmtId="0" fontId="11" fillId="22" borderId="3" xfId="0" applyFont="1" applyFill="1" applyBorder="1" applyAlignment="1">
      <alignment horizontal="center" vertical="center" wrapText="1"/>
    </xf>
    <xf numFmtId="0" fontId="11" fillId="23" borderId="3" xfId="0" applyFont="1" applyFill="1" applyBorder="1" applyAlignment="1">
      <alignment horizontal="center" vertical="center" wrapText="1"/>
    </xf>
    <xf numFmtId="0" fontId="11" fillId="25" borderId="3" xfId="0" applyFont="1" applyFill="1" applyBorder="1" applyAlignment="1">
      <alignment horizontal="center" vertical="center" wrapText="1"/>
    </xf>
    <xf numFmtId="0" fontId="11" fillId="34" borderId="3" xfId="0" applyFont="1" applyFill="1" applyBorder="1" applyAlignment="1">
      <alignment wrapText="1"/>
    </xf>
    <xf numFmtId="0" fontId="7" fillId="23" borderId="3" xfId="0" applyFont="1" applyFill="1" applyBorder="1" applyAlignment="1"/>
    <xf numFmtId="0" fontId="7" fillId="36" borderId="3" xfId="0" applyFont="1" applyFill="1" applyBorder="1" applyAlignment="1">
      <alignment horizontal="center" vertical="center"/>
    </xf>
    <xf numFmtId="0" fontId="7" fillId="45" borderId="3" xfId="0" applyFont="1" applyFill="1" applyBorder="1" applyAlignment="1">
      <alignment horizontal="center" vertical="center"/>
    </xf>
    <xf numFmtId="14" fontId="7" fillId="2" borderId="3" xfId="0" applyNumberFormat="1" applyFont="1" applyFill="1" applyBorder="1" applyAlignment="1">
      <alignment horizontal="center" vertical="center"/>
    </xf>
    <xf numFmtId="1" fontId="7" fillId="2" borderId="3" xfId="0" applyNumberFormat="1" applyFont="1" applyFill="1" applyBorder="1" applyAlignment="1">
      <alignment horizontal="center" vertical="center"/>
    </xf>
    <xf numFmtId="1" fontId="15" fillId="2" borderId="3" xfId="0" applyNumberFormat="1" applyFont="1" applyFill="1" applyBorder="1" applyAlignment="1">
      <alignment horizontal="center" vertical="center"/>
    </xf>
    <xf numFmtId="0" fontId="15"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15" fillId="19" borderId="3" xfId="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15" fillId="2" borderId="3" xfId="0" applyFont="1" applyFill="1" applyBorder="1" applyAlignment="1">
      <alignment horizontal="center" vertical="center"/>
    </xf>
    <xf numFmtId="49" fontId="7" fillId="2" borderId="3" xfId="0" applyNumberFormat="1" applyFont="1" applyFill="1" applyBorder="1" applyAlignment="1">
      <alignment horizontal="center" vertical="center" wrapText="1"/>
    </xf>
    <xf numFmtId="0" fontId="7" fillId="0" borderId="3" xfId="0" applyFont="1" applyBorder="1" applyAlignment="1">
      <alignment horizontal="center" vertical="center" wrapText="1"/>
    </xf>
    <xf numFmtId="0" fontId="15" fillId="22" borderId="3" xfId="0" applyFont="1" applyFill="1" applyBorder="1" applyAlignment="1">
      <alignment horizontal="center" vertical="center" wrapText="1"/>
    </xf>
    <xf numFmtId="0" fontId="15" fillId="22" borderId="3" xfId="1" applyFont="1" applyFill="1" applyBorder="1" applyAlignment="1">
      <alignment horizontal="center" vertical="center" wrapText="1"/>
    </xf>
    <xf numFmtId="0" fontId="7" fillId="22" borderId="3" xfId="0" applyFont="1" applyFill="1" applyBorder="1" applyAlignment="1">
      <alignment horizontal="center" vertical="center" wrapText="1"/>
    </xf>
    <xf numFmtId="0" fontId="7" fillId="23" borderId="3" xfId="0" applyFont="1" applyFill="1" applyBorder="1" applyAlignment="1">
      <alignment horizontal="center" vertical="center"/>
    </xf>
    <xf numFmtId="49" fontId="7" fillId="0" borderId="3" xfId="0" applyNumberFormat="1" applyFont="1" applyBorder="1" applyAlignment="1">
      <alignment horizontal="center" vertical="center" wrapText="1"/>
    </xf>
    <xf numFmtId="0" fontId="7" fillId="24" borderId="3" xfId="0" applyFont="1" applyFill="1" applyBorder="1" applyAlignment="1">
      <alignment horizontal="center" vertical="center" wrapText="1"/>
    </xf>
    <xf numFmtId="0" fontId="7" fillId="0" borderId="3" xfId="0" applyFont="1" applyBorder="1" applyAlignment="1"/>
    <xf numFmtId="0" fontId="7" fillId="23" borderId="3" xfId="0" applyFont="1" applyFill="1" applyBorder="1" applyAlignment="1">
      <alignment horizontal="center" vertical="center" wrapText="1"/>
    </xf>
    <xf numFmtId="0" fontId="7" fillId="22" borderId="3" xfId="0" applyFont="1" applyFill="1" applyBorder="1" applyAlignment="1">
      <alignment horizontal="center" vertical="center"/>
    </xf>
    <xf numFmtId="0" fontId="15" fillId="24" borderId="3" xfId="1" applyFont="1" applyFill="1" applyBorder="1" applyAlignment="1">
      <alignment horizontal="center" vertical="center" wrapText="1"/>
    </xf>
    <xf numFmtId="0" fontId="15" fillId="22" borderId="3" xfId="0" applyFont="1" applyFill="1" applyBorder="1" applyAlignment="1">
      <alignment horizontal="center" vertical="center"/>
    </xf>
    <xf numFmtId="1" fontId="7" fillId="2" borderId="3" xfId="0" applyNumberFormat="1" applyFont="1" applyFill="1" applyBorder="1" applyAlignment="1">
      <alignment horizontal="center" vertical="center" wrapText="1"/>
    </xf>
    <xf numFmtId="0" fontId="15" fillId="2" borderId="3" xfId="0" applyFont="1" applyFill="1" applyBorder="1" applyAlignment="1"/>
    <xf numFmtId="49" fontId="7" fillId="22" borderId="3" xfId="0" applyNumberFormat="1" applyFont="1" applyFill="1" applyBorder="1" applyAlignment="1">
      <alignment horizontal="center" vertical="center" wrapText="1"/>
    </xf>
    <xf numFmtId="1" fontId="15" fillId="2" borderId="3" xfId="1" applyNumberFormat="1" applyFont="1" applyFill="1" applyBorder="1" applyAlignment="1">
      <alignment horizontal="center" vertical="center" wrapText="1"/>
    </xf>
    <xf numFmtId="0" fontId="15" fillId="2" borderId="3" xfId="1" applyFont="1" applyFill="1" applyBorder="1" applyAlignment="1">
      <alignment horizontal="center" vertical="center" wrapText="1"/>
    </xf>
    <xf numFmtId="0" fontId="15" fillId="2" borderId="3" xfId="0" applyFont="1" applyFill="1" applyBorder="1"/>
    <xf numFmtId="1" fontId="15" fillId="2" borderId="3" xfId="1" applyNumberFormat="1" applyFont="1" applyFill="1" applyBorder="1" applyAlignment="1">
      <alignment horizontal="center" vertical="center"/>
    </xf>
    <xf numFmtId="0" fontId="15" fillId="2" borderId="3" xfId="1" applyFont="1" applyFill="1" applyBorder="1" applyAlignment="1">
      <alignment horizontal="center" vertical="center"/>
    </xf>
    <xf numFmtId="0" fontId="15" fillId="22" borderId="3" xfId="1" applyFont="1" applyFill="1" applyBorder="1" applyAlignment="1">
      <alignment horizontal="center" vertical="center"/>
    </xf>
    <xf numFmtId="0" fontId="15" fillId="24" borderId="3" xfId="1" applyFont="1" applyFill="1" applyBorder="1" applyAlignment="1">
      <alignment horizontal="center" vertical="center"/>
    </xf>
    <xf numFmtId="0" fontId="7" fillId="24" borderId="3" xfId="0" applyFont="1" applyFill="1" applyBorder="1" applyAlignment="1">
      <alignment horizontal="center" vertical="center"/>
    </xf>
    <xf numFmtId="0" fontId="7" fillId="19" borderId="3" xfId="0" applyFont="1" applyFill="1" applyBorder="1" applyAlignment="1">
      <alignment vertical="center" wrapText="1"/>
    </xf>
    <xf numFmtId="0" fontId="7" fillId="28" borderId="3" xfId="0" applyFont="1" applyFill="1" applyBorder="1" applyAlignment="1">
      <alignment horizontal="center" vertical="center" wrapText="1"/>
    </xf>
    <xf numFmtId="0" fontId="7" fillId="28" borderId="3" xfId="0" applyFont="1" applyFill="1" applyBorder="1" applyAlignment="1">
      <alignment horizontal="center" vertical="center"/>
    </xf>
    <xf numFmtId="0" fontId="15" fillId="0" borderId="3" xfId="0" applyFont="1" applyBorder="1" applyAlignment="1">
      <alignment horizontal="center" vertical="center"/>
    </xf>
    <xf numFmtId="0" fontId="7" fillId="2" borderId="3" xfId="0" quotePrefix="1" applyFont="1" applyFill="1" applyBorder="1" applyAlignment="1">
      <alignment horizontal="center" vertical="center"/>
    </xf>
    <xf numFmtId="0" fontId="15" fillId="24" borderId="3" xfId="0" applyFont="1" applyFill="1" applyBorder="1" applyAlignment="1">
      <alignment horizontal="center" vertical="center" wrapText="1"/>
    </xf>
    <xf numFmtId="49" fontId="15" fillId="24" borderId="3" xfId="1" applyNumberFormat="1" applyFont="1" applyFill="1" applyBorder="1" applyAlignment="1">
      <alignment horizontal="center" vertical="center" wrapText="1"/>
    </xf>
    <xf numFmtId="49" fontId="15" fillId="22" borderId="3" xfId="1" applyNumberFormat="1" applyFont="1" applyFill="1" applyBorder="1" applyAlignment="1">
      <alignment horizontal="center" vertical="center" wrapText="1"/>
    </xf>
    <xf numFmtId="49" fontId="15" fillId="22" borderId="3" xfId="0" applyNumberFormat="1" applyFont="1" applyFill="1" applyBorder="1" applyAlignment="1">
      <alignment horizontal="center" vertical="center" wrapText="1"/>
    </xf>
    <xf numFmtId="0" fontId="15" fillId="0" borderId="3" xfId="1" applyFont="1" applyBorder="1" applyAlignment="1">
      <alignment horizontal="center" vertical="center" wrapText="1"/>
    </xf>
    <xf numFmtId="0" fontId="7" fillId="19" borderId="3" xfId="0" applyFont="1" applyFill="1" applyBorder="1" applyAlignment="1">
      <alignment horizontal="center" vertical="center" wrapText="1"/>
    </xf>
    <xf numFmtId="0" fontId="15" fillId="0" borderId="3" xfId="0" applyFont="1" applyBorder="1" applyAlignment="1">
      <alignment horizontal="center" vertical="center" wrapText="1"/>
    </xf>
    <xf numFmtId="0" fontId="15" fillId="28" borderId="3" xfId="1" applyFont="1" applyFill="1" applyBorder="1" applyAlignment="1">
      <alignment horizontal="center" vertical="center"/>
    </xf>
    <xf numFmtId="0" fontId="15" fillId="28" borderId="3" xfId="0" applyFont="1" applyFill="1" applyBorder="1" applyAlignment="1">
      <alignment horizontal="center" vertical="center"/>
    </xf>
    <xf numFmtId="0" fontId="7" fillId="0" borderId="3" xfId="0" applyFont="1" applyFill="1" applyBorder="1" applyAlignment="1">
      <alignment horizontal="center" vertical="center"/>
    </xf>
    <xf numFmtId="0" fontId="15" fillId="2" borderId="3" xfId="0" applyFont="1" applyFill="1" applyBorder="1" applyAlignment="1">
      <alignment wrapText="1"/>
    </xf>
    <xf numFmtId="0" fontId="7" fillId="2" borderId="3" xfId="0" applyFont="1" applyFill="1" applyBorder="1" applyAlignment="1">
      <alignment vertical="center"/>
    </xf>
    <xf numFmtId="0" fontId="15" fillId="23" borderId="3" xfId="0" applyFont="1" applyFill="1" applyBorder="1" applyAlignment="1">
      <alignment horizontal="center" vertical="center"/>
    </xf>
    <xf numFmtId="0" fontId="7" fillId="27" borderId="3" xfId="0" applyFont="1" applyFill="1" applyBorder="1" applyAlignment="1">
      <alignment horizontal="center" vertical="center"/>
    </xf>
    <xf numFmtId="1" fontId="15" fillId="22" borderId="3" xfId="1" applyNumberFormat="1" applyFont="1" applyFill="1" applyBorder="1" applyAlignment="1">
      <alignment horizontal="center" vertical="center"/>
    </xf>
    <xf numFmtId="0" fontId="15" fillId="2" borderId="3" xfId="0" applyFont="1" applyFill="1" applyBorder="1" applyAlignment="1">
      <alignment vertical="center"/>
    </xf>
    <xf numFmtId="0" fontId="15" fillId="23" borderId="3" xfId="1" applyFont="1" applyFill="1" applyBorder="1" applyAlignment="1">
      <alignment horizontal="center" vertical="center"/>
    </xf>
    <xf numFmtId="0" fontId="7" fillId="0" borderId="3" xfId="0" applyFont="1" applyFill="1" applyBorder="1" applyAlignment="1">
      <alignment horizontal="center" vertical="center" wrapText="1"/>
    </xf>
    <xf numFmtId="49" fontId="7" fillId="45" borderId="3" xfId="0" applyNumberFormat="1" applyFont="1" applyFill="1" applyBorder="1" applyAlignment="1">
      <alignment horizontal="center" vertical="center"/>
    </xf>
    <xf numFmtId="49" fontId="7" fillId="2" borderId="3" xfId="0" applyNumberFormat="1" applyFont="1" applyFill="1" applyBorder="1" applyAlignment="1">
      <alignment horizontal="center" vertical="center"/>
    </xf>
    <xf numFmtId="49" fontId="7" fillId="23" borderId="3" xfId="0" applyNumberFormat="1" applyFont="1" applyFill="1" applyBorder="1" applyAlignment="1">
      <alignment horizontal="center" vertical="center"/>
    </xf>
    <xf numFmtId="49" fontId="7" fillId="23" borderId="3" xfId="0" applyNumberFormat="1" applyFont="1" applyFill="1" applyBorder="1" applyAlignment="1">
      <alignment horizontal="center" vertical="center" wrapText="1"/>
    </xf>
    <xf numFmtId="49" fontId="15" fillId="23" borderId="3" xfId="0" applyNumberFormat="1" applyFont="1" applyFill="1" applyBorder="1" applyAlignment="1">
      <alignment horizontal="center" vertical="center"/>
    </xf>
    <xf numFmtId="49" fontId="7" fillId="24" borderId="3" xfId="0" applyNumberFormat="1" applyFont="1" applyFill="1" applyBorder="1" applyAlignment="1">
      <alignment horizontal="center" vertical="center" wrapText="1"/>
    </xf>
    <xf numFmtId="0" fontId="7" fillId="27" borderId="3" xfId="0" applyFont="1" applyFill="1" applyBorder="1" applyAlignment="1">
      <alignment horizontal="center" vertical="center" wrapText="1"/>
    </xf>
    <xf numFmtId="14" fontId="15" fillId="2" borderId="3" xfId="0" applyNumberFormat="1" applyFont="1" applyFill="1" applyBorder="1" applyAlignment="1">
      <alignment horizontal="center" vertical="center"/>
    </xf>
    <xf numFmtId="0" fontId="15" fillId="19" borderId="3" xfId="0" applyFont="1" applyFill="1" applyBorder="1" applyAlignment="1">
      <alignment horizontal="center" vertical="center" wrapText="1"/>
    </xf>
    <xf numFmtId="49" fontId="15" fillId="2" borderId="3" xfId="1" applyNumberFormat="1" applyFont="1" applyFill="1" applyBorder="1" applyAlignment="1">
      <alignment horizontal="center" vertical="center" wrapText="1"/>
    </xf>
    <xf numFmtId="49" fontId="15" fillId="0" borderId="3" xfId="0" applyNumberFormat="1" applyFont="1" applyBorder="1" applyAlignment="1">
      <alignment horizontal="center" vertical="center" wrapText="1"/>
    </xf>
    <xf numFmtId="49" fontId="15" fillId="0" borderId="3" xfId="0" applyNumberFormat="1" applyFont="1" applyBorder="1" applyAlignment="1">
      <alignment horizontal="center" vertical="center"/>
    </xf>
    <xf numFmtId="49" fontId="7" fillId="22" borderId="3" xfId="0" applyNumberFormat="1" applyFont="1" applyFill="1" applyBorder="1" applyAlignment="1">
      <alignment horizontal="center" vertical="center"/>
    </xf>
    <xf numFmtId="49" fontId="15" fillId="0" borderId="3" xfId="1" applyNumberFormat="1" applyFont="1" applyBorder="1" applyAlignment="1">
      <alignment horizontal="center" vertical="center" wrapText="1"/>
    </xf>
    <xf numFmtId="0" fontId="15" fillId="26" borderId="3" xfId="0" applyFont="1" applyFill="1" applyBorder="1" applyAlignment="1">
      <alignment horizontal="center" vertical="center" wrapText="1"/>
    </xf>
    <xf numFmtId="1" fontId="15" fillId="25" borderId="3" xfId="0" applyNumberFormat="1" applyFont="1" applyFill="1" applyBorder="1" applyAlignment="1">
      <alignment horizontal="center" vertical="center"/>
    </xf>
    <xf numFmtId="0" fontId="7" fillId="21" borderId="3" xfId="0" applyFont="1" applyFill="1" applyBorder="1" applyAlignment="1">
      <alignment horizontal="center" vertical="center"/>
    </xf>
    <xf numFmtId="0" fontId="7" fillId="9" borderId="3" xfId="0" applyFont="1" applyFill="1" applyBorder="1" applyAlignment="1">
      <alignment horizontal="center" vertical="center"/>
    </xf>
    <xf numFmtId="14" fontId="7" fillId="0" borderId="3" xfId="0" applyNumberFormat="1" applyFont="1" applyFill="1" applyBorder="1" applyAlignment="1">
      <alignment horizontal="center" vertical="center"/>
    </xf>
    <xf numFmtId="1" fontId="7" fillId="0" borderId="3" xfId="0" applyNumberFormat="1" applyFont="1" applyFill="1" applyBorder="1" applyAlignment="1">
      <alignment horizontal="center" vertical="center" wrapText="1"/>
    </xf>
    <xf numFmtId="1" fontId="15" fillId="0" borderId="3" xfId="0" applyNumberFormat="1" applyFont="1" applyFill="1" applyBorder="1" applyAlignment="1">
      <alignment horizontal="center" vertical="center" wrapText="1"/>
    </xf>
    <xf numFmtId="0" fontId="15" fillId="0" borderId="3" xfId="0" applyFont="1" applyFill="1" applyBorder="1" applyAlignment="1">
      <alignment horizontal="center" vertical="center" wrapText="1"/>
    </xf>
    <xf numFmtId="1" fontId="7" fillId="0" borderId="3" xfId="0" applyNumberFormat="1" applyFont="1" applyFill="1" applyBorder="1" applyAlignment="1">
      <alignment horizontal="center" vertical="center"/>
    </xf>
    <xf numFmtId="0" fontId="7" fillId="28" borderId="3" xfId="0" applyFont="1" applyFill="1" applyBorder="1" applyAlignment="1"/>
    <xf numFmtId="1" fontId="15" fillId="22" borderId="3" xfId="1" applyNumberFormat="1" applyFont="1" applyFill="1" applyBorder="1" applyAlignment="1">
      <alignment horizontal="center" vertical="center" wrapText="1"/>
    </xf>
    <xf numFmtId="1" fontId="15" fillId="25" borderId="3" xfId="0" applyNumberFormat="1" applyFont="1" applyFill="1" applyBorder="1" applyAlignment="1">
      <alignment horizontal="center" vertical="center" wrapText="1"/>
    </xf>
    <xf numFmtId="0" fontId="15" fillId="0" borderId="3" xfId="0" applyFont="1" applyFill="1" applyBorder="1" applyAlignment="1">
      <alignment horizontal="center" vertical="center"/>
    </xf>
    <xf numFmtId="0" fontId="7" fillId="46" borderId="3" xfId="0" applyFont="1" applyFill="1" applyBorder="1" applyAlignment="1">
      <alignment horizontal="center" vertical="center"/>
    </xf>
    <xf numFmtId="2" fontId="15" fillId="2" borderId="3" xfId="1" applyNumberFormat="1" applyFont="1" applyFill="1" applyBorder="1" applyAlignment="1">
      <alignment horizontal="center" vertical="center"/>
    </xf>
    <xf numFmtId="0" fontId="7" fillId="0" borderId="3" xfId="0" applyFont="1" applyBorder="1" applyAlignment="1">
      <alignment vertical="center"/>
    </xf>
    <xf numFmtId="0" fontId="11" fillId="45" borderId="2" xfId="0" applyFont="1" applyFill="1" applyBorder="1" applyAlignment="1">
      <alignment horizontal="center" vertical="center" wrapText="1"/>
    </xf>
    <xf numFmtId="0" fontId="15" fillId="2" borderId="2" xfId="0" applyFont="1" applyFill="1" applyBorder="1" applyAlignment="1">
      <alignment horizontal="center" vertical="center"/>
    </xf>
    <xf numFmtId="0" fontId="7" fillId="2" borderId="0" xfId="0" applyFont="1" applyFill="1" applyAlignment="1">
      <alignment horizontal="center" vertical="center"/>
    </xf>
    <xf numFmtId="0" fontId="15" fillId="2" borderId="0" xfId="0" applyFont="1" applyFill="1" applyAlignment="1">
      <alignment horizontal="center" vertical="center"/>
    </xf>
    <xf numFmtId="0" fontId="7" fillId="21" borderId="2" xfId="0" applyFont="1" applyFill="1" applyBorder="1" applyAlignment="1">
      <alignment horizontal="center" vertical="center"/>
    </xf>
    <xf numFmtId="0" fontId="7" fillId="0" borderId="2" xfId="0" applyFont="1" applyFill="1" applyBorder="1" applyAlignment="1">
      <alignment horizontal="center" vertical="center"/>
    </xf>
    <xf numFmtId="0" fontId="15" fillId="0" borderId="2" xfId="0" applyFont="1" applyFill="1" applyBorder="1" applyAlignment="1">
      <alignment horizontal="center" vertical="center"/>
    </xf>
    <xf numFmtId="0" fontId="11" fillId="45" borderId="2" xfId="0" applyFont="1" applyFill="1" applyBorder="1" applyAlignment="1">
      <alignment horizontal="center" vertical="center"/>
    </xf>
    <xf numFmtId="0" fontId="7" fillId="10" borderId="2" xfId="0" applyFont="1" applyFill="1" applyBorder="1" applyAlignment="1">
      <alignment horizontal="center" vertical="center"/>
    </xf>
    <xf numFmtId="14" fontId="7" fillId="10" borderId="2" xfId="0" applyNumberFormat="1" applyFont="1" applyFill="1" applyBorder="1" applyAlignment="1">
      <alignment horizontal="center" vertical="center"/>
    </xf>
    <xf numFmtId="0" fontId="7" fillId="4" borderId="2" xfId="0" applyFont="1" applyFill="1" applyBorder="1" applyAlignment="1">
      <alignment horizontal="center" vertical="center"/>
    </xf>
    <xf numFmtId="14" fontId="7" fillId="4"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14" fontId="7" fillId="5" borderId="2" xfId="0" applyNumberFormat="1" applyFont="1" applyFill="1" applyBorder="1" applyAlignment="1">
      <alignment horizontal="center" vertical="center"/>
    </xf>
    <xf numFmtId="0" fontId="7" fillId="11" borderId="2" xfId="0" applyFont="1" applyFill="1" applyBorder="1" applyAlignment="1">
      <alignment horizontal="center" vertical="center"/>
    </xf>
    <xf numFmtId="14" fontId="7" fillId="11" borderId="2" xfId="0" applyNumberFormat="1" applyFont="1" applyFill="1" applyBorder="1" applyAlignment="1">
      <alignment horizontal="center" vertical="center"/>
    </xf>
    <xf numFmtId="0" fontId="7" fillId="12" borderId="2" xfId="0" applyFont="1" applyFill="1" applyBorder="1" applyAlignment="1">
      <alignment horizontal="center" vertical="center"/>
    </xf>
    <xf numFmtId="14" fontId="7" fillId="12" borderId="2" xfId="0" applyNumberFormat="1" applyFont="1" applyFill="1" applyBorder="1" applyAlignment="1">
      <alignment horizontal="center" vertical="center"/>
    </xf>
    <xf numFmtId="0" fontId="7" fillId="13" borderId="2" xfId="0" applyFont="1" applyFill="1" applyBorder="1" applyAlignment="1">
      <alignment horizontal="center" vertical="center"/>
    </xf>
    <xf numFmtId="14" fontId="7" fillId="13" borderId="2" xfId="0" applyNumberFormat="1" applyFont="1" applyFill="1" applyBorder="1" applyAlignment="1">
      <alignment horizontal="center" vertical="center"/>
    </xf>
    <xf numFmtId="0" fontId="7" fillId="6" borderId="2" xfId="0" applyFont="1" applyFill="1" applyBorder="1" applyAlignment="1">
      <alignment horizontal="center" vertical="center"/>
    </xf>
    <xf numFmtId="14" fontId="7" fillId="6" borderId="2" xfId="0" applyNumberFormat="1" applyFont="1" applyFill="1" applyBorder="1" applyAlignment="1">
      <alignment horizontal="center" vertical="center"/>
    </xf>
    <xf numFmtId="0" fontId="7" fillId="14" borderId="2" xfId="0" applyFont="1" applyFill="1" applyBorder="1" applyAlignment="1">
      <alignment horizontal="center" vertical="center"/>
    </xf>
    <xf numFmtId="14" fontId="7" fillId="14" borderId="2" xfId="0" applyNumberFormat="1" applyFont="1" applyFill="1" applyBorder="1" applyAlignment="1">
      <alignment horizontal="center" vertical="center"/>
    </xf>
    <xf numFmtId="0" fontId="7" fillId="3" borderId="2" xfId="0" applyFont="1" applyFill="1" applyBorder="1" applyAlignment="1">
      <alignment horizontal="center" vertical="center"/>
    </xf>
    <xf numFmtId="14" fontId="7" fillId="3" borderId="2" xfId="0" applyNumberFormat="1" applyFont="1" applyFill="1" applyBorder="1" applyAlignment="1">
      <alignment horizontal="center" vertical="center"/>
    </xf>
    <xf numFmtId="14" fontId="7" fillId="15" borderId="2" xfId="0" applyNumberFormat="1" applyFont="1" applyFill="1" applyBorder="1" applyAlignment="1">
      <alignment horizontal="center" vertical="center"/>
    </xf>
    <xf numFmtId="0" fontId="7" fillId="15" borderId="2" xfId="0" applyFont="1" applyFill="1" applyBorder="1" applyAlignment="1">
      <alignment horizontal="center" vertical="center"/>
    </xf>
    <xf numFmtId="0" fontId="7" fillId="16" borderId="2" xfId="0" applyFont="1" applyFill="1" applyBorder="1" applyAlignment="1">
      <alignment horizontal="center" vertical="center"/>
    </xf>
    <xf numFmtId="14" fontId="7" fillId="16" borderId="2" xfId="0" applyNumberFormat="1" applyFont="1" applyFill="1" applyBorder="1" applyAlignment="1">
      <alignment horizontal="center" vertical="center"/>
    </xf>
    <xf numFmtId="14" fontId="15" fillId="10" borderId="2" xfId="0" applyNumberFormat="1" applyFont="1" applyFill="1" applyBorder="1" applyAlignment="1">
      <alignment horizontal="center" vertical="center"/>
    </xf>
    <xf numFmtId="14" fontId="15" fillId="4" borderId="2" xfId="0" applyNumberFormat="1" applyFont="1" applyFill="1" applyBorder="1" applyAlignment="1">
      <alignment horizontal="center" vertical="center"/>
    </xf>
    <xf numFmtId="14" fontId="15" fillId="3" borderId="2" xfId="0" applyNumberFormat="1" applyFont="1" applyFill="1" applyBorder="1" applyAlignment="1">
      <alignment horizontal="center" vertical="center"/>
    </xf>
    <xf numFmtId="0" fontId="11" fillId="8" borderId="2" xfId="0" applyFont="1" applyFill="1" applyBorder="1" applyAlignment="1">
      <alignment horizontal="center" vertical="center"/>
    </xf>
    <xf numFmtId="49" fontId="11" fillId="8" borderId="2" xfId="0" applyNumberFormat="1" applyFont="1" applyFill="1" applyBorder="1" applyAlignment="1">
      <alignment horizontal="center" vertical="center"/>
    </xf>
    <xf numFmtId="1" fontId="7" fillId="0" borderId="2" xfId="0" applyNumberFormat="1" applyFont="1" applyBorder="1" applyAlignment="1">
      <alignment horizontal="center" vertical="center"/>
    </xf>
    <xf numFmtId="3" fontId="7" fillId="0" borderId="2" xfId="0" applyNumberFormat="1" applyFont="1" applyBorder="1" applyAlignment="1">
      <alignment horizontal="center" vertical="center"/>
    </xf>
    <xf numFmtId="20" fontId="7" fillId="0" borderId="2" xfId="0" applyNumberFormat="1" applyFont="1" applyBorder="1" applyAlignment="1">
      <alignment horizontal="center" vertical="center"/>
    </xf>
    <xf numFmtId="164" fontId="7" fillId="0" borderId="2" xfId="0" applyNumberFormat="1" applyFont="1" applyBorder="1" applyAlignment="1">
      <alignment horizontal="center" vertical="center"/>
    </xf>
    <xf numFmtId="164" fontId="7" fillId="2" borderId="2" xfId="0" applyNumberFormat="1" applyFont="1" applyFill="1" applyBorder="1" applyAlignment="1">
      <alignment horizontal="center" vertical="center"/>
    </xf>
    <xf numFmtId="20" fontId="7" fillId="2" borderId="2"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165" fontId="7" fillId="0" borderId="2" xfId="0" applyNumberFormat="1" applyFont="1" applyBorder="1" applyAlignment="1">
      <alignment horizontal="center" vertical="center"/>
    </xf>
    <xf numFmtId="166" fontId="7" fillId="0" borderId="2" xfId="0" applyNumberFormat="1" applyFont="1" applyBorder="1" applyAlignment="1">
      <alignment horizontal="center" vertical="center"/>
    </xf>
    <xf numFmtId="49" fontId="7" fillId="0" borderId="2" xfId="0" applyNumberFormat="1" applyFont="1" applyBorder="1" applyAlignment="1">
      <alignment horizontal="center" vertical="center"/>
    </xf>
    <xf numFmtId="0" fontId="7" fillId="0" borderId="2" xfId="0" applyNumberFormat="1" applyFont="1" applyBorder="1" applyAlignment="1">
      <alignment horizontal="center" vertical="center"/>
    </xf>
    <xf numFmtId="3" fontId="7" fillId="0" borderId="2" xfId="0" applyNumberFormat="1" applyFont="1" applyFill="1" applyBorder="1" applyAlignment="1">
      <alignment horizontal="center" vertical="center"/>
    </xf>
    <xf numFmtId="164" fontId="7" fillId="0" borderId="2" xfId="0" applyNumberFormat="1" applyFont="1" applyFill="1" applyBorder="1" applyAlignment="1">
      <alignment horizontal="center" vertical="center"/>
    </xf>
    <xf numFmtId="0" fontId="15" fillId="0" borderId="2" xfId="1" applyFont="1" applyFill="1" applyBorder="1" applyAlignment="1">
      <alignment horizontal="center" vertical="center"/>
    </xf>
    <xf numFmtId="20" fontId="15" fillId="0" borderId="2" xfId="0" applyNumberFormat="1" applyFont="1" applyFill="1" applyBorder="1" applyAlignment="1">
      <alignment horizontal="center" vertical="center"/>
    </xf>
    <xf numFmtId="0" fontId="2" fillId="64" borderId="2" xfId="0" applyFont="1" applyFill="1" applyBorder="1"/>
    <xf numFmtId="0" fontId="20" fillId="64" borderId="2" xfId="0" applyFont="1" applyFill="1" applyBorder="1"/>
    <xf numFmtId="0" fontId="14" fillId="65" borderId="2" xfId="0" applyFont="1" applyFill="1" applyBorder="1" applyAlignment="1">
      <alignment horizontal="left"/>
    </xf>
    <xf numFmtId="0" fontId="21" fillId="65" borderId="2" xfId="0" applyFont="1" applyFill="1" applyBorder="1" applyAlignment="1">
      <alignment horizontal="left"/>
    </xf>
    <xf numFmtId="0" fontId="19" fillId="65" borderId="2" xfId="0" applyFont="1" applyFill="1" applyBorder="1" applyAlignment="1">
      <alignment horizontal="left"/>
    </xf>
    <xf numFmtId="0" fontId="22" fillId="65" borderId="2" xfId="0" applyFont="1" applyFill="1" applyBorder="1" applyAlignment="1">
      <alignment horizontal="left"/>
    </xf>
    <xf numFmtId="0" fontId="23" fillId="65" borderId="2" xfId="0" applyFont="1" applyFill="1" applyBorder="1" applyAlignment="1">
      <alignment horizontal="left"/>
    </xf>
    <xf numFmtId="0" fontId="24" fillId="65" borderId="2" xfId="0" applyFont="1" applyFill="1" applyBorder="1" applyAlignment="1">
      <alignment horizontal="left"/>
    </xf>
    <xf numFmtId="0" fontId="25" fillId="65" borderId="2" xfId="0" applyFont="1" applyFill="1" applyBorder="1" applyAlignment="1">
      <alignment horizontal="left"/>
    </xf>
    <xf numFmtId="0" fontId="26" fillId="65" borderId="2" xfId="0" applyFont="1" applyFill="1" applyBorder="1" applyAlignment="1">
      <alignment horizontal="left"/>
    </xf>
    <xf numFmtId="0" fontId="27" fillId="65" borderId="2" xfId="0" applyFont="1" applyFill="1" applyBorder="1" applyAlignment="1">
      <alignment horizontal="left"/>
    </xf>
    <xf numFmtId="0" fontId="2" fillId="65" borderId="2" xfId="0" applyFont="1" applyFill="1" applyBorder="1" applyAlignment="1">
      <alignment horizontal="left"/>
    </xf>
    <xf numFmtId="0" fontId="2" fillId="0" borderId="1" xfId="0" applyFont="1" applyFill="1" applyBorder="1" applyAlignment="1">
      <alignment horizontal="left"/>
    </xf>
    <xf numFmtId="0" fontId="2" fillId="0" borderId="0" xfId="0" applyFont="1" applyFill="1"/>
    <xf numFmtId="0" fontId="2" fillId="0" borderId="1" xfId="0" applyFont="1" applyFill="1" applyBorder="1"/>
    <xf numFmtId="0" fontId="2" fillId="0" borderId="0" xfId="0" applyFont="1" applyAlignment="1"/>
    <xf numFmtId="0" fontId="2" fillId="48" borderId="1" xfId="0" applyFont="1" applyFill="1" applyBorder="1" applyAlignment="1">
      <alignment horizontal="center" vertical="center" wrapText="1"/>
    </xf>
    <xf numFmtId="0" fontId="3" fillId="38"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11" fillId="36"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2" fillId="47" borderId="1" xfId="0" applyFont="1" applyFill="1" applyBorder="1" applyAlignment="1">
      <alignment horizontal="center" vertical="center" wrapText="1"/>
    </xf>
    <xf numFmtId="0" fontId="3" fillId="47"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48"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49" borderId="1" xfId="0" applyFont="1" applyFill="1" applyBorder="1" applyAlignment="1">
      <alignment horizontal="center" vertical="center" wrapText="1"/>
    </xf>
    <xf numFmtId="0" fontId="3" fillId="49" borderId="1" xfId="0" applyFont="1" applyFill="1" applyBorder="1" applyAlignment="1">
      <alignment horizontal="center" vertical="center" wrapText="1"/>
    </xf>
    <xf numFmtId="0" fontId="2" fillId="50" borderId="1" xfId="0" applyFont="1" applyFill="1" applyBorder="1" applyAlignment="1">
      <alignment horizontal="center" vertical="center" wrapText="1"/>
    </xf>
    <xf numFmtId="0" fontId="3" fillId="50" borderId="1" xfId="0" applyFont="1" applyFill="1" applyBorder="1" applyAlignment="1">
      <alignment horizontal="center" vertical="center" wrapText="1"/>
    </xf>
    <xf numFmtId="0" fontId="3" fillId="40" borderId="1" xfId="0" applyFont="1" applyFill="1" applyBorder="1" applyAlignment="1">
      <alignment horizontal="center" vertical="center" wrapText="1"/>
    </xf>
    <xf numFmtId="0" fontId="2" fillId="51" borderId="1" xfId="0" applyFont="1" applyFill="1" applyBorder="1" applyAlignment="1">
      <alignment horizontal="center" vertical="center" wrapText="1"/>
    </xf>
    <xf numFmtId="0" fontId="3" fillId="51" borderId="1" xfId="0" applyFont="1" applyFill="1" applyBorder="1" applyAlignment="1">
      <alignment horizontal="center" vertical="center" wrapText="1"/>
    </xf>
    <xf numFmtId="0" fontId="2" fillId="52" borderId="1" xfId="0" applyFont="1" applyFill="1" applyBorder="1" applyAlignment="1">
      <alignment horizontal="center" vertical="center" wrapText="1"/>
    </xf>
    <xf numFmtId="0" fontId="3" fillId="52" borderId="1" xfId="0" applyFont="1" applyFill="1" applyBorder="1" applyAlignment="1">
      <alignment horizontal="center" vertical="center" wrapText="1"/>
    </xf>
    <xf numFmtId="0" fontId="2" fillId="54" borderId="1" xfId="0" applyFont="1" applyFill="1" applyBorder="1" applyAlignment="1">
      <alignment horizontal="center" vertical="center" wrapText="1"/>
    </xf>
    <xf numFmtId="0" fontId="3" fillId="54" borderId="1" xfId="0" applyFont="1" applyFill="1" applyBorder="1" applyAlignment="1">
      <alignment horizontal="center" vertical="center" wrapText="1"/>
    </xf>
    <xf numFmtId="0" fontId="3" fillId="55" borderId="1" xfId="0" applyFont="1" applyFill="1" applyBorder="1" applyAlignment="1">
      <alignment horizontal="center" vertical="center" wrapText="1"/>
    </xf>
    <xf numFmtId="0" fontId="2" fillId="56" borderId="1" xfId="0" applyFont="1" applyFill="1" applyBorder="1" applyAlignment="1">
      <alignment horizontal="center" vertical="center" wrapText="1"/>
    </xf>
    <xf numFmtId="0" fontId="3" fillId="56" borderId="1" xfId="0" applyFont="1" applyFill="1" applyBorder="1" applyAlignment="1">
      <alignment horizontal="center" vertical="center" wrapText="1"/>
    </xf>
    <xf numFmtId="0" fontId="2" fillId="57" borderId="1" xfId="0" applyFont="1" applyFill="1" applyBorder="1" applyAlignment="1">
      <alignment horizontal="center" vertical="center" wrapText="1"/>
    </xf>
    <xf numFmtId="0" fontId="3" fillId="57" borderId="1" xfId="0" applyFont="1" applyFill="1" applyBorder="1" applyAlignment="1">
      <alignment horizontal="center" vertical="center" wrapText="1"/>
    </xf>
    <xf numFmtId="0" fontId="3" fillId="43" borderId="1" xfId="0" applyFont="1" applyFill="1" applyBorder="1" applyAlignment="1">
      <alignment horizontal="center" vertical="center" wrapText="1"/>
    </xf>
    <xf numFmtId="0" fontId="3" fillId="58" borderId="1" xfId="0" applyFont="1" applyFill="1" applyBorder="1" applyAlignment="1">
      <alignment horizontal="center" vertical="center" wrapText="1"/>
    </xf>
    <xf numFmtId="0" fontId="2" fillId="59" borderId="1" xfId="0" applyFont="1" applyFill="1" applyBorder="1" applyAlignment="1">
      <alignment horizontal="center" vertical="center" wrapText="1"/>
    </xf>
    <xf numFmtId="0" fontId="3" fillId="59" borderId="1" xfId="0" applyFont="1" applyFill="1" applyBorder="1" applyAlignment="1">
      <alignment horizontal="center" vertical="center" wrapText="1"/>
    </xf>
    <xf numFmtId="0" fontId="3" fillId="44" borderId="1" xfId="0" applyFont="1" applyFill="1" applyBorder="1" applyAlignment="1">
      <alignment horizontal="center" vertical="center" wrapText="1"/>
    </xf>
    <xf numFmtId="0" fontId="11" fillId="6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Fill="1" applyBorder="1" applyAlignment="1">
      <alignment horizontal="center" vertical="center" wrapText="1"/>
    </xf>
    <xf numFmtId="0" fontId="2" fillId="61" borderId="1" xfId="0" applyFont="1" applyFill="1" applyBorder="1" applyAlignment="1">
      <alignment horizontal="center" vertical="center" wrapText="1"/>
    </xf>
    <xf numFmtId="0" fontId="3" fillId="61" borderId="1" xfId="0" applyFont="1" applyFill="1" applyBorder="1" applyAlignment="1">
      <alignment horizontal="center" vertical="center" wrapText="1"/>
    </xf>
    <xf numFmtId="0" fontId="2" fillId="53" borderId="1" xfId="0" applyFont="1" applyFill="1" applyBorder="1" applyAlignment="1">
      <alignment horizontal="center" vertical="center" wrapText="1"/>
    </xf>
    <xf numFmtId="0" fontId="3" fillId="53" borderId="1" xfId="0" applyFont="1" applyFill="1" applyBorder="1" applyAlignment="1">
      <alignment horizontal="center" vertical="center" wrapText="1"/>
    </xf>
    <xf numFmtId="0" fontId="7" fillId="60" borderId="1" xfId="0" applyFont="1" applyFill="1" applyBorder="1" applyAlignment="1">
      <alignment horizontal="center" vertical="center" wrapText="1"/>
    </xf>
    <xf numFmtId="0" fontId="2" fillId="63" borderId="1" xfId="0" applyFont="1" applyFill="1" applyBorder="1" applyAlignment="1">
      <alignment horizontal="center" vertical="center" wrapText="1"/>
    </xf>
    <xf numFmtId="0" fontId="3" fillId="63"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7" fillId="17"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3" fillId="17"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2" fillId="18" borderId="1" xfId="0" applyFont="1" applyFill="1" applyBorder="1" applyAlignment="1">
      <alignment horizontal="center" vertical="center" wrapText="1"/>
    </xf>
    <xf numFmtId="0" fontId="3" fillId="18" borderId="1" xfId="0" applyFont="1" applyFill="1" applyBorder="1" applyAlignment="1">
      <alignment horizontal="center" vertical="center" wrapText="1"/>
    </xf>
    <xf numFmtId="49" fontId="2" fillId="18" borderId="1" xfId="0" applyNumberFormat="1" applyFont="1" applyFill="1" applyBorder="1" applyAlignment="1">
      <alignment horizontal="center" vertical="center" wrapText="1"/>
    </xf>
    <xf numFmtId="0" fontId="2" fillId="36" borderId="3" xfId="0" applyFont="1" applyFill="1" applyBorder="1" applyAlignment="1">
      <alignment horizontal="center" vertical="center"/>
    </xf>
    <xf numFmtId="0" fontId="9" fillId="0" borderId="3" xfId="0" applyFont="1" applyBorder="1" applyAlignment="1">
      <alignment horizontal="center" vertical="center"/>
    </xf>
    <xf numFmtId="0" fontId="7" fillId="30" borderId="3" xfId="0" applyFont="1" applyFill="1" applyBorder="1" applyAlignment="1">
      <alignment horizontal="center" vertical="center"/>
    </xf>
    <xf numFmtId="14" fontId="7" fillId="30" borderId="3" xfId="0" applyNumberFormat="1" applyFont="1" applyFill="1" applyBorder="1" applyAlignment="1">
      <alignment horizontal="center" vertical="center"/>
    </xf>
    <xf numFmtId="0" fontId="7" fillId="31" borderId="3" xfId="0" applyFont="1" applyFill="1" applyBorder="1" applyAlignment="1">
      <alignment horizontal="center" vertical="center"/>
    </xf>
    <xf numFmtId="14" fontId="7" fillId="31" borderId="3" xfId="0" applyNumberFormat="1" applyFont="1" applyFill="1" applyBorder="1" applyAlignment="1">
      <alignment horizontal="center" vertical="center"/>
    </xf>
    <xf numFmtId="0" fontId="7" fillId="29" borderId="3" xfId="0" applyFont="1" applyFill="1" applyBorder="1" applyAlignment="1">
      <alignment horizontal="center" vertical="center"/>
    </xf>
    <xf numFmtId="14" fontId="7" fillId="29" borderId="3" xfId="0" applyNumberFormat="1" applyFont="1" applyFill="1" applyBorder="1" applyAlignment="1">
      <alignment horizontal="center" vertical="center"/>
    </xf>
    <xf numFmtId="0" fontId="7" fillId="32" borderId="3" xfId="0" applyFont="1" applyFill="1" applyBorder="1" applyAlignment="1">
      <alignment horizontal="center" vertical="center"/>
    </xf>
    <xf numFmtId="14" fontId="7" fillId="32" borderId="3" xfId="0" applyNumberFormat="1" applyFont="1" applyFill="1" applyBorder="1" applyAlignment="1">
      <alignment horizontal="center" vertical="center"/>
    </xf>
    <xf numFmtId="0" fontId="7" fillId="33" borderId="3" xfId="0" applyFont="1" applyFill="1" applyBorder="1" applyAlignment="1">
      <alignment horizontal="center" vertical="center"/>
    </xf>
    <xf numFmtId="14" fontId="7" fillId="33" borderId="3" xfId="0" applyNumberFormat="1" applyFont="1" applyFill="1" applyBorder="1" applyAlignment="1">
      <alignment horizontal="center" vertical="center"/>
    </xf>
    <xf numFmtId="0" fontId="16" fillId="2" borderId="3" xfId="1" applyFont="1" applyFill="1" applyBorder="1" applyAlignment="1">
      <alignment horizontal="center" vertical="center"/>
    </xf>
    <xf numFmtId="0" fontId="9" fillId="2" borderId="3" xfId="0" applyFont="1" applyFill="1" applyBorder="1" applyAlignment="1">
      <alignment horizontal="center" vertical="center"/>
    </xf>
    <xf numFmtId="0" fontId="16" fillId="2" borderId="3" xfId="0" applyFont="1" applyFill="1" applyBorder="1" applyAlignment="1">
      <alignment horizontal="center" vertical="center"/>
    </xf>
    <xf numFmtId="0" fontId="17" fillId="2" borderId="3" xfId="0" applyFont="1" applyFill="1" applyBorder="1" applyAlignment="1">
      <alignment horizontal="center" vertical="center"/>
    </xf>
    <xf numFmtId="14" fontId="7" fillId="21" borderId="3" xfId="0" applyNumberFormat="1" applyFont="1" applyFill="1" applyBorder="1" applyAlignment="1">
      <alignment horizontal="center" vertical="center"/>
    </xf>
    <xf numFmtId="0" fontId="9" fillId="0" borderId="3" xfId="0" applyFont="1" applyFill="1" applyBorder="1" applyAlignment="1">
      <alignment horizontal="center" vertical="center"/>
    </xf>
    <xf numFmtId="0" fontId="8" fillId="0" borderId="3" xfId="0" applyFont="1" applyBorder="1" applyAlignment="1">
      <alignment horizontal="center" vertical="center"/>
    </xf>
    <xf numFmtId="0" fontId="0" fillId="0" borderId="3" xfId="0" applyFont="1" applyBorder="1" applyAlignment="1">
      <alignment horizontal="center" vertical="center"/>
    </xf>
    <xf numFmtId="0" fontId="15" fillId="2" borderId="4"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0" fontId="8" fillId="0" borderId="5" xfId="0" applyFont="1" applyBorder="1" applyAlignment="1">
      <alignment horizont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7" fillId="36" borderId="2" xfId="0" applyFont="1" applyFill="1" applyBorder="1" applyAlignment="1">
      <alignment horizontal="center" vertical="center"/>
    </xf>
    <xf numFmtId="0" fontId="11" fillId="8" borderId="2" xfId="0" applyFont="1" applyFill="1" applyBorder="1" applyAlignment="1">
      <alignment horizontal="center" vertical="center" wrapText="1"/>
    </xf>
    <xf numFmtId="0" fontId="3" fillId="36" borderId="3" xfId="0" applyFont="1" applyFill="1" applyBorder="1" applyAlignment="1">
      <alignment horizontal="center"/>
    </xf>
    <xf numFmtId="49" fontId="3" fillId="36" borderId="3" xfId="0" applyNumberFormat="1" applyFont="1" applyFill="1" applyBorder="1" applyAlignment="1">
      <alignment horizontal="center"/>
    </xf>
    <xf numFmtId="0" fontId="3" fillId="0" borderId="1" xfId="0" applyFont="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B4A7D6"/>
      <color rgb="FFC088A4"/>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8688050" cy="15830550"/>
    <xdr:sp macro="" textlink="">
      <xdr:nvSpPr>
        <xdr:cNvPr id="3" name="Shape 3">
          <a:extLst>
            <a:ext uri="{FF2B5EF4-FFF2-40B4-BE49-F238E27FC236}">
              <a16:creationId xmlns:a16="http://schemas.microsoft.com/office/drawing/2014/main" id="{00000000-0008-0000-0100-000003000000}"/>
            </a:ext>
          </a:extLst>
        </xdr:cNvPr>
        <xdr:cNvSpPr txBox="1"/>
      </xdr:nvSpPr>
      <xdr:spPr>
        <a:xfrm>
          <a:off x="0" y="0"/>
          <a:ext cx="18688050" cy="158305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i="0" u="none" strike="noStrike">
              <a:solidFill>
                <a:schemeClr val="dk1"/>
              </a:solidFill>
              <a:latin typeface="Arial" panose="020B0604020202020204" pitchFamily="34" charset="0"/>
              <a:ea typeface="Arial"/>
              <a:cs typeface="Arial" panose="020B0604020202020204" pitchFamily="34" charset="0"/>
              <a:sym typeface="Arial"/>
            </a:rPr>
            <a:t>FAQs about The Violence Project Mass Shooter</a:t>
          </a:r>
          <a:r>
            <a:rPr lang="en-US" sz="1100" b="1" i="0" u="none" strike="noStrike" baseline="0">
              <a:solidFill>
                <a:schemeClr val="dk1"/>
              </a:solidFill>
              <a:latin typeface="Arial" panose="020B0604020202020204" pitchFamily="34" charset="0"/>
              <a:ea typeface="Arial"/>
              <a:cs typeface="Arial" panose="020B0604020202020204" pitchFamily="34" charset="0"/>
              <a:sym typeface="Arial"/>
            </a:rPr>
            <a:t> Database</a:t>
          </a:r>
        </a:p>
        <a:p>
          <a:pPr marL="0" lvl="0" indent="0" algn="l" rtl="0">
            <a:spcBef>
              <a:spcPts val="0"/>
            </a:spcBef>
            <a:spcAft>
              <a:spcPts val="0"/>
            </a:spcAft>
            <a:buClr>
              <a:schemeClr val="dk1"/>
            </a:buClr>
            <a:buSzPts val="1100"/>
            <a:buFont typeface="Arial"/>
            <a:buNone/>
          </a:pPr>
          <a:r>
            <a:rPr lang="en-US" sz="1100" b="1" i="0" u="none" strike="noStrike">
              <a:solidFill>
                <a:schemeClr val="dk1"/>
              </a:solidFill>
              <a:latin typeface="Arial" panose="020B0604020202020204" pitchFamily="34" charset="0"/>
              <a:ea typeface="Arial"/>
              <a:cs typeface="Arial" panose="020B0604020202020204" pitchFamily="34" charset="0"/>
              <a:sym typeface="Arial"/>
            </a:rPr>
            <a:t>Version 2.0. Updated July 2020</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1" i="0" u="none" strike="noStrike">
              <a:solidFill>
                <a:schemeClr val="dk1"/>
              </a:solidFill>
              <a:latin typeface="Arial" panose="020B0604020202020204" pitchFamily="34" charset="0"/>
              <a:ea typeface="Arial"/>
              <a:cs typeface="Arial" panose="020B0604020202020204" pitchFamily="34" charset="0"/>
              <a:sym typeface="Arial"/>
            </a:rPr>
            <a:t>Who can use this database?</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Anyone. Scholars, analysts, journalists, security professionals, and policymakers will find value in this work. However, it is vital that The Violence Project Mass Shooter Database is only used for the purpose of better understanding or preventing mass shootings. By downloading this document, all users (individual and organizational) agree to the following terms of use:</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Users agree not to publicly post or display the database, the codebook, or related materials.</a:t>
          </a:r>
          <a:endParaRPr sz="1100">
            <a:latin typeface="Arial" panose="020B0604020202020204" pitchFamily="34" charset="0"/>
            <a:cs typeface="Arial" panose="020B0604020202020204" pitchFamily="34" charset="0"/>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panose="020B0604020202020204" pitchFamily="34" charset="0"/>
              <a:ea typeface="Arial"/>
              <a:cs typeface="Arial" panose="020B0604020202020204" pitchFamily="34" charset="0"/>
              <a:sym typeface="Arial"/>
            </a:rPr>
            <a:t>Users agree not to sell, license, sub-license or otherwise distribute the database, codebook, or related materials.</a:t>
          </a:r>
          <a:endParaRPr sz="1100">
            <a:latin typeface="Arial" panose="020B0604020202020204" pitchFamily="34" charset="0"/>
            <a:cs typeface="Arial" panose="020B0604020202020204" pitchFamily="34" charset="0"/>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panose="020B0604020202020204" pitchFamily="34" charset="0"/>
              <a:ea typeface="Arial"/>
              <a:cs typeface="Arial" panose="020B0604020202020204" pitchFamily="34" charset="0"/>
              <a:sym typeface="Arial"/>
            </a:rPr>
            <a:t>All information must be acknowledged and cited appropriately, including any modifications users make to the database for published analyses.</a:t>
          </a:r>
          <a:endParaRPr sz="1100">
            <a:latin typeface="Arial" panose="020B0604020202020204" pitchFamily="34" charset="0"/>
            <a:cs typeface="Arial" panose="020B0604020202020204" pitchFamily="34" charset="0"/>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panose="020B0604020202020204" pitchFamily="34" charset="0"/>
              <a:ea typeface="Arial"/>
              <a:cs typeface="Arial" panose="020B0604020202020204" pitchFamily="34" charset="0"/>
              <a:sym typeface="Arial"/>
            </a:rPr>
            <a:t>Users agree not to use the data, the codebook, or related materials for commercial purposes, unless they purchase a separate commercial use license.</a:t>
          </a:r>
          <a:endParaRPr sz="1100">
            <a:latin typeface="Arial" panose="020B0604020202020204" pitchFamily="34" charset="0"/>
            <a:cs typeface="Arial" panose="020B0604020202020204" pitchFamily="34" charset="0"/>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We require all users to supply a name and email address in order to access the database. Doing so, they agree to the terms of the license.</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Please contact The Violence Project if you become aware of any users breaching the terms of use.</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1" i="0" u="none" strike="noStrike">
              <a:solidFill>
                <a:schemeClr val="dk1"/>
              </a:solidFill>
              <a:latin typeface="Arial" panose="020B0604020202020204" pitchFamily="34" charset="0"/>
              <a:ea typeface="Arial"/>
              <a:cs typeface="Arial" panose="020B0604020202020204" pitchFamily="34" charset="0"/>
              <a:sym typeface="Arial"/>
            </a:rPr>
            <a:t>How do we cite this work?</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The Violence Project Mass Shooter Database is the most comprehensive repository of information on U.S. mass shootings. If you use this database, please give credit where credit is due, for example:</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"The Violence Project Mass Shooter Database" or "The Violence Project Database of Mass Shooters"</a:t>
          </a: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panose="020B0604020202020204" pitchFamily="34" charset="0"/>
              <a:ea typeface="Arial"/>
              <a:cs typeface="Arial" panose="020B0604020202020204" pitchFamily="34" charset="0"/>
              <a:sym typeface="Arial"/>
            </a:rPr>
            <a:t>Principal Investigators: Jillian Peterson, Ph.D. (Hamline University) and James Densley, Ph.D. (Metropolitan State University)</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r>
            <a:rPr lang="en-US" sz="1100" b="0" i="1" u="none" strike="noStrike">
              <a:solidFill>
                <a:schemeClr val="dk1"/>
              </a:solidFill>
              <a:latin typeface="Arial" panose="020B0604020202020204" pitchFamily="34" charset="0"/>
              <a:ea typeface="Arial"/>
              <a:cs typeface="Arial" panose="020B0604020202020204" pitchFamily="34" charset="0"/>
              <a:sym typeface="Arial"/>
            </a:rPr>
            <a:t>Suggested APA Citation:</a:t>
          </a:r>
          <a:r>
            <a:rPr lang="en-US" sz="1100" b="0" i="0" u="none" strike="noStrike">
              <a:solidFill>
                <a:schemeClr val="dk1"/>
              </a:solidFill>
              <a:latin typeface="Arial" panose="020B0604020202020204" pitchFamily="34" charset="0"/>
              <a:ea typeface="Arial"/>
              <a:cs typeface="Arial" panose="020B0604020202020204" pitchFamily="34" charset="0"/>
              <a:sym typeface="Arial"/>
            </a:rPr>
            <a:t> Peterson, J. &amp; Densley, J. (2020). </a:t>
          </a:r>
          <a:r>
            <a:rPr lang="en-US" sz="1100" b="0" i="1" u="none" strike="noStrike">
              <a:solidFill>
                <a:schemeClr val="dk1"/>
              </a:solidFill>
              <a:latin typeface="Arial" panose="020B0604020202020204" pitchFamily="34" charset="0"/>
              <a:ea typeface="Arial"/>
              <a:cs typeface="Arial" panose="020B0604020202020204" pitchFamily="34" charset="0"/>
              <a:sym typeface="Arial"/>
            </a:rPr>
            <a:t>The Violence Project database of mass shootings in the United States, 1966–2020</a:t>
          </a:r>
          <a:r>
            <a:rPr lang="en-US" sz="1100" b="0" i="0" u="none" strike="noStrike">
              <a:solidFill>
                <a:schemeClr val="dk1"/>
              </a:solidFill>
              <a:latin typeface="Arial" panose="020B0604020202020204" pitchFamily="34" charset="0"/>
              <a:ea typeface="Arial"/>
              <a:cs typeface="Arial" panose="020B0604020202020204" pitchFamily="34" charset="0"/>
              <a:sym typeface="Arial"/>
            </a:rPr>
            <a:t>. Retrieved from https://www.theviolenceproject.org</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For electronic publications, please hyperlink back to our website, https://www.theviolenceproject.org. For students and scholars publishing with these data, please let us know so we can track impact and usage.</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1" i="0" u="none" strike="noStrike">
              <a:solidFill>
                <a:schemeClr val="dk1"/>
              </a:solidFill>
              <a:latin typeface="Arial" panose="020B0604020202020204" pitchFamily="34" charset="0"/>
              <a:ea typeface="Arial"/>
              <a:cs typeface="Arial" panose="020B0604020202020204" pitchFamily="34" charset="0"/>
              <a:sym typeface="Arial"/>
            </a:rPr>
            <a:t>How was the database funded?</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This project was supported by Award No. 2018-75-CX-0023, awarded by the National Institute of Justice, Office of Justice Programs, U.S. Department of Justice. The opinions, findings, and conclusions or recommendations expressed in this publication are those of the author(s) and do not necessarily reflect those of the Department of Justice.</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1" i="0" u="none" strike="noStrike">
              <a:solidFill>
                <a:schemeClr val="dk1"/>
              </a:solidFill>
              <a:latin typeface="Arial" panose="020B0604020202020204" pitchFamily="34" charset="0"/>
              <a:ea typeface="Arial"/>
              <a:cs typeface="Arial" panose="020B0604020202020204" pitchFamily="34" charset="0"/>
              <a:sym typeface="Arial"/>
            </a:rPr>
            <a:t>How do we define a "mass shooting"?</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The United States has not one gun violence problem, but several. Everyday gun violence claims or changes hundreds of lives each week, disproportionately young Black and Latino men. In 2017 alone, the Centers for Disease Control reported 14,542 homicides by discharge of firearms. About 106 of those deaths were attributable to mass public shootings, according to our data—the highest of any year recorded because of the Las Vegas shooting that claimed an unprecedented 58 lives. The fact that mass shootings account for fewer than 1% of all firearm homicides does not diminish their extraordinary tragedy—mass shootings cause damage far beyond that which is measured in lives lost. It merely highlights that mass shootings are focusing events. </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A mass shooting is a variant on mass murder, but the more generic term lumps together cases that vary along what researchers agree are important dimensions: time, place, and method. Someone who kills their victims in separate events is different from someone who kills them all at once. A person who kills in public is different from a person who kills in private, especially when private victims tend to be family or intimate partners; and different still from a contract killer, bank robber, or gang member who kills in the commission of another crime. And an arsonist or bomber is different from a shooter.</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There is no universally accepted definition of a mass shooting. We follow the Congressional Research Service definition, which is quite conservative: “a multiple homicide incident in which four or more victims are murdered with firearms—not including the offender(s)—within one event, and at least some of the murders occurred in a public location or locations in close geographical proximity (e.g., a workplace, school, restaurant, or other public settings), and the murders are not attributable to any other underlying criminal activity or commonplace circumstance (armed robbery, criminal competition, insurance fraud, argument, or romantic triangle).”</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We acknowledge the limits of this definition. Every mass casualty event is a tragedy and many factors influence whether a threshold of four or more people killed is reached, including the accuracy of the shooter, the type and caliber of weapon used, the number of rounds fired, proximity to the nearest hospital, and if/how many bullets hit vital organs. However, the number of deaths is the strongest predictor of media coverage, which is necessary to accurately track mass shootings.</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By focusing only on public events, we exclude domestic mass shootings (if 50% or more of victims are non-relatives killed in public then we include them). We also exclude mass shootings attributable to underlying criminal activity, and events where a firearm was not the primary means of death. A broader definition with a threshold of fewer deaths, non-fatal shootings, or any means or motive would certainly yield more cases. For examples, see The AP/USATODAY/Northeastern University Mass Killing database, the CHDS K-12 School Shooting Database, the Crime Prevention Research Center, Everytown for Gun Safety, The Gun Violence Archive, Mother Jones, Security Baron, Stanford University, Supplementary Homicide Reports (FBI), Vox, The Wall Street Journal, and The Washington Post.</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1" i="0" u="none" strike="noStrike">
              <a:solidFill>
                <a:schemeClr val="dk1"/>
              </a:solidFill>
              <a:latin typeface="Arial" panose="020B0604020202020204" pitchFamily="34" charset="0"/>
              <a:ea typeface="Arial"/>
              <a:cs typeface="Arial" panose="020B0604020202020204" pitchFamily="34" charset="0"/>
              <a:sym typeface="Arial"/>
            </a:rPr>
            <a:t>Why do the data start in 1966?</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Mass shootings in the United States have been occurring since at least 1903, when, on August 14, a war veteran deliberately fired into a crowd of people in Winfield Kansas, killing nine and wounding 25, before turning the revolver on himself. A disgruntled junior high school principal followed in May 1940, shooting six of his colleagues, killing five. Then, a career criminal, bunkered inside his boarding house in Chester, Pennsylvania, killed eight and injured many more in November 1948. Ten months later, in September 1949, an ex-military man, targeting local shopkeepers whom he believed had aggrieved him, killed 13 and severely wounded at least five others, during an infamous “walk of death” in Camden, New Jersey.</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These early crimes didn’t lack for publicity. However, in August 1966, a former Eagle Scout and Marine shot and killed 15 people from a 28th floor observation deck on the University of Texas campus in Austin. What set the Texas clocktower shooting apart was that it unfolded live over the radio and the new medium of television—reporters on the scene described the events as they happened. Our research goes back to the Texas tower shooting in 1966 for this reason—mass shootings since then have received sufficient news coverage to be able to reconstruct and study them.</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1" i="0" u="none" strike="noStrike">
              <a:solidFill>
                <a:schemeClr val="dk1"/>
              </a:solidFill>
              <a:latin typeface="Arial" panose="020B0604020202020204" pitchFamily="34" charset="0"/>
              <a:ea typeface="Arial"/>
              <a:cs typeface="Arial" panose="020B0604020202020204" pitchFamily="34" charset="0"/>
              <a:sym typeface="Arial"/>
            </a:rPr>
            <a:t>What sources did we use?</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The database was constructed using open source data. Where available and applicable, we drew on first person accounts, such as the perpetrators’ diaries, “manifestos,” suicide notes, social media and blog posts, audio and video recordings, interview transcripts, and personal correspondence. We also used secondary sources such as existing mass shooter databases, media coverage, documentary films and podcasts, biographies, monographs and academic journal articles (e.g., the works of Grant Duwe, James Allen Fox, Louis Klarevas, Peter Langman, and Adam Lankford were especially helpful), court transcripts, federal, state, and local law enforcement records, medical records, school records, and autopsy reports. Anything that could be requested or found on the internet was included. The community database only goes back to 1995 and draws on U.S. Census data for the closest census year, FBI Uniform Crime Reports, Google Maps, and other macro-level data sources. Variables in the "source links" database are hyperlinked to online sources for verification. If a cell is blank, it means that no reliable information could be identified. Unlinked zeros are assumed "nos".</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We have taken every step possible to find and verify sources and to rigorously fact-check the data, but the end result is not perfect. Data privacy laws (rightly) limit full access to official records. The source data were originally gathered for purposes different from our own. Media outlets have their own agendas and biases. Some cases are well reported on, others not so much, resulting in missing data. We also know more about the recent cases, which reflects better reporting over time and more advocacy and awareness around of the topic of mass shootings. For these reasons, users should interpret trends over time with caution.</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1" i="0" u="none" strike="noStrike">
              <a:solidFill>
                <a:schemeClr val="dk1"/>
              </a:solidFill>
              <a:latin typeface="Arial" panose="020B0604020202020204" pitchFamily="34" charset="0"/>
              <a:ea typeface="Arial"/>
              <a:cs typeface="Arial" panose="020B0604020202020204" pitchFamily="34" charset="0"/>
              <a:sym typeface="Arial"/>
            </a:rPr>
            <a:t>How did we code the variables?</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Work began in September 2017. On October 1, a gunman on the 32nd floor of the Mandalay Bay resort in Las Vegas opened fire on a crowd of people at a country music festival, killing 58 and injuring hundreds. It was the deadliest mass shooting in history. After that event, our undergraduate students began volunteering to work on the database — for no pay and for no credit, motivated solely by the need to do something, anything. Over the next two years, they helped us code every mass shooter on over 100 different pieces of life history information. </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panose="020B0604020202020204" pitchFamily="34" charset="0"/>
              <a:ea typeface="Arial"/>
              <a:cs typeface="Arial" panose="020B0604020202020204" pitchFamily="34" charset="0"/>
              <a:sym typeface="Arial"/>
            </a:rPr>
            <a:t>Any coding is a subjective and interpretive process. Informed by existing datasets, the research literature, and frequently asked questions about mass shooters, the Principal Investigators generated a list of variables to be coded and created a codebook to define and detail how to code them. The codebook was then piloted on a small random sample of test cases and refined based on user-experience.</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endParaRPr lang="en-US" sz="1100" b="0" i="0" u="none" strike="noStrike">
            <a:solidFill>
              <a:schemeClr val="dk1"/>
            </a:solidFill>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panose="020B0604020202020204" pitchFamily="34" charset="0"/>
              <a:ea typeface="Arial"/>
              <a:cs typeface="Arial" panose="020B0604020202020204" pitchFamily="34" charset="0"/>
              <a:sym typeface="Arial"/>
            </a:rPr>
            <a:t>Once the codebook was finalized and coders were trained in its use, the database was populated as follows:</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panose="020B0604020202020204" pitchFamily="34" charset="0"/>
              <a:ea typeface="Arial"/>
              <a:cs typeface="Arial" panose="020B0604020202020204" pitchFamily="34" charset="0"/>
              <a:sym typeface="Arial"/>
            </a:rPr>
            <a:t>1. Each mass shooter meeting the inclusion criteria (see definition above) was investigated twice by two separate coders, working independently from each other. </a:t>
          </a:r>
          <a:endParaRPr sz="1100">
            <a:latin typeface="Arial" panose="020B0604020202020204" pitchFamily="34" charset="0"/>
            <a:cs typeface="Arial" panose="020B0604020202020204" pitchFamily="34" charset="0"/>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panose="020B0604020202020204" pitchFamily="34" charset="0"/>
              <a:ea typeface="Arial"/>
              <a:cs typeface="Arial" panose="020B0604020202020204" pitchFamily="34" charset="0"/>
              <a:sym typeface="Arial"/>
            </a:rPr>
            <a:t>2. The two resulting datasets were then merged and compared.</a:t>
          </a:r>
          <a:endParaRPr sz="1100">
            <a:latin typeface="Arial" panose="020B0604020202020204" pitchFamily="34" charset="0"/>
            <a:cs typeface="Arial" panose="020B0604020202020204" pitchFamily="34" charset="0"/>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panose="020B0604020202020204" pitchFamily="34" charset="0"/>
              <a:ea typeface="Arial"/>
              <a:cs typeface="Arial" panose="020B0604020202020204" pitchFamily="34" charset="0"/>
              <a:sym typeface="Arial"/>
            </a:rPr>
            <a:t>3. Any discrepancies were flagged and reconciled by consensus of the Principal Investigators, who did their own fact-checking and weighed the quality and quantity of the evidence, typically giving precedence to primary source material.</a:t>
          </a:r>
          <a:endParaRPr sz="1100">
            <a:latin typeface="Arial" panose="020B0604020202020204" pitchFamily="34" charset="0"/>
            <a:cs typeface="Arial" panose="020B0604020202020204" pitchFamily="34" charset="0"/>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panose="020B0604020202020204" pitchFamily="34" charset="0"/>
              <a:ea typeface="Arial"/>
              <a:cs typeface="Arial" panose="020B0604020202020204" pitchFamily="34" charset="0"/>
              <a:sym typeface="Arial"/>
            </a:rPr>
            <a:t>4. The database was then divided up among the original coders and independently checked again.  </a:t>
          </a:r>
          <a:endParaRPr sz="1100">
            <a:latin typeface="Arial" panose="020B0604020202020204" pitchFamily="34" charset="0"/>
            <a:cs typeface="Arial" panose="020B0604020202020204" pitchFamily="34" charset="0"/>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panose="020B0604020202020204" pitchFamily="34" charset="0"/>
              <a:ea typeface="Arial"/>
              <a:cs typeface="Arial" panose="020B0604020202020204" pitchFamily="34" charset="0"/>
              <a:sym typeface="Arial"/>
            </a:rPr>
            <a:t>5. Finally, the Database Manager conducted a full and final check, scrutinizing each and every cell.</a:t>
          </a:r>
          <a:endParaRPr sz="1100">
            <a:latin typeface="Arial" panose="020B0604020202020204" pitchFamily="34" charset="0"/>
            <a:cs typeface="Arial" panose="020B0604020202020204" pitchFamily="34" charset="0"/>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panose="020B0604020202020204" pitchFamily="34" charset="0"/>
              <a:ea typeface="Arial"/>
              <a:cs typeface="Arial" panose="020B0604020202020204" pitchFamily="34" charset="0"/>
              <a:sym typeface="Arial"/>
            </a:rPr>
            <a:t>6. The Principal Investigators answered any queries resulting from the final check before approving publication. Responsibility for the contents of the database thus lies solely with the Principal Investigators. </a:t>
          </a:r>
          <a:endParaRPr sz="1100">
            <a:latin typeface="Arial" panose="020B0604020202020204" pitchFamily="34" charset="0"/>
            <a:cs typeface="Arial" panose="020B0604020202020204" pitchFamily="34" charset="0"/>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This is purposive sample and we present no comparison group. Comparisons are important. For example, 98% of mass shooters are men, but then 90% of all homicide offenders are men. The majority of mass shooters are white, but the racial composition of the sample is comparable to the demographics of the U.S. population overall. </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Many of the factors correlated with mass shootings in the database are true of millions of people who never commit mass shootings. People may own guns, have traumatizing childhoods full of violence, reach a crisis point and want to die, think they’ve been victimized, even study other mass shooters, and still not commit a mass shooting. Personality and individual differences cannot be discounted. </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a:solidFill>
                <a:schemeClr val="dk1"/>
              </a:solidFill>
              <a:latin typeface="Arial" panose="020B0604020202020204" pitchFamily="34" charset="0"/>
              <a:ea typeface="Arial"/>
              <a:cs typeface="Arial" panose="020B0604020202020204" pitchFamily="34" charset="0"/>
              <a:sym typeface="Arial"/>
            </a:rPr>
            <a:t>There is a low base rate of mass shooters and </a:t>
          </a:r>
          <a:r>
            <a:rPr lang="en-US" sz="1100" b="0" i="0" u="none" strike="noStrike">
              <a:solidFill>
                <a:schemeClr val="dk1"/>
              </a:solidFill>
              <a:latin typeface="Arial" panose="020B0604020202020204" pitchFamily="34" charset="0"/>
              <a:ea typeface="Arial"/>
              <a:cs typeface="Arial" panose="020B0604020202020204" pitchFamily="34" charset="0"/>
              <a:sym typeface="Arial"/>
            </a:rPr>
            <a:t>mass shootings are extreme and rare events—discrete occurrences of infrequently observed phenomena. For this reason, we caution against using the data for predictive modeling and/or cherry-picking one variable at a time to tell a particular story. For example, we see relatively high rates of mental illness among mass shooters—and rates of thought disorder that are considerably higher than those found in the general population. But this doesn’t mean mass shootings are exclusively a mental illness problem—the vast majority of people with mental disorders are never violent, and are more likely to be victims of violence than offenders. Classifications in the database are based on the available evidence, which sometimes includes demonstrated signs of undiagnosed mental illness and mental health evaluations conducted either before or after the perpetrators committed their attacks.</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1" i="0" u="none" strike="noStrike">
              <a:solidFill>
                <a:schemeClr val="dk1"/>
              </a:solidFill>
              <a:latin typeface="Arial" panose="020B0604020202020204" pitchFamily="34" charset="0"/>
              <a:ea typeface="Arial"/>
              <a:cs typeface="Arial" panose="020B0604020202020204" pitchFamily="34" charset="0"/>
              <a:sym typeface="Arial"/>
            </a:rPr>
            <a:t>Will we update the database?</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panose="020B0604020202020204" pitchFamily="34" charset="0"/>
              <a:ea typeface="Arial"/>
              <a:cs typeface="Arial" panose="020B0604020202020204" pitchFamily="34" charset="0"/>
              <a:sym typeface="Arial"/>
            </a:rPr>
          </a:br>
          <a:r>
            <a:rPr lang="en-US" sz="1100" b="0" i="0" u="none" strike="noStrike">
              <a:solidFill>
                <a:schemeClr val="dk1"/>
              </a:solidFill>
              <a:latin typeface="Arial" panose="020B0604020202020204" pitchFamily="34" charset="0"/>
              <a:ea typeface="Arial"/>
              <a:cs typeface="Arial" panose="020B0604020202020204" pitchFamily="34" charset="0"/>
              <a:sym typeface="Arial"/>
            </a:rPr>
            <a:t>Yes. If you spot a mistake, please tell us so we can correct it. The data are current up to July 20, 2020. The database will be continually updated and modified as new sources of information become available. Any new perpetrators will be added once per year. </a:t>
          </a:r>
          <a:endParaRPr sz="1100" b="0">
            <a:latin typeface="Arial" panose="020B0604020202020204" pitchFamily="34" charset="0"/>
            <a:ea typeface="Arial"/>
            <a:cs typeface="Arial" panose="020B0604020202020204" pitchFamily="34" charset="0"/>
            <a:sym typeface="Arial"/>
          </a:endParaRPr>
        </a:p>
        <a:p>
          <a:pPr marL="0" lvl="0" indent="0" algn="l" rtl="0">
            <a:spcBef>
              <a:spcPts val="0"/>
            </a:spcBef>
            <a:spcAft>
              <a:spcPts val="0"/>
            </a:spcAft>
            <a:buClr>
              <a:schemeClr val="dk1"/>
            </a:buClr>
            <a:buSzPts val="1100"/>
            <a:buFont typeface="Arial"/>
            <a:buNone/>
          </a:pPr>
          <a:br>
            <a:rPr lang="en-US" sz="1100">
              <a:solidFill>
                <a:schemeClr val="dk1"/>
              </a:solidFill>
              <a:latin typeface="Arial" panose="020B0604020202020204" pitchFamily="34" charset="0"/>
              <a:ea typeface="Arial"/>
              <a:cs typeface="Arial" panose="020B0604020202020204" pitchFamily="34" charset="0"/>
              <a:sym typeface="Arial"/>
            </a:rPr>
          </a:br>
          <a:endParaRPr sz="1100">
            <a:latin typeface="Arial" panose="020B0604020202020204" pitchFamily="34" charset="0"/>
            <a:ea typeface="Arial"/>
            <a:cs typeface="Arial" panose="020B0604020202020204" pitchFamily="34" charset="0"/>
            <a:sym typeface="Arial"/>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827" Type="http://schemas.openxmlformats.org/officeDocument/2006/relationships/hyperlink" Target="https://www.nbcnews.com/news/us-news/gunman-california-shooting-spree-needed-mental-help-sister-says-n821216" TargetMode="External"/><Relationship Id="rId170" Type="http://schemas.openxmlformats.org/officeDocument/2006/relationships/hyperlink" Target="https://news.google.com/newspapers?id=xtNWAAAAIBAJ&amp;sjid=O_kDAAAAIBAJ&amp;pg=5283%2C2408948" TargetMode="External"/><Relationship Id="rId987" Type="http://schemas.openxmlformats.org/officeDocument/2006/relationships/hyperlink" Target="https://www.dallasnews.com/news/news/2012/09/20/texas-executes-man-who-murdered-5-at-irving-car-wash-12-years-ago" TargetMode="External"/><Relationship Id="rId2668" Type="http://schemas.openxmlformats.org/officeDocument/2006/relationships/hyperlink" Target="https://lancasteronline.com/news/a-killer-s-life-an-in-depth-look-at-nickel/article_d302e19f-a0df-5c4f-8fe7-2fa6b31a0dbf.html" TargetMode="External"/><Relationship Id="rId847" Type="http://schemas.openxmlformats.org/officeDocument/2006/relationships/hyperlink" Target="https://www.pbs.org/wgbh/frontline/article/fourteen-years-later-looking-back-at-a-school-shooting/" TargetMode="External"/><Relationship Id="rId1477" Type="http://schemas.openxmlformats.org/officeDocument/2006/relationships/hyperlink" Target="https://www.nbclosangeles.com/news/local/seal-beach-shooting-suspect-suffered-from-pstd/1910334/" TargetMode="External"/><Relationship Id="rId1684" Type="http://schemas.openxmlformats.org/officeDocument/2006/relationships/hyperlink" Target="https://www.theeagle.com/news/crime/ex-wife-testifies-about-abuse-in-punishment-phase-of-hudson-capital-murder-trial/article_1ec79c32-c4b6-11e7-8e5d-cb2285514a7a.html" TargetMode="External"/><Relationship Id="rId1891" Type="http://schemas.openxmlformats.org/officeDocument/2006/relationships/hyperlink" Target="https://www.nytimes.com/2018/04/23/us/waffle-house-shooting-nashville.html" TargetMode="External"/><Relationship Id="rId2528" Type="http://schemas.openxmlformats.org/officeDocument/2006/relationships/hyperlink" Target="https://www.newyorker.com/magazine/2014/03/17/the-reckoning" TargetMode="External"/><Relationship Id="rId2735" Type="http://schemas.openxmlformats.org/officeDocument/2006/relationships/hyperlink" Target="https://www.wtae.com/article/two-men-charged-with-homicide-in-connection-with-wilkinsburg-backyard-ambush/7480821" TargetMode="External"/><Relationship Id="rId707" Type="http://schemas.openxmlformats.org/officeDocument/2006/relationships/hyperlink" Target="http://www.nytimes.com/1995/04/04/us/6-die-in-texas-office-shooting.html" TargetMode="External"/><Relationship Id="rId914" Type="http://schemas.openxmlformats.org/officeDocument/2006/relationships/hyperlink" Target="https://lasvegassun.com/news/1999/jun/04/floyd-described-as-sweet-guy-with-violent-streak/" TargetMode="External"/><Relationship Id="rId1337" Type="http://schemas.openxmlformats.org/officeDocument/2006/relationships/hyperlink" Target="http://www.nytimes.com/2008/09/04/us/04spree.html" TargetMode="External"/><Relationship Id="rId1544" Type="http://schemas.openxmlformats.org/officeDocument/2006/relationships/hyperlink" Target="https://www.mprnews.org/story/2012/10/16/engeldinger_1" TargetMode="External"/><Relationship Id="rId1751" Type="http://schemas.openxmlformats.org/officeDocument/2006/relationships/hyperlink" Target="https://www.king5.com/article/news/local/ex-girlfriend-describes-macys-shooting-suspects-rage-and-abuse/281-353593808" TargetMode="External"/><Relationship Id="rId43" Type="http://schemas.openxmlformats.org/officeDocument/2006/relationships/hyperlink" Target="https://www.newspapers.com/clip/13890105/leo_held_dies_his_motives_remain/" TargetMode="External"/><Relationship Id="rId1404" Type="http://schemas.openxmlformats.org/officeDocument/2006/relationships/hyperlink" Target="https://www.pulitzer.org/winners/staff-71" TargetMode="External"/><Relationship Id="rId1611" Type="http://schemas.openxmlformats.org/officeDocument/2006/relationships/hyperlink" Target="https://www.usatoday.com/story/news/nation/2013/09/16/aaron-alexis-navy-yard-shooter/2822731/" TargetMode="External"/><Relationship Id="rId497" Type="http://schemas.openxmlformats.org/officeDocument/2006/relationships/hyperlink" Target="http://articles.latimes.com/1990-06-19/news/mn-52_1_office-workers" TargetMode="External"/><Relationship Id="rId2178" Type="http://schemas.openxmlformats.org/officeDocument/2006/relationships/hyperlink" Target="https://www.foxnews.com/story/six-dead-in-calif-post-office-shooting" TargetMode="External"/><Relationship Id="rId2385"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357" Type="http://schemas.openxmlformats.org/officeDocument/2006/relationships/hyperlink" Target="http://articles.latimes.com/1994-07-17/local/me-16553_1_san-ysidro" TargetMode="External"/><Relationship Id="rId1194" Type="http://schemas.openxmlformats.org/officeDocument/2006/relationships/hyperlink" Target="https://www.myplainview.com/news/article/Gunman-kills-self-after-shooting-four-at-rural-8725414.php" TargetMode="External"/><Relationship Id="rId2038" Type="http://schemas.openxmlformats.org/officeDocument/2006/relationships/hyperlink" Target="https://www.upi.com/Archives/1983/10/12/Multiple-charges-filed-in-murder-kidnapping-spree/9012434779200/" TargetMode="External"/><Relationship Id="rId2592" Type="http://schemas.openxmlformats.org/officeDocument/2006/relationships/hyperlink" Target="https://www.seattletimes.com/seattle-news/gunman-a-life-full-of-rage-a-shocking-final-act/" TargetMode="External"/><Relationship Id="rId217" Type="http://schemas.openxmlformats.org/officeDocument/2006/relationships/hyperlink" Target="https://www.upi.com/Archives/1981/10/16/A-gunman-burst-into-an-auto-parts-store-Friday/9402372052800/" TargetMode="External"/><Relationship Id="rId564" Type="http://schemas.openxmlformats.org/officeDocument/2006/relationships/hyperlink" Target="http://www.nytimes.com/1991/11/15/us/ex-postal-worker-kills-3-and-wounds-6-in-michigan.html" TargetMode="External"/><Relationship Id="rId771" Type="http://schemas.openxmlformats.org/officeDocument/2006/relationships/hyperlink" Target="https://www.wmur.com/article/north-country-town-prepares-to-mark-20-years-since-drega-shootings/12027308" TargetMode="External"/><Relationship Id="rId2245" Type="http://schemas.openxmlformats.org/officeDocument/2006/relationships/hyperlink" Target="https://www.seattletimes.com/seattle-news/witnesses-among-5-dead-in-federal-way/" TargetMode="External"/><Relationship Id="rId2452" Type="http://schemas.openxmlformats.org/officeDocument/2006/relationships/hyperlink" Target="https://www.mtairynews.com/archive/18387/view-full_story-12350459-article-murderer_gets_three_life_terms" TargetMode="External"/><Relationship Id="rId424"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631" Type="http://schemas.openxmlformats.org/officeDocument/2006/relationships/hyperlink" Target="http://www.nytimes.com/1993/07/03/us/the-broker-who-killed-8-gunman-s-motives-a-puzzle.html" TargetMode="External"/><Relationship Id="rId1054" Type="http://schemas.openxmlformats.org/officeDocument/2006/relationships/hyperlink" Target="https://www.sfgate.com/news/article/Sacramento-rampage-5-shot-dead-Slayer-kills-2881164.php" TargetMode="External"/><Relationship Id="rId1261" Type="http://schemas.openxmlformats.org/officeDocument/2006/relationships/hyperlink" Target="https://www.denverpost.com/2008/03/27/arvada-shooting-report-offers-new-insights-into-killer/" TargetMode="External"/><Relationship Id="rId2105" Type="http://schemas.openxmlformats.org/officeDocument/2006/relationships/hyperlink" Target="https://www.washingtonpost.com/archive/politics/1996/02/10/fired-worker-shoots-5-dead-kills-himself/fe3750b6-0748-4f95-a3b6-bb8948705e80/?noredirect=on&amp;utm_term=.cb3ee21d275f" TargetMode="External"/><Relationship Id="rId2312" Type="http://schemas.openxmlformats.org/officeDocument/2006/relationships/hyperlink" Target="https://www.nytimes.com/2019/06/02/us/virginia-beach-dewayne-craddock.html?module=inline" TargetMode="External"/><Relationship Id="rId1121" Type="http://schemas.openxmlformats.org/officeDocument/2006/relationships/hyperlink" Target="https://www.chicagotribune.com/news/watchdog/chi-0509070252sep07-story.html" TargetMode="External"/><Relationship Id="rId1938" Type="http://schemas.openxmlformats.org/officeDocument/2006/relationships/hyperlink" Target="https://www.chicagotribune.com/news/breaking/ct-met-gary-martin-aurora-shooter-20190216-story.html" TargetMode="External"/><Relationship Id="rId281" Type="http://schemas.openxmlformats.org/officeDocument/2006/relationships/hyperlink" Target="https://www.nytimes.com/1983/03/03/us/6-killed-in-alaska-in-shooting-spree.html" TargetMode="External"/><Relationship Id="rId141" Type="http://schemas.openxmlformats.org/officeDocument/2006/relationships/hyperlink" Target="https://books.google.com/books?id=sdd3ihupC_AC&amp;pg=PA102&amp;lpg=PA102&amp;dq=dewitt+henry+Oregon&amp;source=bl&amp;ots=z5RZDR5AY0&amp;sig=fkhOTQ4bBGZ_KfVqm4tp6TfvhBU&amp;hl=en&amp;sa=X&amp;ved=0ahUKEwj05J7qyZvZAhVKIqwKHRZADU44ChDoAQhZMA8" TargetMode="External"/><Relationship Id="rId7" Type="http://schemas.openxmlformats.org/officeDocument/2006/relationships/hyperlink" Target="https://www.npr.org/sections/health-shots/2016/07/29/487767127/gun-violence-and-mental-health-laws-50-years-after-texas-tower-sniper" TargetMode="External"/><Relationship Id="rId958" Type="http://schemas.openxmlformats.org/officeDocument/2006/relationships/hyperlink" Target="http://www.washingtonpost.com/wp-srv/national/daily/sept99/texas16.htm" TargetMode="External"/><Relationship Id="rId1588" Type="http://schemas.openxmlformats.org/officeDocument/2006/relationships/hyperlink" Target="https://www.businessinsider.com/santa-monica-college-shooting-rampage-dead-obama-fundraiser-2013-6" TargetMode="External"/><Relationship Id="rId1795" Type="http://schemas.openxmlformats.org/officeDocument/2006/relationships/hyperlink" Target="https://www.aljazeera.com/news/2017/11/texas-church-shooting-devin-patrick-kelley-171106181800494.html" TargetMode="External"/><Relationship Id="rId2639" Type="http://schemas.openxmlformats.org/officeDocument/2006/relationships/hyperlink" Target="https://www.pulitzer.org/winners/staff-71" TargetMode="External"/><Relationship Id="rId87" Type="http://schemas.openxmlformats.org/officeDocument/2006/relationships/hyperlink" Target="https://www.nytimes.com/1970/09/24/archives/state-employe-kills-4-coworkers-and-himself-in-albany-office.html" TargetMode="External"/><Relationship Id="rId818" Type="http://schemas.openxmlformats.org/officeDocument/2006/relationships/hyperlink" Target="https://www.nytimes.com/1998/03/08/nyregion/in-a-province-of-winners-worker-who-lost-out-takes-revenge.html" TargetMode="External"/><Relationship Id="rId1448" Type="http://schemas.openxmlformats.org/officeDocument/2006/relationships/hyperlink" Target="https://www.wkyt.com/home/headlines/102783529.html" TargetMode="External"/><Relationship Id="rId1655" Type="http://schemas.openxmlformats.org/officeDocument/2006/relationships/hyperlink" Target="https://www.washingtonpost.com/politics/chattanooga-shooter-an-aimless-young-man-who-smoked-dope-and-shot-guns/2015/07/18/c213f6a6-2d7d-11e5-a5ea-cf74396e59ec_story.html?utm_term=.045ed5c9dce6" TargetMode="External"/><Relationship Id="rId2706" Type="http://schemas.openxmlformats.org/officeDocument/2006/relationships/hyperlink" Target="https://www.washingtonpost.com/news/acts-of-faith/wp/2015/10/02/school-shooters-targeting-christians-is-not-a-new-claim/" TargetMode="External"/><Relationship Id="rId1308" Type="http://schemas.openxmlformats.org/officeDocument/2006/relationships/hyperlink" Target="https://web.archive.org/web/20161018033626/https:/mustangnews.net/policedoubtlinkbetweensantamariakillingssanluisobispomurder/" TargetMode="External"/><Relationship Id="rId1862" Type="http://schemas.openxmlformats.org/officeDocument/2006/relationships/hyperlink" Target="https://www.cnn.com/2018/02/14/us/nikolas-cruz-florida-shooting-suspect/index.html" TargetMode="External"/><Relationship Id="rId1515" Type="http://schemas.openxmlformats.org/officeDocument/2006/relationships/hyperlink" Target="http://www.latimes.com/nation/la-na-james-holmes-parents-20150504-story.html" TargetMode="External"/><Relationship Id="rId1722" Type="http://schemas.openxmlformats.org/officeDocument/2006/relationships/hyperlink" Target="https://www.cnn.com/2016/07/08/us/philando-castile-alton-sterling-protests/index.html" TargetMode="External"/><Relationship Id="rId14" Type="http://schemas.openxmlformats.org/officeDocument/2006/relationships/hyperlink" Target="https://archive.nytimes.com/www.nytimes.com/library/national/080366tx-shoot.html" TargetMode="External"/><Relationship Id="rId2289" Type="http://schemas.openxmlformats.org/officeDocument/2006/relationships/hyperlink" Target="https://www.sacbee.com/news/local/crime/article184754473.html" TargetMode="External"/><Relationship Id="rId2496" Type="http://schemas.openxmlformats.org/officeDocument/2006/relationships/hyperlink" Target="https://www.wired.com/1994/06/rage/" TargetMode="External"/><Relationship Id="rId468" Type="http://schemas.openxmlformats.org/officeDocument/2006/relationships/hyperlink" Target="https://books.google.com/books?id=aaLTDwAAQBAJ&amp;pg=PA538&amp;lpg=PA538&amp;dq=patrick+purdy+hit+his+mother&amp;source=bl&amp;ots=aruea2Bwq5&amp;sig=ACfU3U1mXAuXFIvioUnEboXXLDFw0bmrNQ&amp;hl=en&amp;sa=X&amp;ved=2ahUKEwi6s4fVgL7pAhWGWM0KHdXqAUAQ6AEwBHoECAoQAQ" TargetMode="External"/><Relationship Id="rId675" Type="http://schemas.openxmlformats.org/officeDocument/2006/relationships/hyperlink" Target="https://www.wired.com/1994/06/rage/" TargetMode="External"/><Relationship Id="rId882" Type="http://schemas.openxmlformats.org/officeDocument/2006/relationships/hyperlink" Target="https://www.cnn.com/2013/09/18/us/columbine-high-school-shootings-fast-facts/index.html" TargetMode="External"/><Relationship Id="rId1098" Type="http://schemas.openxmlformats.org/officeDocument/2006/relationships/hyperlink" Target="https://www.nytimes.com/2003/08/28/us/man-fired-by-warehouse-kills-6-of-its-9-employees.html" TargetMode="External"/><Relationship Id="rId2149" Type="http://schemas.openxmlformats.org/officeDocument/2006/relationships/hyperlink" Target="https://www.holmesreport.com/latest/article/navistar-respons-to-workplace-shooting" TargetMode="External"/><Relationship Id="rId2356" Type="http://schemas.openxmlformats.org/officeDocument/2006/relationships/hyperlink" Target="https://www.seattlepi.com/seattlenews/article/Isaac-Zamora-10781621.php" TargetMode="External"/><Relationship Id="rId2563" Type="http://schemas.openxmlformats.org/officeDocument/2006/relationships/hyperlink" Target="https://www.latimes.com/archives/la-xpm-1993-07-03-mn-10731-story.html" TargetMode="External"/><Relationship Id="rId328"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535" Type="http://schemas.openxmlformats.org/officeDocument/2006/relationships/hyperlink" Target="http://articles.latimes.com/1991-10-21/news/mn-177_1_lake-mead-in-june" TargetMode="External"/><Relationship Id="rId742" Type="http://schemas.openxmlformats.org/officeDocument/2006/relationships/hyperlink" Target="https://www.nytimes.com/1995/12/21/nyregion/bronx-gunman-was-under-treatment-for-schizophrenia.html" TargetMode="External"/><Relationship Id="rId1165" Type="http://schemas.openxmlformats.org/officeDocument/2006/relationships/hyperlink" Target="https://www.starnewsonline.com/news/20050803/officials-end-investigation-of-deadly-church-shooting" TargetMode="External"/><Relationship Id="rId1372" Type="http://schemas.openxmlformats.org/officeDocument/2006/relationships/hyperlink" Target="https://www.nytimes.com/2009/04/12/nyregion/12binghamton.html" TargetMode="External"/><Relationship Id="rId2009" Type="http://schemas.openxmlformats.org/officeDocument/2006/relationships/hyperlink" Target="http://www.crimemagazine.com/sniper-mark-essex" TargetMode="External"/><Relationship Id="rId2216" Type="http://schemas.openxmlformats.org/officeDocument/2006/relationships/hyperlink" Target="https://www.sun-sentinel.com/news/fl-xpm-2010-06-13-sfl-hialeah-massacre-romance-06132010-story.html" TargetMode="External"/><Relationship Id="rId2423" Type="http://schemas.openxmlformats.org/officeDocument/2006/relationships/hyperlink" Target="https://www.concordmonitor.com/Somber-memories-20-years-after-small-town-shootings-11846765" TargetMode="External"/><Relationship Id="rId2630" Type="http://schemas.openxmlformats.org/officeDocument/2006/relationships/hyperlink" Target="https://www.denverpost.com/2008/03/27/report-reveals-clues-to-killers-mind/" TargetMode="External"/><Relationship Id="rId602" Type="http://schemas.openxmlformats.org/officeDocument/2006/relationships/hyperlink" Target="http://www.nytimes.com/1992/10/16/nyregion/gunman-kills-4-who-collected-child-payments.html" TargetMode="External"/><Relationship Id="rId1025" Type="http://schemas.openxmlformats.org/officeDocument/2006/relationships/hyperlink" Target="https://www.deseretnews.com/article/817652/Massacre-suspect-suffered-a-breakdown-in-80s.html" TargetMode="External"/><Relationship Id="rId1232" Type="http://schemas.openxmlformats.org/officeDocument/2006/relationships/hyperlink" Target="http://www.nytimes.com/2006/03/30/us/seattles-shattered-rave-family-seeks-answers-to-killings.html" TargetMode="External"/><Relationship Id="rId185" Type="http://schemas.openxmlformats.org/officeDocument/2006/relationships/hyperlink" Target="https://www.leagle.com/decision/1985350349pasuper11350" TargetMode="External"/><Relationship Id="rId1909" Type="http://schemas.openxmlformats.org/officeDocument/2006/relationships/hyperlink" Target="https://www.newyorker.com/news/news-desk/this-is-a-dream-i-cant-wake-up-from" TargetMode="External"/><Relationship Id="rId392" Type="http://schemas.openxmlformats.org/officeDocument/2006/relationships/hyperlink" Target="https://www.nbcphiladelphia.com/news/local/Memories-of-1985-Pa-Factory-Slayings-Revived-224724192.html" TargetMode="External"/><Relationship Id="rId2073" Type="http://schemas.openxmlformats.org/officeDocument/2006/relationships/hyperlink" Target="https://www.apnews.com/2ef3eeb1eb4f91024720120a176329c8" TargetMode="External"/><Relationship Id="rId2280" Type="http://schemas.openxmlformats.org/officeDocument/2006/relationships/hyperlink" Target="https://www.miamiherald.com/news/local/article211654694.html" TargetMode="External"/><Relationship Id="rId252"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2140" Type="http://schemas.openxmlformats.org/officeDocument/2006/relationships/hyperlink" Target="https://www.dallasnews.com/news/news/2012/09/20/texas-executes-man-who-murdered-5-at-irving-car-wash-12-years-ago" TargetMode="External"/><Relationship Id="rId112" Type="http://schemas.openxmlformats.org/officeDocument/2006/relationships/hyperlink" Target="https://news.google.com/newspapers?id=CJRPAAAAIBAJ&amp;sjid=RVIDAAAAIBAJ&amp;pg=3521,4360795&amp;hl=en" TargetMode="External"/><Relationship Id="rId1699" Type="http://schemas.openxmlformats.org/officeDocument/2006/relationships/hyperlink" Target="https://www.washingtonpost.com/world/national-security/2015/12/03/a0c7861e-99ef-11e5-b499-76cbec161973_story.html?utm_term=.4a077214221c" TargetMode="External"/><Relationship Id="rId2000" Type="http://schemas.openxmlformats.org/officeDocument/2006/relationships/hyperlink" Target="https://newspaperarchive.com/hillsdale-daily-news-apr-07-1969-p-1/" TargetMode="External"/><Relationship Id="rId929" Type="http://schemas.openxmlformats.org/officeDocument/2006/relationships/hyperlink" Target="https://books.google.com/books?id=b54xcYkbSlcC&amp;lpg=PA67&amp;ots=mlvGRSb_k6&amp;dq=mark%20barton%20biography&amp;pg=PA67" TargetMode="External"/><Relationship Id="rId1559" Type="http://schemas.openxmlformats.org/officeDocument/2006/relationships/hyperlink" Target="https://www.courant.com/news/connecticut/hc-newtown-adam-lanza-child-advocate-report-20141121-story.html" TargetMode="External"/><Relationship Id="rId1766" Type="http://schemas.openxmlformats.org/officeDocument/2006/relationships/hyperlink" Target="http://www.miamiherald.com/news/nation-world/article126025249.html" TargetMode="External"/><Relationship Id="rId1973"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58" Type="http://schemas.openxmlformats.org/officeDocument/2006/relationships/hyperlink" Target="http://www.lockhaven.com/news/community/2017/10/the-fury-of-leo-held/" TargetMode="External"/><Relationship Id="rId1419" Type="http://schemas.openxmlformats.org/officeDocument/2006/relationships/hyperlink" Target="https://www.latimes.com/local/lanow/la-me-ln-valley-village-sentencing-20161220-story.html" TargetMode="External"/><Relationship Id="rId1626" Type="http://schemas.openxmlformats.org/officeDocument/2006/relationships/hyperlink" Target="http://www.cnn.com/2014/10/24/us/washington-school-shooter/index.html" TargetMode="External"/><Relationship Id="rId1833" Type="http://schemas.openxmlformats.org/officeDocument/2006/relationships/hyperlink" Target="https://www.cbsnews.com/news/california-shooting-kevin-janson-neal-mom-call-rampage/" TargetMode="External"/><Relationship Id="rId1900" Type="http://schemas.openxmlformats.org/officeDocument/2006/relationships/hyperlink" Target="https://www.npr.org/sections/thetwo-way/2018/05/19/612468377/what-we-know-about-dimitrios-pagourtzis-the-alleged-texas-high-school-shooter" TargetMode="External"/><Relationship Id="rId579" Type="http://schemas.openxmlformats.org/officeDocument/2006/relationships/hyperlink" Target="https://www.kcra.com/article/25-years-later-survivors-of-norcal-school-shooting-remember-tragedy/9589885" TargetMode="External"/><Relationship Id="rId786" Type="http://schemas.openxmlformats.org/officeDocument/2006/relationships/hyperlink" Target="http://www.clarkprosecutor.org/html/death/US/wise992.htm" TargetMode="External"/><Relationship Id="rId993" Type="http://schemas.openxmlformats.org/officeDocument/2006/relationships/hyperlink" Target="https://www.nytimes.com/2000/04/30/us/shootings-leave-pittsburgh-suburbs-stunned.html" TargetMode="External"/><Relationship Id="rId2467" Type="http://schemas.openxmlformats.org/officeDocument/2006/relationships/hyperlink" Target="https://www.sacbee.com/news/local/crime/article143794574.html" TargetMode="External"/><Relationship Id="rId2674" Type="http://schemas.openxmlformats.org/officeDocument/2006/relationships/hyperlink" Target="https://www.seattletimes.com/seattle-news/federal-way-gunman-charged-at-17-in-bb-gun-attack-on-an-ex/" TargetMode="External"/><Relationship Id="rId439" Type="http://schemas.openxmlformats.org/officeDocument/2006/relationships/hyperlink" Target="http://www.the-dispatch.com/news/20130712/emotions-run-high-25-years-after-hayes-shootings" TargetMode="External"/><Relationship Id="rId646" Type="http://schemas.openxmlformats.org/officeDocument/2006/relationships/hyperlink" Target="http://www.nytimes.com/1993/08/08/us/soldier-kills-4-people-and-hurts-6-in-a-restaurant-in-north-carolina.html" TargetMode="External"/><Relationship Id="rId1069" Type="http://schemas.openxmlformats.org/officeDocument/2006/relationships/hyperlink" Target="https://www.nytimes.com/2001/09/11/national/slaying-suspect-commits-suicide.html" TargetMode="External"/><Relationship Id="rId1276" Type="http://schemas.openxmlformats.org/officeDocument/2006/relationships/hyperlink" Target="https://www.westword.com/news/matthew-murrays-nightmare-of-christianity-5824515" TargetMode="External"/><Relationship Id="rId1483" Type="http://schemas.openxmlformats.org/officeDocument/2006/relationships/hyperlink" Target="https://www.dailymail.co.uk/news/article-2124173/Oakland-shooting-Gunman-One-Gohs-boasts-massacre-Oikos-University-California-revealed.html" TargetMode="External"/><Relationship Id="rId2327" Type="http://schemas.openxmlformats.org/officeDocument/2006/relationships/hyperlink" Target="https://newspaperarchive.com/murder-clipping-may-31-1972-173463/" TargetMode="External"/><Relationship Id="rId506" Type="http://schemas.openxmlformats.org/officeDocument/2006/relationships/hyperlink" Target="https://www.nydailynews.com/news/crime/worst-postal-worker-related-incidents-article-1.2826721" TargetMode="External"/><Relationship Id="rId853" Type="http://schemas.openxmlformats.org/officeDocument/2006/relationships/hyperlink" Target="https://www.pbs.org/wgbh/frontline/article/fourteen-years-later-looking-back-at-a-school-shooting/" TargetMode="External"/><Relationship Id="rId1136" Type="http://schemas.openxmlformats.org/officeDocument/2006/relationships/hyperlink" Target="http://www.nbcnews.com/id/7161961/ns/us_news-crime_and_courts/t/suspect-generated-fearconcern-killings/" TargetMode="External"/><Relationship Id="rId1690" Type="http://schemas.openxmlformats.org/officeDocument/2006/relationships/hyperlink" Target="https://www.theeagle.com/news/mother-of-man-convicted-of-killing-six-people-says-her-son-changed-after-a-car/article_1c073cfc-c6ad-11e7-a923-bf84ac2aa25c.html" TargetMode="External"/><Relationship Id="rId2534" Type="http://schemas.openxmlformats.org/officeDocument/2006/relationships/hyperlink" Target="https://books.google.com.au/books?id=8TgDAAAAMBAJ&amp;pg=PA46&amp;lpg=PA46&amp;dq=donald+lambright+%2B+shooting&amp;source=bl&amp;ots=Aato8f0Juy&amp;sig=HU7GC0ZCYmFZI1jtR93xfr2pDk0&amp;hl=en&amp;sa=X&amp;redir_esc=y" TargetMode="External"/><Relationship Id="rId713" Type="http://schemas.openxmlformats.org/officeDocument/2006/relationships/hyperlink" Target="https://www.deseretnews.com/article/413430/GUNMANS-WORKPLACE-MASSACRE-HEAPS-MORE-GRIEF-ON-TEXAS-CITY.html" TargetMode="External"/><Relationship Id="rId920" Type="http://schemas.openxmlformats.org/officeDocument/2006/relationships/hyperlink" Target="http://www.ajc.com/news/local-govt--politics/atlanta-rewind-mark-barton-1999-buckhead-rampage/nKrh2xInFnAcGFCW7CrFGL/" TargetMode="External"/><Relationship Id="rId1343" Type="http://schemas.openxmlformats.org/officeDocument/2006/relationships/hyperlink" Target="http://www.nytimes.com/2008/09/04/us/04spree.html" TargetMode="External"/><Relationship Id="rId1550" Type="http://schemas.openxmlformats.org/officeDocument/2006/relationships/hyperlink" Target="https://www.nytimes.com/2012/12/15/nyregion/shooting-reported-at-connecticut-elementary-school.html?mcubz=3" TargetMode="External"/><Relationship Id="rId2601" Type="http://schemas.openxmlformats.org/officeDocument/2006/relationships/hyperlink" Target="https://www.wral.com/news/local/story/9845639/" TargetMode="External"/><Relationship Id="rId1203" Type="http://schemas.openxmlformats.org/officeDocument/2006/relationships/hyperlink" Target="https://www.nytimes.com/2006/02/03/us/woman-in-california-postal-shootings-had-history-of-bizarre-behavior.html?mtrref=search.yahoo.com" TargetMode="External"/><Relationship Id="rId1410" Type="http://schemas.openxmlformats.org/officeDocument/2006/relationships/hyperlink" Target="https://web.archive.org/web/20091209021105/http:/seattletimes.nwsource.com/html/localnews/2010436039_clemmonsprofile06m.html" TargetMode="External"/><Relationship Id="rId296"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2184" Type="http://schemas.openxmlformats.org/officeDocument/2006/relationships/hyperlink" Target="https://lancasterpa.com/amish/amish-school-shooting/" TargetMode="External"/><Relationship Id="rId2391" Type="http://schemas.openxmlformats.org/officeDocument/2006/relationships/hyperlink" Target="https://www.nytimes.com/1983/02/04/nyregion/gunman-kills-four-and-wounds-a-fifth-at-a-west-side-hotel.html" TargetMode="External"/><Relationship Id="rId156" Type="http://schemas.openxmlformats.org/officeDocument/2006/relationships/hyperlink" Target="https://www.upi.com/Archives/1987/09/02/Former-cook-convicted-in-restaurant-massacre/2502557553600/" TargetMode="External"/><Relationship Id="rId363" Type="http://schemas.openxmlformats.org/officeDocument/2006/relationships/hyperlink" Target="https://www.upi.com/Archives/1984/08/02/Mass-murderer-James-Huberty-tried-to-get-help-from/8825460267200/" TargetMode="External"/><Relationship Id="rId570" Type="http://schemas.openxmlformats.org/officeDocument/2006/relationships/hyperlink" Target="http://community.seattletimes.nwsource.com/archive/?date=19911115&amp;slug=1317398" TargetMode="External"/><Relationship Id="rId2044" Type="http://schemas.openxmlformats.org/officeDocument/2006/relationships/hyperlink" Target="https://www.nytimes.com/1984/07/19/us/coast-man-kills-20-in-rampage-at-a-restaurant.html" TargetMode="External"/><Relationship Id="rId2251" Type="http://schemas.openxmlformats.org/officeDocument/2006/relationships/hyperlink" Target="https://www.theguardian.com/world/2013/sep/20/aaron-alexis-washington-navy-yard-shooter" TargetMode="External"/><Relationship Id="rId223" Type="http://schemas.openxmlformats.org/officeDocument/2006/relationships/hyperlink" Target="https://www.upi.com/Archives/1981/10/16/A-gunman-burst-into-an-auto-parts-store-Friday/9402372052800/" TargetMode="External"/><Relationship Id="rId430" Type="http://schemas.openxmlformats.org/officeDocument/2006/relationships/hyperlink" Target="http://www.wral.com/news/local/story/7609273/" TargetMode="External"/><Relationship Id="rId1060" Type="http://schemas.openxmlformats.org/officeDocument/2006/relationships/hyperlink" Target="https://www.latimes.com/archives/la-xpm-2001-sep-11-mn-44550-story.html" TargetMode="External"/><Relationship Id="rId2111" Type="http://schemas.openxmlformats.org/officeDocument/2006/relationships/hyperlink" Target="https://www.wrdw.com/home/headlines/Survivors-of-Aiken-Phelon-shooting-reflect-15-years-later-169856506.html" TargetMode="External"/><Relationship Id="rId1877" Type="http://schemas.openxmlformats.org/officeDocument/2006/relationships/hyperlink" Target="https://edition.cnn.com/2018/04/22/us/travis-reinking-waffle-house-shooting/index.html" TargetMode="External"/><Relationship Id="rId1737" Type="http://schemas.openxmlformats.org/officeDocument/2006/relationships/hyperlink" Target="https://www.washingtonpost.com/news/morning-mix/wp/2016/07/09/dallas-shooter-was-a-good-kid-says-neighbor-i-believe-he-just-snapped/?utm_term=.4fb3cd5314c8" TargetMode="External"/><Relationship Id="rId1944" Type="http://schemas.openxmlformats.org/officeDocument/2006/relationships/hyperlink" Target="https://www.nytimes.com/2019/12/15/nyregion/jersey-city-shooting-terrorism.html" TargetMode="External"/><Relationship Id="rId29" Type="http://schemas.openxmlformats.org/officeDocument/2006/relationships/hyperlink" Target="http://www.lockhaven.com/news/community/2017/10/the-fury-of-leo-held/" TargetMode="External"/><Relationship Id="rId1804" Type="http://schemas.openxmlformats.org/officeDocument/2006/relationships/hyperlink" Target="https://edition.cnn.com/2017/11/06/us/devin-kelley-texas-church-shooting-suspect/index.html" TargetMode="External"/><Relationship Id="rId897" Type="http://schemas.openxmlformats.org/officeDocument/2006/relationships/hyperlink" Target="https://www.nytimes.com/1999/06/29/us/shattered-lives-special-report-caring-parents-no-answers-columbine-killers-pasts.html" TargetMode="External"/><Relationship Id="rId2578" Type="http://schemas.openxmlformats.org/officeDocument/2006/relationships/hyperlink" Target="https://www.nbcnews.com/news/us-news/gunman-california-shooting-spree-needed-mental-help-sister-says-n821216" TargetMode="External"/><Relationship Id="rId757" Type="http://schemas.openxmlformats.org/officeDocument/2006/relationships/hyperlink" Target="http://articles.latimes.com/1996-04-25/news/mn-62698_1_department-officers" TargetMode="External"/><Relationship Id="rId964" Type="http://schemas.openxmlformats.org/officeDocument/2006/relationships/hyperlink" Target="https://www.nytimes.com/1999/09/17/us/deaths-in-a-church-the-overview-an-angry-mystery-man-who-brought-death.html" TargetMode="External"/><Relationship Id="rId1387" Type="http://schemas.openxmlformats.org/officeDocument/2006/relationships/hyperlink" Target="https://abcnews.go.com/Blotter/inside-nidal-hasans-apartment/story?id=9058769" TargetMode="External"/><Relationship Id="rId1594" Type="http://schemas.openxmlformats.org/officeDocument/2006/relationships/hyperlink" Target="https://www.nydailynews.com/news/national/santa-monica-killer-family-dark-article-1.1368498" TargetMode="External"/><Relationship Id="rId2438" Type="http://schemas.openxmlformats.org/officeDocument/2006/relationships/hyperlink" Target="https://apnews.com/17e5f1c6ceacc876bab747f7ddfe0908" TargetMode="External"/><Relationship Id="rId2645" Type="http://schemas.openxmlformats.org/officeDocument/2006/relationships/hyperlink" Target="https://www.washingtonpost.com/archive/politics/1999/07/31/killer-wrote-of-fear-hopelessness/af33786a-de37-45cd-9d5f-1098379892dd/?noredirect=on" TargetMode="External"/><Relationship Id="rId93" Type="http://schemas.openxmlformats.org/officeDocument/2006/relationships/hyperlink" Target="https://www.nytimes.com/1972/05/30/archives/gunman-slays-3-in-shopping-mall-wounds-8-and-then-kills-himself.html" TargetMode="External"/><Relationship Id="rId617"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824" Type="http://schemas.openxmlformats.org/officeDocument/2006/relationships/hyperlink" Target="https://books.google.com/books?id=3ewAoOHQQzcC&amp;pg=PA158&amp;lpg=PA158&amp;dq=matthew+beck+shooting+march+6+1998&amp;source=bl&amp;ots=FyjXTPh7sz&amp;sig=qN7NzBuWHk2XbdHNZgZAMYsS6YY&amp;hl=en&amp;sa=X&amp;ved=0ahUKEwj_7cuqhufYAhUJ7awKHU7JAa0Q6AEIOTAD" TargetMode="External"/><Relationship Id="rId1247" Type="http://schemas.openxmlformats.org/officeDocument/2006/relationships/hyperlink" Target="https://abcnews.go.com/US/amish-school-shooters-widow-marie-monville-remembers-tragedy/story?id=20417790" TargetMode="External"/><Relationship Id="rId1454" Type="http://schemas.openxmlformats.org/officeDocument/2006/relationships/hyperlink" Target="https://www.nytimes.com/2011/01/16/us/16loughner.html" TargetMode="External"/><Relationship Id="rId1661" Type="http://schemas.openxmlformats.org/officeDocument/2006/relationships/hyperlink" Target="https://www.cnn.com/2015/07/18/us/tennessee-naval-reserve-shooting/index.html" TargetMode="External"/><Relationship Id="rId2505" Type="http://schemas.openxmlformats.org/officeDocument/2006/relationships/hyperlink" Target="https://books.google.com.au/books?id=8TgDAAAAMBAJ&amp;pg=PA46&amp;lpg=PA46&amp;dq=donald+lambright+%2B+shooting&amp;source=bl&amp;ots=Aato8f0Juy&amp;sig=HU7GC0ZCYmFZI1jtR93xfr2pDk0&amp;hl=en&amp;sa=X&amp;redir_esc=y" TargetMode="External"/><Relationship Id="rId2712" Type="http://schemas.openxmlformats.org/officeDocument/2006/relationships/hyperlink" Target="https://www.washingtonpost.com/world/national-security/police-in-dallas-he-wanted-to-kill-white-people-especially-white-officers/2016/07/08/fe66fe52-4553-11e6-88d0-6adee48be8bc_story.html" TargetMode="External"/><Relationship Id="rId1107" Type="http://schemas.openxmlformats.org/officeDocument/2006/relationships/hyperlink" Target="http://pendoreillerivervalley.com/four-killed-in-oldtown-shooting-p111-119.htm" TargetMode="External"/><Relationship Id="rId1314" Type="http://schemas.openxmlformats.org/officeDocument/2006/relationships/hyperlink" Target="http://web.archive.org/web/20161018033626/https:/mustangnews.net/policedoubtlinkbetweensantamariakillingssanluisobispomurder/" TargetMode="External"/><Relationship Id="rId1521" Type="http://schemas.openxmlformats.org/officeDocument/2006/relationships/hyperlink" Target="http://www.cnn.com/2013/07/19/us/colorado-theater-shooting-fast-facts/index.html" TargetMode="External"/><Relationship Id="rId20" Type="http://schemas.openxmlformats.org/officeDocument/2006/relationships/hyperlink" Target="https://www.washingtonpost.com/sf/local/2016/07/31/the-loaded-legacy-of-the-ut-tower-shooting/?hpid=hp_rhp-top-table-main_uttower-0840pm%3Ahomepage%2Fstory&amp;tid=a_inl&amp;utm_term=.6ab077235c7d" TargetMode="External"/><Relationship Id="rId2088" Type="http://schemas.openxmlformats.org/officeDocument/2006/relationships/hyperlink" Target="https://www.latimes.com/archives/la-xpm-1993-10-15-mn-45964-story.html" TargetMode="External"/><Relationship Id="rId2295" Type="http://schemas.openxmlformats.org/officeDocument/2006/relationships/hyperlink" Target="https://www.mlive.com/news/detroit/2018/02/manhunt_for_quadruple_homicide.html" TargetMode="External"/><Relationship Id="rId267" Type="http://schemas.openxmlformats.org/officeDocument/2006/relationships/hyperlink" Target="http://www.nytimes.com/1982/08/10/us/digruntled-driver-slays-six-in-texas-dying-in-shootout.html" TargetMode="External"/><Relationship Id="rId474" Type="http://schemas.openxmlformats.org/officeDocument/2006/relationships/hyperlink" Target="https://www.apnews.com/fcc5d4beb0b9b29a6e2353939bad33bc" TargetMode="External"/><Relationship Id="rId2155" Type="http://schemas.openxmlformats.org/officeDocument/2006/relationships/hyperlink" Target="https://www.latimes.com/archives/la-xpm-2002-mar-23-mn-34383-story.html" TargetMode="External"/><Relationship Id="rId127" Type="http://schemas.openxmlformats.org/officeDocument/2006/relationships/hyperlink" Target="http://www.nytimes.com/1977/02/15/archives/nazi-admirer-also-wounds-5-in-wild-attack-followed-by-a-siege-at.html" TargetMode="External"/><Relationship Id="rId681" Type="http://schemas.openxmlformats.org/officeDocument/2006/relationships/hyperlink" Target="https://www.nytimes.com/1993/12/10/nyregion/death-on-the-lirr-police-look-for-the-spark-that-led-to-the-shootings.html" TargetMode="External"/><Relationship Id="rId2362" Type="http://schemas.openxmlformats.org/officeDocument/2006/relationships/hyperlink" Target="https://www.mprnews.org/story/2012/10/16/engeldinger-parents-describe-their-sons-struggles-with-mental-illness" TargetMode="External"/><Relationship Id="rId334" Type="http://schemas.openxmlformats.org/officeDocument/2006/relationships/hyperlink" Target="https://www.upi.com/Archives/1984/05/25/Mass-killing-suspect-questioned-before-ambush/9185454305600/" TargetMode="External"/><Relationship Id="rId541" Type="http://schemas.openxmlformats.org/officeDocument/2006/relationships/hyperlink" Target="http://www.crimemagazine.com/lubys-cafeteria-massacre-1991" TargetMode="External"/><Relationship Id="rId1171" Type="http://schemas.openxmlformats.org/officeDocument/2006/relationships/hyperlink" Target="http://news.minnesota.publicradio.org/features/2005/03/21_gundersond_redlakeshooting/" TargetMode="External"/><Relationship Id="rId2015" Type="http://schemas.openxmlformats.org/officeDocument/2006/relationships/hyperlink" Target="https://books.google.com/books?id=sdd3ihupC_AC&amp;pg=PA102&amp;lpg=PA102&amp;dq=dewitt+henry+Oregon&amp;source=bl&amp;ots=z5RZDR5AY0&amp;sig=fkhOTQ4bBGZ_KfVqm4tp6TfvhBU&amp;hl=en&amp;sa=X&amp;ved=0ahUKEwj05J7qyZvZAhVKIqwKHRZADU44ChDoAQhZMA8" TargetMode="External"/><Relationship Id="rId2222" Type="http://schemas.openxmlformats.org/officeDocument/2006/relationships/hyperlink" Target="https://www.nytimes.com/2010/09/12/us/12kentucky.html" TargetMode="External"/><Relationship Id="rId401" Type="http://schemas.openxmlformats.org/officeDocument/2006/relationships/hyperlink" Target="https://www.okhistory.org/publications/enc/entry.php?entry=ED003" TargetMode="External"/><Relationship Id="rId1031" Type="http://schemas.openxmlformats.org/officeDocument/2006/relationships/hyperlink" Target="https://www.chron.com/news/article/Gunman-s-wife-accused-him-of-assault-in-1998-1997336.php" TargetMode="External"/><Relationship Id="rId1988" Type="http://schemas.openxmlformats.org/officeDocument/2006/relationships/hyperlink" Target="https://books.google.com/books?id=SMexDwAAQBAJ&amp;pg=PA296&amp;lpg=PA296&amp;dq=one+goh+older+brothers&amp;source=bl&amp;ots=-4-pHOiO6V&amp;sig=ACfU3U2540CY121ivQRTH01uHVG-FRUazQ&amp;hl=en&amp;sa=X&amp;ved=2ahUKEwikr4Lznf_nAhVVnp4KHQh4DM0Q6AEwAnoECAkQAQ" TargetMode="External"/><Relationship Id="rId1848" Type="http://schemas.openxmlformats.org/officeDocument/2006/relationships/hyperlink" Target="https://www.foxnews.com/us/pennsylvania-car-wash-alleged-gunman-had-run-in-with-target-before-deadly-shooting-family-says" TargetMode="External"/><Relationship Id="rId191" Type="http://schemas.openxmlformats.org/officeDocument/2006/relationships/hyperlink" Target="https://www.leagle.com/decision/1985350349pasuper11350" TargetMode="External"/><Relationship Id="rId1708" Type="http://schemas.openxmlformats.org/officeDocument/2006/relationships/hyperlink" Target="https://www.freep.com/story/news/local/michigan/2016/02/21/neighbors-kalamazoo-suspect-good-family-man-liked-guns/80702198/" TargetMode="External"/><Relationship Id="rId1915" Type="http://schemas.openxmlformats.org/officeDocument/2006/relationships/hyperlink" Target="https://www.washingtonpost.com/national/alleged-school-killer-dimitrios-pagourtzis-was-nondescript-betraying-a-growing-darkness/2018/05/18/d69f5b88-5ade-11e8-8836-a4a123c359ab_story.html?utm_term=.6f701179d871" TargetMode="External"/><Relationship Id="rId2689" Type="http://schemas.openxmlformats.org/officeDocument/2006/relationships/hyperlink" Target="https://www.cbsnews.com/news/girlfriend-plant-shooter-a-victim/" TargetMode="External"/><Relationship Id="rId868" Type="http://schemas.openxmlformats.org/officeDocument/2006/relationships/hyperlink" Target="https://www.nytimes.com/1999/03/12/us/louisiana-shooting-kills-3-at-church-and-one-at-home.html" TargetMode="External"/><Relationship Id="rId1498" Type="http://schemas.openxmlformats.org/officeDocument/2006/relationships/hyperlink" Target="https://www.seattletimes.com/seattle-news/gunman-a-life-full-of-rage-a-shocking-final-act/" TargetMode="External"/><Relationship Id="rId2549" Type="http://schemas.openxmlformats.org/officeDocument/2006/relationships/hyperlink" Target="https://www.nytimes.com/1988/07/19/us/four-motorists-are-shot-to-death-gunman-wounded-in-12-minutes.html" TargetMode="External"/><Relationship Id="rId728" Type="http://schemas.openxmlformats.org/officeDocument/2006/relationships/hyperlink" Target="https://books.google.com/books?id=dw6vDwAAQBAJ&amp;pg=PT120&amp;lpg=PT120&amp;dq=willie+woods+gun+obtained&amp;source=bl&amp;ots=vuLlcouRXL&amp;sig=ACfU3U0XOR-WR_Ch3uBudRTLM3RGN_Kq4A&amp;hl=en&amp;sa=X&amp;ved=2ahUKEwjfwfSqk4nqAhWQRTABHal-AAoQ6AEwB3oECAoQAQ" TargetMode="External"/><Relationship Id="rId935" Type="http://schemas.openxmlformats.org/officeDocument/2006/relationships/hyperlink" Target="https://www.nytimes.com/1999/07/31/us/shootings-in-atlanta-the-overview-killer-confessed-in-a-letter-spiked-with-rage.html" TargetMode="External"/><Relationship Id="rId1358" Type="http://schemas.openxmlformats.org/officeDocument/2006/relationships/hyperlink" Target="https://www.cbsnews.com/news/nc-man-convicted-of-killing-8-at-nursing-home/" TargetMode="External"/><Relationship Id="rId1565" Type="http://schemas.openxmlformats.org/officeDocument/2006/relationships/hyperlink" Target="https://www.cbsnews.com/news/upstate-new-york-shooting-update-kurt-myers-suspected-gunman-killed-by-police-in-shootout/" TargetMode="External"/><Relationship Id="rId1772" Type="http://schemas.openxmlformats.org/officeDocument/2006/relationships/hyperlink" Target="http://timelines.latimes.com/deadliest-shooting-rampages/" TargetMode="External"/><Relationship Id="rId2409" Type="http://schemas.openxmlformats.org/officeDocument/2006/relationships/hyperlink" Target="https://www.latimes.com/archives/la-xpm-1991-11-15-mn-1435-story.html" TargetMode="External"/><Relationship Id="rId2616" Type="http://schemas.openxmlformats.org/officeDocument/2006/relationships/hyperlink" Target="https://www.latimes.com/archives/la-xpm-2001-sep-11-mn-44550-story.html" TargetMode="External"/><Relationship Id="rId64"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1218" Type="http://schemas.openxmlformats.org/officeDocument/2006/relationships/hyperlink" Target="https://www.thestranger.com/seattle/dead-quiet/Content?oid=31361" TargetMode="External"/><Relationship Id="rId1425" Type="http://schemas.openxmlformats.org/officeDocument/2006/relationships/hyperlink" Target="https://www.cbsnews.com/news/florida-man-kills-four-women-in-restaurant-shooting-police-say/" TargetMode="External"/><Relationship Id="rId1632" Type="http://schemas.openxmlformats.org/officeDocument/2006/relationships/hyperlink" Target="https://www.newsweek.com/2015/09/25/jaylen-ray-fryberg-marysville-pilchuck-high-school-shooting-372669.html" TargetMode="External"/><Relationship Id="rId2199" Type="http://schemas.openxmlformats.org/officeDocument/2006/relationships/hyperlink" Target="https://www.nytimes.com/2008/06/25/us/26kentuckycnd.html" TargetMode="External"/><Relationship Id="rId378" Type="http://schemas.openxmlformats.org/officeDocument/2006/relationships/hyperlink" Target="http://www.nytimes.com/1984/07/26/us/officers-tracing-gunman-s-history.html" TargetMode="External"/><Relationship Id="rId585" Type="http://schemas.openxmlformats.org/officeDocument/2006/relationships/hyperlink" Target="https://schoolshooters.info/sites/default/files/California-v-Houston-2007.pdf" TargetMode="External"/><Relationship Id="rId792" Type="http://schemas.openxmlformats.org/officeDocument/2006/relationships/hyperlink" Target="https://www.latimes.com/archives/la-xpm-1997-dec-20-mn-431-story.html" TargetMode="External"/><Relationship Id="rId2059" Type="http://schemas.openxmlformats.org/officeDocument/2006/relationships/hyperlink" Target="https://www.chicagotribune.com/news/ct-xpm-1988-09-23-8802010552-story.html" TargetMode="External"/><Relationship Id="rId2266" Type="http://schemas.openxmlformats.org/officeDocument/2006/relationships/hyperlink" Target="https://www.theeagle.com/news/local/a-night-of-terror-lawyer-describes-killings-to-brazos-county/article_adda0cbb-e386-5bea-9806-cf4b2b2e80a5.html" TargetMode="External"/><Relationship Id="rId2473" Type="http://schemas.openxmlformats.org/officeDocument/2006/relationships/hyperlink" Target="https://time.com/4371910/orlando-shooting-omar-mateen-facebook/" TargetMode="External"/><Relationship Id="rId2680" Type="http://schemas.openxmlformats.org/officeDocument/2006/relationships/hyperlink" Target="https://www.mlive.com/news/detroit/2018/02/manhunt_for_quadruple_homicide.html" TargetMode="External"/><Relationship Id="rId238"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445" Type="http://schemas.openxmlformats.org/officeDocument/2006/relationships/hyperlink" Target="https://www.upi.com/Archives/1988/07/19/Hospital-denies-commitment-sought-for-gunman/1978585288000/" TargetMode="External"/><Relationship Id="rId652" Type="http://schemas.openxmlformats.org/officeDocument/2006/relationships/hyperlink" Target="https://www.fayobserver.com/news/20190806/from-archives-26-years-ago-today-tragedy-at-luigis" TargetMode="External"/><Relationship Id="rId1075" Type="http://schemas.openxmlformats.org/officeDocument/2006/relationships/hyperlink" Target="https://www.nwitimes.com/uncategorized/south-bend-factory-worker-kills-then-himself/article_f9510908-20ec-5629-8891-42c83bb776f3.html" TargetMode="External"/><Relationship Id="rId1282" Type="http://schemas.openxmlformats.org/officeDocument/2006/relationships/hyperlink" Target="https://www.stltoday.com/news/local/crime-and-courts/charles-lee-cookie-thornton-behind-the-smile/article_be96f13c-78b9-11df-bfdc-0017a4a78c22.html" TargetMode="External"/><Relationship Id="rId2126" Type="http://schemas.openxmlformats.org/officeDocument/2006/relationships/hyperlink" Target="https://www.theguardian.com/world/2009/apr/17/columbine-massacre-gun-crime-us" TargetMode="External"/><Relationship Id="rId2333" Type="http://schemas.openxmlformats.org/officeDocument/2006/relationships/hyperlink" Target="https://books.google.com/books?id=OPp3ZxY6b5kC&amp;pg=PA55&amp;lpg=PA55&amp;dq=steven+stagner+colorado+white&amp;source=bl&amp;ots=CIYH9mlgce&amp;sig=ACfU3U24HTgtfisKroDSyMLiDP2UUsieRQ&amp;hl=en&amp;sa=X&amp;ved=2ahUKEwjNzfiXjbDgAhVM1IMKHVT3AoIQ6AEwDHoECAUQAQ" TargetMode="External"/><Relationship Id="rId2540" Type="http://schemas.openxmlformats.org/officeDocument/2006/relationships/hyperlink" Target="https://books.google.com/books?id=zSwEAAAAMBAJ&amp;pg=PA140" TargetMode="External"/><Relationship Id="rId305"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512" Type="http://schemas.openxmlformats.org/officeDocument/2006/relationships/hyperlink" Target="http://www.nytimes.com/1991/10/11/nyregion/4-slain-in-2-new-jersey-attacks-and-former-postal-clerk-is-held.html?pagewanted=all" TargetMode="External"/><Relationship Id="rId1142" Type="http://schemas.openxmlformats.org/officeDocument/2006/relationships/hyperlink" Target="https://web.archive.org/web/20081219070658/http:/www.ajc.com/services/content/metro/atlanta/stories/2008/10/22/nichols_trial_atlanta.html?cxtype=rss&amp;cxsvc=7&amp;cxcat=13" TargetMode="External"/><Relationship Id="rId2400" Type="http://schemas.openxmlformats.org/officeDocument/2006/relationships/hyperlink" Target="https://www.orlandosentinel.com/news/os-xpm-1989-03-21-8903210118-story.html" TargetMode="External"/><Relationship Id="rId1002" Type="http://schemas.openxmlformats.org/officeDocument/2006/relationships/hyperlink" Target="https://web.archive.org/web/20070831085028/http:/the-duke.duq-duke.duq.edu/justice/Taylor/Baumhamm.htm" TargetMode="External"/><Relationship Id="rId1959"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819" Type="http://schemas.openxmlformats.org/officeDocument/2006/relationships/hyperlink" Target="https://edition.cnn.com/2017/11/06/us/devin-kelley-texas-church-shooting-suspect/index.html" TargetMode="External"/><Relationship Id="rId2190" Type="http://schemas.openxmlformats.org/officeDocument/2006/relationships/hyperlink" Target="https://www.nytimes.com/2007/12/06/us/06cnd-shoot.html" TargetMode="External"/><Relationship Id="rId162" Type="http://schemas.openxmlformats.org/officeDocument/2006/relationships/hyperlink" Target="https://newspaperarchive.com/lethbridge-herald-jun-19-1978-p-2/" TargetMode="External"/><Relationship Id="rId2050" Type="http://schemas.openxmlformats.org/officeDocument/2006/relationships/hyperlink" Target="https://www.latimes.com/archives/la-xpm-1986-08-21-mn-17529-story.html" TargetMode="External"/><Relationship Id="rId979" Type="http://schemas.openxmlformats.org/officeDocument/2006/relationships/hyperlink" Target="http://archives.starbulletin.com/1999/11/09/news/story1.html" TargetMode="External"/><Relationship Id="rId839" Type="http://schemas.openxmlformats.org/officeDocument/2006/relationships/hyperlink" Target="https://www.nytimes.com/1998/03/29/us/from-wild-talk-and-friendship-to-five-deaths-in-a-schoolyard.html?mcubz=0" TargetMode="External"/><Relationship Id="rId1469" Type="http://schemas.openxmlformats.org/officeDocument/2006/relationships/hyperlink" Target="https://www.rgj.com/story/news/2014/04/05/authorities-who-is-carson-city-ihop-gunman-eduardo-sencion/6671951/" TargetMode="External"/><Relationship Id="rId1676" Type="http://schemas.openxmlformats.org/officeDocument/2006/relationships/hyperlink" Target="https://www.nydailynews.com/news/crime/man-accused-killing-campsite-guilty-capital-murder-article-1.3619755" TargetMode="External"/><Relationship Id="rId1883" Type="http://schemas.openxmlformats.org/officeDocument/2006/relationships/hyperlink" Target="https://edition.cnn.com/2018/04/22/us/travis-reinking-waffle-house-shooting/index.html" TargetMode="External"/><Relationship Id="rId2727" Type="http://schemas.openxmlformats.org/officeDocument/2006/relationships/hyperlink" Target="https://www.nytimes.com/2019/12/15/nyregion/jersey-city-shooting-terrorism.html" TargetMode="External"/><Relationship Id="rId906" Type="http://schemas.openxmlformats.org/officeDocument/2006/relationships/hyperlink" Target="http://www.cnn.com/US/9904/21/harris.profile.02/" TargetMode="External"/><Relationship Id="rId1329" Type="http://schemas.openxmlformats.org/officeDocument/2006/relationships/hyperlink" Target="https://www.nytimes.com/2008/06/26/us/26factory.html" TargetMode="External"/><Relationship Id="rId1536" Type="http://schemas.openxmlformats.org/officeDocument/2006/relationships/hyperlink" Target="https://www.splcenter.org/fighting-hate/intelligence-report/2012/sikh-temple-killer-wade-michael-page-radicalized-army" TargetMode="External"/><Relationship Id="rId1743" Type="http://schemas.openxmlformats.org/officeDocument/2006/relationships/hyperlink" Target="https://www.nbcnews.com/storyline/dallas-police-ambush/dallas-gunman-micah-johnson-used-saiga-ak-74-assault-style-n608311" TargetMode="External"/><Relationship Id="rId1950" Type="http://schemas.openxmlformats.org/officeDocument/2006/relationships/hyperlink" Target="https://books.google.com/books?id=V7IluPG0GJ8C&amp;pg=PA111&amp;lpg=PA111&amp;dq=mark+essex+siblings&amp;source=bl&amp;ots=bcqfSfwZNX&amp;sig=ACfU3U3l8i0aE1ncTi8_Xwu_idbD_kDVjA&amp;hl=en&amp;sa=X&amp;ved=2ahUKEwjtjoWcmoboAhXTaM0KHR9DDT04ChDoATAFegQIBxAB" TargetMode="External"/><Relationship Id="rId35" Type="http://schemas.openxmlformats.org/officeDocument/2006/relationships/hyperlink" Target="http://www.lockhaven.com/news/community/2017/10/the-fury-of-leo-held/" TargetMode="External"/><Relationship Id="rId1603" Type="http://schemas.openxmlformats.org/officeDocument/2006/relationships/hyperlink" Target="https://www.cbsnews.com/news/pedro-vargas-idd-as-gunman-behind-deadly-rampage-in-hialeah-florida/" TargetMode="External"/><Relationship Id="rId1810" Type="http://schemas.openxmlformats.org/officeDocument/2006/relationships/hyperlink" Target="https://www.cbsnews.com/news/sutherland-springs-texas-church-gunman-devin-kelley-wife-speaks-out/" TargetMode="External"/><Relationship Id="rId489" Type="http://schemas.openxmlformats.org/officeDocument/2006/relationships/hyperlink" Target="https://www.apnews.com/fcc5d4beb0b9b29a6e2353939bad33bc" TargetMode="External"/><Relationship Id="rId696" Type="http://schemas.openxmlformats.org/officeDocument/2006/relationships/hyperlink" Target="https://web.archive.org/web/20150421030616/http:/www.cofpd.org/docs-dun/final-clemency-petition-5-6.pdf" TargetMode="External"/><Relationship Id="rId2377" Type="http://schemas.openxmlformats.org/officeDocument/2006/relationships/hyperlink" Target="https://newspaperarchive.com/lebanon-daily-news-apr-07-1969-p-1/" TargetMode="External"/><Relationship Id="rId2584" Type="http://schemas.openxmlformats.org/officeDocument/2006/relationships/hyperlink" Target="https://heavy.com/news/2019/09/seth-ator/" TargetMode="External"/><Relationship Id="rId349" Type="http://schemas.openxmlformats.org/officeDocument/2006/relationships/hyperlink" Target="https://www.upi.com/Archives/1984/11/08/The-estranged-wife-of-accused-murderer-Abdelkrim-Belachheb-testified/3858468738000/" TargetMode="External"/><Relationship Id="rId556" Type="http://schemas.openxmlformats.org/officeDocument/2006/relationships/hyperlink" Target="https://www.washingtonpost.com/archive/politics/1991/11/11/gunman-kills-four-and-self-in-kentucky/c3111990-c0ec-48f8-9200-4fa837a1dba4/?utm_term=.c035ec2ccc5f" TargetMode="External"/><Relationship Id="rId763" Type="http://schemas.openxmlformats.org/officeDocument/2006/relationships/hyperlink" Target="https://www.deseret.com/1996/4/25/19238561/fireman-was-time-bomb-waiting" TargetMode="External"/><Relationship Id="rId1186" Type="http://schemas.openxmlformats.org/officeDocument/2006/relationships/hyperlink" Target="https://www.chicagotribune.com/news/ct-xpm-2005-08-30-0508300294-story.html" TargetMode="External"/><Relationship Id="rId1393" Type="http://schemas.openxmlformats.org/officeDocument/2006/relationships/hyperlink" Target="https://www.latimes.com/archives/la-xpm-2009-dec-02-la-na-police-shooting2-2009dec02-story.html" TargetMode="External"/><Relationship Id="rId2237" Type="http://schemas.openxmlformats.org/officeDocument/2006/relationships/hyperlink" Target="https://www.cnn.com/2012/08/09/justice/wisconsin-temple-shooting/index.html" TargetMode="External"/><Relationship Id="rId2444" Type="http://schemas.openxmlformats.org/officeDocument/2006/relationships/hyperlink" Target="https://www.independent.com/2013/01/31/goleta-postal-murders/" TargetMode="External"/><Relationship Id="rId209" Type="http://schemas.openxmlformats.org/officeDocument/2006/relationships/hyperlink" Target="https://www.upi.com/Archives/1981/05/12/An-unemployed-lumber-mill-worker-accused-of-killing-four/1659358488000/" TargetMode="External"/><Relationship Id="rId416"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970" Type="http://schemas.openxmlformats.org/officeDocument/2006/relationships/hyperlink" Target="http://articles.latimes.com/1999/sep/18/news/mn-11519" TargetMode="External"/><Relationship Id="rId1046" Type="http://schemas.openxmlformats.org/officeDocument/2006/relationships/hyperlink" Target="http://edition.cnn.com/2001/US/02/07/plant.shootings/" TargetMode="External"/><Relationship Id="rId1253" Type="http://schemas.openxmlformats.org/officeDocument/2006/relationships/hyperlink" Target="https://www.nytimes.com/2007/04/16/us/16cnd-shooting.html?rref=collection%2Ftimestopic%2FVirginia%20Polytechnic%20Institute%20and%20State%20University&amp;action=click&amp;contentCollection=timestopics&amp;region=stream&amp;module=stream_unit&amp;version=search&amp;contentPlacem%22&amp;%22ent=1&amp;pgtype=collection" TargetMode="External"/><Relationship Id="rId2651" Type="http://schemas.openxmlformats.org/officeDocument/2006/relationships/hyperlink" Target="http://content.time.com/time/magazine/article/0,9171,144859,00.html" TargetMode="External"/><Relationship Id="rId623" Type="http://schemas.openxmlformats.org/officeDocument/2006/relationships/hyperlink" Target="https://news.google.com/newspapers?id=_SdZAAAAIBAJ&amp;sjid=C0cNAAAAIBAJ&amp;pg=6601,992534&amp;dq=" TargetMode="External"/><Relationship Id="rId830" Type="http://schemas.openxmlformats.org/officeDocument/2006/relationships/hyperlink" Target="https://www.nytimes.com/1998/03/29/us/from-wild-talk-and-friendship-to-five-deaths-in-a-schoolyard.html" TargetMode="External"/><Relationship Id="rId1460" Type="http://schemas.openxmlformats.org/officeDocument/2006/relationships/hyperlink" Target="https://www.cbsnews.com/news/jared-loughner-who-shot-gabrielle-giffords-in-tucson-ranted-online/" TargetMode="External"/><Relationship Id="rId2304" Type="http://schemas.openxmlformats.org/officeDocument/2006/relationships/hyperlink" Target="https://www.cnn.com/2018/10/27/politics/trump-jba-death-penalty-pittsburgh/index.html" TargetMode="External"/><Relationship Id="rId2511" Type="http://schemas.openxmlformats.org/officeDocument/2006/relationships/hyperlink" Target="https://www.nytimes.com/1977/08/30/archives/suspect-in-jersey-sniper-killings-had-extensive-psychiatric-record.html" TargetMode="External"/><Relationship Id="rId1113" Type="http://schemas.openxmlformats.org/officeDocument/2006/relationships/hyperlink" Target="http://news.minnesota.publicradio.org/features/2004/11/22_kelleherb_huntershooting/" TargetMode="External"/><Relationship Id="rId1320" Type="http://schemas.openxmlformats.org/officeDocument/2006/relationships/hyperlink" Target="https://www.wkyt.com/home/headlines/25559494.html" TargetMode="External"/><Relationship Id="rId2094" Type="http://schemas.openxmlformats.org/officeDocument/2006/relationships/hyperlink" Target="https://www.nytimes.com/1993/12/16/us/gunman-kills-4-workers-at-colorado-restaurant.html" TargetMode="External"/><Relationship Id="rId273" Type="http://schemas.openxmlformats.org/officeDocument/2006/relationships/hyperlink" Target="https://www.upi.com/Archives/1982/08/09/Yes-I-know-hes-killing-people/2899397713600/" TargetMode="External"/><Relationship Id="rId480" Type="http://schemas.openxmlformats.org/officeDocument/2006/relationships/hyperlink" Target="https://www.nytimes.com/1989/09/17/us/survivors-of-shooting-and-gunman-s-relatives-ponder-sad-riddles.html" TargetMode="External"/><Relationship Id="rId2161" Type="http://schemas.openxmlformats.org/officeDocument/2006/relationships/hyperlink" Target="https://www.chicagotribune.com/news/ct-xpm-2003-08-29-0308290321-story.html" TargetMode="External"/><Relationship Id="rId133" Type="http://schemas.openxmlformats.org/officeDocument/2006/relationships/hyperlink" Target="https://www.nytimes.com/1977/02/15/archives/cowan-was-nice-man-to-some-in-new-rochelle-but-to-others-real.html" TargetMode="External"/><Relationship Id="rId340" Type="http://schemas.openxmlformats.org/officeDocument/2006/relationships/hyperlink" Target="https://books.google.com/books?id=DIG_9oBssrAC&amp;pg=PA152&amp;lpg=PA152&amp;dq=the+most+likely+scenario+was+that+silka+had+argued+with+one+or+two+of+the+men&amp;source=bl&amp;ots=fgzCApIpnh&amp;sig=ACfU3U230I5Jt_35ySe0UTzK4wv30GUQrA&amp;hl=en&amp;sa=X&amp;ved=2ahUKEwjixJfllNrhAhUNWa0KHUcC" TargetMode="External"/><Relationship Id="rId2021" Type="http://schemas.openxmlformats.org/officeDocument/2006/relationships/hyperlink" Target="http://fultonhistory.com/Newspaper%2011/Geneva%20NY%20Finger%20Lake%20Times/Geneva%20NY%20Finger%20Lake%20Times%201980%20Feb%201980/Geneva%20NY%20Finger%20Lake%20Times%201980%20Feb%201980%20-%200064.pdf" TargetMode="External"/><Relationship Id="rId200" Type="http://schemas.openxmlformats.org/officeDocument/2006/relationships/hyperlink" Target="https://www.nytimes.com/1981/05/09/us/four-slain-and-20-wounded-in-bar-as-oregon-man-shoots-into-crowd.html" TargetMode="External"/><Relationship Id="rId1787" Type="http://schemas.openxmlformats.org/officeDocument/2006/relationships/hyperlink" Target="http://www.cnn.com/2017/06/05/us/orlando-fatalities/index.html" TargetMode="External"/><Relationship Id="rId1994" Type="http://schemas.openxmlformats.org/officeDocument/2006/relationships/hyperlink" Target="https://www.nydailynews.com/news/crime/beauty-salon-massacre-article-1.273663" TargetMode="External"/><Relationship Id="rId79" Type="http://schemas.openxmlformats.org/officeDocument/2006/relationships/hyperlink" Target="https://books.google.com.au/books?id=8TgDAAAAMBAJ&amp;pg=PA46&amp;lpg=PA46&amp;dq=donald+lambright+%2B+shooting&amp;source=bl&amp;ots=Aato8f0Juy&amp;sig=HU7GC0ZCYmFZI1jtR93xfr2pDk0&amp;hl=en&amp;sa=X&amp;redir_esc=y" TargetMode="External"/><Relationship Id="rId1647" Type="http://schemas.openxmlformats.org/officeDocument/2006/relationships/hyperlink" Target="https://www.nytimes.com/2015/07/17/us/charleston-shooting-dylann-roof-troubled-past.html" TargetMode="External"/><Relationship Id="rId1854" Type="http://schemas.openxmlformats.org/officeDocument/2006/relationships/hyperlink" Target="https://www.usatoday.com/story/news/nation-now/2018/02/15/parkland-florida-high-school-shooting/340071002/" TargetMode="External"/><Relationship Id="rId1507" Type="http://schemas.openxmlformats.org/officeDocument/2006/relationships/hyperlink" Target="http://www.nytimes.com/2012/08/27/us/before-gunfire-in-colorado-theater-hints-of-bad-news-about-james-holmes.html" TargetMode="External"/><Relationship Id="rId1714" Type="http://schemas.openxmlformats.org/officeDocument/2006/relationships/hyperlink" Target="https://www.orlandoweekly.com/Blogs/archives/2018/04/03/noor-salmans-trial-gave-us-the-best-glimpse-of-what-actually-led-to-the-pulse-shooting" TargetMode="External"/><Relationship Id="rId1921" Type="http://schemas.openxmlformats.org/officeDocument/2006/relationships/hyperlink" Target="https://www.businessinsider.com/who-is-jarrod-ramos-capital-gazette-suspect-shooter-lawsuit-2018-6" TargetMode="External"/><Relationship Id="rId2488" Type="http://schemas.openxmlformats.org/officeDocument/2006/relationships/hyperlink" Target="https://www.upi.com/Archives/1983/03/03/Survivor-describes-random-shootings-that-killed-six/9561415515600/" TargetMode="External"/><Relationship Id="rId1297" Type="http://schemas.openxmlformats.org/officeDocument/2006/relationships/hyperlink" Target="http://www.nbcnews.com/id/23699429/ns/us_news-crime_and_courts/t/suspect-held-after-killed-junk-yard-rampage/" TargetMode="External"/><Relationship Id="rId2695" Type="http://schemas.openxmlformats.org/officeDocument/2006/relationships/hyperlink" Target="https://www.npr.org/templates/story/story.php?storyId=130636272" TargetMode="External"/><Relationship Id="rId667" Type="http://schemas.openxmlformats.org/officeDocument/2006/relationships/hyperlink" Target="http://articles.latimes.com/1993-10-15/news/mn-45964_1_fitness-club" TargetMode="External"/><Relationship Id="rId874" Type="http://schemas.openxmlformats.org/officeDocument/2006/relationships/hyperlink" Target="https://www.theguardian.com/world/2009/apr/12/columbine-massacre-ten-year-anniversary" TargetMode="External"/><Relationship Id="rId2348" Type="http://schemas.openxmlformats.org/officeDocument/2006/relationships/hyperlink" Target="https://www.pbs.org/wgbh/pages/frontline/shows/kinkel/trial/" TargetMode="External"/><Relationship Id="rId2555" Type="http://schemas.openxmlformats.org/officeDocument/2006/relationships/hyperlink" Target="https://archive.bangordailynews.com/1991/11/12/gunman-in-kentucky-received-treatment-at-togus-for-stress" TargetMode="External"/><Relationship Id="rId527" Type="http://schemas.openxmlformats.org/officeDocument/2006/relationships/hyperlink" Target="http://articles.latimes.com/1991-10-19/news/mn-536_1_ordinary-people" TargetMode="External"/><Relationship Id="rId734" Type="http://schemas.openxmlformats.org/officeDocument/2006/relationships/hyperlink" Target="http://articles.latimes.com/1996-11-06/local/me-61893_1_city-electrician" TargetMode="External"/><Relationship Id="rId941" Type="http://schemas.openxmlformats.org/officeDocument/2006/relationships/hyperlink" Target="https://books.google.com/books?id=b54xcYkbSlcC&amp;lpg=PA67&amp;ots=mlvGRSb_k6&amp;dq=mark%20barton%20biography&amp;pg=PA67" TargetMode="External"/><Relationship Id="rId1157" Type="http://schemas.openxmlformats.org/officeDocument/2006/relationships/hyperlink" Target="https://www.chicagotribune.com/news/ct-xpm-2005-03-29-0503290160-story.html" TargetMode="External"/><Relationship Id="rId1364" Type="http://schemas.openxmlformats.org/officeDocument/2006/relationships/hyperlink" Target="https://web.archive.org/web/20120328181316/http:/www.fayobserver.com/articles/2011/09/03/1120314?sac=Home" TargetMode="External"/><Relationship Id="rId1571" Type="http://schemas.openxmlformats.org/officeDocument/2006/relationships/hyperlink" Target="https://www.uticaod.com/article/20140313/NEWS/140319690" TargetMode="External"/><Relationship Id="rId2208" Type="http://schemas.openxmlformats.org/officeDocument/2006/relationships/hyperlink" Target="https://www.mtairynews.com/archive/18387/view-full_story-12350459-article-murderer_gets_three_life_terms" TargetMode="External"/><Relationship Id="rId2415" Type="http://schemas.openxmlformats.org/officeDocument/2006/relationships/hyperlink" Target="https://www.nytimes.com/1993/12/12/nyregion/tormented-life-special-report-long-slide-privilege-ends-slaughter-train.html" TargetMode="External"/><Relationship Id="rId2622" Type="http://schemas.openxmlformats.org/officeDocument/2006/relationships/hyperlink" Target="https://www.latimes.com/archives/la-xpm-2005-mar-15-na-church15-story.html" TargetMode="External"/><Relationship Id="rId70" Type="http://schemas.openxmlformats.org/officeDocument/2006/relationships/hyperlink" Target="https://cdnc.ucr.edu/cgi-bin/cdnc?a=d&amp;d=DS19690407.2.35&amp;e=-------en--20--1--txt-txIN--------1" TargetMode="External"/><Relationship Id="rId801" Type="http://schemas.openxmlformats.org/officeDocument/2006/relationships/hyperlink" Target="https://www.nhregister.com/news/article/Connecticut-Lottery-shootings-20-years-ago-12731552.php" TargetMode="External"/><Relationship Id="rId1017" Type="http://schemas.openxmlformats.org/officeDocument/2006/relationships/hyperlink" Target="http://www.cnn.com/TRANSCRIPTS/0012/28/mn.03.html" TargetMode="External"/><Relationship Id="rId1224" Type="http://schemas.openxmlformats.org/officeDocument/2006/relationships/hyperlink" Target="https://www.thestranger.com/seattle/dead-quiet/Content?oid=31361" TargetMode="External"/><Relationship Id="rId1431" Type="http://schemas.openxmlformats.org/officeDocument/2006/relationships/hyperlink" Target="https://www.sun-sentinel.com/news/fl-xpm-2010-06-13-sfl-hialeah-massacre-romance-06132010-story.html" TargetMode="External"/><Relationship Id="rId177" Type="http://schemas.openxmlformats.org/officeDocument/2006/relationships/hyperlink" Target="https://books.google.com/books?id=zSwEAAAAMBAJ&amp;pg=PA140" TargetMode="External"/><Relationship Id="rId384" Type="http://schemas.openxmlformats.org/officeDocument/2006/relationships/hyperlink" Target="https://www.latimes.com/archives/la-xpm-1985-03-17-me-35366-story.html" TargetMode="External"/><Relationship Id="rId591" Type="http://schemas.openxmlformats.org/officeDocument/2006/relationships/hyperlink" Target="https://schoolshooters.info/sites/default/files/California-v-Houston-2007.pdf" TargetMode="External"/><Relationship Id="rId2065" Type="http://schemas.openxmlformats.org/officeDocument/2006/relationships/hyperlink" Target="https://www.deseretnews.com/article/107923/911-TAPE-TELLS-HORROR-OF-FLORIDA-MASSACRE.html" TargetMode="External"/><Relationship Id="rId2272" Type="http://schemas.openxmlformats.org/officeDocument/2006/relationships/hyperlink" Target="https://heavy.com/news/2016/02/jason-dalton-kalamazoo-shooting-spree-suspect-gunman-shooter-name-photos-pictures-facebook-motive-age/" TargetMode="External"/><Relationship Id="rId244" Type="http://schemas.openxmlformats.org/officeDocument/2006/relationships/hyperlink" Target="https://books.google.com/books?id=DIG_9oBssrAC&amp;dq=charles+meach+murder+at+40+below&amp;q=charles+meach" TargetMode="External"/><Relationship Id="rId1081" Type="http://schemas.openxmlformats.org/officeDocument/2006/relationships/hyperlink" Target="https://www.heraldpalladium.com/localnews/killings-shock-friends-and-neighbors/article_1e98c855-92d1-5d68-aaa6-e68165370d57.html" TargetMode="External"/><Relationship Id="rId451" Type="http://schemas.openxmlformats.org/officeDocument/2006/relationships/hyperlink" Target="http://articles.latimes.com/1988-09-23/news/mn-2824_1_police-officer" TargetMode="External"/><Relationship Id="rId2132" Type="http://schemas.openxmlformats.org/officeDocument/2006/relationships/hyperlink" Target="https://www.nytimes.com/1999/07/31/us/shootings-in-atlanta-the-overview-killer-confessed-in-a-letter-spiked-with-rage.html" TargetMode="External"/><Relationship Id="rId104" Type="http://schemas.openxmlformats.org/officeDocument/2006/relationships/hyperlink" Target="https://www.nytimes.com/1972/06/23/archives/anger-with-employment-agency-is-cited-as-gunmans-motivation-for.html?url=http%3A%2F%2Ftimesmachine.nytimes.com%2Ftimesmachine%2F1972%2F06%2F23%2F83448005.html%3Faction%3Dclick&amp;region=ArchiveBody&amp;module=LedeAsset" TargetMode="External"/><Relationship Id="rId311"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898" Type="http://schemas.openxmlformats.org/officeDocument/2006/relationships/hyperlink" Target="https://abc13.com/no-federal-charges-for-santa-fe-high-shooting-suspect/5211138/" TargetMode="External"/><Relationship Id="rId1758" Type="http://schemas.openxmlformats.org/officeDocument/2006/relationships/hyperlink" Target="https://www.washingtonpost.com/news/post-nation/wp/2016/09/25/after-day-long-manhunt-police-arrest-20-year-old-in-washington-state-mall-killings/?utm_term=.335996c4ae24" TargetMode="External"/><Relationship Id="rId1965"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1618" Type="http://schemas.openxmlformats.org/officeDocument/2006/relationships/hyperlink" Target="https://www.cbsnews.com/news/woman-allegedly-kills-4-at-american-indian-hq-in-california/" TargetMode="External"/><Relationship Id="rId1825" Type="http://schemas.openxmlformats.org/officeDocument/2006/relationships/hyperlink" Target="https://www.nbcnews.com/news/us-news/gunman-california-shooting-spree-needed-mental-help-sister-says-n821216" TargetMode="External"/><Relationship Id="rId2599" Type="http://schemas.openxmlformats.org/officeDocument/2006/relationships/hyperlink" Target="https://www.sun-sentinel.com/news/fl-xpm-2010-06-13-sfl-hialeah-massacre-romance-06132010-story.html" TargetMode="External"/><Relationship Id="rId778" Type="http://schemas.openxmlformats.org/officeDocument/2006/relationships/hyperlink" Target="http://www.aikenstandard.com/news/twenty-years-later-remembering-the-shooting-at-phelon-plant-in/article_4b5b7132-9983-11e7-b425-9f5c8ce770f8.html" TargetMode="External"/><Relationship Id="rId985" Type="http://schemas.openxmlformats.org/officeDocument/2006/relationships/hyperlink" Target="https://books.google.com/books?id=_UHFAgAAQBAJ&amp;pg=PT73&amp;lpg=PT73&amp;dq=silvio+izquierdo-leyva&amp;source=bl&amp;ots=uixROp_2jx&amp;sig=ACfU3U3nszsWy_Mbw-rHb-Irn7AxeAoXjg&amp;hl=en&amp;sa=X&amp;ved=2ahUKEwjmtuaa_KjkAhUQ5awKHfaeDe4Q6AEwD3oECAkQAQ" TargetMode="External"/><Relationship Id="rId2459" Type="http://schemas.openxmlformats.org/officeDocument/2006/relationships/hyperlink" Target="https://www.theguardian.com/us-news/2015/dec/05/oakland-shooting-hearing-oikos-university-psychiatrist-one-goh" TargetMode="External"/><Relationship Id="rId2666" Type="http://schemas.openxmlformats.org/officeDocument/2006/relationships/hyperlink" Target="https://www.nytimes.com/2006/02/03/us/woman-in-california-postal-shootings-had-history-of-bizarre-behavior.html" TargetMode="External"/><Relationship Id="rId638" Type="http://schemas.openxmlformats.org/officeDocument/2006/relationships/hyperlink" Target="http://www.nytimes.com/1993/07/03/us/the-broker-who-killed-8-gunman-s-motives-a-puzzle.html" TargetMode="External"/><Relationship Id="rId845" Type="http://schemas.openxmlformats.org/officeDocument/2006/relationships/hyperlink" Target="https://www.pbs.org/wgbh/frontline/article/fourteen-years-later-looking-back-at-a-school-shooting/" TargetMode="External"/><Relationship Id="rId1268" Type="http://schemas.openxmlformats.org/officeDocument/2006/relationships/hyperlink" Target="https://www.denverpost.com/2008/03/27/arvada-shooting-report-offers-new-insights-into-killer/" TargetMode="External"/><Relationship Id="rId1475" Type="http://schemas.openxmlformats.org/officeDocument/2006/relationships/hyperlink" Target="http://www.nbcnews.com/id/44913588/ns/us_news-crime_and_courts/t/details-calif-shooting-suspects-life-emerges/" TargetMode="External"/><Relationship Id="rId1682" Type="http://schemas.openxmlformats.org/officeDocument/2006/relationships/hyperlink" Target="https://www.dailymail.co.uk/news/article-3325766/How-Texas-campground-massacre-unfolded-drunken-wife-beating-local-obsessed-idea-outdoors-loving-family-stolen-land-family-squa?tted-years.html" TargetMode="External"/><Relationship Id="rId2319" Type="http://schemas.openxmlformats.org/officeDocument/2006/relationships/hyperlink" Target="https://heavy.com/news/2019/12/francine-graham/" TargetMode="External"/><Relationship Id="rId2526" Type="http://schemas.openxmlformats.org/officeDocument/2006/relationships/hyperlink" Target="https://www.latimes.com/nation/nationnow/la-na-nn-chris-harper-mercer-oregon-shooting-20151002-htmlstory.html" TargetMode="External"/><Relationship Id="rId2733" Type="http://schemas.openxmlformats.org/officeDocument/2006/relationships/hyperlink" Target="https://www.wtae.com/article/two-men-charged-with-homicide-in-connection-with-wilkinsburg-backyard-ambush/7480821" TargetMode="External"/><Relationship Id="rId705" Type="http://schemas.openxmlformats.org/officeDocument/2006/relationships/hyperlink" Target="http://fultonhistory.com/Newspaper%2024/Rockingham%20NC%20Richmond%20County%20Journal/Rockingham%20NC%20Richmond%20County%20Journal%201995/Rockingham%20NC%20%20Richmond%20County%20Journal%201995%20-%200018.pdf" TargetMode="External"/><Relationship Id="rId1128" Type="http://schemas.openxmlformats.org/officeDocument/2006/relationships/hyperlink" Target="https://www.nydailynews.com/news/crime/darrell-dimebag-abbott-killed-pantera-fan-2004-article-1.572821" TargetMode="External"/><Relationship Id="rId1335" Type="http://schemas.openxmlformats.org/officeDocument/2006/relationships/hyperlink" Target="http://www.nbcnews.com/id/25361852/ns/us_news-crime_and_courts/t/dead-argument-boss-ends-rampage/" TargetMode="External"/><Relationship Id="rId1542" Type="http://schemas.openxmlformats.org/officeDocument/2006/relationships/hyperlink" Target="http://www.startribune.com/andrew-engeldinger-lost-his-job-then-opened-fire-killing-5/171774461/" TargetMode="External"/><Relationship Id="rId912" Type="http://schemas.openxmlformats.org/officeDocument/2006/relationships/hyperlink" Target="https://lasvegassun.com/news/1999/jun/04/floyd-described-as-sweet-guy-with-violent-streak/" TargetMode="External"/><Relationship Id="rId41" Type="http://schemas.openxmlformats.org/officeDocument/2006/relationships/hyperlink" Target="http://www.nydailynews.com/news/crime/experts-clueless-man-fatally-shot-50-years-article-1.3548519" TargetMode="External"/><Relationship Id="rId1402" Type="http://schemas.openxmlformats.org/officeDocument/2006/relationships/hyperlink" Target="https://www.seattletimes.com/seattle-news/a-path-to-murder-the-story-of-maurice-clemmons/" TargetMode="External"/><Relationship Id="rId288" Type="http://schemas.openxmlformats.org/officeDocument/2006/relationships/hyperlink" Target="https://www.washingtonpost.com/archive/politics/1983/12/15/after-murder-rampage-a-test-of-survival/08bb8578-7f36-4dde-b3ce-076fbcb61aff/?noredirect=on&amp;utm_term=.e6cad36dfe11http://amok.wikia.com/wiki/Louis_Hastings" TargetMode="External"/><Relationship Id="rId495" Type="http://schemas.openxmlformats.org/officeDocument/2006/relationships/hyperlink" Target="http://articles.latimes.com/1990-06-19/news/mn-52_1_office-workers" TargetMode="External"/><Relationship Id="rId2176" Type="http://schemas.openxmlformats.org/officeDocument/2006/relationships/hyperlink" Target="https://www.denverpost.com/2005/08/29/4-slain-near-texas-church/" TargetMode="External"/><Relationship Id="rId2383" Type="http://schemas.openxmlformats.org/officeDocument/2006/relationships/hyperlink" Target="https://kobi5.com/news/regional-news/roseburg-shootings-trigger-mass-murder-memories-in-klamath-falls-2417/" TargetMode="External"/><Relationship Id="rId2590" Type="http://schemas.openxmlformats.org/officeDocument/2006/relationships/hyperlink" Target="https://www.local10.com/news/2013/08/01/police-may-have-motive-in-hialeah-massacre/" TargetMode="External"/><Relationship Id="rId148" Type="http://schemas.openxmlformats.org/officeDocument/2006/relationships/hyperlink" Target="https://www.nytimes.com/1977/08/29/archives/quarrels-at-home-cited-as-cause-in-jersey-shootings.html" TargetMode="External"/><Relationship Id="rId355" Type="http://schemas.openxmlformats.org/officeDocument/2006/relationships/hyperlink" Target="http://articles.latimes.com/1994-07-17/local/me-16553_1_san-ysidro" TargetMode="External"/><Relationship Id="rId562" Type="http://schemas.openxmlformats.org/officeDocument/2006/relationships/hyperlink" Target="https://law.justia.com/cases/federal/district-courts/FSupp/921/1550/1988257/" TargetMode="External"/><Relationship Id="rId1192" Type="http://schemas.openxmlformats.org/officeDocument/2006/relationships/hyperlink" Target="https://www.myplainview.com/news/article/Gunman-kills-self-after-shooting-four-at-rural-8725414.php" TargetMode="External"/><Relationship Id="rId2036" Type="http://schemas.openxmlformats.org/officeDocument/2006/relationships/hyperlink" Target="https://www.nytimes.com/1983/02/04/nyregion/gunman-kills-four-and-wounds-a-fifth-at-a-west-side-hotel.html" TargetMode="External"/><Relationship Id="rId2243" Type="http://schemas.openxmlformats.org/officeDocument/2006/relationships/hyperlink" Target="https://www.cbsnews.com/news/upstate-new-york-shooting-update-kurt-myers-suspected-gunman-killed-by-police-in-shootout/" TargetMode="External"/><Relationship Id="rId2450" Type="http://schemas.openxmlformats.org/officeDocument/2006/relationships/hyperlink" Target="https://www.seattlepi.com/seattlenews/article/Isaac-Zamora-10781621.php" TargetMode="External"/><Relationship Id="rId215" Type="http://schemas.openxmlformats.org/officeDocument/2006/relationships/hyperlink" Target="https://www.upi.com/Archives/1981/10/16/A-gunman-burst-into-an-auto-parts-store-Friday/9402372052800/" TargetMode="External"/><Relationship Id="rId422"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1052" Type="http://schemas.openxmlformats.org/officeDocument/2006/relationships/hyperlink" Target="https://www.denverpost.com/2015/04/02/gunman-kills-3-wounds-4-in-rifle-rampage-mental-patient-is-arrested/" TargetMode="External"/><Relationship Id="rId2103" Type="http://schemas.openxmlformats.org/officeDocument/2006/relationships/hyperlink" Target="https://www.nytimes.com/1995/12/20/us/5-are-killed-by-gunman-in-bronx-shoe-store.html" TargetMode="External"/><Relationship Id="rId2310" Type="http://schemas.openxmlformats.org/officeDocument/2006/relationships/hyperlink" Target="https://chicago.cbslocal.com/2019/04/29/gary-martin-henry-pratt-shooting-report-police-justified/" TargetMode="External"/><Relationship Id="rId1869" Type="http://schemas.openxmlformats.org/officeDocument/2006/relationships/hyperlink" Target="https://www.cnn.com/2018/02/25/us/nikolas-cruz-warning-signs/index.html" TargetMode="External"/><Relationship Id="rId1729" Type="http://schemas.openxmlformats.org/officeDocument/2006/relationships/hyperlink" Target="https://www.nbcnews.com/storyline/dallas-police-ambush/dallas-shooter-micah-xavier-johnson-was-army-veteran-n606101" TargetMode="External"/><Relationship Id="rId1936" Type="http://schemas.openxmlformats.org/officeDocument/2006/relationships/hyperlink" Target="https://www.chicagotribune.com/news/breaking/ct-met-gary-martin-aurora-shooter-20190216-story.html" TargetMode="External"/><Relationship Id="rId5" Type="http://schemas.openxmlformats.org/officeDocument/2006/relationships/hyperlink" Target="https://www.npr.org/sections/health-shots/2016/07/29/487767127/gun-violence-and-mental-health-laws-50-years-after-texas-tower-sniper" TargetMode="External"/><Relationship Id="rId889" Type="http://schemas.openxmlformats.org/officeDocument/2006/relationships/hyperlink" Target="https://www.cnn.com/2013/09/18/us/columbine-high-school-shootings-fast-facts/index.html" TargetMode="External"/><Relationship Id="rId749" Type="http://schemas.openxmlformats.org/officeDocument/2006/relationships/hyperlink" Target="http://www.wlbt.com/story/18995724/new-book-details-shooting-rampage-at-jackson-fire-station/" TargetMode="External"/><Relationship Id="rId1379" Type="http://schemas.openxmlformats.org/officeDocument/2006/relationships/hyperlink" Target="https://www.syracuse.com/news/2009/04/jiverly_wongs_father_our_son_w.html" TargetMode="External"/><Relationship Id="rId1586" Type="http://schemas.openxmlformats.org/officeDocument/2006/relationships/hyperlink" Target="https://www.seattletimes.com/seattle-news/witnesses-among-5-dead-in-federal-way/" TargetMode="External"/><Relationship Id="rId609" Type="http://schemas.openxmlformats.org/officeDocument/2006/relationships/hyperlink" Target="http://www.nytimes.com/1992/10/17/nyregion/shooting-followed-tougher-efforts-to-collect-child-support.html" TargetMode="External"/><Relationship Id="rId956" Type="http://schemas.openxmlformats.org/officeDocument/2006/relationships/hyperlink" Target="http://articles.chicagotribune.com/1999-09-18/news/9909180043_1_prayer-service-rev-al-meredith-larry-gene-ashbrook" TargetMode="External"/><Relationship Id="rId1239" Type="http://schemas.openxmlformats.org/officeDocument/2006/relationships/hyperlink" Target="https://lancasteronline.com/news/a-killer-s-life-an-in-depth-look-at-nickel/article_d302e19f-a0df-5c4f-8fe7-2fa6b31a0dbf.html" TargetMode="External"/><Relationship Id="rId1793" Type="http://schemas.openxmlformats.org/officeDocument/2006/relationships/hyperlink" Target="https://www.nbcnews.com/storyline/texas-church-shooting/who-devin-kelley-alleged-texas-church-shooter-n817806" TargetMode="External"/><Relationship Id="rId2637" Type="http://schemas.openxmlformats.org/officeDocument/2006/relationships/hyperlink" Target="https://www.nytimes.com/2009/11/09/us/09reconstruct.html?pagewanted=all" TargetMode="External"/><Relationship Id="rId85" Type="http://schemas.openxmlformats.org/officeDocument/2006/relationships/hyperlink" Target="https://news.google.com/newspapers?id=Ve1OAAAAIBAJ&amp;sjid=xwEEAAAAIBAJ&amp;pg=4643,3113670&amp;dq=albany+ny+department+of+labor+employees+shot+murdered&amp;hl=en" TargetMode="External"/><Relationship Id="rId816" Type="http://schemas.openxmlformats.org/officeDocument/2006/relationships/hyperlink" Target="https://books.google.com/books?id=3ewAoOHQQzcC&amp;pg=PA158&amp;lpg=PA158&amp;dq=matthew+beck+shooting+march+6+1998&amp;source=bl&amp;ots=FyjXTPh7sz&amp;sig=qN7NzBuWHk2XbdHNZgZAMYsS6YY&amp;hl=en&amp;sa=X&amp;ved=0ahUKEwj_7cuqhufYAhUJ7awKHU7JAa0Q6AEIOTAD" TargetMode="External"/><Relationship Id="rId1446" Type="http://schemas.openxmlformats.org/officeDocument/2006/relationships/hyperlink" Target="http://www.nbcnews.com/id/38853191/ns/us_news-crime_and_courts/t/man-surrenders-ny-shooting-deaths/" TargetMode="External"/><Relationship Id="rId1653" Type="http://schemas.openxmlformats.org/officeDocument/2006/relationships/hyperlink" Target="https://www.washingtonpost.com/world/national-security/chattanooga-shooter-came-from-middle-class-muslim-family/2015/07/16/815c39c2-2c04-11e5-bd33-395c05608059_story.html?utm_term=.1890d54b46b6" TargetMode="External"/><Relationship Id="rId1860" Type="http://schemas.openxmlformats.org/officeDocument/2006/relationships/hyperlink" Target="https://www.cnn.com/2018/02/14/us/nikolas-cruz-florida-shooting-suspect/index.html" TargetMode="External"/><Relationship Id="rId2704" Type="http://schemas.openxmlformats.org/officeDocument/2006/relationships/hyperlink" Target="https://www.nytimes.com/interactive/2016/12/10/us/dylann-roof-exhibit2.html" TargetMode="External"/><Relationship Id="rId1306" Type="http://schemas.openxmlformats.org/officeDocument/2006/relationships/hyperlink" Target="https://syvnews.com/news/local/crime-and-courts/leeds-believed-victims-were-mexican-mafia-defense-says/article_2182f8c2-8916-11e1-8bbd-0019bb2963f4.html" TargetMode="External"/><Relationship Id="rId1513" Type="http://schemas.openxmlformats.org/officeDocument/2006/relationships/hyperlink" Target="https://www.cbsnews.com/news/colorado-theater-shooting-classmate-says-james-holmes-was-totally-non-aggressive-a-little-forgettable/" TargetMode="External"/><Relationship Id="rId1720" Type="http://schemas.openxmlformats.org/officeDocument/2006/relationships/hyperlink" Target="http://www.cnn.com/2016/07/08/us/philando-castile-alton-sterling-protests/index.html" TargetMode="External"/><Relationship Id="rId12" Type="http://schemas.openxmlformats.org/officeDocument/2006/relationships/hyperlink" Target="https://archive.nytimes.com/www.nytimes.com/library/national/080366tx-shoot.html" TargetMode="External"/><Relationship Id="rId399" Type="http://schemas.openxmlformats.org/officeDocument/2006/relationships/hyperlink" Target="http://www.vpc.org/studies/wgun860820.htm" TargetMode="External"/><Relationship Id="rId2287" Type="http://schemas.openxmlformats.org/officeDocument/2006/relationships/hyperlink" Target="https://www.cnn.com/2017/11/05/us/texas-church-shooting-resident-action/index.html" TargetMode="External"/><Relationship Id="rId2494" Type="http://schemas.openxmlformats.org/officeDocument/2006/relationships/hyperlink" Target="https://www.nytimes.com/1990/06/19/us/florida-gunman-kills-8-and-wounds-6-in-office.html" TargetMode="External"/><Relationship Id="rId259"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466" Type="http://schemas.openxmlformats.org/officeDocument/2006/relationships/hyperlink" Target="https://www.nytimes.com/1989/01/20/us/killer-depicted-as-loner-full-of-hate.html" TargetMode="External"/><Relationship Id="rId673" Type="http://schemas.openxmlformats.org/officeDocument/2006/relationships/hyperlink" Target="https://www.wired.com/1994/06/rage/" TargetMode="External"/><Relationship Id="rId880" Type="http://schemas.openxmlformats.org/officeDocument/2006/relationships/hyperlink" Target="https://www.theguardian.com/world/2009/apr/17/columbine-massacre-gun-crime-us" TargetMode="External"/><Relationship Id="rId1096" Type="http://schemas.openxmlformats.org/officeDocument/2006/relationships/hyperlink" Target="https://www.census.gov/quickfacts/chicagocityillinois" TargetMode="External"/><Relationship Id="rId2147" Type="http://schemas.openxmlformats.org/officeDocument/2006/relationships/hyperlink" Target="https://www.latimes.com/archives/la-xpm-2001-jan-10-mn-10586-story.html" TargetMode="External"/><Relationship Id="rId2354" Type="http://schemas.openxmlformats.org/officeDocument/2006/relationships/hyperlink" Target="https://slate.com/technology/2007/04/was-cho-a-psychopath-a-depressive-or-a-psychotic.html" TargetMode="External"/><Relationship Id="rId2561" Type="http://schemas.openxmlformats.org/officeDocument/2006/relationships/hyperlink" Target="https://news.google.com/newspapers?id=_SdZAAAAIBAJ&amp;sjid=C0cNAAAAIBAJ&amp;pg=6601,992534&amp;dq=" TargetMode="External"/><Relationship Id="rId119" Type="http://schemas.openxmlformats.org/officeDocument/2006/relationships/hyperlink" Target="https://www.ocregister.com/2010/07/16/release-blocked-for-countys-worst-mass-killer/" TargetMode="External"/><Relationship Id="rId326" Type="http://schemas.openxmlformats.org/officeDocument/2006/relationships/hyperlink" Target="https://www.nytimes.com/1984/05/21/us/bodies-of-seven-sought-after-shootout-in-alaska.html" TargetMode="External"/><Relationship Id="rId533" Type="http://schemas.openxmlformats.org/officeDocument/2006/relationships/hyperlink" Target="http://www.crimemagazine.com/lubys-cafeteria-massacre-1991" TargetMode="External"/><Relationship Id="rId1163" Type="http://schemas.openxmlformats.org/officeDocument/2006/relationships/hyperlink" Target="https://books.google.com/books?id=cmTxCQAAQBAJ&amp;pg=PA483&amp;lpg=PA483&amp;dq=terry+ratzmann+autopsy&amp;source=bl&amp;ots=eXUyJ-eUsC&amp;sig=ACfU3U0AnH0CEJQNTyozFGri7z8JmECjwg&amp;hl=en&amp;sa=X&amp;ved=2ahUKEwjfy9SyhrzgAhUYCDQIHdimD1s4ChDoATAAegQICRAB" TargetMode="External"/><Relationship Id="rId1370" Type="http://schemas.openxmlformats.org/officeDocument/2006/relationships/hyperlink" Target="https://www.nytimes.com/2009/04/12/nyregion/12binghamton.html" TargetMode="External"/><Relationship Id="rId2007" Type="http://schemas.openxmlformats.org/officeDocument/2006/relationships/hyperlink" Target="https://www.nytimes.com/1972/06/23/archives/anger-with-employment-agency-is-cited-as-gunmans-motivation-for.html" TargetMode="External"/><Relationship Id="rId2214" Type="http://schemas.openxmlformats.org/officeDocument/2006/relationships/hyperlink" Target="https://www.dailynews.com/2016/04/04/killer-of-4-at-valley-village-restaurant-escapes-death-penalty/" TargetMode="External"/><Relationship Id="rId740" Type="http://schemas.openxmlformats.org/officeDocument/2006/relationships/hyperlink" Target="http://nysdoccslookup.doccs.ny.gov/GCA00P00/WIQ3/WINQ130" TargetMode="External"/><Relationship Id="rId1023" Type="http://schemas.openxmlformats.org/officeDocument/2006/relationships/hyperlink" Target="https://www.nytimes.com/2000/12/28/us/in-wake-of-killings-strands-of-suspect-s-life.html" TargetMode="External"/><Relationship Id="rId2421" Type="http://schemas.openxmlformats.org/officeDocument/2006/relationships/hyperlink" Target="https://www.washingtonpost.com/archive/politics/1996/02/10/fired-worker-shoots-5-dead-kills-himself/fe3750b6-0748-4f95-a3b6-bb8948705e80/?noredirect=on" TargetMode="External"/><Relationship Id="rId600" Type="http://schemas.openxmlformats.org/officeDocument/2006/relationships/hyperlink" Target="https://www.upi.com/Archives/1992/10/15/Gunman-kills-four-self-at-state-welfare-office/9825719121600/" TargetMode="External"/><Relationship Id="rId1230" Type="http://schemas.openxmlformats.org/officeDocument/2006/relationships/hyperlink" Target="http://www.thestranger.com/seattle/dead-quiet/Content?oid=31361" TargetMode="External"/><Relationship Id="rId183" Type="http://schemas.openxmlformats.org/officeDocument/2006/relationships/hyperlink" Target="https://www.leagle.com/decision/1985350349pasuper11350" TargetMode="External"/><Relationship Id="rId390" Type="http://schemas.openxmlformats.org/officeDocument/2006/relationships/hyperlink" Target="https://www.washingtonpost.com/archive/politics/1985/04/05/in-factory-town-fear-of-a-killing-pace/795719f4-fac5-45ee-a5ea-908b039750a8/?noredirect=on&amp;utm_term=.363d4155431a" TargetMode="External"/><Relationship Id="rId1907" Type="http://schemas.openxmlformats.org/officeDocument/2006/relationships/hyperlink" Target="https://www.washingtonpost.com/national/alleged-school-killer-dimitrios-pagourtzis-was-nondescript-betraying-a-growing-darkness/2018/05/18/d69f5b88-5ade-11e8-8836-a4a123c359ab_story.html?utm_term=.6f701179d871" TargetMode="External"/><Relationship Id="rId2071" Type="http://schemas.openxmlformats.org/officeDocument/2006/relationships/hyperlink" Target="https://www.nytimes.com/1991/11/03/us/gunman-in-iowa-wrote-of-plans-in-five-letters.html" TargetMode="External"/><Relationship Id="rId250"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110" Type="http://schemas.openxmlformats.org/officeDocument/2006/relationships/hyperlink" Target="https://news.google.com/newspapers?id=CJRPAAAAIBAJ&amp;sjid=RVIDAAAAIBAJ&amp;pg=3521,4360795&amp;hl=en" TargetMode="External"/><Relationship Id="rId1697" Type="http://schemas.openxmlformats.org/officeDocument/2006/relationships/hyperlink" Target="https://www.washingtonpost.com/news/post-nation/wp/2016/12/02/one-year-after-san-bernardino-police-offer-a-possible-motive-as-questions-still-linger/?utm_term=.d7da1d9b0cc2" TargetMode="External"/><Relationship Id="rId927" Type="http://schemas.openxmlformats.org/officeDocument/2006/relationships/hyperlink" Target="http://www.ajc.com/news/local-govt--politics/atlanta-rewind-mark-barton-1999-buckhead-rampage/nKrh2xInFnAcGFCW7CrFGL/" TargetMode="External"/><Relationship Id="rId1557" Type="http://schemas.openxmlformats.org/officeDocument/2006/relationships/hyperlink" Target="https://www.cbsnews.com/news/did-race-and-affluence-factor-into-mental-care-of-sandy-hook-shooter/" TargetMode="External"/><Relationship Id="rId1764" Type="http://schemas.openxmlformats.org/officeDocument/2006/relationships/hyperlink" Target="https://www.usatoday.com/story/news/2017/01/26/esteban-santiago-charged-florida-airport-killings/97099234/" TargetMode="External"/><Relationship Id="rId1971"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2608" Type="http://schemas.openxmlformats.org/officeDocument/2006/relationships/hyperlink" Target="https://www.chicagotribune.com/news/ct-xpm-1999-03-12-9903120268-story.html" TargetMode="External"/><Relationship Id="rId56" Type="http://schemas.openxmlformats.org/officeDocument/2006/relationships/hyperlink" Target="https://books.google.com/books?id=LEgSiLnmgYoC&amp;pg=PA88&amp;lpg=PA88&amp;dq=%22leo+held%22+paranoid&amp;source=bl&amp;ots=lYSrqNF9p4&amp;sig=ACfU3U2hB3e3SFcOZwjkD8GJFWzEnNrU4Q&amp;hl=en&amp;sa=X&amp;ved=2ahUKEwjj-MHt4cPhAhUh8YMKHR3WBToQ6AEwAXoECAgQAQ" TargetMode="External"/><Relationship Id="rId1417" Type="http://schemas.openxmlformats.org/officeDocument/2006/relationships/hyperlink" Target="https://www.lapd.com/article/suspect-valley-village-massacre-named" TargetMode="External"/><Relationship Id="rId1624" Type="http://schemas.openxmlformats.org/officeDocument/2006/relationships/hyperlink" Target="https://www.washingtonpost.com/national/sheriff-calif-shooter-rodger-flew-under-the-radar-when-deputies-visited-him-in-april/2014/05/25/88123026-e3b4-11e3-8dcc-d6b7fede081a_story.html?noredirect=on&amp;utm_term=.22acb12d0b39" TargetMode="External"/><Relationship Id="rId1831" Type="http://schemas.openxmlformats.org/officeDocument/2006/relationships/hyperlink" Target="https://www.nbcnews.com/news/us-news/gunman-california-shooting-spree-needed-mental-help-sister-says-n821216" TargetMode="External"/><Relationship Id="rId2398" Type="http://schemas.openxmlformats.org/officeDocument/2006/relationships/hyperlink" Target="https://www.odmp.org/officer/13864-sergeant-wayne-m-warwick" TargetMode="External"/><Relationship Id="rId577" Type="http://schemas.openxmlformats.org/officeDocument/2006/relationships/hyperlink" Target="https://www.kcra.com/article/25-years-later-survivors-of-norcal-school-shooting-remember-tragedy/9589885" TargetMode="External"/><Relationship Id="rId2258" Type="http://schemas.openxmlformats.org/officeDocument/2006/relationships/hyperlink" Target="https://www.nbcnews.com/storyline/marysville-school-shooting/two=dead-including-gunman-school-schooting-near-seattle-n233371" TargetMode="External"/><Relationship Id="rId784" Type="http://schemas.openxmlformats.org/officeDocument/2006/relationships/hyperlink" Target="https://books.google.com/books?id=cmTxCQAAQBAJ&amp;pg=PA604&amp;lpg=PA604&amp;dq=%22hastings+wise%22+shooting&amp;source=bl&amp;ots=eXVBKVhTsC&amp;sig=ACfU3U0AQ0Gk5TaUOOKRbirl8pltRbcTjg&amp;hl=en&amp;sa=X&amp;ved=2ahUKEwiIwoj-0rfjAhUba80KHUDGBLg4ChDoATAIegQIChAB" TargetMode="External"/><Relationship Id="rId991" Type="http://schemas.openxmlformats.org/officeDocument/2006/relationships/hyperlink" Target="https://www.dallasnews.com/news/news/2012/09/20/texas-executes-man-who-murdered-5-at-irving-car-wash-12-years-ago" TargetMode="External"/><Relationship Id="rId1067" Type="http://schemas.openxmlformats.org/officeDocument/2006/relationships/hyperlink" Target="https://www.latimes.com/archives/la-xpm-2001-sep-11-mn-44550-story.html" TargetMode="External"/><Relationship Id="rId2465" Type="http://schemas.openxmlformats.org/officeDocument/2006/relationships/hyperlink" Target="https://www.cbsnews.com/news/cherie-lash-rhoades-woman-arrested-for-tribal-shooting-known-as-bully/" TargetMode="External"/><Relationship Id="rId2672" Type="http://schemas.openxmlformats.org/officeDocument/2006/relationships/hyperlink" Target="https://www.oregonlive.com/news/2008/09/court_documents_detail_washing.html" TargetMode="External"/><Relationship Id="rId437" Type="http://schemas.openxmlformats.org/officeDocument/2006/relationships/hyperlink" Target="https://www.nytimes.com/1988/07/19/us/four-motorists-are-shot-to-death-gunman-wounded-in-12-minutes.html" TargetMode="External"/><Relationship Id="rId644" Type="http://schemas.openxmlformats.org/officeDocument/2006/relationships/hyperlink" Target="http://www.nytimes.com/1993/08/08/us/soldier-kills-4-people-and-hurts-6-in-a-restaurant-in-north-carolina.html" TargetMode="External"/><Relationship Id="rId851" Type="http://schemas.openxmlformats.org/officeDocument/2006/relationships/hyperlink" Target="https://www.pbs.org/wgbh/pages/frontline/shows/kinkel/trial/" TargetMode="External"/><Relationship Id="rId1274" Type="http://schemas.openxmlformats.org/officeDocument/2006/relationships/hyperlink" Target="https://www.denverpost.com/2008/03/27/murray-obsesses-with-guns-shootings/" TargetMode="External"/><Relationship Id="rId1481" Type="http://schemas.openxmlformats.org/officeDocument/2006/relationships/hyperlink" Target="https://www.mercurynews.com/2012/04/02/oakland-university-shooting-accused-oikos-university-shooter-one-goh-was-troubled-angry-said-those-who-knew-him/" TargetMode="External"/><Relationship Id="rId2118" Type="http://schemas.openxmlformats.org/officeDocument/2006/relationships/hyperlink" Target="https://www.nytimes.com/1998/03/29/us/from-wild-talk-and-friendship-to-five-deaths-in-a-schoolyard.html?mcubz=0" TargetMode="External"/><Relationship Id="rId2325" Type="http://schemas.openxmlformats.org/officeDocument/2006/relationships/hyperlink" Target="https://www.post-gazette.com/news/crime-courts/2018/11/10/Robert-Bowers-extremism-Tree-of-Life-massacre-shooting-pittsburgh-Gab-Warroom/stories/201811080165" TargetMode="External"/><Relationship Id="rId2532" Type="http://schemas.openxmlformats.org/officeDocument/2006/relationships/hyperlink" Target="https://www.nydailynews.com/news/crime/beauty-salon-massacre-article-1.273663" TargetMode="External"/><Relationship Id="rId504" Type="http://schemas.openxmlformats.org/officeDocument/2006/relationships/hyperlink" Target="http://www.nytimes.com/1991/10/11/nyregion/4-slain-in-2-new-jersey-attacks-and-former-postal-clerk-is-held.html?pagewanted=all" TargetMode="External"/><Relationship Id="rId711" Type="http://schemas.openxmlformats.org/officeDocument/2006/relationships/hyperlink" Target="http://www.nytimes.com/1995/04/04/us/6-die-in-texas-office-shooting.html" TargetMode="External"/><Relationship Id="rId1134" Type="http://schemas.openxmlformats.org/officeDocument/2006/relationships/hyperlink" Target="https://www.newyorker.com/magazine/2008/02/04/death-in-georgia" TargetMode="External"/><Relationship Id="rId1341" Type="http://schemas.openxmlformats.org/officeDocument/2006/relationships/hyperlink" Target="https://www.nytimes.com/2008/09/04/us/04spree.html" TargetMode="External"/><Relationship Id="rId1201" Type="http://schemas.openxmlformats.org/officeDocument/2006/relationships/hyperlink" Target="https://www.independent.com/news/2013/jan/31/goleta-postal-murders/" TargetMode="External"/><Relationship Id="rId294"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2182" Type="http://schemas.openxmlformats.org/officeDocument/2006/relationships/hyperlink" Target="https://caselaw.findlaw.com/la-supreme-court/1546275.html" TargetMode="External"/><Relationship Id="rId154"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361" Type="http://schemas.openxmlformats.org/officeDocument/2006/relationships/hyperlink" Target="https://books.google.com/books?id=AqAtjVMGnLIC&amp;q=huberty+family+farm" TargetMode="External"/><Relationship Id="rId2042" Type="http://schemas.openxmlformats.org/officeDocument/2006/relationships/hyperlink" Target="https://www.nytimes.com/1984/06/30/us/6-die-in-dallas-club-as-enraged-man-fires-wildly.html?mcubz=0" TargetMode="External"/><Relationship Id="rId221" Type="http://schemas.openxmlformats.org/officeDocument/2006/relationships/hyperlink" Target="https://www.upi.com/Archives/1981/10/16/A-gunman-burst-into-an-auto-parts-store-Friday/9402372052800/" TargetMode="External"/><Relationship Id="rId1668" Type="http://schemas.openxmlformats.org/officeDocument/2006/relationships/hyperlink" Target="https://www.latimes.com/nation/nationnow/la-na-nn-chris-harper-mercer-oregon-shooting-20151002-htmlstory.html" TargetMode="External"/><Relationship Id="rId1875" Type="http://schemas.openxmlformats.org/officeDocument/2006/relationships/hyperlink" Target="https://www.tennessean.com/story/news/crime/2018/12/17/waffle-house-shooting-travis-reinking-father-lawsuit/2339094002/" TargetMode="External"/><Relationship Id="rId2719" Type="http://schemas.openxmlformats.org/officeDocument/2006/relationships/hyperlink" Target="https://www.post-gazette.com/news/crime-courts/2018/10/29/Robert-Bowers-suspect-gunman-Pittsburgh-Tree-of-Life-synagogue-massacre-attack-federal-court/stories/201810290090" TargetMode="External"/><Relationship Id="rId1528" Type="http://schemas.openxmlformats.org/officeDocument/2006/relationships/hyperlink" Target="https://www.nytimes.com/2012/08/06/us/shooting-reported-at-temple-in-wisconsin.html" TargetMode="External"/><Relationship Id="rId1735" Type="http://schemas.openxmlformats.org/officeDocument/2006/relationships/hyperlink" Target="https://www.washingtonpost.com/news/morning-mix/wp/2016/07/09/dallas-shooter-was-a-good-kid-says-neighbor-i-believe-he-just-snapped/?utm_term=.4fb3cd5314c8" TargetMode="External"/><Relationship Id="rId1942" Type="http://schemas.openxmlformats.org/officeDocument/2006/relationships/hyperlink" Target="https://time.com/5643405/what-to-know-shooting-dayton-ohio/" TargetMode="External"/><Relationship Id="rId27" Type="http://schemas.openxmlformats.org/officeDocument/2006/relationships/hyperlink" Target="http://www.lockhaven.com/news/community/2017/10/the-fury-of-leo-held/" TargetMode="External"/><Relationship Id="rId1802" Type="http://schemas.openxmlformats.org/officeDocument/2006/relationships/hyperlink" Target="https://www.nytimes.com/2017/11/07/us/texas-shooting-church.html" TargetMode="External"/><Relationship Id="rId688" Type="http://schemas.openxmlformats.org/officeDocument/2006/relationships/hyperlink" Target="https://www.sentinelcolorado.com/news/personal-experience-public-debate-aurora-rep-has-unique-tie-to-death-penalty-debate/" TargetMode="External"/><Relationship Id="rId895" Type="http://schemas.openxmlformats.org/officeDocument/2006/relationships/hyperlink" Target="http://www.acolumbinesite.com/eric.php" TargetMode="External"/><Relationship Id="rId2369" Type="http://schemas.openxmlformats.org/officeDocument/2006/relationships/hyperlink" Target="https://www.jsonline.com/story/news/crime/2020/03/03/milwaukee-molson-coors-shooting-facts-behind-racism-noose-rumors/4934728002/?utm_source=oembed&amp;utm_medium=onsite&amp;utm_campaign=storylines&amp;utm_content=news&amp;utm_term=4893028002" TargetMode="External"/><Relationship Id="rId2576" Type="http://schemas.openxmlformats.org/officeDocument/2006/relationships/hyperlink" Target="https://www.cbsnews.com/news/las-vegas-shooter-stephen-paddock-had-lost-money-been-depressed-sheriff-says/" TargetMode="External"/><Relationship Id="rId548" Type="http://schemas.openxmlformats.org/officeDocument/2006/relationships/hyperlink" Target="https://schoolshooters.info/sites/default/files/lu_sister_letter_1.0.pdf" TargetMode="External"/><Relationship Id="rId755" Type="http://schemas.openxmlformats.org/officeDocument/2006/relationships/hyperlink" Target="https://www.deseretnews.com/article/485460/FIREMAN-WAS-TIME-BOMB-WAITING.html" TargetMode="External"/><Relationship Id="rId962" Type="http://schemas.openxmlformats.org/officeDocument/2006/relationships/hyperlink" Target="http://www.nytimes.com/1999/09/17/us/deaths-in-a-church-the-overview-an-angry-mystery-man-who-brought-death.html" TargetMode="External"/><Relationship Id="rId1178" Type="http://schemas.openxmlformats.org/officeDocument/2006/relationships/hyperlink" Target="http://www.nytimes.com/2005/03/24/us/signs-of-danger-were-missed-in-a-troubled-teenagers-life.html" TargetMode="External"/><Relationship Id="rId1385" Type="http://schemas.openxmlformats.org/officeDocument/2006/relationships/hyperlink" Target="https://www.nytimes.com/2009/11/09/us/09reconstruct.html?pagewanted=all" TargetMode="External"/><Relationship Id="rId1592" Type="http://schemas.openxmlformats.org/officeDocument/2006/relationships/hyperlink" Target="http://www.nydailynews.com/news/national/short-article-1.1372515" TargetMode="External"/><Relationship Id="rId2229" Type="http://schemas.openxmlformats.org/officeDocument/2006/relationships/hyperlink" Target="https://www.latimes.com/archives/la-xpm-2011-oct-12-la-me-1013-seal-beach-shooting-20111013-story.html" TargetMode="External"/><Relationship Id="rId2436" Type="http://schemas.openxmlformats.org/officeDocument/2006/relationships/hyperlink" Target="https://www.cbsnews.com/news/six-dead-in-mississippi-massacre/" TargetMode="External"/><Relationship Id="rId2643" Type="http://schemas.openxmlformats.org/officeDocument/2006/relationships/hyperlink" Target="https://www.nydailynews.com/news/national/ny-relatives-describe-jersey-city-kosher-market-killers-20191215-3ttpqk266bhk5krvdvwzr6t7sm-story.html" TargetMode="External"/><Relationship Id="rId91" Type="http://schemas.openxmlformats.org/officeDocument/2006/relationships/hyperlink" Target="https://www.nytimes.com/1970/09/24/archives/state-employe-kills-4-coworkers-and-himself-in-albany-office.html" TargetMode="External"/><Relationship Id="rId408" Type="http://schemas.openxmlformats.org/officeDocument/2006/relationships/hyperlink" Target="http://articles.latimes.com/1987-04-25/news/mn-990_1_palm-bay-police" TargetMode="External"/><Relationship Id="rId615"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822" Type="http://schemas.openxmlformats.org/officeDocument/2006/relationships/hyperlink" Target="https://www.washingtonpost.com/archive/politics/1998/03/07/worker-kills-four-at-conn-lottery/c13a0a44-be0c-4a1a-8af3-98ee11a55c14/?noredirect=on&amp;utm_term=.4820ebd07634" TargetMode="External"/><Relationship Id="rId1038" Type="http://schemas.openxmlformats.org/officeDocument/2006/relationships/hyperlink" Target="http://edition.cnn.com/2001/US/02/07/plant.shootings/" TargetMode="External"/><Relationship Id="rId1245" Type="http://schemas.openxmlformats.org/officeDocument/2006/relationships/hyperlink" Target="https://abcnews.go.com/US/amish-school-shooters-widow-marie-monville-remembers-tragedy/story?id=20417790" TargetMode="External"/><Relationship Id="rId1452" Type="http://schemas.openxmlformats.org/officeDocument/2006/relationships/hyperlink" Target="https://www.cbsnews.com/news/jared-loughner-who-shot-gabrielle-giffords-in-tucson-ranted-online/" TargetMode="External"/><Relationship Id="rId2503" Type="http://schemas.openxmlformats.org/officeDocument/2006/relationships/hyperlink" Target="https://www.mprnews.org/story/2013/09/27/a-year-after-accent-signage-shootings-debate-shifts-from-gun-control-to-mental-health" TargetMode="External"/><Relationship Id="rId1105" Type="http://schemas.openxmlformats.org/officeDocument/2006/relationships/hyperlink" Target="https://tdn.com/business%20/local/police-idaho-man-guns-down-four-in-bar-before-killing/article_e145b36b-be1e-5cd3-a099-5d8dca560b49.html" TargetMode="External"/><Relationship Id="rId1312" Type="http://schemas.openxmlformats.org/officeDocument/2006/relationships/hyperlink" Target="https://lompocrecord.com/news/local/crime-and-courts/lee-leeds-to-spend-life-in-prison/article_d92f8400-d22b-11e1-907f-001a4bcf887a.html" TargetMode="External"/><Relationship Id="rId2710" Type="http://schemas.openxmlformats.org/officeDocument/2006/relationships/hyperlink" Target="https://www.miamiherald.com/news/nation-world/national/article84370692.html" TargetMode="External"/><Relationship Id="rId49" Type="http://schemas.openxmlformats.org/officeDocument/2006/relationships/hyperlink" Target="https://books.google.com/books?id=N8i3DAAAQBAJ&amp;pg=PA77&amp;lpg=PA77&amp;dq=%22leo+held%22+knisely&amp;source=bl&amp;ots=tbEgak7AAw&amp;sig=ACfU3U1gVqGbGkeaR_fvWEim8LMqRg_aeQ&amp;hl=en&amp;sa=X&amp;ved=2ahUKEwjIlenw38PhAhUb8YMKHayCCBsQ6AEwAnoECAcQAQ" TargetMode="External"/><Relationship Id="rId1617" Type="http://schemas.openxmlformats.org/officeDocument/2006/relationships/hyperlink" Target="https://www.washingtonpost.com/local/crime/fbi-police-detail-shooting-navy-yard-shooting/2013/09/25/ee321abe-2600-11e3-b3e9-d97fb087acd6_story.html?utm_term=.87ba3df643e9" TargetMode="External"/><Relationship Id="rId1824" Type="http://schemas.openxmlformats.org/officeDocument/2006/relationships/hyperlink" Target="https://www.nbcnews.com/news/us-news/gunman-california-shooting-spree-needed-mental-help-sister-says-n821216" TargetMode="External"/><Relationship Id="rId198" Type="http://schemas.openxmlformats.org/officeDocument/2006/relationships/hyperlink" Target="http://katu.com/news/local/30-years-later-sounds-of-gunfire-still-haunt-shooting-victim" TargetMode="External"/><Relationship Id="rId2086" Type="http://schemas.openxmlformats.org/officeDocument/2006/relationships/hyperlink" Target="https://www.nytimes.com/1993/08/08/us/soldier-kills-4-people-and-hurts-6-in-a-restaurant-in-north-carolina.html" TargetMode="External"/><Relationship Id="rId2293" Type="http://schemas.openxmlformats.org/officeDocument/2006/relationships/hyperlink" Target="https://www.cnn.com/2018/02/25/us/nikolas-cruz-warning-signs/index.html" TargetMode="External"/><Relationship Id="rId2598" Type="http://schemas.openxmlformats.org/officeDocument/2006/relationships/hyperlink" Target="https://www.theguardian.com/world/2010/sep/12/man-shot-wife-cooked-eggs" TargetMode="External"/><Relationship Id="rId265" Type="http://schemas.openxmlformats.org/officeDocument/2006/relationships/hyperlink" Target="https://www.upi.com/Archives/1982/08/09/Yes-I-know-hes-killing-people/2899397713600/" TargetMode="External"/><Relationship Id="rId472" Type="http://schemas.openxmlformats.org/officeDocument/2006/relationships/hyperlink" Target="https://www.nytimes.com/1989/09/16/us/disturbed-past-of-killer-of-7-is-unraveled.html" TargetMode="External"/><Relationship Id="rId2153" Type="http://schemas.openxmlformats.org/officeDocument/2006/relationships/hyperlink" Target="https://www.latimes.com/archives/la-xpm-2001-sep-11-mn-44550-story.html" TargetMode="External"/><Relationship Id="rId2360" Type="http://schemas.openxmlformats.org/officeDocument/2006/relationships/hyperlink" Target="https://www.theguardian.com/us-news/2015/dec/05/oakland-shooting-hearing-oikos-university-psychiatrist-one-goh" TargetMode="External"/><Relationship Id="rId125" Type="http://schemas.openxmlformats.org/officeDocument/2006/relationships/hyperlink" Target="https://www.nytimes.com/1977/02/15/archives/nazi-admirer-also-wounds-5-in-wild-attack-followed-by-a-siege-at.html" TargetMode="External"/><Relationship Id="rId332" Type="http://schemas.openxmlformats.org/officeDocument/2006/relationships/hyperlink" Target="https://www.nytimes.com/1984/11/11/us/memories-of-springtime-murders-chill-small-alaskan-town.html" TargetMode="External"/><Relationship Id="rId777" Type="http://schemas.openxmlformats.org/officeDocument/2006/relationships/hyperlink" Target="http://www.aikenstandard.com/news/twenty-years-later-remembering-the-shooting-at-phelon-plant-in/article_4b5b7132-9983-11e7-b425-9f5c8ce770f8.html" TargetMode="External"/><Relationship Id="rId984" Type="http://schemas.openxmlformats.org/officeDocument/2006/relationships/hyperlink" Target="https://books.google.com/books?id=_UHFAgAAQBAJ&amp;pg=PT73&amp;lpg=PT73&amp;dq=silvio+izquierdo-leyva&amp;source=bl&amp;ots=uixROp_2jx&amp;sig=ACfU3U3nszsWy_Mbw-rHb-Irn7AxeAoXjg&amp;hl=en&amp;sa=X&amp;ved=2ahUKEwjmtuaa_KjkAhUQ5awKHfaeDe4Q6AEwD3oECAkQAQ" TargetMode="External"/><Relationship Id="rId2013" Type="http://schemas.openxmlformats.org/officeDocument/2006/relationships/hyperlink" Target="https://www.nytimes.com/1977/02/15/archives/nazi-admirer-also-wounds-5-in-wild-attack-followed-by-a-siege-at.html" TargetMode="External"/><Relationship Id="rId2220" Type="http://schemas.openxmlformats.org/officeDocument/2006/relationships/hyperlink" Target="https://www.tmcnet.com/usubmit/2011/04/03/5420269.htm" TargetMode="External"/><Relationship Id="rId2458" Type="http://schemas.openxmlformats.org/officeDocument/2006/relationships/hyperlink" Target="http://www.nbcnews.com/id/44057589/ns/us_news-crime_and_courts/t/woman-alleged-ohio-killer-estate-dispute/" TargetMode="External"/><Relationship Id="rId2665" Type="http://schemas.openxmlformats.org/officeDocument/2006/relationships/hyperlink" Target="https://www.nytimes.com/2003/07/09/us/man-kills-5-co-workers-at-plant-and-himself.html?mcubz=0" TargetMode="External"/><Relationship Id="rId637" Type="http://schemas.openxmlformats.org/officeDocument/2006/relationships/hyperlink" Target="http://articles.latimes.com/1993-07-03/news/mn-10731_1_mortgage-business" TargetMode="External"/><Relationship Id="rId844" Type="http://schemas.openxmlformats.org/officeDocument/2006/relationships/hyperlink" Target="https://www.pbs.org/wgbh/frontline/article/fourteen-years-later-looking-back-at-a-school-shooting/" TargetMode="External"/><Relationship Id="rId1267" Type="http://schemas.openxmlformats.org/officeDocument/2006/relationships/hyperlink" Target="https://www.denverpost.com/2008/03/27/report-reveals-clues-to-killers-mind/" TargetMode="External"/><Relationship Id="rId1474" Type="http://schemas.openxmlformats.org/officeDocument/2006/relationships/hyperlink" Target="http://www.nbcnews.com/id/44913588/ns/us_news-crime_and_courts/t/details-calif-shooting-suspects-life-emerges/" TargetMode="External"/><Relationship Id="rId1681" Type="http://schemas.openxmlformats.org/officeDocument/2006/relationships/hyperlink" Target="https://www.nydailynews.com/news/crime/man-accused-killing-campsite-guilty-capital-murder-article-1.3619755" TargetMode="External"/><Relationship Id="rId2318" Type="http://schemas.openxmlformats.org/officeDocument/2006/relationships/hyperlink" Target="https://heavy.com/news/2019/12/francine-graham/" TargetMode="External"/><Relationship Id="rId2525" Type="http://schemas.openxmlformats.org/officeDocument/2006/relationships/hyperlink" Target="https://www.nytimes.com/1998/03/09/nyregion/father-of-lottery-killer-says-son-not-a-monster.html" TargetMode="External"/><Relationship Id="rId2732" Type="http://schemas.openxmlformats.org/officeDocument/2006/relationships/hyperlink" Target="https://www.wtae.com/article/two-men-charged-with-homicide-in-connection-with-wilkinsburg-backyard-ambush/7480821" TargetMode="External"/><Relationship Id="rId704" Type="http://schemas.openxmlformats.org/officeDocument/2006/relationships/hyperlink" Target="https://www.hsdl.org/?view&amp;did=744680" TargetMode="External"/><Relationship Id="rId911" Type="http://schemas.openxmlformats.org/officeDocument/2006/relationships/hyperlink" Target="http://articles.latimes.com/1999/jun/05/news/mn-44403" TargetMode="External"/><Relationship Id="rId1127" Type="http://schemas.openxmlformats.org/officeDocument/2006/relationships/hyperlink" Target="https://www.dallasnews.com/news/crime/2004/12/13/man-who-killed-dimebag-darrell-abbott-was-upset-by-panteras-breakup-ex-friend-say" TargetMode="External"/><Relationship Id="rId1334" Type="http://schemas.openxmlformats.org/officeDocument/2006/relationships/hyperlink" Target="http://www.nbcnews.com/id/25361852/ns/us_news-crime_and_courts/t/dead-argument-boss-ends-rampage/" TargetMode="External"/><Relationship Id="rId1541" Type="http://schemas.openxmlformats.org/officeDocument/2006/relationships/hyperlink" Target="https://www.mprnews.org/story/2013/09/27/news/accent-signage-shooting-one-year" TargetMode="External"/><Relationship Id="rId1779" Type="http://schemas.openxmlformats.org/officeDocument/2006/relationships/hyperlink" Target="http://www.cnn.com/2017/06/05/us/orlando-fatalities/index.html" TargetMode="External"/><Relationship Id="rId1986" Type="http://schemas.openxmlformats.org/officeDocument/2006/relationships/hyperlink" Target="https://books.google.com/books?id=MzhVs1852I0C&amp;pg=PA122&amp;lpg=PA122&amp;dq=terry+ratzmann+oldest+child&amp;source=bl&amp;ots=uwlfHvLdlF&amp;sig=ACfU3U0Ot1iDHGbzXX8a3RAXg1psvshOEw&amp;hl=en&amp;sa=X&amp;ved=2ahUKEwjL0_SyqpDoAhUFZc0KHQl6CGIQ6AEwC3oECAsQAQ" TargetMode="External"/><Relationship Id="rId40" Type="http://schemas.openxmlformats.org/officeDocument/2006/relationships/hyperlink" Target="http://www.nydailynews.com/news/crime/experts-clueless-man-fatally-shot-50-years-article-1.3548519" TargetMode="External"/><Relationship Id="rId1401" Type="http://schemas.openxmlformats.org/officeDocument/2006/relationships/hyperlink" Target="https://www.latimes.com/archives/la-xpm-2009-dec-01-la-na-police-shootings1-2009dec01-story.html" TargetMode="External"/><Relationship Id="rId1639" Type="http://schemas.openxmlformats.org/officeDocument/2006/relationships/hyperlink" Target="http://www.newsweek.com/2015/09/25/jaylen-ray-fryberg-marysville-pilchuck-high-school-shooting-372669.html" TargetMode="External"/><Relationship Id="rId1846" Type="http://schemas.openxmlformats.org/officeDocument/2006/relationships/hyperlink" Target="https://heavy.com/news/2018/01/timothy-tim-smith-melcroft-shooting-suspect-photos/" TargetMode="External"/><Relationship Id="rId1706" Type="http://schemas.openxmlformats.org/officeDocument/2006/relationships/hyperlink" Target="https://www.freep.com/story/news/local/michigan/2016/02/24/alleged-mass-killer-had-arsenal-guns-home/80848040/" TargetMode="External"/><Relationship Id="rId1913" Type="http://schemas.openxmlformats.org/officeDocument/2006/relationships/hyperlink" Target="https://www.standard.co.uk/news/world/texas-school-shooting-suspect-dimitrios-pagourtzis-shared-gun-photo-on-instagram-and-had-born-to-a3843281.html" TargetMode="External"/><Relationship Id="rId287" Type="http://schemas.openxmlformats.org/officeDocument/2006/relationships/hyperlink" Target="https://www.washingtonpost.com/archive/politics/1983/12/15/after-murder-rampage-a-test-of-survival/08bb8578-7f36-4dde-b3ce-076fbcb61aff/?noredirect=on&amp;utm_term=.e6cad36dfe11http://amok.wikia.com/wiki/Louis_Hastings" TargetMode="External"/><Relationship Id="rId494" Type="http://schemas.openxmlformats.org/officeDocument/2006/relationships/hyperlink" Target="http://www.nytimes.com/1990/06/19/us/florida-gunman-kills-8-and-wounds-6-in-office.html" TargetMode="External"/><Relationship Id="rId2175" Type="http://schemas.openxmlformats.org/officeDocument/2006/relationships/hyperlink" Target="https://www.denverpost.com/2005/08/29/4-slain-near-texas-church/" TargetMode="External"/><Relationship Id="rId2382" Type="http://schemas.openxmlformats.org/officeDocument/2006/relationships/hyperlink" Target="https://www.nytimes.com/1977/02/15/archives/nazi-admirer-also-wounds-5-in-wild-attack-followed-by-a-siege-at.html" TargetMode="External"/><Relationship Id="rId147" Type="http://schemas.openxmlformats.org/officeDocument/2006/relationships/hyperlink" Target="https://www.nytimes.com/1977/08/27/archives/sniper-slays-6-in-jersey-and-then-takes-own-life-6areswinihjersey.html" TargetMode="External"/><Relationship Id="rId354" Type="http://schemas.openxmlformats.org/officeDocument/2006/relationships/hyperlink" Target="http://articles.latimes.com/1994-07-17/local/me-16553_1_san-ysidro" TargetMode="External"/><Relationship Id="rId799" Type="http://schemas.openxmlformats.org/officeDocument/2006/relationships/hyperlink" Target="https://www.nytimes.com/1998/03/07/nyregion/rampage-connecticut-overview-connecticut-lottery-worker-kills-4-bosses-then.html" TargetMode="External"/><Relationship Id="rId1191" Type="http://schemas.openxmlformats.org/officeDocument/2006/relationships/hyperlink" Target="http://articles.chicagotribune.com/2005-08-30/news/0508300294_1_gunman-killed-four-people-small-town-church-witnesses" TargetMode="External"/><Relationship Id="rId2035" Type="http://schemas.openxmlformats.org/officeDocument/2006/relationships/hyperlink" Target="https://www.nytimes.com/1982/08/24/us/no-charges-planned-against-miami-man-who-shot-gunman.html" TargetMode="External"/><Relationship Id="rId2687" Type="http://schemas.openxmlformats.org/officeDocument/2006/relationships/hyperlink" Target="http://www.nbcnews.com/id/11128315/ns/us_news-crime_and_courts/t/postal-killer-acted-irrational-years-attack/" TargetMode="External"/><Relationship Id="rId561" Type="http://schemas.openxmlformats.org/officeDocument/2006/relationships/hyperlink" Target="https://apnews.com/2ef3eeb1eb4f91024720120a176329c8" TargetMode="External"/><Relationship Id="rId659" Type="http://schemas.openxmlformats.org/officeDocument/2006/relationships/hyperlink" Target="http://articles.latimes.com/1993-10-15/news/mn-45964_1_fitness-club" TargetMode="External"/><Relationship Id="rId866" Type="http://schemas.openxmlformats.org/officeDocument/2006/relationships/hyperlink" Target="http://www.wafb.com/story/6956350/shon-miller-changes-his-plea-to-not-guilty-by-reason-of-insanity/" TargetMode="External"/><Relationship Id="rId1289" Type="http://schemas.openxmlformats.org/officeDocument/2006/relationships/hyperlink" Target="https://www.niu.edu/forward/_pdfs/archives/feb14report.pdf" TargetMode="External"/><Relationship Id="rId1496" Type="http://schemas.openxmlformats.org/officeDocument/2006/relationships/hyperlink" Target="http://mynorthwest.com/13664/father-of-cafe-racer-shooter-reflects-on-the-tragedy/" TargetMode="External"/><Relationship Id="rId2242" Type="http://schemas.openxmlformats.org/officeDocument/2006/relationships/hyperlink" Target="https://www.nytimes.com/2012/12/15/nyregion/shooting-reported-at-connecticut-elementary-school.html?mcubz=3" TargetMode="External"/><Relationship Id="rId2547" Type="http://schemas.openxmlformats.org/officeDocument/2006/relationships/hyperlink" Target="https://apnews.com/c5d8552f56a7d24ddb1d7e57738d8242" TargetMode="External"/><Relationship Id="rId214" Type="http://schemas.openxmlformats.org/officeDocument/2006/relationships/hyperlink" Target="https://www.upi.com/Archives/1981/10/16/Conviction-on-4-counts-of-murder-for-man-who-shot-up-bar/8478372052800/" TargetMode="External"/><Relationship Id="rId421"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519" Type="http://schemas.openxmlformats.org/officeDocument/2006/relationships/hyperlink" Target="https://www.washingtonpost.com/archive/politics/1991/10/13/ex-postal-worker-held-in-bosss-slaying/6005549f-1768-4097-9aa8-b16b03d589d3/?utm_term=.02aaf494733b" TargetMode="External"/><Relationship Id="rId1051" Type="http://schemas.openxmlformats.org/officeDocument/2006/relationships/hyperlink" Target="https://books.google.com/books?id=OPp3ZxY6b5kC&amp;pg=PA55&amp;lpg=PA55&amp;dq=steven+stagner+colorado+white&amp;source=bl&amp;ots=CIYH9mlgce&amp;sig=ACfU3U24HTgtfisKroDSyMLiDP2UUsieRQ&amp;hl=en&amp;sa=X&amp;ved=2ahUKEwjNzfiXjbDgAhVM1IMKHVT3AoIQ6AEwDHoECAUQAQ" TargetMode="External"/><Relationship Id="rId1149" Type="http://schemas.openxmlformats.org/officeDocument/2006/relationships/hyperlink" Target="http://archive.boston.com/news/nation/articles/2005/03/14/terry_dont_friend_cried_to_shooter/" TargetMode="External"/><Relationship Id="rId1356" Type="http://schemas.openxmlformats.org/officeDocument/2006/relationships/hyperlink" Target="https://abc11.com/archive/6734388/" TargetMode="External"/><Relationship Id="rId2102" Type="http://schemas.openxmlformats.org/officeDocument/2006/relationships/hyperlink" Target="https://www.nytimes.com/1995/12/20/us/5-are-killed-by-gunman-in-bronx-shoe-store.html" TargetMode="External"/><Relationship Id="rId726" Type="http://schemas.openxmlformats.org/officeDocument/2006/relationships/hyperlink" Target="http://articles.latimes.com/1996-11-06/local/me-61893_1_city-electrician" TargetMode="External"/><Relationship Id="rId933" Type="http://schemas.openxmlformats.org/officeDocument/2006/relationships/hyperlink" Target="http://web.archive.org/web/20150210050824/http:/www.crimelibrary.com/notorious_murders/mass/work_homicide/2.html" TargetMode="External"/><Relationship Id="rId1009" Type="http://schemas.openxmlformats.org/officeDocument/2006/relationships/hyperlink" Target="https://www.cbsnews.com/news/murder-charges-in-workplace-shooting/" TargetMode="External"/><Relationship Id="rId1563" Type="http://schemas.openxmlformats.org/officeDocument/2006/relationships/hyperlink" Target="https://www.srmt-nsn.gov/culture_and_history" TargetMode="External"/><Relationship Id="rId1770" Type="http://schemas.openxmlformats.org/officeDocument/2006/relationships/hyperlink" Target="http://www.sun-sentinel.com/news/fort-lauderdale-hollywood-airport-shooting/fl-esteban-santiago-arraignment-airport-shootings-20170130-story.html" TargetMode="External"/><Relationship Id="rId1868" Type="http://schemas.openxmlformats.org/officeDocument/2006/relationships/hyperlink" Target="https://www.cnn.com/2018/02/25/us/nikolas-cruz-warning-signs/index.html" TargetMode="External"/><Relationship Id="rId2407" Type="http://schemas.openxmlformats.org/officeDocument/2006/relationships/hyperlink" Target="https://www.desmoinesregister.com/story/news/2018/11/01/gang-lu-shooting-university-iowa-campus-iowa-city-guns-handgun-jessup-hall-van-allen-jessup-hall/1847462002/" TargetMode="External"/><Relationship Id="rId2614" Type="http://schemas.openxmlformats.org/officeDocument/2006/relationships/hyperlink" Target="https://www.deseret.com/2001/1/5/19562078/massacre-suspect-suffered-a-breakdown-in-80s" TargetMode="External"/><Relationship Id="rId62" Type="http://schemas.openxmlformats.org/officeDocument/2006/relationships/hyperlink" Target="https://news.google.com/newspapers?id=ZRgMAAAAIBAJ&amp;sjid=rlwDAAAAIBAJ&amp;pg=6550,4991780&amp;dq=&amp;hl=en" TargetMode="External"/><Relationship Id="rId1216" Type="http://schemas.openxmlformats.org/officeDocument/2006/relationships/hyperlink" Target="http://www.nytimes.com/2006/03/28/us/seattle-police-and-partygoers-still-puzzle-over-attack.html" TargetMode="External"/><Relationship Id="rId1423" Type="http://schemas.openxmlformats.org/officeDocument/2006/relationships/hyperlink" Target="https://www.cbsnews.com/news/florida-man-kills-four-women-in-restaurant-shooting-police-say/" TargetMode="External"/><Relationship Id="rId1630" Type="http://schemas.openxmlformats.org/officeDocument/2006/relationships/hyperlink" Target="http://6abc.com/news/suspect-among-2-dead-in-washington-high-school-shooting/364543/" TargetMode="External"/><Relationship Id="rId1728" Type="http://schemas.openxmlformats.org/officeDocument/2006/relationships/hyperlink" Target="https://www.telegraph.co.uk/news/2016/07/08/dallas-shooting-who-is-micah-johnson/" TargetMode="External"/><Relationship Id="rId1935" Type="http://schemas.openxmlformats.org/officeDocument/2006/relationships/hyperlink" Target="https://www.usatoday.com/story/news/nation/2018/11/08/ian-long-gunman-thousand-oaks-california-borderline-bar-grill/1928231002/" TargetMode="External"/><Relationship Id="rId2197" Type="http://schemas.openxmlformats.org/officeDocument/2006/relationships/hyperlink" Target="http://www.nbcnews.com/id/23699429/ns/us_news-crime_and_courts/t/suspect-held-after-killed-junk-yard-rampage/" TargetMode="External"/><Relationship Id="rId169" Type="http://schemas.openxmlformats.org/officeDocument/2006/relationships/hyperlink" Target="https://www.caller.com/story/news/2017/11/07/texas-church-shooting-latest-line-deadly-attacks/841385001/" TargetMode="External"/><Relationship Id="rId376" Type="http://schemas.openxmlformats.org/officeDocument/2006/relationships/hyperlink" Target="https://www.upi.com/Archives/1984/07/25/A-gunman-who-killed-four-people-and-wounded-another/3627459576000/" TargetMode="External"/><Relationship Id="rId583" Type="http://schemas.openxmlformats.org/officeDocument/2006/relationships/hyperlink" Target="http://www.kcra.com/article/25-years-later-survivors-of-norcal-school-shooting-remember-tragedy/9589885" TargetMode="External"/><Relationship Id="rId790" Type="http://schemas.openxmlformats.org/officeDocument/2006/relationships/hyperlink" Target="https://www.nytimes.com/1997/12/20/us/dismissed-worker-kills-4-and-then-is-slain.html?mcubz=3" TargetMode="External"/><Relationship Id="rId2057" Type="http://schemas.openxmlformats.org/officeDocument/2006/relationships/hyperlink" Target="https://www.nytimes.com/1988/07/19/us/four-motorists-are-shot-to-death-gunman-wounded-in-12-minutes.html" TargetMode="External"/><Relationship Id="rId2264" Type="http://schemas.openxmlformats.org/officeDocument/2006/relationships/hyperlink" Target="https://www.nytimes.com/2015/10/10/us/roseburg-oregon-shooting-christopher-harper-mercer.html" TargetMode="External"/><Relationship Id="rId2471" Type="http://schemas.openxmlformats.org/officeDocument/2006/relationships/hyperlink" Target="https://www.gq.com/story/the-uber-killer" TargetMode="External"/><Relationship Id="rId4" Type="http://schemas.openxmlformats.org/officeDocument/2006/relationships/hyperlink" Target="https://www.npr.org/sections/health-shots/2016/07/29/487767127/gun-violence-and-mental-health-laws-50-years-after-texas-tower-sniper" TargetMode="External"/><Relationship Id="rId236" Type="http://schemas.openxmlformats.org/officeDocument/2006/relationships/hyperlink" Target="https://books.google.com.au/books?id=cmTxCQAAQBAJ&amp;pg=PA416&amp;lpg=PA416&amp;dq=Charles+Meach+shooting&amp;source=bl&amp;ots=eXTzQ-eWnB&amp;sig=UKVOhJB2yAPxdrhmIAY7kpUl3uo&amp;hl=en&amp;sa=X&amp;redir_esc=y" TargetMode="External"/><Relationship Id="rId443" Type="http://schemas.openxmlformats.org/officeDocument/2006/relationships/hyperlink" Target="http://www.nytimes.com/1988/07/19/us/four-motorists-are-shot-to-death-gunman-wounded-in-12-minutes.html" TargetMode="External"/><Relationship Id="rId650" Type="http://schemas.openxmlformats.org/officeDocument/2006/relationships/hyperlink" Target="http://www.nytimes.com/1993/08/08/us/soldier-kills-4-people-and-hurts-6-in-a-restaurant-in-north-carolina.html" TargetMode="External"/><Relationship Id="rId888" Type="http://schemas.openxmlformats.org/officeDocument/2006/relationships/hyperlink" Target="https://www.cnn.com/2013/09/18/us/columbine-high-school-shootings-fast-facts/index.html" TargetMode="External"/><Relationship Id="rId1073" Type="http://schemas.openxmlformats.org/officeDocument/2006/relationships/hyperlink" Target="https://www.sfgate.com/news/article/Sacramento-rampage-5-shot-dead-Slayer-kills-2881164.php" TargetMode="External"/><Relationship Id="rId1280" Type="http://schemas.openxmlformats.org/officeDocument/2006/relationships/hyperlink" Target="https://www.kktv.com/home/headlines/12440361.html" TargetMode="External"/><Relationship Id="rId2124" Type="http://schemas.openxmlformats.org/officeDocument/2006/relationships/hyperlink" Target="https://www.weeklycitizen.com/article/20080610/NEWS/306109986" TargetMode="External"/><Relationship Id="rId2331" Type="http://schemas.openxmlformats.org/officeDocument/2006/relationships/hyperlink" Target="https://caselaw.findlaw.com/pa-supreme-court/1166214.html" TargetMode="External"/><Relationship Id="rId2569" Type="http://schemas.openxmlformats.org/officeDocument/2006/relationships/hyperlink" Target="https://www.vbgov.com/government/departments/city-auditors-office/Documents/Hillard%20Heintze%20Final%20Report%20for%20Virginia%20Beach%2011-13-2019.pdf" TargetMode="External"/><Relationship Id="rId303"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748" Type="http://schemas.openxmlformats.org/officeDocument/2006/relationships/hyperlink" Target="http://www.wlbt.com/story/18995724/new-book-details-shooting-rampage-at-jackson-fire-station/" TargetMode="External"/><Relationship Id="rId955" Type="http://schemas.openxmlformats.org/officeDocument/2006/relationships/hyperlink" Target="https://www.chicagotribune.com/news/ct-xpm-1999-09-18-9909180043-story.html" TargetMode="External"/><Relationship Id="rId1140" Type="http://schemas.openxmlformats.org/officeDocument/2006/relationships/hyperlink" Target="https://www.baltimoresun.com/bal-te.to.nichols18mar18-story.html" TargetMode="External"/><Relationship Id="rId1378" Type="http://schemas.openxmlformats.org/officeDocument/2006/relationships/hyperlink" Target="https://www.nytimes.com/2009/04/12/nyregion/12binghamton.html" TargetMode="External"/><Relationship Id="rId1585" Type="http://schemas.openxmlformats.org/officeDocument/2006/relationships/hyperlink" Target="http://www.federalwaymirror.com/news/names-of-victims-emerge-after-deadly-federal-way-shooting/" TargetMode="External"/><Relationship Id="rId1792" Type="http://schemas.openxmlformats.org/officeDocument/2006/relationships/hyperlink" Target="https://www.nbcnews.com/storyline/texas-church-shooting/who-devin-kelley-alleged-texas-church-shooter-n817806" TargetMode="External"/><Relationship Id="rId2429" Type="http://schemas.openxmlformats.org/officeDocument/2006/relationships/hyperlink" Target="http://www.cnn.com/US/9909/18/texas.shooter.profile/" TargetMode="External"/><Relationship Id="rId2636" Type="http://schemas.openxmlformats.org/officeDocument/2006/relationships/hyperlink" Target="https://syvnews.com/news/local/crime-and-courts/leeds-believed-victims-were-mexican-mafia-defense-says/article_2182f8c2-8916-11e1-8bbd-0019bb2963f4.html" TargetMode="External"/><Relationship Id="rId84" Type="http://schemas.openxmlformats.org/officeDocument/2006/relationships/hyperlink" Target="https://news.google.com/newspapers?id=Ve1OAAAAIBAJ&amp;sjid=xwEEAAAAIBAJ&amp;pg=4643,3113670&amp;dq=albany+ny+department+of+labor+employees+shot+murdered&amp;hl=en" TargetMode="External"/><Relationship Id="rId510" Type="http://schemas.openxmlformats.org/officeDocument/2006/relationships/hyperlink" Target="http://www.nytimes.com/1991/10/11/nyregion/4-slain-in-2-new-jersey-attacks-and-former-postal-clerk-is-held.html?pagewanted=all" TargetMode="External"/><Relationship Id="rId608" Type="http://schemas.openxmlformats.org/officeDocument/2006/relationships/hyperlink" Target="http://www.nytimes.com/1992/10/17/nyregion/shooting-followed-tougher-efforts-to-collect-child-support.html" TargetMode="External"/><Relationship Id="rId815" Type="http://schemas.openxmlformats.org/officeDocument/2006/relationships/hyperlink" Target="http://www.nytimes.com/1998/03/07/nyregion/rampage-connecticut-overview-connecticut-lottery-worker-kills-4-bosses-then.html" TargetMode="External"/><Relationship Id="rId1238" Type="http://schemas.openxmlformats.org/officeDocument/2006/relationships/hyperlink" Target="https://www.dailymail.co.uk/news/article-2043764/Amish-school-massacre-Grieving-mother-gunman-Charles-Roberts-cares-victims.html" TargetMode="External"/><Relationship Id="rId1445" Type="http://schemas.openxmlformats.org/officeDocument/2006/relationships/hyperlink" Target="http://www.nbcnews.com/id/38853191/ns/us_news-crime_and_courts/t/man-surrenders-ny-shooting-deaths/" TargetMode="External"/><Relationship Id="rId1652" Type="http://schemas.openxmlformats.org/officeDocument/2006/relationships/hyperlink" Target="https://www.cnn.com/2015/07/18/us/tennessee-naval-reserve-shooting/index.html" TargetMode="External"/><Relationship Id="rId1000" Type="http://schemas.openxmlformats.org/officeDocument/2006/relationships/hyperlink" Target="http://old.post-gazette.com/regionstate/20000429profile4.asp" TargetMode="External"/><Relationship Id="rId1305" Type="http://schemas.openxmlformats.org/officeDocument/2006/relationships/hyperlink" Target="http://web.archive.org/web/20161018033626/https:/mustangnews.net/policedoubtlinkbetweensantamariakillingssanluisobispomurder/" TargetMode="External"/><Relationship Id="rId1957"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2703" Type="http://schemas.openxmlformats.org/officeDocument/2006/relationships/hyperlink" Target="https://www.latimes.com/local/lanow/la-me-isle-vista-massacre-alt-right-20180206-story.html" TargetMode="External"/><Relationship Id="rId1512" Type="http://schemas.openxmlformats.org/officeDocument/2006/relationships/hyperlink" Target="https://www.cbsnews.com/news/colorado-theater-shooting-classmate-says-james-holmes-was-totally-non-aggressive-a-little-forgettable/" TargetMode="External"/><Relationship Id="rId1817" Type="http://schemas.openxmlformats.org/officeDocument/2006/relationships/hyperlink" Target="https://media.defense.gov/2018/Dec/07/2002070069/-1/-1/1/DODIG-2019-030_REDACTED.PDF" TargetMode="External"/><Relationship Id="rId11" Type="http://schemas.openxmlformats.org/officeDocument/2006/relationships/hyperlink" Target="https://archive.nytimes.com/www.nytimes.com/library/national/080366tx-shoot.html" TargetMode="External"/><Relationship Id="rId398" Type="http://schemas.openxmlformats.org/officeDocument/2006/relationships/hyperlink" Target="http://articles.latimes.com/1986-08-21/news/mn-17529_1_oklahoma-city-post-office" TargetMode="External"/><Relationship Id="rId2079" Type="http://schemas.openxmlformats.org/officeDocument/2006/relationships/hyperlink" Target="https://www.nbcbayarea.com/news/local/State-Court-Upholds-1993-Death-Penalty-Case-164819036.html" TargetMode="External"/><Relationship Id="rId160"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2286" Type="http://schemas.openxmlformats.org/officeDocument/2006/relationships/hyperlink" Target="https://www.nytimes.com/2019/07/03/us/las-vegas-shooting-police-officer.html" TargetMode="External"/><Relationship Id="rId2493" Type="http://schemas.openxmlformats.org/officeDocument/2006/relationships/hyperlink" Target="https://www.the-dispatch.com/news/20130712/emotions-run-high-25-years-after-hayes-shootings" TargetMode="External"/><Relationship Id="rId258"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465" Type="http://schemas.openxmlformats.org/officeDocument/2006/relationships/hyperlink" Target="https://www.nytimes.com/1989/01/20/us/killer-depicted-as-loner-full-of-hate.html" TargetMode="External"/><Relationship Id="rId672" Type="http://schemas.openxmlformats.org/officeDocument/2006/relationships/hyperlink" Target="https://apnews.com/5c5e1d1a851161acc0ccb336a3b2ea14" TargetMode="External"/><Relationship Id="rId1095" Type="http://schemas.openxmlformats.org/officeDocument/2006/relationships/hyperlink" Target="https://www.nytimes.com/2003/07/09/us/man-kills-5-co-workers-at-plant-and-himself.html?mcubz=0" TargetMode="External"/><Relationship Id="rId2146" Type="http://schemas.openxmlformats.org/officeDocument/2006/relationships/hyperlink" Target="https://www.latimes.com/archives/la-xpm-2001-jan-10-mn-10586-story.html" TargetMode="External"/><Relationship Id="rId2353" Type="http://schemas.openxmlformats.org/officeDocument/2006/relationships/hyperlink" Target="https://www.seattletimes.com/nation-world/friends-describe-bizarre-behavior-of-gunman-in-band-shooting/" TargetMode="External"/><Relationship Id="rId2560" Type="http://schemas.openxmlformats.org/officeDocument/2006/relationships/hyperlink" Target="https://www.nytimes.com/1992/10/17/nyregion/shooting-followed-tougher-efforts-to-collect-child-support.html" TargetMode="External"/><Relationship Id="rId118" Type="http://schemas.openxmlformats.org/officeDocument/2006/relationships/hyperlink" Target="https://www.ocregister.com/2010/07/16/release-blocked-for-countys-worst-mass-killer/" TargetMode="External"/><Relationship Id="rId325" Type="http://schemas.openxmlformats.org/officeDocument/2006/relationships/hyperlink" Target="https://www.chicagotribune.com/news/ct-xpm-1985-09-03-8502270523-story.html" TargetMode="External"/><Relationship Id="rId532" Type="http://schemas.openxmlformats.org/officeDocument/2006/relationships/hyperlink" Target="http://www.nytimes.com/1991/10/18/us/portrait-of-texas-killer-impatient-and-troubled.html?pagewanted=all" TargetMode="External"/><Relationship Id="rId977" Type="http://schemas.openxmlformats.org/officeDocument/2006/relationships/hyperlink" Target="http://archives.starbulletin.com/2000/05/15/news/story1.html" TargetMode="External"/><Relationship Id="rId1162" Type="http://schemas.openxmlformats.org/officeDocument/2006/relationships/hyperlink" Target="https://www.chicagotribune.com/news/ct-xpm-2005-03-17-0503170230-story.html" TargetMode="External"/><Relationship Id="rId2006" Type="http://schemas.openxmlformats.org/officeDocument/2006/relationships/hyperlink" Target="https://www.nytimes.com/1972/06/23/archives/anger-with-employment-agency-is-cited-as-gunmans-motivation-for.html" TargetMode="External"/><Relationship Id="rId2213" Type="http://schemas.openxmlformats.org/officeDocument/2006/relationships/hyperlink" Target="https://www.dailynews.com/2016/04/04/killer-of-4-at-valley-village-restaurant-escapes-death-penalty/" TargetMode="External"/><Relationship Id="rId2420" Type="http://schemas.openxmlformats.org/officeDocument/2006/relationships/hyperlink" Target="https://apnews.com/43e3a168e8024ac986b4794bea137e07" TargetMode="External"/><Relationship Id="rId2658" Type="http://schemas.openxmlformats.org/officeDocument/2006/relationships/hyperlink" Target="https://www.latimes.com/archives/la-xpm-1993-12-11-me-652-story.html" TargetMode="External"/><Relationship Id="rId837" Type="http://schemas.openxmlformats.org/officeDocument/2006/relationships/hyperlink" Target="https://www.nytimes.com/1998/03/29/us/from-wild-talk-and-friendship-to-five-deaths-in-a-schoolyard.html?mcubz=0" TargetMode="External"/><Relationship Id="rId1022" Type="http://schemas.openxmlformats.org/officeDocument/2006/relationships/hyperlink" Target="https://www.deseretnews.com/article/817652/Massacre-suspect-suffered-a-breakdown-in-80s.html" TargetMode="External"/><Relationship Id="rId1467" Type="http://schemas.openxmlformats.org/officeDocument/2006/relationships/hyperlink" Target="https://www.rgj.com/story/news/2014/04/05/authorities-who-is-carson-city-ihop-gunman-eduardo-sencion/6671951/" TargetMode="External"/><Relationship Id="rId1674" Type="http://schemas.openxmlformats.org/officeDocument/2006/relationships/hyperlink" Target="https://www.usatoday.com/story/news/nation-now/2015/11/16/family-confirms-6-killed-texas-campsite/75893806/" TargetMode="External"/><Relationship Id="rId1881" Type="http://schemas.openxmlformats.org/officeDocument/2006/relationships/hyperlink" Target="https://edition.cnn.com/2018/04/22/us/travis-reinking-waffle-house-shooting/index.html" TargetMode="External"/><Relationship Id="rId2518"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2725" Type="http://schemas.openxmlformats.org/officeDocument/2006/relationships/hyperlink" Target="https://www.nytimes.com/2019/12/15/nyregion/jersey-city-shooting-terrorism.html" TargetMode="External"/><Relationship Id="rId904" Type="http://schemas.openxmlformats.org/officeDocument/2006/relationships/hyperlink" Target="https://www.theguardian.com/world/2009/apr/17/columbine-massacre-gun-crime-us" TargetMode="External"/><Relationship Id="rId1327" Type="http://schemas.openxmlformats.org/officeDocument/2006/relationships/hyperlink" Target="https://www.wibw.com/home/headlines/22092024.html" TargetMode="External"/><Relationship Id="rId1534" Type="http://schemas.openxmlformats.org/officeDocument/2006/relationships/hyperlink" Target="http://www.bbc.com/news/world-us-canada-19167324" TargetMode="External"/><Relationship Id="rId1741" Type="http://schemas.openxmlformats.org/officeDocument/2006/relationships/hyperlink" Target="https://www.nbcnews.com/storyline/dallas-police-ambush/dallas-shooter-micah-xavier-johnson-was-army-veteran-n606101" TargetMode="External"/><Relationship Id="rId1979" Type="http://schemas.openxmlformats.org/officeDocument/2006/relationships/hyperlink" Target="https://books.google.com/books?id=tKIWmLnYO5oC&amp;pg=PA790&amp;lpg=PA790&amp;dq=dean+mellberg+family+history+mental+illness&amp;source=bl&amp;ots=mMWIliitWh&amp;sig=ACfU3U0m2AxhqKMl5W2XB-ne0YrnX--c9A&amp;hl=en&amp;sa=X&amp;ved=2ahUKEwiNm7it55LoAhUEY6wKHe0iD9wQ6AEwBXoECAoQAQ" TargetMode="External"/><Relationship Id="rId33" Type="http://schemas.openxmlformats.org/officeDocument/2006/relationships/hyperlink" Target="http://wnep.com/2017/10/23/50-years-since-mass-shooting-in-clinton-county/" TargetMode="External"/><Relationship Id="rId1601" Type="http://schemas.openxmlformats.org/officeDocument/2006/relationships/hyperlink" Target="https://www.miamiherald.com/news/special-reports/hialeah-mass-shooting/article1953794.html" TargetMode="External"/><Relationship Id="rId1839" Type="http://schemas.openxmlformats.org/officeDocument/2006/relationships/hyperlink" Target="https://www.cbsnews.com/news/pennsylvania-car-wash-shooting-suspect-jealousy-relatives-say/" TargetMode="External"/><Relationship Id="rId182" Type="http://schemas.openxmlformats.org/officeDocument/2006/relationships/hyperlink" Target="https://www.leagle.com/decision/1985350349pasuper11350" TargetMode="External"/><Relationship Id="rId1906" Type="http://schemas.openxmlformats.org/officeDocument/2006/relationships/hyperlink" Target="https://www.bbc.com/news/world-us-canada-44173960" TargetMode="External"/><Relationship Id="rId487" Type="http://schemas.openxmlformats.org/officeDocument/2006/relationships/hyperlink" Target="https://www.nytimes.com/1989/09/16/us/disturbed-past-of-killer-of-7-is-unraveled.html" TargetMode="External"/><Relationship Id="rId694" Type="http://schemas.openxmlformats.org/officeDocument/2006/relationships/hyperlink" Target="https://web.archive.org/web/20150421030616/http:/www.cofpd.org/docs-dun/final-clemency-petition-5-6.pdf" TargetMode="External"/><Relationship Id="rId2070" Type="http://schemas.openxmlformats.org/officeDocument/2006/relationships/hyperlink" Target="https://www.nytimes.com/1991/11/03/us/gunman-in-iowa-wrote-of-plans-in-five-letters.html" TargetMode="External"/><Relationship Id="rId2168" Type="http://schemas.openxmlformats.org/officeDocument/2006/relationships/hyperlink" Target="https://www.nytimes.com/2004/12/10/us/after-a-concert-shooting-a-who-but-not-a-why.html" TargetMode="External"/><Relationship Id="rId2375" Type="http://schemas.openxmlformats.org/officeDocument/2006/relationships/hyperlink" Target="https://www.deseret.com/2007/2/16/20001904/more-details-emerging-on-trolley-square-gunman-and-victims" TargetMode="External"/><Relationship Id="rId347" Type="http://schemas.openxmlformats.org/officeDocument/2006/relationships/hyperlink" Target="https://www.upi.com/Archives/1984/11/08/The-estranged-wife-of-accused-murderer-Abdelkrim-Belachheb-testified/3858468738000/" TargetMode="External"/><Relationship Id="rId999" Type="http://schemas.openxmlformats.org/officeDocument/2006/relationships/hyperlink" Target="http://old.post-gazette.com/regionstate/20000429profile4.asp" TargetMode="External"/><Relationship Id="rId1184" Type="http://schemas.openxmlformats.org/officeDocument/2006/relationships/hyperlink" Target="http://www.nytimes.com/2005/03/24/us/signs-of-danger-were-missed-in-a-troubled-teenagers-life.html" TargetMode="External"/><Relationship Id="rId2028" Type="http://schemas.openxmlformats.org/officeDocument/2006/relationships/hyperlink" Target="https://www.upi.com/Archives/1981/10/16/A-gunman-burst-into-an-auto-parts-store-Friday/9402372052800/" TargetMode="External"/><Relationship Id="rId2582" Type="http://schemas.openxmlformats.org/officeDocument/2006/relationships/hyperlink" Target="https://www.nytimes.com/2018/10/28/us/pittsburgh-shooting-robert-bowers.html" TargetMode="External"/><Relationship Id="rId554" Type="http://schemas.openxmlformats.org/officeDocument/2006/relationships/hyperlink" Target="https://www.washingtonpost.com/archive/politics/1991/11/11/gunman-kills-four-and-self-in-kentucky/c3111990-c0ec-48f8-9200-4fa837a1dba4/?utm_term=.c035ec2ccc5f" TargetMode="External"/><Relationship Id="rId761" Type="http://schemas.openxmlformats.org/officeDocument/2006/relationships/hyperlink" Target="https://www.washingtonpost.com/archive/politics/1996/04/25/firefighter-kills-wife-four-colleagues-before-being-wounded/f5b9eab9-d1cc-4c59-b2db-d664fe68c611/?utm_term=.0dd3dee56dfd" TargetMode="External"/><Relationship Id="rId859" Type="http://schemas.openxmlformats.org/officeDocument/2006/relationships/hyperlink" Target="http://www.pbs.org/wgbh/pages/frontline/shows/kinkel/kip/cron.html" TargetMode="External"/><Relationship Id="rId1391" Type="http://schemas.openxmlformats.org/officeDocument/2006/relationships/hyperlink" Target="https://www.latimes.com/archives/la-xpm-2009-dec-02-la-na-police-shooting2-2009dec02-story.html" TargetMode="External"/><Relationship Id="rId1489" Type="http://schemas.openxmlformats.org/officeDocument/2006/relationships/hyperlink" Target="https://www.seattletimes.com/seattle-news/gunman-a-life-full-of-rage-a-shocking-final-act/" TargetMode="External"/><Relationship Id="rId1696" Type="http://schemas.openxmlformats.org/officeDocument/2006/relationships/hyperlink" Target="https://www.cnn.com/2015/12/04/us/tashfeen-malik-san-bernardino-shooting-what-we-know/index.html" TargetMode="External"/><Relationship Id="rId2235" Type="http://schemas.openxmlformats.org/officeDocument/2006/relationships/hyperlink" Target="https://www.cnn.com/2013/07/19/us/colorado-theater-shooting-fast-facts/index.html" TargetMode="External"/><Relationship Id="rId2442" Type="http://schemas.openxmlformats.org/officeDocument/2006/relationships/hyperlink" Target="https://www.starnewsonline.com/news/20050803/officials-end-investigation-of-deadly-church-shooting" TargetMode="External"/><Relationship Id="rId207" Type="http://schemas.openxmlformats.org/officeDocument/2006/relationships/hyperlink" Target="https://www.upi.com/Archives/1981/05/12/An-unemployed-lumber-mill-worker-accused-of-killing-four/1659358488000/" TargetMode="External"/><Relationship Id="rId414" Type="http://schemas.openxmlformats.org/officeDocument/2006/relationships/hyperlink" Target="https://www.washingtonpost.com/archive/politics/1988/02/18/sudden-death-in-sunnyvale/4f50e5d7-0804-4a56-a2af-ced693c3b577/?utm_term=.8a2387bdb2c3" TargetMode="External"/><Relationship Id="rId621" Type="http://schemas.openxmlformats.org/officeDocument/2006/relationships/hyperlink" Target="https://news.google.com/newspapers?id=_SdZAAAAIBAJ&amp;sjid=C0cNAAAAIBAJ&amp;pg=6601,992534&amp;dq=" TargetMode="External"/><Relationship Id="rId1044" Type="http://schemas.openxmlformats.org/officeDocument/2006/relationships/hyperlink" Target="http://edition.cnn.com/2001/US/02/07/plant.shootings/" TargetMode="External"/><Relationship Id="rId1251" Type="http://schemas.openxmlformats.org/officeDocument/2006/relationships/hyperlink" Target="https://www.nytimes.com/2007/02/20/us/20mall.html?mtrref=undefined" TargetMode="External"/><Relationship Id="rId1349" Type="http://schemas.openxmlformats.org/officeDocument/2006/relationships/hyperlink" Target="https://www.seattletimes.com/seattle-news/shooting-rampage-suspect-described-as-deeply-troubled-1/" TargetMode="External"/><Relationship Id="rId2302" Type="http://schemas.openxmlformats.org/officeDocument/2006/relationships/hyperlink" Target="https://www.upi.com/Top_News/US/2018/09/14/California-gunman-who-killed-5-divorced-wife-last-year-police-say/1441536924815/" TargetMode="External"/><Relationship Id="rId719" Type="http://schemas.openxmlformats.org/officeDocument/2006/relationships/hyperlink" Target="https://www.upi.com/Archives/1995/07/19/Four-LA-city-workers-shot-to-death/3373806126400/" TargetMode="External"/><Relationship Id="rId926" Type="http://schemas.openxmlformats.org/officeDocument/2006/relationships/hyperlink" Target="https://www.nytimes.com/1999/07/31/us/shootings-in-atlanta-the-victims-drawn-to-their-deaths-by-lives-in-day-trading.html" TargetMode="External"/><Relationship Id="rId1111" Type="http://schemas.openxmlformats.org/officeDocument/2006/relationships/hyperlink" Target="http://news.minnesota.publicradio.org/features/2004/11/22_kelleherb_huntershooting/" TargetMode="External"/><Relationship Id="rId1556" Type="http://schemas.openxmlformats.org/officeDocument/2006/relationships/hyperlink" Target="https://www.cbsnews.com/news/did-race-and-affluence-factor-into-mental-care-of-sandy-hook-shooter/" TargetMode="External"/><Relationship Id="rId1763" Type="http://schemas.openxmlformats.org/officeDocument/2006/relationships/hyperlink" Target="http://www.sun-sentinel.com/news/fort-lauderdale-hollywood-airport-shooting/fl-esteban-santiago-arraignment-airport-shootings-20170130-story.html" TargetMode="External"/><Relationship Id="rId1970" Type="http://schemas.openxmlformats.org/officeDocument/2006/relationships/hyperlink" Target="https://books.google.com/books?id=Hr3OBwP-lbUC&amp;pg=PA73&amp;lpg=PA73&amp;dq=abdelkrim+belachheb+psychiatric+hospital&amp;source=bl&amp;ots=D79qicMtnl&amp;sig=ACfU3U0xAqTIjC8KPA-HjDkLC-rH21j6HQ&amp;hl=en&amp;sa=X&amp;ved=2ahUKEwiT267F6O_nAhXkB50JHfKtB1oQ6AEwA3oECAoQAQ" TargetMode="External"/><Relationship Id="rId2607" Type="http://schemas.openxmlformats.org/officeDocument/2006/relationships/hyperlink" Target="https://www.nytimes.com/1998/03/08/nyregion/in-a-province-of-winners-worker-who-lost-out-takes-revenge.html" TargetMode="External"/><Relationship Id="rId55" Type="http://schemas.openxmlformats.org/officeDocument/2006/relationships/hyperlink" Target="https://books.google.com/books?id=LEgSiLnmgYoC&amp;pg=PA88&amp;lpg=PA88&amp;dq=%22leo+held%22+paranoid&amp;source=bl&amp;ots=lYSrqNF9p4&amp;sig=ACfU3U2hB3e3SFcOZwjkD8GJFWzEnNrU4Q&amp;hl=en&amp;sa=X&amp;ved=2ahUKEwjj-MHt4cPhAhUh8YMKHR3WBToQ6AEwAXoECAgQAQ" TargetMode="External"/><Relationship Id="rId1209" Type="http://schemas.openxmlformats.org/officeDocument/2006/relationships/hyperlink" Target="http://www.nbcnews.com/id/11167920/ns/us_news-crime_and_courts/t/postal-killer-believed-she-was-target-plot/" TargetMode="External"/><Relationship Id="rId1416" Type="http://schemas.openxmlformats.org/officeDocument/2006/relationships/hyperlink" Target="https://www.scpr.org/news/2010/04/09/13972/suspect-identified-north-hollywood-shooting-left-f/" TargetMode="External"/><Relationship Id="rId1623" Type="http://schemas.openxmlformats.org/officeDocument/2006/relationships/hyperlink" Target="https://medium.com/@TXHart/child-of-our-time-the-elliot-rodgers-autobiography-e51d067c8dff" TargetMode="External"/><Relationship Id="rId1830" Type="http://schemas.openxmlformats.org/officeDocument/2006/relationships/hyperlink" Target="https://www.nbcnews.com/news/us-news/gunman-california-shooting-spree-needed-mental-help-sister-says-n821216" TargetMode="External"/><Relationship Id="rId1928" Type="http://schemas.openxmlformats.org/officeDocument/2006/relationships/hyperlink" Target="https://www.businessinsider.com/maryland-newspaper-shooter-had-a-history-of-harassing-a-woman-2018-6" TargetMode="External"/><Relationship Id="rId2092" Type="http://schemas.openxmlformats.org/officeDocument/2006/relationships/hyperlink" Target="https://www.nydailynews.com/new-york/lirr-bloodbath-remembered-20-years-article-1.1539603" TargetMode="External"/><Relationship Id="rId271" Type="http://schemas.openxmlformats.org/officeDocument/2006/relationships/hyperlink" Target="https://newspaperarchive.com/murder-clipping-aug-11-1982-174492/" TargetMode="External"/><Relationship Id="rId2397" Type="http://schemas.openxmlformats.org/officeDocument/2006/relationships/hyperlink" Target="https://www.nytimes.com/1984/07/20/us/neighbors-term-mass-slayer-a-quiet-but-hotheaded-loner.html" TargetMode="External"/><Relationship Id="rId131" Type="http://schemas.openxmlformats.org/officeDocument/2006/relationships/hyperlink" Target="http://www.newrochelletalk.com/content/neptune-murders-mark-gado" TargetMode="External"/><Relationship Id="rId369" Type="http://schemas.openxmlformats.org/officeDocument/2006/relationships/hyperlink" Target="https://www.upi.com/Archives/1984/07/25/A-gunman-who-killed-four-people-and-wounded-another/3627459576000/" TargetMode="External"/><Relationship Id="rId576" Type="http://schemas.openxmlformats.org/officeDocument/2006/relationships/hyperlink" Target="https://www.kcra.com/article/25-years-later-survivors-of-norcal-school-shooting-remember-tragedy/9589885" TargetMode="External"/><Relationship Id="rId783" Type="http://schemas.openxmlformats.org/officeDocument/2006/relationships/hyperlink" Target="http://www.clarkprosecutor.org/html/death/US/wise992.htm" TargetMode="External"/><Relationship Id="rId990" Type="http://schemas.openxmlformats.org/officeDocument/2006/relationships/hyperlink" Target="https://www.dallasnews.com/news/news/2012/09/20/texas-executes-man-who-murdered-5-at-irving-car-wash-12-years-ago" TargetMode="External"/><Relationship Id="rId2257" Type="http://schemas.openxmlformats.org/officeDocument/2006/relationships/hyperlink" Target="https://www.nbcnews.com/storyline/marysville-school-shooting/two=dead-including-gunman-school-schooting-near-seattle-n233371" TargetMode="External"/><Relationship Id="rId2464" Type="http://schemas.openxmlformats.org/officeDocument/2006/relationships/hyperlink" Target="https://www.washingtonpost.com/local/crime/fbi-police-detail-shooting-navy-yard-shooting/2013/09/25/ee321abe-2600-11e3-b3e9-d97fb087acd6_story.html" TargetMode="External"/><Relationship Id="rId2671" Type="http://schemas.openxmlformats.org/officeDocument/2006/relationships/hyperlink" Target="https://syvnews.com/news/local/crime-and-courts/leeds-believed-victims-were-mexican-mafia-defense-says/article_2182f8c2-8916-11e1-8bbd-0019bb2963f4.html" TargetMode="External"/><Relationship Id="rId229" Type="http://schemas.openxmlformats.org/officeDocument/2006/relationships/hyperlink" Target="https://www.upi.com/Archives/1981/10/16/A-gunman-burst-into-an-auto-parts-store-Friday/9402372052800/" TargetMode="External"/><Relationship Id="rId436" Type="http://schemas.openxmlformats.org/officeDocument/2006/relationships/hyperlink" Target="https://www.journalnow.com/news/local/for-first-time-in-years-michael-hayes-is-free-of/article_d5514c21-a980-5bf3-934e-53b3e76e8c05.html" TargetMode="External"/><Relationship Id="rId643" Type="http://schemas.openxmlformats.org/officeDocument/2006/relationships/hyperlink" Target="https://www2.census.gov/library/publications/decennial/1990/cp-1/cp-1-35.pdf" TargetMode="External"/><Relationship Id="rId1066" Type="http://schemas.openxmlformats.org/officeDocument/2006/relationships/hyperlink" Target="https://www.latimes.com/archives/la-xpm-2001-sep-11-mn-44550-story.html" TargetMode="External"/><Relationship Id="rId1273" Type="http://schemas.openxmlformats.org/officeDocument/2006/relationships/hyperlink" Target="https://www.denverpost.com/2008/03/27/report-reveals-clues-to-killers-mind/" TargetMode="External"/><Relationship Id="rId1480" Type="http://schemas.openxmlformats.org/officeDocument/2006/relationships/hyperlink" Target="https://www.washingtonpost.com/blogs/blogpost/post/who-is-one-goh-oakland-school-shooting-suspect/2012/04/03/gIQACiZysS_blog.html?utm_term=.61b7b3dc6e06" TargetMode="External"/><Relationship Id="rId2117" Type="http://schemas.openxmlformats.org/officeDocument/2006/relationships/hyperlink" Target="https://www.nytimes.com/1998/03/08/nyregion/in-a-province-of-winners-worker-who-lost-out-takes-revenge.html" TargetMode="External"/><Relationship Id="rId2324" Type="http://schemas.openxmlformats.org/officeDocument/2006/relationships/hyperlink" Target="https://www.cnn.com/2018/02/16/us/exclusive-school-shooter-instagram-group/index.html" TargetMode="External"/><Relationship Id="rId850" Type="http://schemas.openxmlformats.org/officeDocument/2006/relationships/hyperlink" Target="http://www.pbs.org/wgbh/pages/frontline/shows/kinkel/trial/" TargetMode="External"/><Relationship Id="rId948" Type="http://schemas.openxmlformats.org/officeDocument/2006/relationships/hyperlink" Target="http://www.washingtonpost.com/wp-srv/national/daily/sept99/texas16.htm" TargetMode="External"/><Relationship Id="rId1133" Type="http://schemas.openxmlformats.org/officeDocument/2006/relationships/hyperlink" Target="https://www.cnn.com/2013/10/31/us/atlanta-courthouse-shootings-fast-facts/index.html" TargetMode="External"/><Relationship Id="rId1578" Type="http://schemas.openxmlformats.org/officeDocument/2006/relationships/hyperlink" Target="https://www.uticaod.com/x930813837/2-people-reportedly-shot-at-Herkimer-car-wash" TargetMode="External"/><Relationship Id="rId1785" Type="http://schemas.openxmlformats.org/officeDocument/2006/relationships/hyperlink" Target="https://www.cbsnews.com/news/friend-orlando-victim-feared-workplace-shooter-would-seek-revenge-over-firing/" TargetMode="External"/><Relationship Id="rId1992" Type="http://schemas.openxmlformats.org/officeDocument/2006/relationships/hyperlink" Target="https://www.washingtonpost.com/sf/local/2016/07/31/the-loaded-legacy-of-the-ut-tower-shooting/" TargetMode="External"/><Relationship Id="rId2531" Type="http://schemas.openxmlformats.org/officeDocument/2006/relationships/hyperlink" Target="https://archive.nytimes.com/www.nytimes.com/library/national/080366tx-shoot.html" TargetMode="External"/><Relationship Id="rId2629" Type="http://schemas.openxmlformats.org/officeDocument/2006/relationships/hyperlink" Target="https://www.npr.org/templates/story/story.php?storyId=17126011" TargetMode="External"/><Relationship Id="rId77" Type="http://schemas.openxmlformats.org/officeDocument/2006/relationships/hyperlink" Target="https://cdnc.ucr.edu/cgi-bin/cdnc?a=d&amp;d=DS19690407.2.35&amp;e=-------en--20--1--txt-txIN--------1" TargetMode="External"/><Relationship Id="rId503" Type="http://schemas.openxmlformats.org/officeDocument/2006/relationships/hyperlink" Target="http://www.nytimes.com/1990/06/19/us/florida-gunman-kills-8-and-wounds-6-in-office.html" TargetMode="External"/><Relationship Id="rId710" Type="http://schemas.openxmlformats.org/officeDocument/2006/relationships/hyperlink" Target="http://www.nytimes.com/1995/04/04/us/6-die-in-texas-office-shooting.html" TargetMode="External"/><Relationship Id="rId808" Type="http://schemas.openxmlformats.org/officeDocument/2006/relationships/hyperlink" Target="http://www.nytimes.com/1998/03/07/nyregion/rampage-connecticut-overview-connecticut-lottery-worker-kills-4-bosses-then.html" TargetMode="External"/><Relationship Id="rId1340" Type="http://schemas.openxmlformats.org/officeDocument/2006/relationships/hyperlink" Target="http://www.nytimes.com/2008/09/04/us/04spree.html" TargetMode="External"/><Relationship Id="rId1438" Type="http://schemas.openxmlformats.org/officeDocument/2006/relationships/hyperlink" Target="https://www.courant.com/community/hartford/hc-xpm-2010-08-04-hc-omar-s-thornton-connecticut-shooti20100804-story.html" TargetMode="External"/><Relationship Id="rId1645" Type="http://schemas.openxmlformats.org/officeDocument/2006/relationships/hyperlink" Target="http://www.newsweek.com/2015/09/25/jaylen-ray-fryberg-marysville-pilchuck-high-school-shooting-372669.html" TargetMode="External"/><Relationship Id="rId1200" Type="http://schemas.openxmlformats.org/officeDocument/2006/relationships/hyperlink" Target="https://www.nytimes.com/2006/02/03/us/woman-in-california-postal-shootings-had-history-of-bizarre-behavior.html?mtrref=search.yahoo.com" TargetMode="External"/><Relationship Id="rId1852" Type="http://schemas.openxmlformats.org/officeDocument/2006/relationships/hyperlink" Target="https://heavy.com/news/2018/01/timothy-tim-smith-melcroft-shooting-suspect-photos/" TargetMode="External"/><Relationship Id="rId1505" Type="http://schemas.openxmlformats.org/officeDocument/2006/relationships/hyperlink" Target="http://www.cnn.com/2013/07/19/us/colorado-theater-shooting-fast-facts/index.html" TargetMode="External"/><Relationship Id="rId1712" Type="http://schemas.openxmlformats.org/officeDocument/2006/relationships/hyperlink" Target="https://www.nytimes.com/2016/06/14/us/politics/orlando-shooting-omar-mateen.html" TargetMode="External"/><Relationship Id="rId293"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2181" Type="http://schemas.openxmlformats.org/officeDocument/2006/relationships/hyperlink" Target="https://caselaw.findlaw.com/la-supreme-court/1546275.html" TargetMode="External"/><Relationship Id="rId153" Type="http://schemas.openxmlformats.org/officeDocument/2006/relationships/hyperlink" Target="https://www.upi.com/Archives/1987/09/02/Former-cook-convicted-in-restaurant-massacre/2502557553600/" TargetMode="External"/><Relationship Id="rId360" Type="http://schemas.openxmlformats.org/officeDocument/2006/relationships/hyperlink" Target="http://www.nytimes.com/1984/07/19/us/coast-man-kills-20-in-rampage-at-a-restaurant.html" TargetMode="External"/><Relationship Id="rId598" Type="http://schemas.openxmlformats.org/officeDocument/2006/relationships/hyperlink" Target="http://www.nytimes.com/1992/10/16/nyregion/gunman-kills-4-who-collected-child-payments.html" TargetMode="External"/><Relationship Id="rId2041"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2279" Type="http://schemas.openxmlformats.org/officeDocument/2006/relationships/hyperlink" Target="https://www.miamiherald.com/news/local/article211654694.html" TargetMode="External"/><Relationship Id="rId2486" Type="http://schemas.openxmlformats.org/officeDocument/2006/relationships/hyperlink" Target="https://www.nytimes.com/1982/06/22/us/new-law-on-insanity-plea-stirs-dispute-in-alaska.html" TargetMode="External"/><Relationship Id="rId2693" Type="http://schemas.openxmlformats.org/officeDocument/2006/relationships/hyperlink" Target="https://www.esquire.com/news-politics/a4863/steven-kazmierczak-0808/" TargetMode="External"/><Relationship Id="rId220" Type="http://schemas.openxmlformats.org/officeDocument/2006/relationships/hyperlink" Target="https://www.upi.com/Archives/1981/10/17/Mountain-town-shocked-by-shooting-outburst/9178372139200/" TargetMode="External"/><Relationship Id="rId458" Type="http://schemas.openxmlformats.org/officeDocument/2006/relationships/hyperlink" Target="https://www.chicagotribune.com/news/ct-xpm-1988-09-23-8802010546-story.html" TargetMode="External"/><Relationship Id="rId665" Type="http://schemas.openxmlformats.org/officeDocument/2006/relationships/hyperlink" Target="http://articles.latimes.com/1993-10-15/news/mn-45964_1_fitness-club" TargetMode="External"/><Relationship Id="rId872" Type="http://schemas.openxmlformats.org/officeDocument/2006/relationships/hyperlink" Target="https://caselaw.findlaw.com/la-supreme-court/1185808.html" TargetMode="External"/><Relationship Id="rId1088" Type="http://schemas.openxmlformats.org/officeDocument/2006/relationships/hyperlink" Target="https://www.heraldpalladium.com/localnews/killings-shock-friends-and-neighbors/article_1e98c855-92d1-5d68-aaa6-e68165370d57.html" TargetMode="External"/><Relationship Id="rId1295" Type="http://schemas.openxmlformats.org/officeDocument/2006/relationships/hyperlink" Target="http://www.santamariasun.com/news/8536/leeds-will-spend-the-rest-of-his-life-in-prison--for-scrap-yard-killings/" TargetMode="External"/><Relationship Id="rId2139" Type="http://schemas.openxmlformats.org/officeDocument/2006/relationships/hyperlink" Target="https://www.deseret.com/1999/12/31/19483268/5-killed-when-hotel-worker-goes-on-rampage-in-florida" TargetMode="External"/><Relationship Id="rId2346" Type="http://schemas.openxmlformats.org/officeDocument/2006/relationships/hyperlink" Target="https://web.archive.org/web/20150421030616/http:/www.cofpd.org/docs-dun/final-clemency-petition-5-6.pdf" TargetMode="External"/><Relationship Id="rId2553" Type="http://schemas.openxmlformats.org/officeDocument/2006/relationships/hyperlink" Target="https://books.google.com/books?id=JiQUkwBnzgYC&amp;pg=PA56&amp;lpg=PA56&amp;dq=joseph+wesbecker&amp;source=bl&amp;ots=PsyBrAnFgG&amp;sig=ACfU3U1l9BhEzuos1MCDT4sHa9kyNOxklg&amp;hl=en&amp;sa=X&amp;ved=2ahUKEwiB0bW8mODjAhUHiqwKHWxVDNU4ChDoATAIegQICRAB" TargetMode="External"/><Relationship Id="rId318" Type="http://schemas.openxmlformats.org/officeDocument/2006/relationships/hyperlink" Target="https://www.nytimes.com/1984/05/21/us/bodies-of-seven-sought-after-shootout-in-alaska.html" TargetMode="External"/><Relationship Id="rId525" Type="http://schemas.openxmlformats.org/officeDocument/2006/relationships/hyperlink" Target="http://www.nytimes.com/1991/10/18/us/portrait-of-texas-killer-impatient-and-troubled.html?pagewanted=all" TargetMode="External"/><Relationship Id="rId732" Type="http://schemas.openxmlformats.org/officeDocument/2006/relationships/hyperlink" Target="http://articles.latimes.com/1996-11-06/local/me-61893_1_city-electrician" TargetMode="External"/><Relationship Id="rId1155" Type="http://schemas.openxmlformats.org/officeDocument/2006/relationships/hyperlink" Target="http://articles.latimes.com/2005/mar/15/nation/na-church15" TargetMode="External"/><Relationship Id="rId1362" Type="http://schemas.openxmlformats.org/officeDocument/2006/relationships/hyperlink" Target="https://www.foxnews.com/story/north-carolina-nursing-home-gunmans-wife-hid-in-bathroom-during-rampage" TargetMode="External"/><Relationship Id="rId2206" Type="http://schemas.openxmlformats.org/officeDocument/2006/relationships/hyperlink" Target="https://www.nytimes.com/2009/04/04/nyregion/04hostage.html" TargetMode="External"/><Relationship Id="rId2413" Type="http://schemas.openxmlformats.org/officeDocument/2006/relationships/hyperlink" Target="https://www.chicagotribune.com/news/ct-xpm-1993-07-04-9307040062-story.html" TargetMode="External"/><Relationship Id="rId2620" Type="http://schemas.openxmlformats.org/officeDocument/2006/relationships/hyperlink" Target="https://www.dallasnews.com/news/crime/2004/12/13/man-who-killed-dimebag-darrell-abbott-was-upset-by-pantera-s-breakup-ex-friend-says/" TargetMode="External"/><Relationship Id="rId99" Type="http://schemas.openxmlformats.org/officeDocument/2006/relationships/hyperlink" Target="https://www.nytimes.com/1972/05/31/archives/gunmans-motive-remains-mystery-police-say-shootings-were-not-linked.html" TargetMode="External"/><Relationship Id="rId1015" Type="http://schemas.openxmlformats.org/officeDocument/2006/relationships/hyperlink" Target="https://www.nytimes.com/2000/12/27/us/7-die-in-rampage-at-company-co-worker-of-victims-arrested.html" TargetMode="External"/><Relationship Id="rId1222" Type="http://schemas.openxmlformats.org/officeDocument/2006/relationships/hyperlink" Target="https://www.thestranger.com/seattle/dead-quiet/Content?oid=31361" TargetMode="External"/><Relationship Id="rId1667" Type="http://schemas.openxmlformats.org/officeDocument/2006/relationships/hyperlink" Target="https://www.latimes.com/nation/la-na-school-shootings-2017-story.html" TargetMode="External"/><Relationship Id="rId1874" Type="http://schemas.openxmlformats.org/officeDocument/2006/relationships/hyperlink" Target="https://www.abc.net.au/news/2018-04-24/waffle-house-shooting-suspect-travis-reinking-arrested/9690348" TargetMode="External"/><Relationship Id="rId2718" Type="http://schemas.openxmlformats.org/officeDocument/2006/relationships/hyperlink" Target="https://www.capitalgazette.com/news/crime/ac-cn-ramos-yearbook-0708-story.html" TargetMode="External"/><Relationship Id="rId1527" Type="http://schemas.openxmlformats.org/officeDocument/2006/relationships/hyperlink" Target="http://www.bbc.com/news/world-us-canada-19167324" TargetMode="External"/><Relationship Id="rId1734" Type="http://schemas.openxmlformats.org/officeDocument/2006/relationships/hyperlink" Target="https://www.wusa9.com/article/news/documents-dallas-cop-killer-had-violent-outburst-gun-taken-while-in-army/287-300919192" TargetMode="External"/><Relationship Id="rId1941" Type="http://schemas.openxmlformats.org/officeDocument/2006/relationships/hyperlink" Target="https://abcnews.go.com/US/federal-charges-filed-friend-dayton-gunman-connor-betts/story?id=64925831" TargetMode="External"/><Relationship Id="rId26" Type="http://schemas.openxmlformats.org/officeDocument/2006/relationships/hyperlink" Target="https://www.nydailynews.com/news/crime/beauty-salon-massacre-article-1.273663" TargetMode="External"/><Relationship Id="rId175" Type="http://schemas.openxmlformats.org/officeDocument/2006/relationships/hyperlink" Target="http://www.texarkanagazette.com/news/texarkana/story/2009/oct/29/arempens-book-about-1980-church-shooting-dain/133575/" TargetMode="External"/><Relationship Id="rId1801" Type="http://schemas.openxmlformats.org/officeDocument/2006/relationships/hyperlink" Target="https://www.nbcnews.com/storyline/texas-church-shooting/who-devin-kelley-alleged-texas-church-shooter-n817806" TargetMode="External"/><Relationship Id="rId382" Type="http://schemas.openxmlformats.org/officeDocument/2006/relationships/hyperlink" Target="https://www.washingtonpost.com/archive/politics/1985/04/05/in-factory-town-fear-of-a-killing-pace/795719f4-fac5-45ee-a5ea-908b039750a8/?noredirect=on&amp;utm_term=.363d4155431a" TargetMode="External"/><Relationship Id="rId687" Type="http://schemas.openxmlformats.org/officeDocument/2006/relationships/hyperlink" Target="http://mediaassets.thedenverchannel.com/documents/Dunlap-response-from-DA.PDF" TargetMode="External"/><Relationship Id="rId2063" Type="http://schemas.openxmlformats.org/officeDocument/2006/relationships/hyperlink" Target="https://www.latimes.com/archives/la-xpm-1989-09-15-mn-152-story.html" TargetMode="External"/><Relationship Id="rId2270" Type="http://schemas.openxmlformats.org/officeDocument/2006/relationships/hyperlink" Target="https://www.washingtonpost.com/news/post-nation/wp/2016/12/02/one-year-after-san-bernardino-police-offer-a-possible-motive-as-questions-still-linger/" TargetMode="External"/><Relationship Id="rId2368" Type="http://schemas.openxmlformats.org/officeDocument/2006/relationships/hyperlink" Target="https://www.cnn.com/2019/09/29/us/seth-ator-previous-police-encounter-invs/index.html" TargetMode="External"/><Relationship Id="rId242"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894" Type="http://schemas.openxmlformats.org/officeDocument/2006/relationships/hyperlink" Target="http://www.cnn.com/US/9904/21/harris.profile.02/" TargetMode="External"/><Relationship Id="rId1177" Type="http://schemas.openxmlformats.org/officeDocument/2006/relationships/hyperlink" Target="http://www.cnn.com/2005/US/03/22/school.shooting/" TargetMode="External"/><Relationship Id="rId2130" Type="http://schemas.openxmlformats.org/officeDocument/2006/relationships/hyperlink" Target="https://lasvegassun.com/news/1999/jun/03/four-killed-in-shooting-at-grocery-store/" TargetMode="External"/><Relationship Id="rId2575" Type="http://schemas.openxmlformats.org/officeDocument/2006/relationships/hyperlink" Target="https://www.wausaudailyherald.com/story/news/2017/05/08/wife-details-troubles-before-her-husband-gunned-down-4-people/100164526/" TargetMode="External"/><Relationship Id="rId102" Type="http://schemas.openxmlformats.org/officeDocument/2006/relationships/hyperlink" Target="https://legeros.com/history/stories/north-hills/" TargetMode="External"/><Relationship Id="rId547" Type="http://schemas.openxmlformats.org/officeDocument/2006/relationships/hyperlink" Target="https://schoolshooters.info/sites/default/files/lu_sister_letter_1.0.pdf" TargetMode="External"/><Relationship Id="rId754" Type="http://schemas.openxmlformats.org/officeDocument/2006/relationships/hyperlink" Target="http://articles.latimes.com/1996-04-25/news/mn-62698_1_department-officers" TargetMode="External"/><Relationship Id="rId961" Type="http://schemas.openxmlformats.org/officeDocument/2006/relationships/hyperlink" Target="https://www.nytimes.com/1999/09/17/us/deaths-in-a-church-the-overview-an-angry-mystery-man-who-brought-death.html" TargetMode="External"/><Relationship Id="rId1384" Type="http://schemas.openxmlformats.org/officeDocument/2006/relationships/hyperlink" Target="https://www.nytimes.com/2009/11/09/us/09reconstruct.html?pagewanted=all" TargetMode="External"/><Relationship Id="rId1591" Type="http://schemas.openxmlformats.org/officeDocument/2006/relationships/hyperlink" Target="https://www.cnn.com/2013/06/09/justice/california-college-gunman/index.html" TargetMode="External"/><Relationship Id="rId1689" Type="http://schemas.openxmlformats.org/officeDocument/2006/relationships/hyperlink" Target="https://www.theeagle.com/news/mother-of-man-convicted-of-killing-six-people-says-her-son-changed-after-a-car/article_1c073cfc-c6ad-11e7-a923-bf84ac2aa25c.html" TargetMode="External"/><Relationship Id="rId2228" Type="http://schemas.openxmlformats.org/officeDocument/2006/relationships/hyperlink" Target="https://www.nj.com/news/2011/09/ihop_shooting_rampage_in_nevad.html" TargetMode="External"/><Relationship Id="rId2435" Type="http://schemas.openxmlformats.org/officeDocument/2006/relationships/hyperlink" Target="https://www.cbsnews.com/news/employment-agency-bloodbath/" TargetMode="External"/><Relationship Id="rId2642" Type="http://schemas.openxmlformats.org/officeDocument/2006/relationships/hyperlink" Target="https://www.cnn.com/2019/12/14/us/jersey-city-shooting-suspect-francine-graham/index.html" TargetMode="External"/><Relationship Id="rId90" Type="http://schemas.openxmlformats.org/officeDocument/2006/relationships/hyperlink" Target="https://newspaperarchive.com/daily-review-oct-23-1970-p-20/" TargetMode="External"/><Relationship Id="rId407" Type="http://schemas.openxmlformats.org/officeDocument/2006/relationships/hyperlink" Target="http://articles.latimes.com/1987-04-25/news/mn-990_1_palm-bay-police" TargetMode="External"/><Relationship Id="rId614"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821" Type="http://schemas.openxmlformats.org/officeDocument/2006/relationships/hyperlink" Target="https://www.nytimes.com/1998/03/08/nyregion/in-a-province-of-winners-worker-who-lost-out-takes-revenge.html" TargetMode="External"/><Relationship Id="rId1037" Type="http://schemas.openxmlformats.org/officeDocument/2006/relationships/hyperlink" Target="http://edition.cnn.com/2001/US/02/07/plant.shootings/" TargetMode="External"/><Relationship Id="rId1244" Type="http://schemas.openxmlformats.org/officeDocument/2006/relationships/hyperlink" Target="https://lancasteronline.com/news/a-killer-s-life-an-in-depth-look-at-nickel/article_d302e19f-a0df-5c4f-8fe7-2fa6b31a0dbf.html" TargetMode="External"/><Relationship Id="rId1451" Type="http://schemas.openxmlformats.org/officeDocument/2006/relationships/hyperlink" Target="http://worldpopulationreview.com/us-cities/tucson-population/" TargetMode="External"/><Relationship Id="rId1896" Type="http://schemas.openxmlformats.org/officeDocument/2006/relationships/hyperlink" Target="https://www.npr.org/sections/thetwo-way/2018/05/19/612468377/what-we-know-about-dimitrios-pagourtzis-the-alleged-texas-high-school-shooter" TargetMode="External"/><Relationship Id="rId2502" Type="http://schemas.openxmlformats.org/officeDocument/2006/relationships/hyperlink" Target="https://www.telegraph.co.uk/news/2016/07/08/dallas-shooting-who-is-micah-johnson/" TargetMode="External"/><Relationship Id="rId919" Type="http://schemas.openxmlformats.org/officeDocument/2006/relationships/hyperlink" Target="https://lasvegassun.com/news/1999/jun/04/floyd-described-as-sweet-guy-with-violent-streak/" TargetMode="External"/><Relationship Id="rId1104" Type="http://schemas.openxmlformats.org/officeDocument/2006/relationships/hyperlink" Target="https://azdailysun.com/four-pe%20ople-killed-in-idaho-bar-shooting-suspect-kills-self/article_163bed64-5202-50e8-99ea-95c04515ad99.html" TargetMode="External"/><Relationship Id="rId1311" Type="http://schemas.openxmlformats.org/officeDocument/2006/relationships/hyperlink" Target="http://web.archive.org/web/20161018033626/https:/mustangnews.net/policedoubtlinkbetweensantamariakillingssanluisobispomurder/" TargetMode="External"/><Relationship Id="rId1549" Type="http://schemas.openxmlformats.org/officeDocument/2006/relationships/hyperlink" Target="https://www.mprnews.org/story/2013/09/27/news/accent-signage-shooting-one-year" TargetMode="External"/><Relationship Id="rId1756" Type="http://schemas.openxmlformats.org/officeDocument/2006/relationships/hyperlink" Target="https://www.seattletimes.com/seattle-news/crime/suspected-cascade-mall-gunman-charged-with-5-counts-of-premeditated-murder/" TargetMode="External"/><Relationship Id="rId1963"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48" Type="http://schemas.openxmlformats.org/officeDocument/2006/relationships/hyperlink" Target="https://books.google.com/books?id=N8i3DAAAQBAJ&amp;pg=PA77&amp;lpg=PA77&amp;dq=%22leo+held%22+knisely&amp;source=bl&amp;ots=tbEgak7AAw&amp;sig=ACfU3U1gVqGbGkeaR_fvWEim8LMqRg_aeQ&amp;hl=en&amp;sa=X&amp;ved=2ahUKEwjIlenw38PhAhUb8YMKHayCCBsQ6AEwAnoECAcQAQ" TargetMode="External"/><Relationship Id="rId1409" Type="http://schemas.openxmlformats.org/officeDocument/2006/relationships/hyperlink" Target="https://web.archive.org/web/20091209021105/http:/seattletimes.nwsource.com/html/localnews/2010436039_clemmonsprofile06m.html" TargetMode="External"/><Relationship Id="rId1616" Type="http://schemas.openxmlformats.org/officeDocument/2006/relationships/hyperlink" Target="https://www.washingtonpost.com/local/before-navy-yard-shooting-alleged-gunman-heard-voices-and-sought-help/2013/09/17/874970d8-1fd2-11e3-94a2-6c66b668ea55_story.html?utm_term=.ea960a9934f6" TargetMode="External"/><Relationship Id="rId1823" Type="http://schemas.openxmlformats.org/officeDocument/2006/relationships/hyperlink" Target="https://www.cbsnews.com/news/california-shooting-gunman-kevin-janson-neal-threatened-victim-son-neighbor/" TargetMode="External"/><Relationship Id="rId197" Type="http://schemas.openxmlformats.org/officeDocument/2006/relationships/hyperlink" Target="http://katu.com/news/local/30-years-later-sounds-of-gunfire-still-haunt-shooting-victim" TargetMode="External"/><Relationship Id="rId2085" Type="http://schemas.openxmlformats.org/officeDocument/2006/relationships/hyperlink" Target="https://www.baltimoresun.com/news/bs-xpm-1993-07-02-1993183014-story.html" TargetMode="External"/><Relationship Id="rId2292" Type="http://schemas.openxmlformats.org/officeDocument/2006/relationships/hyperlink" Target="https://www.cnn.com/2018/02/25/us/nikolas-cruz-warning-signs/index.html" TargetMode="External"/><Relationship Id="rId264" Type="http://schemas.openxmlformats.org/officeDocument/2006/relationships/hyperlink" Target="https://www.upi.com/Archives/1982/08/09/Yes-I-know-hes-killing-people/2899397713600/" TargetMode="External"/><Relationship Id="rId471" Type="http://schemas.openxmlformats.org/officeDocument/2006/relationships/hyperlink" Target="https://www.nytimes.com/1989/09/16/us/disturbed-past-of-killer-of-7-is-unraveled.html" TargetMode="External"/><Relationship Id="rId2152" Type="http://schemas.openxmlformats.org/officeDocument/2006/relationships/hyperlink" Target="https://www.latimes.com/archives/la-xpm-2001-sep-11-mn-44550-story.html" TargetMode="External"/><Relationship Id="rId2597" Type="http://schemas.openxmlformats.org/officeDocument/2006/relationships/hyperlink" Target="https://www.beaconjournal.com/news/20190811/survivor-of-copley-rampage-reflects-on-mass-shootings-gun-control-measures" TargetMode="External"/><Relationship Id="rId124" Type="http://schemas.openxmlformats.org/officeDocument/2006/relationships/hyperlink" Target="http://www.nytimes.com/1977/02/15/archives/nazi-admirer-also-wounds-5-in-wild-attack-followed-by-a-siege-at.html" TargetMode="External"/><Relationship Id="rId569" Type="http://schemas.openxmlformats.org/officeDocument/2006/relationships/hyperlink" Target="http://community.seattletimes.nwsource.com/archive/?date=19911115&amp;slug=1317398" TargetMode="External"/><Relationship Id="rId776" Type="http://schemas.openxmlformats.org/officeDocument/2006/relationships/hyperlink" Target="http://content.time.com/time/magazine/article/0,9171,138219,00.html" TargetMode="External"/><Relationship Id="rId983" Type="http://schemas.openxmlformats.org/officeDocument/2006/relationships/hyperlink" Target="http://articles.latimes.com/2000/jan/01/news/mn-49588" TargetMode="External"/><Relationship Id="rId1199" Type="http://schemas.openxmlformats.org/officeDocument/2006/relationships/hyperlink" Target="https://www.nytimes.com/2006/02/03/us/woman-in-california-postal-shootings-had-history-of-bizarre-behavior.html?mtrref=search.yahoo.com" TargetMode="External"/><Relationship Id="rId2457" Type="http://schemas.openxmlformats.org/officeDocument/2006/relationships/hyperlink" Target="http://www.nbcnews.com/id/44057589/ns/us_news-crime_and_courts/t/woman-alleged-ohio-killer-estate-dispute/" TargetMode="External"/><Relationship Id="rId2664" Type="http://schemas.openxmlformats.org/officeDocument/2006/relationships/hyperlink" Target="https://www.postindependent.com/news/stagner-insane-judge-confirms/" TargetMode="External"/><Relationship Id="rId331"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429" Type="http://schemas.openxmlformats.org/officeDocument/2006/relationships/hyperlink" Target="http://www.nytimes.com/1988/07/19/us/four-motorists-are-shot-to-death-gunman-wounded-in-12-minutes.html" TargetMode="External"/><Relationship Id="rId636" Type="http://schemas.openxmlformats.org/officeDocument/2006/relationships/hyperlink" Target="http://articles.latimes.com/1993-07-03/news/mn-10731_1_mortgage-business" TargetMode="External"/><Relationship Id="rId1059" Type="http://schemas.openxmlformats.org/officeDocument/2006/relationships/hyperlink" Target="https://www.latimes.com/archives/la-xpm-2001-sep-11-mn-44550-story.html" TargetMode="External"/><Relationship Id="rId1266" Type="http://schemas.openxmlformats.org/officeDocument/2006/relationships/hyperlink" Target="https://www.denverpost.com/2008/03/27/report-reveals-clues-to-killers-mind/" TargetMode="External"/><Relationship Id="rId1473" Type="http://schemas.openxmlformats.org/officeDocument/2006/relationships/hyperlink" Target="http://www.nbcnews.com/id/44913588/ns/us_news-crime_and_courts/t/details-calif-shooting-suspects-life-emerges/" TargetMode="External"/><Relationship Id="rId2012" Type="http://schemas.openxmlformats.org/officeDocument/2006/relationships/hyperlink" Target="https://www.nytimes.com/1977/02/15/archives/nazi-admirer-also-wounds-5-in-wild-attack-followed-by-a-siege-at.html" TargetMode="External"/><Relationship Id="rId2317" Type="http://schemas.openxmlformats.org/officeDocument/2006/relationships/hyperlink" Target="https://www.cnn.com/2019/09/01/us/odessa-texas-shooting-sunday/index.html" TargetMode="External"/><Relationship Id="rId843" Type="http://schemas.openxmlformats.org/officeDocument/2006/relationships/hyperlink" Target="https://www.nytimes.com/1998/03/29/us/from-wild-talk-and-friendship-to-five-deaths-in-a-schoolyard.html?mcubz=0" TargetMode="External"/><Relationship Id="rId1126" Type="http://schemas.openxmlformats.org/officeDocument/2006/relationships/hyperlink" Target="https://www.seattletimes.com/nation-world/friends-describe-bizarre-behavior-of-gunman-in-band-shooting/" TargetMode="External"/><Relationship Id="rId1680" Type="http://schemas.openxmlformats.org/officeDocument/2006/relationships/hyperlink" Target="https://www.nydailynews.com/news/crime/man-accused-killing-campsite-guilty-capital-murder-article-1.3619755" TargetMode="External"/><Relationship Id="rId1778" Type="http://schemas.openxmlformats.org/officeDocument/2006/relationships/hyperlink" Target="http://www.cnn.com/2017/06/05/us/orlando-fatalities/index.html" TargetMode="External"/><Relationship Id="rId1985" Type="http://schemas.openxmlformats.org/officeDocument/2006/relationships/hyperlink" Target="https://books.google.com/books?id=MzhVs1852I0C&amp;pg=PA122&amp;lpg=PA122&amp;dq=terry+ratzmann+oldest+child&amp;source=bl&amp;ots=uwlfHvLdlF&amp;sig=ACfU3U0Ot1iDHGbzXX8a3RAXg1psvshOEw&amp;hl=en&amp;sa=X&amp;ved=2ahUKEwjL0_SyqpDoAhUFZc0KHQl6CGIQ6AEwC3oECAsQAQ" TargetMode="External"/><Relationship Id="rId2524" Type="http://schemas.openxmlformats.org/officeDocument/2006/relationships/hyperlink" Target="https://www.nytimes.com/1993/12/12/nyregion/tormented-life-special-report-long-slide-privilege-ends-slaughter-train.html" TargetMode="External"/><Relationship Id="rId2731" Type="http://schemas.openxmlformats.org/officeDocument/2006/relationships/hyperlink" Target="https://www.wtae.com/article/two-men-charged-with-homicide-in-connection-with-wilkinsburg-backyard-ambush/7480821" TargetMode="External"/><Relationship Id="rId703" Type="http://schemas.openxmlformats.org/officeDocument/2006/relationships/hyperlink" Target="https://www.upi.com/Archives/1994/06/21/Teacher-Mellberg-was-a-loner/1176772171200/" TargetMode="External"/><Relationship Id="rId910" Type="http://schemas.openxmlformats.org/officeDocument/2006/relationships/hyperlink" Target="https://lasvegassun.com/news/1999/jun/04/floyd-described-as-sweet-guy-with-violent-streak/" TargetMode="External"/><Relationship Id="rId1333" Type="http://schemas.openxmlformats.org/officeDocument/2006/relationships/hyperlink" Target="https://www.wkyt.com/home/headlines/25559494.html" TargetMode="External"/><Relationship Id="rId1540" Type="http://schemas.openxmlformats.org/officeDocument/2006/relationships/hyperlink" Target="http://www.startribune.com/andrew-engeldinger-lost-his-job-then-opened-fire-killing-5/171774461/" TargetMode="External"/><Relationship Id="rId1638" Type="http://schemas.openxmlformats.org/officeDocument/2006/relationships/hyperlink" Target="https://www.newsweek.com/2015/09/25/jaylen-ray-fryberg-marysville-pilchuck-high-school-shooting-372669.html" TargetMode="External"/><Relationship Id="rId1400" Type="http://schemas.openxmlformats.org/officeDocument/2006/relationships/hyperlink" Target="https://web.archive.org/web/20101021234307/http:/seattletimes.nwsource.com/html/localnews/2013170137_otherside21.html" TargetMode="External"/><Relationship Id="rId1845" Type="http://schemas.openxmlformats.org/officeDocument/2006/relationships/hyperlink" Target="https://heavy.com/news/2018/01/timothy-tim-smith-melcroft-shooting-suspect-photos/" TargetMode="External"/><Relationship Id="rId1705" Type="http://schemas.openxmlformats.org/officeDocument/2006/relationships/hyperlink" Target="http://heavy.com/news/2016/02/jason-dalton-kalamazoo-shooting-spree-suspect-gunman-shooter-name-photos-pictures-facebook-motive-age/" TargetMode="External"/><Relationship Id="rId1912" Type="http://schemas.openxmlformats.org/officeDocument/2006/relationships/hyperlink" Target="https://abc13.com/no-federal-charges-for-santa-fe-high-shooting-suspect/5211138/" TargetMode="External"/><Relationship Id="rId286" Type="http://schemas.openxmlformats.org/officeDocument/2006/relationships/hyperlink" Target="https://www.upi.com/Archives/1983/03/03/Survivor-describes-random-shootings-that-killed-six/9561415515600/" TargetMode="External"/><Relationship Id="rId493" Type="http://schemas.openxmlformats.org/officeDocument/2006/relationships/hyperlink" Target="http://www.nytimes.com/1990/06/19/us/florida-gunman-kills-8-and-wounds-6-in-office.html" TargetMode="External"/><Relationship Id="rId2174" Type="http://schemas.openxmlformats.org/officeDocument/2006/relationships/hyperlink" Target="https://www.mprnews.org/story/2015/03/18/red-lake-shooting-explained" TargetMode="External"/><Relationship Id="rId2381" Type="http://schemas.openxmlformats.org/officeDocument/2006/relationships/hyperlink" Target="https://www.ocregister.com/2006/05/20/shootings-recall-csuf-ordeal-31-years-ago/" TargetMode="External"/><Relationship Id="rId146" Type="http://schemas.openxmlformats.org/officeDocument/2006/relationships/hyperlink" Target="https://books.google.com/books?id=sdd3ihupC_AC&amp;pg=PA102&amp;lpg=PA102&amp;dq=%22dewitt+henry%22+shooting+trial&amp;source=bl&amp;ots=z5WTHLavSU&amp;sig=ACfU3U1yjhiRr73qN-uKnI8E7DlWHHW9vg&amp;hl=en&amp;sa=X&amp;ved=2ahUKEwiekMfblabjAhWTPM0KHWmfD6MQ6AEwA3oECAkQAQ" TargetMode="External"/><Relationship Id="rId353" Type="http://schemas.openxmlformats.org/officeDocument/2006/relationships/hyperlink" Target="https://www.nytimes.com/1984/06/30/us/6-die-in-dallas-club-as-enraged-man-fires-wildly.html?mcubz=0" TargetMode="External"/><Relationship Id="rId560" Type="http://schemas.openxmlformats.org/officeDocument/2006/relationships/hyperlink" Target="https://www.apnews.com/2ef3eeb1eb4f91024720120a176329c8" TargetMode="External"/><Relationship Id="rId798" Type="http://schemas.openxmlformats.org/officeDocument/2006/relationships/hyperlink" Target="http://articles.latimes.com/1997/dec/20/news/mn-431" TargetMode="External"/><Relationship Id="rId1190" Type="http://schemas.openxmlformats.org/officeDocument/2006/relationships/hyperlink" Target="http://www.denverpost.com/2005/08/29/4-slain-near-texas-church/" TargetMode="External"/><Relationship Id="rId2034" Type="http://schemas.openxmlformats.org/officeDocument/2006/relationships/hyperlink" Target="https://www.nytimes.com/1982/08/24/us/no-charges-planned-against-miami-man-who-shot-gunman.html" TargetMode="External"/><Relationship Id="rId2241" Type="http://schemas.openxmlformats.org/officeDocument/2006/relationships/hyperlink" Target="https://www.nytimes.com/2012/12/15/nyregion/shooting-reported-at-connecticut-elementary-school.html?mcubz=3" TargetMode="External"/><Relationship Id="rId2479" Type="http://schemas.openxmlformats.org/officeDocument/2006/relationships/hyperlink" Target="https://www.baltimoresun.com/news/crime/bs-md-ramos-search-20180628-story.html" TargetMode="External"/><Relationship Id="rId2686" Type="http://schemas.openxmlformats.org/officeDocument/2006/relationships/hyperlink" Target="https://www.wsbtv.com/news/2-investigates/courthouse-killer-brian-nichols-i-did-some-very-bad-things/296105563/" TargetMode="External"/><Relationship Id="rId213" Type="http://schemas.openxmlformats.org/officeDocument/2006/relationships/hyperlink" Target="https://www.nytimes.com/1981/05/09/us/four-slain-and-20-wounded-in-bar-as-oregon-man-shoots-into-crowd.html" TargetMode="External"/><Relationship Id="rId420"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658" Type="http://schemas.openxmlformats.org/officeDocument/2006/relationships/hyperlink" Target="https://www.upi.com/Archives/1993/10/15/Five-dead-in-health-club-shootings/4365750657600/" TargetMode="External"/><Relationship Id="rId865" Type="http://schemas.openxmlformats.org/officeDocument/2006/relationships/hyperlink" Target="http://www.pbs.org/wgbh/pages/frontline/shows/kinkel/kip/cron.html" TargetMode="External"/><Relationship Id="rId1050" Type="http://schemas.openxmlformats.org/officeDocument/2006/relationships/hyperlink" Target="https://www.aspentimes.com/news/release-of-rifle-shooter-would-be-only-temporary/" TargetMode="External"/><Relationship Id="rId1288" Type="http://schemas.openxmlformats.org/officeDocument/2006/relationships/hyperlink" Target="https://www.esquire.com/news-politics/a4863/steven-kazmierczak-0808/" TargetMode="External"/><Relationship Id="rId1495" Type="http://schemas.openxmlformats.org/officeDocument/2006/relationships/hyperlink" Target="https://komonews.com/news/local/family-seattle-gunman-had-a-concealed-weapon-permit-11-20-2015" TargetMode="External"/><Relationship Id="rId2101" Type="http://schemas.openxmlformats.org/officeDocument/2006/relationships/hyperlink" Target="https://www.latimes.com/archives/la-xpm-1996-11-06-me-61893-story.html" TargetMode="External"/><Relationship Id="rId2339" Type="http://schemas.openxmlformats.org/officeDocument/2006/relationships/hyperlink" Target="https://timesmachine.nytimes.com/timesmachine/1967/10/25/81841391.html?pageNumber=26" TargetMode="External"/><Relationship Id="rId2546" Type="http://schemas.openxmlformats.org/officeDocument/2006/relationships/hyperlink" Target="https://www.washingtonpost.com/archive/politics/1985/04/05/in-factory-town-fear-of-a-killing-pace/795719f4-fac5-45ee-a5ea-908b039750a8/?noredirect=on" TargetMode="External"/><Relationship Id="rId518" Type="http://schemas.openxmlformats.org/officeDocument/2006/relationships/hyperlink" Target="https://www.nytimes.com/1991/10/11/nyregion/4-slain-in-2-new-jersey-attacks-and-former-postal-clerk-is-held.html?pagewanted=all" TargetMode="External"/><Relationship Id="rId725" Type="http://schemas.openxmlformats.org/officeDocument/2006/relationships/hyperlink" Target="https://www.upi.com/Archives/1995/07/19/Four-LA-city-workers-shot-to-death/3373806126400/" TargetMode="External"/><Relationship Id="rId932" Type="http://schemas.openxmlformats.org/officeDocument/2006/relationships/hyperlink" Target="http://web.archive.org/web/20150210050824/http:/www.crimelibrary.com/notorious_murders/mass/work_homicide/2.html" TargetMode="External"/><Relationship Id="rId1148" Type="http://schemas.openxmlformats.org/officeDocument/2006/relationships/hyperlink" Target="https://www.nytimes.com/2005/03/13/us/gunman-kills-7-in-church-group-near-milwaukee.html" TargetMode="External"/><Relationship Id="rId1355" Type="http://schemas.openxmlformats.org/officeDocument/2006/relationships/hyperlink" Target="https://www.seattletimes.com/seattle-news/shooting-rampage-suspect-described-as-deeply-troubled-1/" TargetMode="External"/><Relationship Id="rId1562" Type="http://schemas.openxmlformats.org/officeDocument/2006/relationships/hyperlink" Target="https://www.cbsnews.com/news/upstate-new-york-shooting-update-kurt-myers-suspected-gunman-killed-by-police-in-shootout/" TargetMode="External"/><Relationship Id="rId2406" Type="http://schemas.openxmlformats.org/officeDocument/2006/relationships/hyperlink" Target="https://www.nytimes.com/1991/11/03/us/gunman-in-iowa-wrote-of-plans-in-five-letters.html" TargetMode="External"/><Relationship Id="rId2613" Type="http://schemas.openxmlformats.org/officeDocument/2006/relationships/hyperlink" Target="https://www.mirror.co.uk/news/real-life-stories/workers-who-kill-colleagues-university-11231926" TargetMode="External"/><Relationship Id="rId1008" Type="http://schemas.openxmlformats.org/officeDocument/2006/relationships/hyperlink" Target="http://www.nytimes.com/2000/12/27/us/7-die-in-rampage-at-company-co-worker-of-victims-arrested.html" TargetMode="External"/><Relationship Id="rId1215" Type="http://schemas.openxmlformats.org/officeDocument/2006/relationships/hyperlink" Target="https://www.nytimes.com/2006/03/28/us/seattle-police-and-partygoers-still-puzzle-over-attack.html" TargetMode="External"/><Relationship Id="rId1422" Type="http://schemas.openxmlformats.org/officeDocument/2006/relationships/hyperlink" Target="https://www.cbsnews.com/news/florida-man-kills-four-women-in-restaurant-shooting-police-say/" TargetMode="External"/><Relationship Id="rId1867" Type="http://schemas.openxmlformats.org/officeDocument/2006/relationships/hyperlink" Target="https://www.cnn.com/2018/02/25/us/nikolas-cruz-warning-signs/index.html" TargetMode="External"/><Relationship Id="rId61" Type="http://schemas.openxmlformats.org/officeDocument/2006/relationships/hyperlink" Target="https://cdnc.ucr.edu/cgi-bin/cdnc?a=d&amp;d=MT19680319.2.34https://cdnc.ucr.edu/cgi-bin/cdnc?a=d&amp;d=MT19680319.2.34" TargetMode="External"/><Relationship Id="rId1727" Type="http://schemas.openxmlformats.org/officeDocument/2006/relationships/hyperlink" Target="https://www.telegraph.co.uk/news/2016/07/08/dallas-shooting-who-is-micah-johnson/" TargetMode="External"/><Relationship Id="rId1934" Type="http://schemas.openxmlformats.org/officeDocument/2006/relationships/hyperlink" Target="https://www.usatoday.com/story/news/nation/2018/11/08/ian-long-gunman-thousand-oaks-california-borderline-bar-grill/1928231002/" TargetMode="External"/><Relationship Id="rId19" Type="http://schemas.openxmlformats.org/officeDocument/2006/relationships/hyperlink" Target="https://www.washingtonpost.com/sf/local/2016/07/31/the-loaded-legacy-of-the-ut-tower-shooting/?hpid=hp_rhp-top-table-main_uttower-0840pm%3Ahomepage%2Fstory&amp;tid=a_inl&amp;utm_term=.6ab077235c7d" TargetMode="External"/><Relationship Id="rId2196" Type="http://schemas.openxmlformats.org/officeDocument/2006/relationships/hyperlink" Target="http://content.time.com/time/nation/article/0,8599,1714069,00.html" TargetMode="External"/><Relationship Id="rId168" Type="http://schemas.openxmlformats.org/officeDocument/2006/relationships/hyperlink" Target="http://fultonhistory.com/Newspaper%2011/Geneva%20NY%20Finger%20Lake%20Times/Geneva%20NY%20Finger%20Lake%20Times%201980%20Feb%201980/Geneva%20NY%20Finger%20Lake%20Times%201980%20Feb%201980%20-%200064.pdf" TargetMode="External"/><Relationship Id="rId375" Type="http://schemas.openxmlformats.org/officeDocument/2006/relationships/hyperlink" Target="https://www.upi.com/Archives/1984/07/25/A-gunman-who-killed-four-people-and-wounded-another/3627459576000/" TargetMode="External"/><Relationship Id="rId582" Type="http://schemas.openxmlformats.org/officeDocument/2006/relationships/hyperlink" Target="https://www.sacbee.com/news/local/history/article146987224.html" TargetMode="External"/><Relationship Id="rId2056" Type="http://schemas.openxmlformats.org/officeDocument/2006/relationships/hyperlink" Target="https://www.nytimes.com/1988/07/19/us/four-motorists-are-shot-to-death-gunman-wounded-in-12-minutes.html" TargetMode="External"/><Relationship Id="rId2263" Type="http://schemas.openxmlformats.org/officeDocument/2006/relationships/hyperlink" Target="https://www.nytimes.com/2015/10/10/us/roseburg-oregon-shooting-christopher-harper-mercer.html" TargetMode="External"/><Relationship Id="rId2470" Type="http://schemas.openxmlformats.org/officeDocument/2006/relationships/hyperlink" Target="https://www.latimes.com/nation/la-na-school-shootings-2017-story.html" TargetMode="External"/><Relationship Id="rId3" Type="http://schemas.openxmlformats.org/officeDocument/2006/relationships/hyperlink" Target="https://www.npr.org/sections/health-shots/2016/07/29/487767127/gun-violence-and-mental-health-laws-50-years-after-texas-tower-sniper" TargetMode="External"/><Relationship Id="rId235" Type="http://schemas.openxmlformats.org/officeDocument/2006/relationships/hyperlink" Target="https://www.nytimes.com/1982/06/22/us/new-law-on-insanity-plea-stirs-dispute-in-alaska.html" TargetMode="External"/><Relationship Id="rId442" Type="http://schemas.openxmlformats.org/officeDocument/2006/relationships/hyperlink" Target="https://www.upi.com/Archives/1988/07/19/Hospital-denies-commitment-sought-for-gunman/1978585288000/" TargetMode="External"/><Relationship Id="rId887" Type="http://schemas.openxmlformats.org/officeDocument/2006/relationships/hyperlink" Target="https://www.theguardian.com/world/2009/apr/17/columbine-massacre-gun-crime-us" TargetMode="External"/><Relationship Id="rId1072" Type="http://schemas.openxmlformats.org/officeDocument/2006/relationships/hyperlink" Target="https://www.nytimes.com/2001/09/11/national/slaying-suspect-commits-suicide.html" TargetMode="External"/><Relationship Id="rId2123" Type="http://schemas.openxmlformats.org/officeDocument/2006/relationships/hyperlink" Target="https://www.nytimes.com/1998/05/22/us/shootings-school-overview-oregon-student-held-3-killings-one-dead-23-hurt-his.html" TargetMode="External"/><Relationship Id="rId2330" Type="http://schemas.openxmlformats.org/officeDocument/2006/relationships/hyperlink" Target="https://deathpenaltycurriculum.org/node/87" TargetMode="External"/><Relationship Id="rId2568" Type="http://schemas.openxmlformats.org/officeDocument/2006/relationships/hyperlink" Target="https://www.nbcnews.com/storyline/chattanooga-shooting/chattanooga-shooting-gunman-muhammad-abdulazeez-was-downward-spiral-family-rep-n395036" TargetMode="External"/><Relationship Id="rId302"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747" Type="http://schemas.openxmlformats.org/officeDocument/2006/relationships/hyperlink" Target="https://www.sun-sentinel.com/news/fl-xpm-1996-02-10-9602090635-story.html" TargetMode="External"/><Relationship Id="rId954" Type="http://schemas.openxmlformats.org/officeDocument/2006/relationships/hyperlink" Target="https://www.chicagotribune.com/news/ct-xpm-1999-09-18-9909180043-story.html" TargetMode="External"/><Relationship Id="rId1377" Type="http://schemas.openxmlformats.org/officeDocument/2006/relationships/hyperlink" Target="https://www.nytimes.com/2009/04/12/nyregion/12binghamton.html" TargetMode="External"/><Relationship Id="rId1584" Type="http://schemas.openxmlformats.org/officeDocument/2006/relationships/hyperlink" Target="https://www.seattletimes.com/seattle-news/federal-way-gunman-charged-at-17-in-bb-gun-attack-on-an-ex/" TargetMode="External"/><Relationship Id="rId1791" Type="http://schemas.openxmlformats.org/officeDocument/2006/relationships/hyperlink" Target="https://www.ktnv.com/news/las-vegas-shooting/list-guns-and-evidence-from-las-vegas-shooter-stephen-paddock" TargetMode="External"/><Relationship Id="rId2428" Type="http://schemas.openxmlformats.org/officeDocument/2006/relationships/hyperlink" Target="https://books.google.com/books?id=b54xcYkbSlcC&amp;lpg=PA67&amp;ots=mlvGRSb_k6&amp;dq=mark%20barton%20biography&amp;pg=PA67" TargetMode="External"/><Relationship Id="rId2635" Type="http://schemas.openxmlformats.org/officeDocument/2006/relationships/hyperlink" Target="http://web.archive.org/web/20161018033626/https:/mustangnews.net/policedoubtlinkbetweensantamariakillingssanluisobispomurder/" TargetMode="External"/><Relationship Id="rId83" Type="http://schemas.openxmlformats.org/officeDocument/2006/relationships/hyperlink" Target="https://www.nytimes.com/1970/09/24/archives/state-employe-kills-4-coworkers-and-himself-in-albany-office.html" TargetMode="External"/><Relationship Id="rId607" Type="http://schemas.openxmlformats.org/officeDocument/2006/relationships/hyperlink" Target="http://www.nytimes.com/1992/10/17/nyregion/shooting-followed-tougher-efforts-to-collect-child-support.html" TargetMode="External"/><Relationship Id="rId814" Type="http://schemas.openxmlformats.org/officeDocument/2006/relationships/hyperlink" Target="http://www.nytimes.com/1998/03/07/nyregion/rampage-connecticut-overview-connecticut-lottery-worker-kills-4-bosses-then.html" TargetMode="External"/><Relationship Id="rId1237" Type="http://schemas.openxmlformats.org/officeDocument/2006/relationships/hyperlink" Target="https://lancasterpa.com/amish/amish-school-shooting/" TargetMode="External"/><Relationship Id="rId1444" Type="http://schemas.openxmlformats.org/officeDocument/2006/relationships/hyperlink" Target="http://www.nbcnews.com/id/42371480/ns/us_news-crime_and_courts/t/ex-gang-member-guilty-shooting-deadly--second-rampage/" TargetMode="External"/><Relationship Id="rId1651" Type="http://schemas.openxmlformats.org/officeDocument/2006/relationships/hyperlink" Target="https://www.washingtonpost.com/world/national-security/chattanooga-shooter-came-from-middle-class-muslim-family/2015/07/16/815c39c2-2c04-11e5-bd33-395c05608059_story.html?utm_term=.1890d54b46b6" TargetMode="External"/><Relationship Id="rId1889" Type="http://schemas.openxmlformats.org/officeDocument/2006/relationships/hyperlink" Target="https://edition.cnn.com/2018/04/22/us/travis-reinking-waffle-house-shooting/index.html" TargetMode="External"/><Relationship Id="rId2702" Type="http://schemas.openxmlformats.org/officeDocument/2006/relationships/hyperlink" Target="https://www.latimes.com/local/lanow/la-me-ln-santa-barbara-isla-vista-rampage-investigation-20150219-story.html" TargetMode="External"/><Relationship Id="rId1304" Type="http://schemas.openxmlformats.org/officeDocument/2006/relationships/hyperlink" Target="http://www.santamariasun.com/news/8536/leeds-will-spend-the-rest-of-his-life-in-prison--for-scrap-yard-killings/" TargetMode="External"/><Relationship Id="rId1511" Type="http://schemas.openxmlformats.org/officeDocument/2006/relationships/hyperlink" Target="http://www.cnn.com/2013/07/19/us/colorado-theater-shooting-fast-facts/index.html" TargetMode="External"/><Relationship Id="rId1749" Type="http://schemas.openxmlformats.org/officeDocument/2006/relationships/hyperlink" Target="https://www.king5.com/article/news/local/ex-girlfriend-describes-macys-shooting-suspects-rage-and-abuse/281-353593808" TargetMode="External"/><Relationship Id="rId1956"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609" Type="http://schemas.openxmlformats.org/officeDocument/2006/relationships/hyperlink" Target="https://www.nytimes.com/2013/09/17/us/shooting-reported-at-washington-navy-yard.html?pagewanted=all&amp;mcubz=0" TargetMode="External"/><Relationship Id="rId1816" Type="http://schemas.openxmlformats.org/officeDocument/2006/relationships/hyperlink" Target="https://media.defense.gov/2018/Dec/07/2002070069/-1/-1/1/DODIG-2019-030_REDACTED.PDF" TargetMode="External"/><Relationship Id="rId10" Type="http://schemas.openxmlformats.org/officeDocument/2006/relationships/hyperlink" Target="https://timesmachine.nytimes.com/timesmachine/1966/08/02/82498897.html?action=click&amp;contentCollection=Archives&amp;module=LedeAsset%C2%AEion%3DArchiveBody&amp;pgtype=article&amp;pageNumber=15" TargetMode="External"/><Relationship Id="rId397" Type="http://schemas.openxmlformats.org/officeDocument/2006/relationships/hyperlink" Target="https://www.nydailynews.com/news/crime/mailman-massacre-14-die-patrick-sherrill-postal-1986-shootings-article-1.204101" TargetMode="External"/><Relationship Id="rId2078" Type="http://schemas.openxmlformats.org/officeDocument/2006/relationships/hyperlink" Target="https://www.nbcbayarea.com/news/local/State-Court-Upholds-1993-Death-Penalty-Case-164819036.html" TargetMode="External"/><Relationship Id="rId2285" Type="http://schemas.openxmlformats.org/officeDocument/2006/relationships/hyperlink" Target="https://www.nytimes.com/2019/07/03/us/las-vegas-shooting-police-officer.html" TargetMode="External"/><Relationship Id="rId2492" Type="http://schemas.openxmlformats.org/officeDocument/2006/relationships/hyperlink" Target="https://www.upi.com/Archives/1984/07/25/A-gunman-who-killed-four-people-and-wounded-another/3627459576000/" TargetMode="External"/><Relationship Id="rId257"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464" Type="http://schemas.openxmlformats.org/officeDocument/2006/relationships/hyperlink" Target="https://www.nytimes.com/1989/01/20/us/killer-depicted-as-loner-full-of-hate.html" TargetMode="External"/><Relationship Id="rId1094" Type="http://schemas.openxmlformats.org/officeDocument/2006/relationships/hyperlink" Target="https://www.nytimes.com/2003/07/09/us/man-kills-5-co-workers-at-plant-and-himself.html?mcubz=0" TargetMode="External"/><Relationship Id="rId2145" Type="http://schemas.openxmlformats.org/officeDocument/2006/relationships/hyperlink" Target="https://www.nytimes.com/2000/12/27/us/7-die-in-rampage-at-company-co-worker-of-victims-arrested.html" TargetMode="External"/><Relationship Id="rId117" Type="http://schemas.openxmlformats.org/officeDocument/2006/relationships/hyperlink" Target="https://www.ocregister.com/2010/07/16/release-blocked-for-countys-worst-mass-killer/" TargetMode="External"/><Relationship Id="rId671" Type="http://schemas.openxmlformats.org/officeDocument/2006/relationships/hyperlink" Target="https://www.nytimes.com/1993/12/04/us/man-s-7-year-search-to-find-job-ended-with-5-dead-in-california.html" TargetMode="External"/><Relationship Id="rId769" Type="http://schemas.openxmlformats.org/officeDocument/2006/relationships/hyperlink" Target="http://content.time.com/time/magazine/article/0,9171,138219,00.html" TargetMode="External"/><Relationship Id="rId976" Type="http://schemas.openxmlformats.org/officeDocument/2006/relationships/hyperlink" Target="http://articles.latimes.com/2000/may/14/news/mn-30038" TargetMode="External"/><Relationship Id="rId1399" Type="http://schemas.openxmlformats.org/officeDocument/2006/relationships/hyperlink" Target="https://www.seattletimes.com/seattle-news/a-path-to-murder-the-story-of-maurice-clemmons/" TargetMode="External"/><Relationship Id="rId2352" Type="http://schemas.openxmlformats.org/officeDocument/2006/relationships/hyperlink" Target="https://www.latimes.com/archives/la-xpm-2001-jan-10-mn-10586-story.html" TargetMode="External"/><Relationship Id="rId2657" Type="http://schemas.openxmlformats.org/officeDocument/2006/relationships/hyperlink" Target="http://cdn.ca9.uscourts.gov/datastore/opinions/2012/09/18/08-99015.pdf" TargetMode="External"/><Relationship Id="rId324" Type="http://schemas.openxmlformats.org/officeDocument/2006/relationships/hyperlink" Target="https://www.upi.com/Archives/1984/05/25/Mass-killing-suspect-questioned-before-ambush/9185454305600/" TargetMode="External"/><Relationship Id="rId531" Type="http://schemas.openxmlformats.org/officeDocument/2006/relationships/hyperlink" Target="http://www.nytimes.com/1991/10/18/us/portrait-of-texas-killer-impatient-and-troubled.html?pagewanted=all" TargetMode="External"/><Relationship Id="rId629" Type="http://schemas.openxmlformats.org/officeDocument/2006/relationships/hyperlink" Target="http://articles.latimes.com/1993-07-03/news/mn-10731_1_mortgage-business" TargetMode="External"/><Relationship Id="rId1161" Type="http://schemas.openxmlformats.org/officeDocument/2006/relationships/hyperlink" Target="http://articles.latimes.com/2005/mar/15/nation/na-church15" TargetMode="External"/><Relationship Id="rId1259" Type="http://schemas.openxmlformats.org/officeDocument/2006/relationships/hyperlink" Target="https://www.omaha.com/news/local/understanding-tragedy-teen-robbie-hawkins-had-no-remorse-empathy-after/article_5f9366dc-c4da-11e7-b5bc-eb3f5c40ffb2.html" TargetMode="External"/><Relationship Id="rId1466" Type="http://schemas.openxmlformats.org/officeDocument/2006/relationships/hyperlink" Target="https://www.nj.com/news/index.ssf/2011/09/ihop_shooting_rampage_in_nevad.html" TargetMode="External"/><Relationship Id="rId2005" Type="http://schemas.openxmlformats.org/officeDocument/2006/relationships/hyperlink" Target="https://www.nytimes.com/1972/05/30/archives/gunman-slays-3-in-shopping-mall-wounds-8-and-then-kills-himself.html" TargetMode="External"/><Relationship Id="rId2212" Type="http://schemas.openxmlformats.org/officeDocument/2006/relationships/hyperlink" Target="https://web.archive.org/web/20101021234307/http:/seattletimes.nwsource.com/html/localnews/2013170137_otherside21.html" TargetMode="External"/><Relationship Id="rId836" Type="http://schemas.openxmlformats.org/officeDocument/2006/relationships/hyperlink" Target="https://www.nytimes.com/1998/03/29/us/from-wild-talk-and-friendship-to-five-deaths-in-a-schoolyard.html?mcubz=0" TargetMode="External"/><Relationship Id="rId1021" Type="http://schemas.openxmlformats.org/officeDocument/2006/relationships/hyperlink" Target="http://www.nytimes.com/2000/12/28/us/in-wake-of-killings-strands-of-suspect-s-life.html" TargetMode="External"/><Relationship Id="rId1119" Type="http://schemas.openxmlformats.org/officeDocument/2006/relationships/hyperlink" Target="https://www.chicagotribune.com/investigations/chi-0509070252sep07-story.html" TargetMode="External"/><Relationship Id="rId1673" Type="http://schemas.openxmlformats.org/officeDocument/2006/relationships/hyperlink" Target="https://www.latimes.com/nation/la-na-school-shootings-2017-story.html" TargetMode="External"/><Relationship Id="rId1880" Type="http://schemas.openxmlformats.org/officeDocument/2006/relationships/hyperlink" Target="https://edition.cnn.com/2018/04/22/us/travis-reinking-waffle-house-shooting/index.html" TargetMode="External"/><Relationship Id="rId1978" Type="http://schemas.openxmlformats.org/officeDocument/2006/relationships/hyperlink" Target="https://www.google.com/books/edition/Cases_Reported/tKIWmLnYO5oC?hl=en&amp;gbpv=1&amp;dq=dean+mellberg+family+history+mental+illness&amp;pg=PA790&amp;printsec=frontcover" TargetMode="External"/><Relationship Id="rId2517"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2724" Type="http://schemas.openxmlformats.org/officeDocument/2006/relationships/hyperlink" Target="https://www.independent.co.uk/news/world/americas/dayton-shooting-connor-betts-suspect-pornogrind-band-murder-rape-a9040981.html" TargetMode="External"/><Relationship Id="rId903" Type="http://schemas.openxmlformats.org/officeDocument/2006/relationships/hyperlink" Target="https://www.theguardian.com/world/2009/apr/17/columbine-massacre-gun-crime-us" TargetMode="External"/><Relationship Id="rId1326" Type="http://schemas.openxmlformats.org/officeDocument/2006/relationships/hyperlink" Target="https://www.nytimes.com/2008/06/26/us/26factory.html" TargetMode="External"/><Relationship Id="rId1533" Type="http://schemas.openxmlformats.org/officeDocument/2006/relationships/hyperlink" Target="http://www.bbc.com/news/world-us-canada-19167324" TargetMode="External"/><Relationship Id="rId1740" Type="http://schemas.openxmlformats.org/officeDocument/2006/relationships/hyperlink" Target="https://www.telegraph.co.uk/news/2016/07/08/dallas-shooting-who-is-micah-johnson/" TargetMode="External"/><Relationship Id="rId32" Type="http://schemas.openxmlformats.org/officeDocument/2006/relationships/hyperlink" Target="https://www.nydailynews.com/news/crime/experts-clueless-man-fatally-shot-50-years-article-1.3548519" TargetMode="External"/><Relationship Id="rId1600" Type="http://schemas.openxmlformats.org/officeDocument/2006/relationships/hyperlink" Target="https://www.nytimes.com/2013/07/28/us/6-shot-dead-by-neighbor-at-building-near-miami.html" TargetMode="External"/><Relationship Id="rId1838" Type="http://schemas.openxmlformats.org/officeDocument/2006/relationships/hyperlink" Target="https://www.cbsnews.com/news/pennsylvania-car-wash-shooting-suspect-jealousy-relatives-say/" TargetMode="External"/><Relationship Id="rId181" Type="http://schemas.openxmlformats.org/officeDocument/2006/relationships/hyperlink" Target="https://www.leagle.com/decision/1985350349pasuper11350" TargetMode="External"/><Relationship Id="rId1905" Type="http://schemas.openxmlformats.org/officeDocument/2006/relationships/hyperlink" Target="https://www.bbc.com/news/world-us-canada-44173960" TargetMode="External"/><Relationship Id="rId279" Type="http://schemas.openxmlformats.org/officeDocument/2006/relationships/hyperlink" Target="https://www.upi.com/Archives/1983/02/03/A-handyman-at-a-shabby-Manhattan-hotel-Thursday-killed/1461413096400/" TargetMode="External"/><Relationship Id="rId486" Type="http://schemas.openxmlformats.org/officeDocument/2006/relationships/hyperlink" Target="https://www.nytimes.com/1989/09/17/us/survivors-of-shooting-and-gunman-s-relatives-ponder-sad-riddles.html" TargetMode="External"/><Relationship Id="rId693" Type="http://schemas.openxmlformats.org/officeDocument/2006/relationships/hyperlink" Target="https://web.archive.org/web/20150421030616/http:/www.cofpd.org/docs-dun/final-clemency-petition-5-6.pdf" TargetMode="External"/><Relationship Id="rId2167" Type="http://schemas.openxmlformats.org/officeDocument/2006/relationships/hyperlink" Target="https://www.nytimes.com/2004/12/10/us/after-a-concert-shooting-a-who-but-not-a-why.html" TargetMode="External"/><Relationship Id="rId2374" Type="http://schemas.openxmlformats.org/officeDocument/2006/relationships/hyperlink" Target="https://www.deseret.com/1996/4/25/19238561/fireman-was-time-bomb-waiting" TargetMode="External"/><Relationship Id="rId2581" Type="http://schemas.openxmlformats.org/officeDocument/2006/relationships/hyperlink" Target="https://www.ajc.com/news/national/bakersfield-mass-shooter-believed-wife-cheated-him-court-documents-say/Ibt8va2Lsdta0d6PYyLAKM/" TargetMode="External"/><Relationship Id="rId139" Type="http://schemas.openxmlformats.org/officeDocument/2006/relationships/hyperlink" Target="https://books.google.com/books?id=sdd3ihupC_AC&amp;pg=PA102&amp;lpg=PA102&amp;dq=dewitt+henry+Oregon&amp;source=bl&amp;ots=z5RZDR5AY0&amp;sig=fkhOTQ4bBGZ_KfVqm4tp6TfvhBU&amp;hl=en&amp;sa=X&amp;ved=0ahUKEwj05J7qyZvZAhVKIqwKHRZADU44ChDoAQhZMA8" TargetMode="External"/><Relationship Id="rId346" Type="http://schemas.openxmlformats.org/officeDocument/2006/relationships/hyperlink" Target="https://books.google.com/books?id=Hr3OBwP-lbUC&amp;pg=PA232&amp;dq=abdelkrim+belachheb+no+formal+education&amp;hl=en&amp;sa=X&amp;ved=0ahUKEwjgtZ_68vXfAhXDpYMKHdLHAzYQ6AEIKDAA" TargetMode="External"/><Relationship Id="rId553" Type="http://schemas.openxmlformats.org/officeDocument/2006/relationships/hyperlink" Target="http://www.nytimes.com/1991/11/02/us/student-opens-fire-at-u-of-iowa-killing-4-before-shooting-himself.html" TargetMode="External"/><Relationship Id="rId760" Type="http://schemas.openxmlformats.org/officeDocument/2006/relationships/hyperlink" Target="http://articles.latimes.com/1996-04-25/news/mn-62698_1_department-officers" TargetMode="External"/><Relationship Id="rId998" Type="http://schemas.openxmlformats.org/officeDocument/2006/relationships/hyperlink" Target="https://old.post-gazette.com/regionstate/20000502gun2.asp" TargetMode="External"/><Relationship Id="rId1183" Type="http://schemas.openxmlformats.org/officeDocument/2006/relationships/hyperlink" Target="http://news.minnesota.publicradio.org/features/2005/03/25_helmsm_prozacfolo/" TargetMode="External"/><Relationship Id="rId1390" Type="http://schemas.openxmlformats.org/officeDocument/2006/relationships/hyperlink" Target="https://web.archive.org/web/20091204124651/http:/seattletimes.nwsource.com/html/localnews/2010393433_webarrest01m.html" TargetMode="External"/><Relationship Id="rId2027" Type="http://schemas.openxmlformats.org/officeDocument/2006/relationships/hyperlink" Target="https://www.nytimes.com/1981/05/09/us/four-slain-and-20-wounded-in-bar-as-oregon-man-shoots-into-crowd.html" TargetMode="External"/><Relationship Id="rId2234" Type="http://schemas.openxmlformats.org/officeDocument/2006/relationships/hyperlink" Target="https://www.cnn.com/2012/05/31/us/washington-cafe-shooting/index.html" TargetMode="External"/><Relationship Id="rId2441" Type="http://schemas.openxmlformats.org/officeDocument/2006/relationships/hyperlink" Target="https://www.starnewsonline.com/news/20050803/officials-end-investigation-of-deadly-church-shooting" TargetMode="External"/><Relationship Id="rId2679" Type="http://schemas.openxmlformats.org/officeDocument/2006/relationships/hyperlink" Target="https://www.seattletimes.com/seattle-news/crime/suspected-cascade-mall-gunman-charged-with-5-counts-of-premeditated-murder/" TargetMode="External"/><Relationship Id="rId206" Type="http://schemas.openxmlformats.org/officeDocument/2006/relationships/hyperlink" Target="https://www.upi.com/Archives/1981/10/16/Conviction-on-4-counts-of-murder-for-man-who-shot-up-bar/8478372052800/" TargetMode="External"/><Relationship Id="rId413" Type="http://schemas.openxmlformats.org/officeDocument/2006/relationships/hyperlink" Target="http://articles.latimes.com/1987-04-25/news/mn-990_1_palm-bay-police" TargetMode="External"/><Relationship Id="rId858" Type="http://schemas.openxmlformats.org/officeDocument/2006/relationships/hyperlink" Target="https://www.pbs.org/wgbh/pages/frontline/shows/kinkel/trial/" TargetMode="External"/><Relationship Id="rId1043" Type="http://schemas.openxmlformats.org/officeDocument/2006/relationships/hyperlink" Target="http://articles.chicagotribune.com/2001-02-06/news/0102060231_1_wound-engines-gunshot" TargetMode="External"/><Relationship Id="rId1488" Type="http://schemas.openxmlformats.org/officeDocument/2006/relationships/hyperlink" Target="https://www.cnn.com/2012/05/31/us/washington-cafe-shooting/index.html" TargetMode="External"/><Relationship Id="rId1695" Type="http://schemas.openxmlformats.org/officeDocument/2006/relationships/hyperlink" Target="https://www.nytimes.com/2015/12/08/world/asia/tashfeen-malik-attended-conservative-religious-school-in-pakistan.html" TargetMode="External"/><Relationship Id="rId2539" Type="http://schemas.openxmlformats.org/officeDocument/2006/relationships/hyperlink" Target="https://www.nytimes.com/1977/08/30/archives/suspect-in-jersey-sniper-killings-had-extensive-psychiatric-record.html" TargetMode="External"/><Relationship Id="rId620" Type="http://schemas.openxmlformats.org/officeDocument/2006/relationships/hyperlink" Target="https://www.latimes.com/archives/la-xpm-1992-11-15-mn-1096-story.html" TargetMode="External"/><Relationship Id="rId718" Type="http://schemas.openxmlformats.org/officeDocument/2006/relationships/hyperlink" Target="https://www.upi.com/Archives/1995/07/19/Four-LA-city-workers-shot-to-death/3373806126400/" TargetMode="External"/><Relationship Id="rId925" Type="http://schemas.openxmlformats.org/officeDocument/2006/relationships/hyperlink" Target="https://www.independent.co.uk/news/atlanta-massacre-broker-shoots-12-dead-as-stock-market-falls-1109415.html" TargetMode="External"/><Relationship Id="rId1250" Type="http://schemas.openxmlformats.org/officeDocument/2006/relationships/hyperlink" Target="https://www.deseretnews.com/article/660195184/More-details-emerging-on-Trolley-Square-gunman-and-victims.html" TargetMode="External"/><Relationship Id="rId1348" Type="http://schemas.openxmlformats.org/officeDocument/2006/relationships/hyperlink" Target="https://www.seattletimes.com/seattle-news/shooting-rampage-suspect-described-as-deeply-troubled-1/" TargetMode="External"/><Relationship Id="rId1555" Type="http://schemas.openxmlformats.org/officeDocument/2006/relationships/hyperlink" Target="https://www.courant.com/news/connecticut/hc-newtown-adam-lanza-child-advocate-report-20141121-story.html" TargetMode="External"/><Relationship Id="rId1762" Type="http://schemas.openxmlformats.org/officeDocument/2006/relationships/hyperlink" Target="https://www.fortlauderdale.gov/government/about-fort-lauderdale" TargetMode="External"/><Relationship Id="rId2301" Type="http://schemas.openxmlformats.org/officeDocument/2006/relationships/hyperlink" Target="https://www.cbsnews.com/news/annapolis-shooting-five-dead-in-shooting-at-capital-gazette-newspaper-in-maryland-suspect-in-custody-2018-06-28-live-updates/" TargetMode="External"/><Relationship Id="rId2606" Type="http://schemas.openxmlformats.org/officeDocument/2006/relationships/hyperlink" Target="https://www.latimes.com/archives/la-xpm-1997-dec-20-mn-431-story.html" TargetMode="External"/><Relationship Id="rId1110" Type="http://schemas.openxmlformats.org/officeDocument/2006/relationships/hyperlink" Target="http://www.nbcnews.com/id/5353964/ns/us_news-crime_and_courts/t/six-dead-kansas-workplace-shooting/" TargetMode="External"/><Relationship Id="rId1208" Type="http://schemas.openxmlformats.org/officeDocument/2006/relationships/hyperlink" Target="https://www.cbsnews.com/news/postal-shooters-bizarre-behavior/" TargetMode="External"/><Relationship Id="rId1415" Type="http://schemas.openxmlformats.org/officeDocument/2006/relationships/hyperlink" Target="https://www.scpr.org/news/2010/04/09/13972/suspect-identified-north-hollywood-shooting-left-f/" TargetMode="External"/><Relationship Id="rId54" Type="http://schemas.openxmlformats.org/officeDocument/2006/relationships/hyperlink" Target="https://timesmachine.nytimes.com/timesmachine/1967/10/25/81841391.html?pageNumber=26" TargetMode="External"/><Relationship Id="rId1622" Type="http://schemas.openxmlformats.org/officeDocument/2006/relationships/hyperlink" Target="https://www.latimes.com/local/lanow/la-me-ln-tribal-leader-death-sentence-20170410-story.html" TargetMode="External"/><Relationship Id="rId1927" Type="http://schemas.openxmlformats.org/officeDocument/2006/relationships/hyperlink" Target="https://www.cbsnews.com/news/jarrod-ramos-annapolis-shooting-suspect-identified-maryland-shooting-capital-gazette-today-2018-06-28/" TargetMode="External"/><Relationship Id="rId2091" Type="http://schemas.openxmlformats.org/officeDocument/2006/relationships/hyperlink" Target="https://www.nytimes.com/1993/12/04/us/man-s-7-year-search-to-find-job-ended-with-5-dead-in-california.html" TargetMode="External"/><Relationship Id="rId2189" Type="http://schemas.openxmlformats.org/officeDocument/2006/relationships/hyperlink" Target="https://www.nytimes.com/2007/12/06/us/06cnd-shoot.html" TargetMode="External"/><Relationship Id="rId270" Type="http://schemas.openxmlformats.org/officeDocument/2006/relationships/hyperlink" Target="http://www.nytimes.com/1982/08/10/us/digruntled-driver-slays-six-in-texas-dying-in-shootout.html" TargetMode="External"/><Relationship Id="rId2396"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130" Type="http://schemas.openxmlformats.org/officeDocument/2006/relationships/hyperlink" Target="https://www.nytimes.com/1977/02/15/archives/cowan-was-nice-man-to-some-in-new-rochelle-but-to-others-real.html" TargetMode="External"/><Relationship Id="rId368" Type="http://schemas.openxmlformats.org/officeDocument/2006/relationships/hyperlink" Target="http://edition.cnn.com/2009/CRIME/07/23/california.mcdonalds.massacre/index.html" TargetMode="External"/><Relationship Id="rId575" Type="http://schemas.openxmlformats.org/officeDocument/2006/relationships/hyperlink" Target="https://www.abc15.com/news/crime/death-row-diaries-man-kills-four-then-flees-police-in-a-van-belonging-to-a-local-radio-station" TargetMode="External"/><Relationship Id="rId782" Type="http://schemas.openxmlformats.org/officeDocument/2006/relationships/hyperlink" Target="http://www.aikenstandard.com/news/twenty-years-later-remembering-the-shooting-at-phelon-plant-in/article_4b5b7132-9983-11e7-b425-9f5c8ce770f8.html" TargetMode="External"/><Relationship Id="rId2049" Type="http://schemas.openxmlformats.org/officeDocument/2006/relationships/hyperlink" Target="https://www.chicagotribune.com/news/ct-xpm-1985-03-17-8501150150-story.html" TargetMode="External"/><Relationship Id="rId2256" Type="http://schemas.openxmlformats.org/officeDocument/2006/relationships/hyperlink" Target="https://www.theguardian.com/us-news/2015/feb/20/mass-shooter-elliot-rodger-isla-vista-killings-report" TargetMode="External"/><Relationship Id="rId2463" Type="http://schemas.openxmlformats.org/officeDocument/2006/relationships/hyperlink" Target="https://www.local10.com/news/2013/08/01/police-may-have-motive-in-hialeah-massacre/" TargetMode="External"/><Relationship Id="rId2670" Type="http://schemas.openxmlformats.org/officeDocument/2006/relationships/hyperlink" Target="https://www.stltoday.com/news/local/crime-and-courts/thornton-s-smile-gave-in-to-anger/article_6c8dfcc8-77e7-11df-ba06-0017a4a78c22.html" TargetMode="External"/><Relationship Id="rId228" Type="http://schemas.openxmlformats.org/officeDocument/2006/relationships/hyperlink" Target="https://www.upi.com/Archives/1981/10/17/Killing-of-5-stuns-Kentucky-mountain-commmunity/9251372139200/" TargetMode="External"/><Relationship Id="rId435" Type="http://schemas.openxmlformats.org/officeDocument/2006/relationships/hyperlink" Target="http://www.the-dispatch.com/news/20130712/emotions-run-high-25-years-after-hayes-shootings" TargetMode="External"/><Relationship Id="rId642" Type="http://schemas.openxmlformats.org/officeDocument/2006/relationships/hyperlink" Target="https://www.washingtonpost.com/archive/politics/1993/08/08/4-killed-when-gunman-opens-fire-in-restaurant/7120b492-adee-440b-b5bd-318e934c8c5a/?utm_term=.f24cfc57d3cd" TargetMode="External"/><Relationship Id="rId1065" Type="http://schemas.openxmlformats.org/officeDocument/2006/relationships/hyperlink" Target="https://www.latimes.com/archives/la-xpm-2001-sep-11-mn-44550-story.html" TargetMode="External"/><Relationship Id="rId1272" Type="http://schemas.openxmlformats.org/officeDocument/2006/relationships/hyperlink" Target="https://books.google.com/books?id=y-N2TqJauQgC&amp;pg=PA51&amp;lpg=PA51&amp;dq=%22me,+i+remember+the+beatings+and+the+fighting%22&amp;source=bl&amp;ots=tcR74qr-VF&amp;sig=5LH6N2HYKp0Rgkhsh9O-jjDJAIA&amp;hl=en&amp;sa=X&amp;ei=kwYdU9HqCsKUqgHw0YHIDw&amp;ved=0CCYQ6AEwAA" TargetMode="External"/><Relationship Id="rId2116" Type="http://schemas.openxmlformats.org/officeDocument/2006/relationships/hyperlink" Target="https://www.nytimes.com/1998/03/08/nyregion/in-a-province-of-winners-worker-who-lost-out-takes-revenge.html" TargetMode="External"/><Relationship Id="rId2323" Type="http://schemas.openxmlformats.org/officeDocument/2006/relationships/hyperlink" Target="https://www.usatoday.com/story/news/nation/2020/03/02/milwaukee-molson-coors-shooting-miller-brewery-anthony-ferrill/4928061002/" TargetMode="External"/><Relationship Id="rId2530" Type="http://schemas.openxmlformats.org/officeDocument/2006/relationships/hyperlink" Target="https://www.theguardian.com/us-news/2016/feb/14/mother-supposed-know-son-columbine-sue-klebold" TargetMode="External"/><Relationship Id="rId502" Type="http://schemas.openxmlformats.org/officeDocument/2006/relationships/hyperlink" Target="https://www.thetrace.org/2015/12/domestic-abuse-gun-ownership-planned-parenthood-shooting/" TargetMode="External"/><Relationship Id="rId947" Type="http://schemas.openxmlformats.org/officeDocument/2006/relationships/hyperlink" Target="http://www.washingtonpost.com/wp-srv/national/daily/sept99/texas16.htm" TargetMode="External"/><Relationship Id="rId1132" Type="http://schemas.openxmlformats.org/officeDocument/2006/relationships/hyperlink" Target="https://www.cbsnews.com/news/inside-the-mind-of-a-killer/" TargetMode="External"/><Relationship Id="rId1577" Type="http://schemas.openxmlformats.org/officeDocument/2006/relationships/hyperlink" Target="https://www.usatoday.com/story/news/2013/03/14/upstate-new-york-herkimer-mohawk-suspect-surrounded/1986913/" TargetMode="External"/><Relationship Id="rId1784" Type="http://schemas.openxmlformats.org/officeDocument/2006/relationships/hyperlink" Target="http://www.orlandosentinel.com/news/orlando-workplace-shooting/os-john-robert-neumann-shooting-suspect-20170605-story.html" TargetMode="External"/><Relationship Id="rId1991" Type="http://schemas.openxmlformats.org/officeDocument/2006/relationships/hyperlink" Target="https://books.google.com/books?id=SMexDwAAQBAJ&amp;pg=PA296&amp;lpg=PA296&amp;dq=one+goh+older+brothers&amp;source=bl&amp;ots=-4-pHOiO6V&amp;sig=ACfU3U2540CY121ivQRTH01uHVG-FRUazQ&amp;hl=en&amp;sa=X&amp;ved=2ahUKEwikr4Lznf_nAhVVnp4KHQh4DM0Q6AEwAnoECAkQAQ" TargetMode="External"/><Relationship Id="rId2628" Type="http://schemas.openxmlformats.org/officeDocument/2006/relationships/hyperlink" Target="https://scholar.lib.vt.edu/prevail/docs/VTReviewPanelReport.pdf" TargetMode="External"/><Relationship Id="rId76" Type="http://schemas.openxmlformats.org/officeDocument/2006/relationships/hyperlink" Target="https://books.google.com/books?id=8TgDAAAAMBAJ&amp;pg=PA47&amp;lpg=PA46&amp;focus=viewport&amp;dq=donald+lambright+%2B+shooting" TargetMode="External"/><Relationship Id="rId807" Type="http://schemas.openxmlformats.org/officeDocument/2006/relationships/hyperlink" Target="https://www.nytimes.com/1998/03/08/nyregion/in-a-province-of-winners-worker-who-lost-out-takes-revenge.html" TargetMode="External"/><Relationship Id="rId1437" Type="http://schemas.openxmlformats.org/officeDocument/2006/relationships/hyperlink" Target="https://www.courant.com/community/manchester/hc-ap-omar-thornton-racism-0808-20100808-story.html" TargetMode="External"/><Relationship Id="rId1644" Type="http://schemas.openxmlformats.org/officeDocument/2006/relationships/hyperlink" Target="http://www.nbcnews.com/storyline/marysville-school-shooting/two=dead-including-gunman-school-schooting-near-seattle-n233371" TargetMode="External"/><Relationship Id="rId1851" Type="http://schemas.openxmlformats.org/officeDocument/2006/relationships/hyperlink" Target="https://www.foxnews.com/us/correction-deadly-car-wash-shooting-story" TargetMode="External"/><Relationship Id="rId1504" Type="http://schemas.openxmlformats.org/officeDocument/2006/relationships/hyperlink" Target="http://worldpopulationreview.com/us-cities/aurora-co-population/" TargetMode="External"/><Relationship Id="rId1711" Type="http://schemas.openxmlformats.org/officeDocument/2006/relationships/hyperlink" Target="http://www.mlive.com/news/kalamazoo/index.ssf/2017/03/june_13_trial_date_set_for_jas.html" TargetMode="External"/><Relationship Id="rId1949" Type="http://schemas.openxmlformats.org/officeDocument/2006/relationships/hyperlink" Target="https://books.google.com/books?id=V7IluPG0GJ8C&amp;pg=PA111&amp;lpg=PA111&amp;dq=mark+essex+siblings&amp;source=bl&amp;ots=bcqfSfwZNX&amp;sig=ACfU3U3l8i0aE1ncTi8_Xwu_idbD_kDVjA&amp;hl=en&amp;sa=X&amp;ved=2ahUKEwjtjoWcmoboAhXTaM0KHR9DDT04ChDoATAFegQIBxAB" TargetMode="External"/><Relationship Id="rId292"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809" Type="http://schemas.openxmlformats.org/officeDocument/2006/relationships/hyperlink" Target="https://www.washingtonpost.com/news/post-nation/wp/2017/11/12/texas-gunmans-ex-wife-said-he-once-put-a-gun-to-her-head-and-asked-do-you-want-to-die/" TargetMode="External"/><Relationship Id="rId597" Type="http://schemas.openxmlformats.org/officeDocument/2006/relationships/hyperlink" Target="http://www.nytimes.com/1992/10/16/nyregion/gunman-kills-4-who-collected-child-payments.html" TargetMode="External"/><Relationship Id="rId2180" Type="http://schemas.openxmlformats.org/officeDocument/2006/relationships/hyperlink" Target="https://www.seattletimes.com/seattle-news/cop-cant-shake-memory-of-capitol-hill-massacre/" TargetMode="External"/><Relationship Id="rId2278" Type="http://schemas.openxmlformats.org/officeDocument/2006/relationships/hyperlink" Target="https://www.latimes.com/nation/la-na-washington-mall-shooting-2016-story.html" TargetMode="External"/><Relationship Id="rId2485" Type="http://schemas.openxmlformats.org/officeDocument/2006/relationships/hyperlink" Target="https://www.upi.com/Archives/1981/10/17/Mountain-town-shocked-by-shooting-outburst/9178372139200/" TargetMode="External"/><Relationship Id="rId152" Type="http://schemas.openxmlformats.org/officeDocument/2006/relationships/hyperlink" Target="https://www.upi.com/Archives/1987/09/02/Former-cook-convicted-in-restaurant-massacre/2502557553600/" TargetMode="External"/><Relationship Id="rId457" Type="http://schemas.openxmlformats.org/officeDocument/2006/relationships/hyperlink" Target="https://www.chicagotribune.com/news/ct-xpm-1988-09-23-8802010546-story.html" TargetMode="External"/><Relationship Id="rId1087" Type="http://schemas.openxmlformats.org/officeDocument/2006/relationships/hyperlink" Target="https://www.southbendtribune.com/news/local/archive-police-recall-s-incident-with-lockey/article_aa36b908-ee30-11e2-8e04-0019bb30f31a.html" TargetMode="External"/><Relationship Id="rId1294" Type="http://schemas.openxmlformats.org/officeDocument/2006/relationships/hyperlink" Target="http://www.santamariasun.com/news/8536/leeds-will-spend-the-rest-of-his-life-in-prison--for-scrap-yard-killings/" TargetMode="External"/><Relationship Id="rId2040"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2138" Type="http://schemas.openxmlformats.org/officeDocument/2006/relationships/hyperlink" Target="https://www.deseret.com/1999/12/31/19483268/5-killed-when-hotel-worker-goes-on-rampage-in-florida" TargetMode="External"/><Relationship Id="rId2692" Type="http://schemas.openxmlformats.org/officeDocument/2006/relationships/hyperlink" Target="https://www.denverpost.com/2007/12/10/diatribe-foretold-church-shooting-horror/" TargetMode="External"/><Relationship Id="rId664" Type="http://schemas.openxmlformats.org/officeDocument/2006/relationships/hyperlink" Target="http://www.nytimes.com/1993/10/16/us/motive-is-sought-in-killings-at-club.html" TargetMode="External"/><Relationship Id="rId871" Type="http://schemas.openxmlformats.org/officeDocument/2006/relationships/hyperlink" Target="https://www.nytimes.com/1999/03/12/us/louisiana-shooting-kills-3-at-church-and-one-at-home.html" TargetMode="External"/><Relationship Id="rId969" Type="http://schemas.openxmlformats.org/officeDocument/2006/relationships/hyperlink" Target="https://www.nytimes.com/1999/09/17/us/deaths-in-a-church-the-overview-an-angry-mystery-man-who-brought-death.html" TargetMode="External"/><Relationship Id="rId1599" Type="http://schemas.openxmlformats.org/officeDocument/2006/relationships/hyperlink" Target="http://www.nydailynews.com/news/national/short-article-1.1372515" TargetMode="External"/><Relationship Id="rId2345" Type="http://schemas.openxmlformats.org/officeDocument/2006/relationships/hyperlink" Target="https://www.wired.com/1994/06/rage/" TargetMode="External"/><Relationship Id="rId2552" Type="http://schemas.openxmlformats.org/officeDocument/2006/relationships/hyperlink" Target="https://www.deseret.com/1990/6/20/18867182/911-tape-tells-horror-of-florida-massacre" TargetMode="External"/><Relationship Id="rId317" Type="http://schemas.openxmlformats.org/officeDocument/2006/relationships/hyperlink" Target="https://www.findagrave.com/memorial/12550156/eliseo-hernandez-moreno" TargetMode="External"/><Relationship Id="rId524" Type="http://schemas.openxmlformats.org/officeDocument/2006/relationships/hyperlink" Target="http://www.nytimes.com/1991/10/11/nyregion/4-slain-in-2-new-jersey-attacks-and-former-postal-clerk-is-held.html?pagewanted=all" TargetMode="External"/><Relationship Id="rId731" Type="http://schemas.openxmlformats.org/officeDocument/2006/relationships/hyperlink" Target="https://books.google.com/books?id=dw6vDwAAQBAJ&amp;pg=PT120&amp;lpg=PT120&amp;dq=willie+woods+gun+obtained&amp;source=bl&amp;ots=vuLlcouRXL&amp;sig=ACfU3U0XOR-WR_Ch3uBudRTLM3RGN_Kq4A&amp;hl=en&amp;sa=X&amp;ved=2ahUKEwjfwfSqk4nqAhWQRTABHal-AAoQ6AEwB3oECAoQAQ" TargetMode="External"/><Relationship Id="rId1154" Type="http://schemas.openxmlformats.org/officeDocument/2006/relationships/hyperlink" Target="http://archive.boston.com/news/nation/articles/2005/03/14/terry_dont_friend_cried_to_shooter/" TargetMode="External"/><Relationship Id="rId1361" Type="http://schemas.openxmlformats.org/officeDocument/2006/relationships/hyperlink" Target="https://www.wral.com/news/local/story/9845639/" TargetMode="External"/><Relationship Id="rId1459" Type="http://schemas.openxmlformats.org/officeDocument/2006/relationships/hyperlink" Target="https://www.cbsnews.com/news/jared-loughner-who-shot-gabrielle-giffords-in-tucson-ranted-online/" TargetMode="External"/><Relationship Id="rId2205" Type="http://schemas.openxmlformats.org/officeDocument/2006/relationships/hyperlink" Target="https://www.nytimes.com/2009/04/04/nyregion/04hostage.html" TargetMode="External"/><Relationship Id="rId2412" Type="http://schemas.openxmlformats.org/officeDocument/2006/relationships/hyperlink" Target="https://www.chicagotribune.com/news/ct-xpm-1993-07-04-9307040062-story.html" TargetMode="External"/><Relationship Id="rId98" Type="http://schemas.openxmlformats.org/officeDocument/2006/relationships/hyperlink" Target="https://www.nytimes.com/1972/05/31/archives/gunmans-motive-remains-mystery-police-say-shootings-were-not-linked.html" TargetMode="External"/><Relationship Id="rId829" Type="http://schemas.openxmlformats.org/officeDocument/2006/relationships/hyperlink" Target="https://www.nytimes.com/1998/08/12/us/judge-punishes-arkansas-boys-who-killed-5.html" TargetMode="External"/><Relationship Id="rId1014" Type="http://schemas.openxmlformats.org/officeDocument/2006/relationships/hyperlink" Target="https://www.nytimes.com/2000/12/27/us/7-die-in-rampage-at-company-co-worker-of-victims-arrested.html" TargetMode="External"/><Relationship Id="rId1221" Type="http://schemas.openxmlformats.org/officeDocument/2006/relationships/hyperlink" Target="https://www.thestranger.com/seattle/dead-quiet/Content?oid=31361" TargetMode="External"/><Relationship Id="rId1666" Type="http://schemas.openxmlformats.org/officeDocument/2006/relationships/hyperlink" Target="https://www.latimes.com/nation/la-na-school-shootings-2017-story.html" TargetMode="External"/><Relationship Id="rId1873" Type="http://schemas.openxmlformats.org/officeDocument/2006/relationships/hyperlink" Target="https://www.abc.net.au/news/2018-04-24/waffle-house-shooting-suspect-travis-reinking-arrested/9690348" TargetMode="External"/><Relationship Id="rId2717" Type="http://schemas.openxmlformats.org/officeDocument/2006/relationships/hyperlink" Target="https://www.cnn.com/2018/02/14/us/nikolas-cruz-florida-shooting-suspect/index.html" TargetMode="External"/><Relationship Id="rId1319" Type="http://schemas.openxmlformats.org/officeDocument/2006/relationships/hyperlink" Target="http://www.nbcnews.com/id/25361852/ns/us_news-crime_and_courts/t/dead-argument-boss-ends-rampage/" TargetMode="External"/><Relationship Id="rId1526" Type="http://schemas.openxmlformats.org/officeDocument/2006/relationships/hyperlink" Target="http://www.bbc.com/news/world-us-canada-19167324" TargetMode="External"/><Relationship Id="rId1733" Type="http://schemas.openxmlformats.org/officeDocument/2006/relationships/hyperlink" Target="http://www.cnn.com/2016/07/08/us/micah-xavier-johnson-dallas-shooter/index.html" TargetMode="External"/><Relationship Id="rId1940" Type="http://schemas.openxmlformats.org/officeDocument/2006/relationships/hyperlink" Target="https://www.washingtonpost.com/national/as-his-environment-changed-suspect-in-el-paso-shooting-learned-to-hate/2019/08/09/8ebabf2c-817b-40a3-a79e-e56fbac94cd5_story.html" TargetMode="External"/><Relationship Id="rId25" Type="http://schemas.openxmlformats.org/officeDocument/2006/relationships/hyperlink" Target="https://www.visitmesa.com/trip-planning/history/" TargetMode="External"/><Relationship Id="rId1800" Type="http://schemas.openxmlformats.org/officeDocument/2006/relationships/hyperlink" Target="https://www.aljazeera.com/news/2017/11/texas-church-shooting-devin-patrick-kelley-171106181800494.html" TargetMode="External"/><Relationship Id="rId174" Type="http://schemas.openxmlformats.org/officeDocument/2006/relationships/hyperlink" Target="https://news.google.com/newspapers?id=xtNWAAAAIBAJ&amp;sjid=O_kDAAAAIBAJ&amp;pg=5283%2C2408948" TargetMode="External"/><Relationship Id="rId381" Type="http://schemas.openxmlformats.org/officeDocument/2006/relationships/hyperlink" Target="https://www.nbcphiladelphia.com/news/local/Memories-of-1985-Pa-Factory-Slayings-Revived-224724192.html" TargetMode="External"/><Relationship Id="rId2062" Type="http://schemas.openxmlformats.org/officeDocument/2006/relationships/hyperlink" Target="https://www.latimes.com/archives/la-xpm-1989-09-15-mn-152-story.html" TargetMode="External"/><Relationship Id="rId241" Type="http://schemas.openxmlformats.org/officeDocument/2006/relationships/hyperlink" Target="https://www.nytimes.com/1982/06/22/us/new-law-on-insanity-plea-stirs-dispute-in-alaska.html" TargetMode="External"/><Relationship Id="rId479" Type="http://schemas.openxmlformats.org/officeDocument/2006/relationships/hyperlink" Target="https://www.nytimes.com/1989/09/17/us/survivors-of-shooting-and-gunman-s-relatives-ponder-sad-riddles.html" TargetMode="External"/><Relationship Id="rId686" Type="http://schemas.openxmlformats.org/officeDocument/2006/relationships/hyperlink" Target="https://web.archive.org/web/20150421030616/http:/www.cofpd.org/docs-dun/final-clemency-petition-5-6.pdf" TargetMode="External"/><Relationship Id="rId893" Type="http://schemas.openxmlformats.org/officeDocument/2006/relationships/hyperlink" Target="https://www.rollingstone.com/culture/culture-features/how-they-got-the-guns-175676/" TargetMode="External"/><Relationship Id="rId2367" Type="http://schemas.openxmlformats.org/officeDocument/2006/relationships/hyperlink" Target="https://www.buzzfeednews.com/article/briannasacks/santa-fe-shooting-suspect-lawyer-bullying-memory" TargetMode="External"/><Relationship Id="rId2574" Type="http://schemas.openxmlformats.org/officeDocument/2006/relationships/hyperlink" Target="https://www.orlandosentinel.com/news/os-john-robert-neumann-shooting-suspect-20170605-story.html" TargetMode="External"/><Relationship Id="rId339"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546" Type="http://schemas.openxmlformats.org/officeDocument/2006/relationships/hyperlink" Target="http://www.thegazette.com/subject/news/education/higher-education/friends-of-university-of-iowa-student-say-he-was-expelled-following-online-threat-referencing-gang-lu-shooting-20160210" TargetMode="External"/><Relationship Id="rId753" Type="http://schemas.openxmlformats.org/officeDocument/2006/relationships/hyperlink" Target="https://www.latimes.com/archives/la-xpm-1996-04-25-mn-62698-story.html" TargetMode="External"/><Relationship Id="rId1176" Type="http://schemas.openxmlformats.org/officeDocument/2006/relationships/hyperlink" Target="http://www.nytimes.com/2005/03/24/us/signs-of-danger-were-missed-in-a-troubled-teenagers-life.html" TargetMode="External"/><Relationship Id="rId1383" Type="http://schemas.openxmlformats.org/officeDocument/2006/relationships/hyperlink" Target="https://www.nytimes.com/2009/04/12/nyregion/12binghamton.html" TargetMode="External"/><Relationship Id="rId2227" Type="http://schemas.openxmlformats.org/officeDocument/2006/relationships/hyperlink" Target="https://www.nj.com/news/2011/09/ihop_shooting_rampage_in_nevad.html" TargetMode="External"/><Relationship Id="rId2434" Type="http://schemas.openxmlformats.org/officeDocument/2006/relationships/hyperlink" Target="https://www.heraldpalladium.com/localnews/killings-shock-friends-and-neighbors/article_1e98c855-92d1-5d68-aaa6-e68165370d57.html" TargetMode="External"/><Relationship Id="rId101" Type="http://schemas.openxmlformats.org/officeDocument/2006/relationships/hyperlink" Target="https://legeros.com/history/stories/north-hills/" TargetMode="External"/><Relationship Id="rId406" Type="http://schemas.openxmlformats.org/officeDocument/2006/relationships/hyperlink" Target="http://articles.latimes.com/1987-04-25/news/mn-990_1_palm-bay-police" TargetMode="External"/><Relationship Id="rId960" Type="http://schemas.openxmlformats.org/officeDocument/2006/relationships/hyperlink" Target="http://www.nytimes.com/1999/09/17/us/deaths-in-a-church-the-overview-an-angry-mystery-man-who-brought-death.html" TargetMode="External"/><Relationship Id="rId1036" Type="http://schemas.openxmlformats.org/officeDocument/2006/relationships/hyperlink" Target="http://www.cnn.com/2001/US/02/07/plant.shootings/" TargetMode="External"/><Relationship Id="rId1243" Type="http://schemas.openxmlformats.org/officeDocument/2006/relationships/hyperlink" Target="https://abcnews.go.com/US/amish-school-shooters-widow-marie-monville-remembers-tragedy/story?id=20417790" TargetMode="External"/><Relationship Id="rId1590" Type="http://schemas.openxmlformats.org/officeDocument/2006/relationships/hyperlink" Target="http://www.nydailynews.com/news/national/short-article-1.1372515" TargetMode="External"/><Relationship Id="rId1688" Type="http://schemas.openxmlformats.org/officeDocument/2006/relationships/hyperlink" Target="https://www.theeagle.com/news/mother-of-man-convicted-of-killing-six-people-says-her-son-changed-after-a-car/article_1c073cfc-c6ad-11e7-a923-bf84ac2aa25c.html" TargetMode="External"/><Relationship Id="rId1895" Type="http://schemas.openxmlformats.org/officeDocument/2006/relationships/hyperlink" Target="https://abc13.com/no-federal-charges-for-santa-fe-high-shooting-suspect/5211138/" TargetMode="External"/><Relationship Id="rId2641" Type="http://schemas.openxmlformats.org/officeDocument/2006/relationships/hyperlink" Target="https://www.nytimes.com/2011/01/16/us/16loughner.html" TargetMode="External"/><Relationship Id="rId613"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820" Type="http://schemas.openxmlformats.org/officeDocument/2006/relationships/hyperlink" Target="https://books.google.com/books?id=3ewAoOHQQzcC&amp;pg=PA158&amp;lpg=PA158&amp;dq=matthew+beck+shooting+march+6+1998&amp;source=bl&amp;ots=FyjXTPh7sz&amp;sig=qN7NzBuWHk2XbdHNZgZAMYsS6YY&amp;hl=en&amp;sa=X&amp;ved=0ahUKEwj_7cuqhufYAhUJ7awKHU7JAa0Q6AEIOTAD" TargetMode="External"/><Relationship Id="rId918" Type="http://schemas.openxmlformats.org/officeDocument/2006/relationships/hyperlink" Target="https://lasvegassun.com/news/1999/jun/04/floyd-described-as-sweet-guy-with-violent-streak/" TargetMode="External"/><Relationship Id="rId1450" Type="http://schemas.openxmlformats.org/officeDocument/2006/relationships/hyperlink" Target="https://www.cbsnews.com/news/jared-loughner-who-shot-gabrielle-giffords-in-tucson-ranted-online/" TargetMode="External"/><Relationship Id="rId1548" Type="http://schemas.openxmlformats.org/officeDocument/2006/relationships/hyperlink" Target="https://www.mprnews.org/story/2012/10/05/police-workplace-gunman-started-shooting-at-dismissal-meeting" TargetMode="External"/><Relationship Id="rId1755" Type="http://schemas.openxmlformats.org/officeDocument/2006/relationships/hyperlink" Target="https://www.king5.com/article/news/local/ex-girlfriend-describes-macys-shooting-suspects-rage-and-abuse/281-353593808" TargetMode="External"/><Relationship Id="rId2501" Type="http://schemas.openxmlformats.org/officeDocument/2006/relationships/hyperlink" Target="https://www.nytimes.com/2018/10/28/us/pittsburgh-shooting-robert-bowers.html" TargetMode="External"/><Relationship Id="rId1103" Type="http://schemas.openxmlformats.org/officeDocument/2006/relationships/hyperlink" Target="https://azdailysun.com/four-pe%20ople-killed-in-idaho-bar-shooting-suspect-kills-self/article_163bed64-5202-50e8-99ea-95c04515ad99.html" TargetMode="External"/><Relationship Id="rId1310" Type="http://schemas.openxmlformats.org/officeDocument/2006/relationships/hyperlink" Target="http://web.archive.org/web/20161018033626/https:/mustangnews.net/policedoubtlinkbetweensantamariakillingssanluisobispomurder/" TargetMode="External"/><Relationship Id="rId1408" Type="http://schemas.openxmlformats.org/officeDocument/2006/relationships/hyperlink" Target="https://www.seattletimes.com/seattle-news/a-path-to-murder-the-story-of-maurice-clemmons/" TargetMode="External"/><Relationship Id="rId1962"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47" Type="http://schemas.openxmlformats.org/officeDocument/2006/relationships/hyperlink" Target="https://books.google.com/books?id=N8i3DAAAQBAJ&amp;pg=PA77&amp;lpg=PA77&amp;dq=%22leo+held%22+knisely&amp;source=bl&amp;ots=tbEgak7AAw&amp;sig=ACfU3U1gVqGbGkeaR_fvWEim8LMqRg_aeQ&amp;hl=en&amp;sa=X&amp;ved=2ahUKEwjIlenw38PhAhUb8YMKHayCCBsQ6AEwAnoECAcQAQ" TargetMode="External"/><Relationship Id="rId1615" Type="http://schemas.openxmlformats.org/officeDocument/2006/relationships/hyperlink" Target="https://www.telegraph.co.uk/news/worldnews/northamerica/usa/10317234/Aaron-Alexis-Washington-Navy-yard-gunman-had-string-of-failed-relationships-with-Asian-women.html" TargetMode="External"/><Relationship Id="rId1822" Type="http://schemas.openxmlformats.org/officeDocument/2006/relationships/hyperlink" Target="https://www.nbcnews.com/news/us-news/gunman-california-shooting-spree-needed-mental-help-sister-says-n821216" TargetMode="External"/><Relationship Id="rId196" Type="http://schemas.openxmlformats.org/officeDocument/2006/relationships/hyperlink" Target="http://www.oregonlive.com/politics/index.ssf/2015/10/mass_shootings_in_oregon_a_lis.html" TargetMode="External"/><Relationship Id="rId2084" Type="http://schemas.openxmlformats.org/officeDocument/2006/relationships/hyperlink" Target="https://www.baltimoresun.com/news/bs-xpm-1993-07-02-1993183014-story.html" TargetMode="External"/><Relationship Id="rId2291" Type="http://schemas.openxmlformats.org/officeDocument/2006/relationships/hyperlink" Target="https://beta.washingtonpost.com/news/post-nation/wp/2018/01/29/jealousy-and-obsession-may-have-led-carwash-shooting-suspect-to-kill-four-relatives-say/" TargetMode="External"/><Relationship Id="rId263"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470" Type="http://schemas.openxmlformats.org/officeDocument/2006/relationships/hyperlink" Target="https://schoolshooters.info/sites/default/files/Purdy%20-%20official%20report.pdf" TargetMode="External"/><Relationship Id="rId2151" Type="http://schemas.openxmlformats.org/officeDocument/2006/relationships/hyperlink" Target="https://www.upi.com/Archives/2001/07/05/Bond-denied-suspect-in-deadly-shooting/6717994305600/" TargetMode="External"/><Relationship Id="rId2389" Type="http://schemas.openxmlformats.org/officeDocument/2006/relationships/hyperlink" Target="https://www.upi.com/Archives/1981/10/16/Man-convicted-for-wild-nightclub-shootings/6579372052800/" TargetMode="External"/><Relationship Id="rId2596" Type="http://schemas.openxmlformats.org/officeDocument/2006/relationships/hyperlink" Target="http://www.nbcnews.com/id/44913588/ns/us_news-crime_and_courts/t/details-calif-shooting-suspects-life-emerges/" TargetMode="External"/><Relationship Id="rId123" Type="http://schemas.openxmlformats.org/officeDocument/2006/relationships/hyperlink" Target="http://www.nytimes.com/1977/02/15/archives/nazi-admirer-also-wounds-5-in-wild-attack-followed-by-a-siege-at.html" TargetMode="External"/><Relationship Id="rId330"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568" Type="http://schemas.openxmlformats.org/officeDocument/2006/relationships/hyperlink" Target="http://community.seattletimes.nwsource.com/archive/?date=19911115&amp;slug=1317398" TargetMode="External"/><Relationship Id="rId775" Type="http://schemas.openxmlformats.org/officeDocument/2006/relationships/hyperlink" Target="https://www.concordmonitor.com/Somber-memories-20-years-after-small-town-shootings-11846765" TargetMode="External"/><Relationship Id="rId982" Type="http://schemas.openxmlformats.org/officeDocument/2006/relationships/hyperlink" Target="https://books.google.com/books?id=_UHFAgAAQBAJ&amp;pg=PT73&amp;lpg=PT73&amp;dq=silvio+izquierdo-leyva&amp;source=bl&amp;ots=uixROp_2jx&amp;sig=ACfU3U3nszsWy_Mbw-rHb-Irn7AxeAoXjg&amp;hl=en&amp;sa=X&amp;ved=2ahUKEwjmtuaa_KjkAhUQ5awKHfaeDe4Q6AEwD3oECAkQAQ" TargetMode="External"/><Relationship Id="rId1198" Type="http://schemas.openxmlformats.org/officeDocument/2006/relationships/hyperlink" Target="https://www.nytimes.com/2006/02/03/us/woman-in-california-postal-shootings-had-history-of-bizarre-behavior.html?mtrref=search.yahoo.com" TargetMode="External"/><Relationship Id="rId2011" Type="http://schemas.openxmlformats.org/officeDocument/2006/relationships/hyperlink" Target="https://www.latimes.com/socal/weekend/news/tn-wknd-et-0703-cal-state-fullerton-memorial-20160702-story.html" TargetMode="External"/><Relationship Id="rId2249" Type="http://schemas.openxmlformats.org/officeDocument/2006/relationships/hyperlink" Target="https://www.miamiherald.com/news/special-reports/hialeah-mass-shooting/article1953794.html" TargetMode="External"/><Relationship Id="rId2456" Type="http://schemas.openxmlformats.org/officeDocument/2006/relationships/hyperlink" Target="https://www.nytimes.com/2011/01/16/us/16loughner.html" TargetMode="External"/><Relationship Id="rId2663" Type="http://schemas.openxmlformats.org/officeDocument/2006/relationships/hyperlink" Target="https://books.google.com/books?id=b54xcYkbSlcC&amp;lpg=PA67&amp;ots=mlvGRSb_k6&amp;dq=mark%20barton%20biography&amp;pg=PA67" TargetMode="External"/><Relationship Id="rId428" Type="http://schemas.openxmlformats.org/officeDocument/2006/relationships/hyperlink" Target="https://myfox8.com/2012/03/02/winston-salem-killer-free-of-court-supervision/" TargetMode="External"/><Relationship Id="rId635" Type="http://schemas.openxmlformats.org/officeDocument/2006/relationships/hyperlink" Target="http://articles.latimes.com/1993-07-03/news/mn-10731_1_mortgage-business" TargetMode="External"/><Relationship Id="rId842" Type="http://schemas.openxmlformats.org/officeDocument/2006/relationships/hyperlink" Target="https://www.nytimes.com/1998/03/29/us/from-wild-talk-and-friendship-to-five-deaths-in-a-schoolyard.html?mcubz=0" TargetMode="External"/><Relationship Id="rId1058" Type="http://schemas.openxmlformats.org/officeDocument/2006/relationships/hyperlink" Target="https://www.nytimes.com/2001/09/11/national/slaying-suspect-commits-suicide.html" TargetMode="External"/><Relationship Id="rId1265" Type="http://schemas.openxmlformats.org/officeDocument/2006/relationships/hyperlink" Target="https://www.denverpost.com/2008/03/27/arvada-shooting-report-offers-new-insights-into-killer/" TargetMode="External"/><Relationship Id="rId1472" Type="http://schemas.openxmlformats.org/officeDocument/2006/relationships/hyperlink" Target="http://www.nbcnews.com/id/44913588/ns/us_news-crime_and_courts/t/details-calif-shooting-suspects-life-emerges/" TargetMode="External"/><Relationship Id="rId2109" Type="http://schemas.openxmlformats.org/officeDocument/2006/relationships/hyperlink" Target="http://content.time.com/time/magazine/article/0,9171,138219,00.html" TargetMode="External"/><Relationship Id="rId2316" Type="http://schemas.openxmlformats.org/officeDocument/2006/relationships/hyperlink" Target="https://www.cnn.com/2019/09/01/us/odessa-texas-shooting-sunday/index.html" TargetMode="External"/><Relationship Id="rId2523" Type="http://schemas.openxmlformats.org/officeDocument/2006/relationships/hyperlink" Target="https://www.nytimes.com/1993/08/08/us/soldier-kills-4-people-and-hurts-6-in-a-restaurant-in-north-carolina.html" TargetMode="External"/><Relationship Id="rId2730" Type="http://schemas.openxmlformats.org/officeDocument/2006/relationships/hyperlink" Target="https://www.wtae.com/article/two-men-charged-with-homicide-in-connection-with-wilkinsburg-backyard-ambush/7480821" TargetMode="External"/><Relationship Id="rId702" Type="http://schemas.openxmlformats.org/officeDocument/2006/relationships/hyperlink" Target="https://www.upi.com/Archives/1994/06/21/Teacher-Mellberg-was-a-loner/1176772171200/" TargetMode="External"/><Relationship Id="rId1125" Type="http://schemas.openxmlformats.org/officeDocument/2006/relationships/hyperlink" Target="https://www.dallasnews.com/news/crime/2004/12/13/man-who-killed-dimebag-darrell-abbott-was-upset-by-panteras-breakup-ex-friend-say" TargetMode="External"/><Relationship Id="rId1332" Type="http://schemas.openxmlformats.org/officeDocument/2006/relationships/hyperlink" Target="https://www.wkyt.com/home/headlines/25559494.html" TargetMode="External"/><Relationship Id="rId1777" Type="http://schemas.openxmlformats.org/officeDocument/2006/relationships/hyperlink" Target="http://www.cnn.com/2017/06/05/us/orlando-fatalities/index.html" TargetMode="External"/><Relationship Id="rId1984" Type="http://schemas.openxmlformats.org/officeDocument/2006/relationships/hyperlink" Target="https://books.google.com/books?id=_FGhBgAAQBAJ&amp;pg=PA83&amp;lpg=PA83&amp;dq=richard+baumhammers+free+market+party&amp;source=bl&amp;ots=nn4eBt5Exk&amp;sig=ACfU3U3l2wQSIdPVJpDrzosBwYC3Boo22g&amp;hl=en&amp;sa=X&amp;ved=2ahUKEwjg_oXnr7PoAhWWQs0KHZhyCGcQ6AEwBnoECAoQAQ" TargetMode="External"/><Relationship Id="rId69"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1637" Type="http://schemas.openxmlformats.org/officeDocument/2006/relationships/hyperlink" Target="https://www.cnn.com/2014/10/24/us/washington-school-shooter/index.html" TargetMode="External"/><Relationship Id="rId1844" Type="http://schemas.openxmlformats.org/officeDocument/2006/relationships/hyperlink" Target="https://www.cbsnews.com/news/pennsylvania-car-wash-shooting-suspect-jealousy-relatives-say/" TargetMode="External"/><Relationship Id="rId1704" Type="http://schemas.openxmlformats.org/officeDocument/2006/relationships/hyperlink" Target="http://www.al.com/news/index.ssf/2016/02/who_is_jason_dalton_man_accuse.html" TargetMode="External"/><Relationship Id="rId285" Type="http://schemas.openxmlformats.org/officeDocument/2006/relationships/hyperlink" Target="https://www.washingtonpost.com/archive/politics/1983/12/15/after-murder-rampage-a-test-of-survival/08bb8578-7f36-4dde-b3ce-076fbcb61aff/?noredirect=on&amp;utm_term=.e6cad36dfe11" TargetMode="External"/><Relationship Id="rId1911" Type="http://schemas.openxmlformats.org/officeDocument/2006/relationships/hyperlink" Target="https://www.newyorker.com/news/news-desk/this-is-a-dream-i-cant-wake-up-from" TargetMode="External"/><Relationship Id="rId492" Type="http://schemas.openxmlformats.org/officeDocument/2006/relationships/hyperlink" Target="https://www.nytimes.com/1989/09/16/us/disturbed-past-of-killer-of-7-is-unraveled.html" TargetMode="External"/><Relationship Id="rId797" Type="http://schemas.openxmlformats.org/officeDocument/2006/relationships/hyperlink" Target="https://www.nytimes.com/1997/12/20/us/dismissed-worker-kills-4-and-then-is-slain.html?mcubz=3" TargetMode="External"/><Relationship Id="rId2173" Type="http://schemas.openxmlformats.org/officeDocument/2006/relationships/hyperlink" Target="https://www.mprnews.org/story/2015/03/18/red-lake-shooting-explained" TargetMode="External"/><Relationship Id="rId2380" Type="http://schemas.openxmlformats.org/officeDocument/2006/relationships/hyperlink" Target="https://www.ocregister.com/2006/05/20/shootings-recall-csuf-ordeal-31-years-ago/" TargetMode="External"/><Relationship Id="rId2478" Type="http://schemas.openxmlformats.org/officeDocument/2006/relationships/hyperlink" Target="https://www.mlive.com/news/detroit/2018/02/manhunt_for_quadruple_homicide.html" TargetMode="External"/><Relationship Id="rId145" Type="http://schemas.openxmlformats.org/officeDocument/2006/relationships/hyperlink" Target="https://kobi5.com/news/regional-news/roseburg-shootings-trigger-mass-murder-memories-in-klamath-falls-2417/" TargetMode="External"/><Relationship Id="rId352" Type="http://schemas.openxmlformats.org/officeDocument/2006/relationships/hyperlink" Target="https://www.dallasnews.com/news/news/2014/07/03/mass-murderer-who-was-spared-death-penalty-gets-erased-by-time" TargetMode="External"/><Relationship Id="rId1287" Type="http://schemas.openxmlformats.org/officeDocument/2006/relationships/hyperlink" Target="https://www.chicagotribune.com/news/ct-xpm-2008-07-10-0807090811-story.html" TargetMode="External"/><Relationship Id="rId2033" Type="http://schemas.openxmlformats.org/officeDocument/2006/relationships/hyperlink" Target="https://www.upi.com/Archives/1982/08/09/Yes-I-know-hes-killing-people/2899397713600/" TargetMode="External"/><Relationship Id="rId2240" Type="http://schemas.openxmlformats.org/officeDocument/2006/relationships/hyperlink" Target="http://www.startribune.com/andrew-engeldinger-lost-his-job-then-opened-fire-killing-5/171774461/" TargetMode="External"/><Relationship Id="rId2685" Type="http://schemas.openxmlformats.org/officeDocument/2006/relationships/hyperlink" Target="https://www.nydailynews.com/news/national/ny-relatives-describe-jersey-city-kosher-market-killers-20191215-3ttpqk266bhk5krvdvwzr6t7sm-story.html" TargetMode="External"/><Relationship Id="rId212" Type="http://schemas.openxmlformats.org/officeDocument/2006/relationships/hyperlink" Target="https://www.upi.com/Archives/1981/05/12/An-unemployed-lumber-mill-worker-accused-of-killing-four/1659358488000/" TargetMode="External"/><Relationship Id="rId657" Type="http://schemas.openxmlformats.org/officeDocument/2006/relationships/hyperlink" Target="http://articles.latimes.com/1993-10-15/news/mn-45964_1_fitness-club" TargetMode="External"/><Relationship Id="rId864" Type="http://schemas.openxmlformats.org/officeDocument/2006/relationships/hyperlink" Target="http://www.pbs.org/wgbh/pages/frontline/shows/kinkel/kip/cron.html" TargetMode="External"/><Relationship Id="rId1494" Type="http://schemas.openxmlformats.org/officeDocument/2006/relationships/hyperlink" Target="http://www.npr.org/sections/thetwo-way/2012/05/31/154055287/we-could-see-this-coming-brother-says-of-man-idd-in-seattle-killings" TargetMode="External"/><Relationship Id="rId1799" Type="http://schemas.openxmlformats.org/officeDocument/2006/relationships/hyperlink" Target="https://www.nbcnews.com/storyline/texas-church-shooting/who-devin-kelley-alleged-texas-church-shooter-n817806" TargetMode="External"/><Relationship Id="rId2100" Type="http://schemas.openxmlformats.org/officeDocument/2006/relationships/hyperlink" Target="https://www.latimes.com/archives/la-xpm-1996-11-06-me-61893-story.html" TargetMode="External"/><Relationship Id="rId2338" Type="http://schemas.openxmlformats.org/officeDocument/2006/relationships/hyperlink" Target="https://www.washingtonpost.com/nation/2018/11/27/investigators-still-seeking-motive-thousand-oaks-shooting/?noredirect=on" TargetMode="External"/><Relationship Id="rId2545" Type="http://schemas.openxmlformats.org/officeDocument/2006/relationships/hyperlink" Target="https://newspaperarchive.com/fayetteville-northwest-arkansas-times-jul-25-1984-p-1/" TargetMode="External"/><Relationship Id="rId517" Type="http://schemas.openxmlformats.org/officeDocument/2006/relationships/hyperlink" Target="http://www.nytimes.com/1991/10/11/nyregion/4-slain-in-2-new-jersey-attacks-and-former-postal-clerk-is-held.html?pagewanted=all" TargetMode="External"/><Relationship Id="rId724" Type="http://schemas.openxmlformats.org/officeDocument/2006/relationships/hyperlink" Target="http://articles.latimes.com/1996-11-06/local/me-61893_1_city-electrician" TargetMode="External"/><Relationship Id="rId931" Type="http://schemas.openxmlformats.org/officeDocument/2006/relationships/hyperlink" Target="https://www.washingtonpost.com/archive/politics/1999/07/31/killer-wrote-of-fear-hopelessness/af33786a-de37-45cd-9d5f-1098379892dd/?noredirect=on&amp;utm_term=.df0baa182fdc" TargetMode="External"/><Relationship Id="rId1147" Type="http://schemas.openxmlformats.org/officeDocument/2006/relationships/hyperlink" Target="http://archive.boston.com/news/nation/articles/2005/03/14/terry_dont_friend_cried_to_shooter/" TargetMode="External"/><Relationship Id="rId1354" Type="http://schemas.openxmlformats.org/officeDocument/2006/relationships/hyperlink" Target="http://www.oregonlive.com/news/index.ssf/2008/09/court_documents_detail_washing.html" TargetMode="External"/><Relationship Id="rId1561" Type="http://schemas.openxmlformats.org/officeDocument/2006/relationships/hyperlink" Target="http://www.nytimes.com/2013/03/14/nyregion/four-killed-in-shootings-in-upstate-new-york.html" TargetMode="External"/><Relationship Id="rId2405" Type="http://schemas.openxmlformats.org/officeDocument/2006/relationships/hyperlink" Target="https://www.nytimes.com/1991/10/18/us/portrait-of-texas-killer-impatient-and-troubled.html" TargetMode="External"/><Relationship Id="rId2612" Type="http://schemas.openxmlformats.org/officeDocument/2006/relationships/hyperlink" Target="http://www.cnn.com/US/9909/18/texas.shooter.profile/" TargetMode="External"/><Relationship Id="rId60" Type="http://schemas.openxmlformats.org/officeDocument/2006/relationships/hyperlink" Target="https://newspaperarchive.com/other-articles-clipping-mar-21-1968-48914/" TargetMode="External"/><Relationship Id="rId1007" Type="http://schemas.openxmlformats.org/officeDocument/2006/relationships/hyperlink" Target="https://www.cbsnews.com/news/murder-charges-in-workplace-shooting/" TargetMode="External"/><Relationship Id="rId1214" Type="http://schemas.openxmlformats.org/officeDocument/2006/relationships/hyperlink" Target="https://www.thestranger.com/seattle/dead-quiet/Content?oid=31361" TargetMode="External"/><Relationship Id="rId1421" Type="http://schemas.openxmlformats.org/officeDocument/2006/relationships/hyperlink" Target="https://www.huffingtonpost.com/josh-sugarmann/hialeah-only-the-latest-m_b_3676274.html" TargetMode="External"/><Relationship Id="rId1659" Type="http://schemas.openxmlformats.org/officeDocument/2006/relationships/hyperlink" Target="https://www.cnn.com/2015/07/17/us/tennessee-shooter-mohammad-youssuf-abdulazeez/index.html" TargetMode="External"/><Relationship Id="rId1866" Type="http://schemas.openxmlformats.org/officeDocument/2006/relationships/hyperlink" Target="https://www.sun-sentinel.com/local/broward/parkland/florida-school-shooting/fl-florida-school-shooting-nikolas-cruz-life-20180220-story.html" TargetMode="External"/><Relationship Id="rId1519" Type="http://schemas.openxmlformats.org/officeDocument/2006/relationships/hyperlink" Target="https://www.cbsnews.com/news/holmes-sought-casual-sex-hinted-at-coming-crime/" TargetMode="External"/><Relationship Id="rId1726" Type="http://schemas.openxmlformats.org/officeDocument/2006/relationships/hyperlink" Target="https://www.nbcnews.com/storyline/dallas-police-ambush/dallas-gunman-micah-johnson-used-saiga-ak-74-assault-style-n608311" TargetMode="External"/><Relationship Id="rId1933" Type="http://schemas.openxmlformats.org/officeDocument/2006/relationships/hyperlink" Target="https://www.nytimes.com/2018/10/28/us/pittsburgh-shooting-robert-bowers.html" TargetMode="External"/><Relationship Id="rId18" Type="http://schemas.openxmlformats.org/officeDocument/2006/relationships/hyperlink" Target="https://archive.nytimes.com/www.nytimes.com/library/national/080366tx-shoot.html" TargetMode="External"/><Relationship Id="rId2195" Type="http://schemas.openxmlformats.org/officeDocument/2006/relationships/hyperlink" Target="http://content.time.com/time/nation/article/0,8599,1714069,00.html" TargetMode="External"/><Relationship Id="rId167" Type="http://schemas.openxmlformats.org/officeDocument/2006/relationships/hyperlink" Target="https://www.caller.com/story/news/2017/11/07/texas-church-shooting-latest-line-deadly-attacks/841385001/" TargetMode="External"/><Relationship Id="rId374" Type="http://schemas.openxmlformats.org/officeDocument/2006/relationships/hyperlink" Target="https://www.upi.com/Archives/1984/07/25/A-gunman-who-killed-four-people-and-wounded-another/3627459576000/" TargetMode="External"/><Relationship Id="rId581" Type="http://schemas.openxmlformats.org/officeDocument/2006/relationships/hyperlink" Target="https://www.nbcbayarea.com/news/local/State-Court-Upholds-1993-Death-Penalty-Case-164819036.html" TargetMode="External"/><Relationship Id="rId2055" Type="http://schemas.openxmlformats.org/officeDocument/2006/relationships/hyperlink" Target="https://www.washingtonpost.com/archive/politics/1988/02/18/sudden-death-in-sunnyvale/4f50e5d7-0804-4a56-a2af-ced693c3b577/" TargetMode="External"/><Relationship Id="rId2262" Type="http://schemas.openxmlformats.org/officeDocument/2006/relationships/hyperlink" Target="https://www.timesfreepress.com/news/local/story/2016/jul/01/fbi-people-knew-july-16-shooter-wradicalized/373894/" TargetMode="External"/><Relationship Id="rId234"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679" Type="http://schemas.openxmlformats.org/officeDocument/2006/relationships/hyperlink" Target="https://www.bostonglobe.com/news/nation/2014/04/24/man-convicted-long-island-train-shooting-tried-start-prison-riot/ZnUUCZua3DmfRP09mtUrUJ/story.html" TargetMode="External"/><Relationship Id="rId886" Type="http://schemas.openxmlformats.org/officeDocument/2006/relationships/hyperlink" Target="https://www.cnn.com/2013/09/18/us/columbine-high-school-shootings-fast-facts/index.html" TargetMode="External"/><Relationship Id="rId2567" Type="http://schemas.openxmlformats.org/officeDocument/2006/relationships/hyperlink" Target="https://www.spokesman.com/stories/2014/jun/15/in-one-week-20-years-ago-fairchild-air-force-base/" TargetMode="External"/><Relationship Id="rId2" Type="http://schemas.openxmlformats.org/officeDocument/2006/relationships/hyperlink" Target="https://www.npr.org/sections/health-shots/2016/07/29/487767127/gun-violence-and-mental-health-laws-50-years-after-texas-tower-sniper" TargetMode="External"/><Relationship Id="rId441" Type="http://schemas.openxmlformats.org/officeDocument/2006/relationships/hyperlink" Target="https://www.nytimes.com/1988/07/19/us/four-motorists-are-shot-to-death-gunman-wounded-in-12-minutes.html" TargetMode="External"/><Relationship Id="rId539" Type="http://schemas.openxmlformats.org/officeDocument/2006/relationships/hyperlink" Target="https://www.nytimes.com/1991/10/18/us/portrait-of-texas-killer-impatient-and-troubled.html?pagewanted=all&amp;mtrref=undefined" TargetMode="External"/><Relationship Id="rId746" Type="http://schemas.openxmlformats.org/officeDocument/2006/relationships/hyperlink" Target="https://www.nytimes.com/1996/02/11/us/florida-killer-said-victims-were-racists-police-say.html" TargetMode="External"/><Relationship Id="rId1071" Type="http://schemas.openxmlformats.org/officeDocument/2006/relationships/hyperlink" Target="https://www.latimes.com/archives/la-xpm-2001-sep-11-mn-44550-story.html" TargetMode="External"/><Relationship Id="rId1169" Type="http://schemas.openxmlformats.org/officeDocument/2006/relationships/hyperlink" Target="http://news.minnesota.publicradio.org/features/2005/03/22_ap_redlakesuspect/" TargetMode="External"/><Relationship Id="rId1376" Type="http://schemas.openxmlformats.org/officeDocument/2006/relationships/hyperlink" Target="https://www.nytimes.com/2009/04/12/nyregion/12binghamton.html" TargetMode="External"/><Relationship Id="rId1583" Type="http://schemas.openxmlformats.org/officeDocument/2006/relationships/hyperlink" Target="https://www.seattletimes.com/seattle-news/federal-way-gunman-charged-at-17-in-bb-gun-attack-on-an-ex/" TargetMode="External"/><Relationship Id="rId2122" Type="http://schemas.openxmlformats.org/officeDocument/2006/relationships/hyperlink" Target="https://www.nytimes.com/1998/05/22/us/shootings-school-overview-oregon-student-held-3-killings-one-dead-23-hurt-his.html" TargetMode="External"/><Relationship Id="rId2427" Type="http://schemas.openxmlformats.org/officeDocument/2006/relationships/hyperlink" Target="https://caselaw.findlaw.com/nv-supreme-court/1322079.html" TargetMode="External"/><Relationship Id="rId301"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953" Type="http://schemas.openxmlformats.org/officeDocument/2006/relationships/hyperlink" Target="http://www.washingtonpost.com/wp-srv/national/daily/sept99/texas16.htm" TargetMode="External"/><Relationship Id="rId1029" Type="http://schemas.openxmlformats.org/officeDocument/2006/relationships/hyperlink" Target="https://caselaw.findlaw.com/ma-supreme-judicial-court/1448833.html" TargetMode="External"/><Relationship Id="rId1236" Type="http://schemas.openxmlformats.org/officeDocument/2006/relationships/hyperlink" Target="https://caselaw.findlaw.com/la-supreme-court/1546275.html" TargetMode="External"/><Relationship Id="rId1790" Type="http://schemas.openxmlformats.org/officeDocument/2006/relationships/hyperlink" Target="https://www.huffpost.com/entry/stephen-paddock-abuse-girlfriend_n_59d40429e4b0218923e60bcc" TargetMode="External"/><Relationship Id="rId1888" Type="http://schemas.openxmlformats.org/officeDocument/2006/relationships/hyperlink" Target="https://edition.cnn.com/2018/04/22/us/travis-reinking-waffle-house-shooting/index.html" TargetMode="External"/><Relationship Id="rId2634" Type="http://schemas.openxmlformats.org/officeDocument/2006/relationships/hyperlink" Target="http://web.archive.org/web/20161018033626/https:/mustangnews.net/policedoubtlinkbetweensantamariakillingssanluisobispomurder/" TargetMode="External"/><Relationship Id="rId82" Type="http://schemas.openxmlformats.org/officeDocument/2006/relationships/hyperlink" Target="https://www.nytimes.com/1970/09/24/archives/state-employe-kills-4-coworkers-and-himself-in-albany-office.html" TargetMode="External"/><Relationship Id="rId606" Type="http://schemas.openxmlformats.org/officeDocument/2006/relationships/hyperlink" Target="https://www.nytimes.com/1992/10/17/nyregion/shooting-followed-tougher-efforts-to-collect-child-support.html" TargetMode="External"/><Relationship Id="rId813" Type="http://schemas.openxmlformats.org/officeDocument/2006/relationships/hyperlink" Target="https://www.nytimes.com/1998/03/07/nyregion/rampage-connecticut-overview-connecticut-lottery-worker-kills-4-bosses-then.html" TargetMode="External"/><Relationship Id="rId1443" Type="http://schemas.openxmlformats.org/officeDocument/2006/relationships/hyperlink" Target="https://www.courant.com/health/hc-xpm-2011-05-12-hc-hartford-beer-distributor-shooting20110512-story.html" TargetMode="External"/><Relationship Id="rId1650" Type="http://schemas.openxmlformats.org/officeDocument/2006/relationships/hyperlink" Target="http://time.com/3962344/chattanooga-muhammad-youssef-abdulazeez/" TargetMode="External"/><Relationship Id="rId1748" Type="http://schemas.openxmlformats.org/officeDocument/2006/relationships/hyperlink" Target="http://www.seattleweekly.com/news/the-bitter-life-and-sudden-death-of-arcan-cetin/" TargetMode="External"/><Relationship Id="rId2701" Type="http://schemas.openxmlformats.org/officeDocument/2006/relationships/hyperlink" Target="https://www.splcenter.org/fighting-hate/intelligence-report/2012/sikh-temple-killer-wade-michael-page-radicalized-army" TargetMode="External"/><Relationship Id="rId1303" Type="http://schemas.openxmlformats.org/officeDocument/2006/relationships/hyperlink" Target="http://www.santamariasun.com/news/8536/leeds-will-spend-the-rest-of-his-life-in-prison--for-scrap-yard-killings/" TargetMode="External"/><Relationship Id="rId1510" Type="http://schemas.openxmlformats.org/officeDocument/2006/relationships/hyperlink" Target="https://www.cbsnews.com/news/holmes-sought-casual-sex-hinted-at-coming-crime/" TargetMode="External"/><Relationship Id="rId1955"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608" Type="http://schemas.openxmlformats.org/officeDocument/2006/relationships/hyperlink" Target="http://www.washingtonpost.com/local/dc-navy-yard-rampage-leaves-14-dead-alleged-shooter-killed-idd-as-aaron-alexis/2013/09/16/d084842e-1ef9-11e3-94a2-6c66b668ea55_story.html" TargetMode="External"/><Relationship Id="rId1815" Type="http://schemas.openxmlformats.org/officeDocument/2006/relationships/hyperlink" Target="https://media.defense.gov/2018/Dec/07/2002070069/-1/-1/1/DODIG-2019-030_REDACTED.PDF" TargetMode="External"/><Relationship Id="rId189" Type="http://schemas.openxmlformats.org/officeDocument/2006/relationships/hyperlink" Target="https://www.leagle.com/decision/1985350349pasuper11350" TargetMode="External"/><Relationship Id="rId396" Type="http://schemas.openxmlformats.org/officeDocument/2006/relationships/hyperlink" Target="https://www.nydailynews.com/news/crime/mailman-massacre-14-die-patrick-sherrill-postal-1986-shootings-article-1.204101" TargetMode="External"/><Relationship Id="rId2077" Type="http://schemas.openxmlformats.org/officeDocument/2006/relationships/hyperlink" Target="https://casetext.com/case/rogovich-v-schriro-2" TargetMode="External"/><Relationship Id="rId2284" Type="http://schemas.openxmlformats.org/officeDocument/2006/relationships/hyperlink" Target="https://www.cbsnews.com/news/friend-orlando-victim-feared-workplace-shooter-would-seek-revenge-over-firing/" TargetMode="External"/><Relationship Id="rId2491" Type="http://schemas.openxmlformats.org/officeDocument/2006/relationships/hyperlink" Target="https://www.nytimes.com/1984/11/11/us/memories-of-springtime-murders-chill-small-alaskan-town.html" TargetMode="External"/><Relationship Id="rId256"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463" Type="http://schemas.openxmlformats.org/officeDocument/2006/relationships/hyperlink" Target="https://www.nytimes.com/1989/01/20/us/killer-depicted-as-loner-full-of-hate.html" TargetMode="External"/><Relationship Id="rId670" Type="http://schemas.openxmlformats.org/officeDocument/2006/relationships/hyperlink" Target="http://articles.latimes.com/1993-10-17/news/mn-46854_1_writing-class" TargetMode="External"/><Relationship Id="rId1093" Type="http://schemas.openxmlformats.org/officeDocument/2006/relationships/hyperlink" Target="https://www.cbsnews.com/news/girlfriend-plant-shooter-a-victim/" TargetMode="External"/><Relationship Id="rId2144" Type="http://schemas.openxmlformats.org/officeDocument/2006/relationships/hyperlink" Target="https://www.nytimes.com/2000/12/27/us/7-die-in-rampage-at-company-co-worker-of-victims-arrested.html" TargetMode="External"/><Relationship Id="rId2351" Type="http://schemas.openxmlformats.org/officeDocument/2006/relationships/hyperlink" Target="https://caselaw.findlaw.com/ma-supreme-judicial-court/1448833.html" TargetMode="External"/><Relationship Id="rId2589" Type="http://schemas.openxmlformats.org/officeDocument/2006/relationships/hyperlink" Target="https://www.washingtonpost.com/local/before-navy-yard-shooting-alleged-gunman-heard-voices-and-sought-help/2013/09/17/874970d8-1fd2-11e3-94a2-6c66b668ea55_story.html?utm_term=.ea960a9934f6" TargetMode="External"/><Relationship Id="rId116" Type="http://schemas.openxmlformats.org/officeDocument/2006/relationships/hyperlink" Target="https://www.latimes.com/socal/weekend/news/tn-wknd-et-0703-cal-state-fullerton-memorial-20160702-story.html" TargetMode="External"/><Relationship Id="rId323" Type="http://schemas.openxmlformats.org/officeDocument/2006/relationships/hyperlink" Target="https://www.nytimes.com/1984/05/21/us/bodies-of-seven-sought-after-shootout-in-alaska.html" TargetMode="External"/><Relationship Id="rId530" Type="http://schemas.openxmlformats.org/officeDocument/2006/relationships/hyperlink" Target="http://www.nytimes.com/1991/10/18/us/portrait-of-texas-killer-impatient-and-troubled.html?pagewanted=all" TargetMode="External"/><Relationship Id="rId768" Type="http://schemas.openxmlformats.org/officeDocument/2006/relationships/hyperlink" Target="https://www.washingtonpost.com/archive/politics/1996/04/25/firefighter-kills-wife-four-colleagues-before-being-wounded/f5b9eab9-d1cc-4c59-b2db-d664fe68c611/?utm_term=.0dd3dee56dfd" TargetMode="External"/><Relationship Id="rId975" Type="http://schemas.openxmlformats.org/officeDocument/2006/relationships/hyperlink" Target="http://archives.starbulletin.com/2000/05/26/news/story4.html" TargetMode="External"/><Relationship Id="rId1160" Type="http://schemas.openxmlformats.org/officeDocument/2006/relationships/hyperlink" Target="https://books.google.com/books?id=MzhVs1852I0C&amp;pg=PA95&amp;dq=terry+ratzmann+protector+father&amp;hl=en&amp;sa=X&amp;ved=0ahUKEwi5xuLFjbzgAhVRY6wKHZcjDMQQ6AEIKDAA" TargetMode="External"/><Relationship Id="rId1398" Type="http://schemas.openxmlformats.org/officeDocument/2006/relationships/hyperlink" Target="https://www.npr.org/templates/story/story.php?storyId=130636272" TargetMode="External"/><Relationship Id="rId2004" Type="http://schemas.openxmlformats.org/officeDocument/2006/relationships/hyperlink" Target="https://www.nytimes.com/1972/05/30/archives/gunman-slays-3-in-shopping-mall-wounds-8-and-then-kills-himself.html" TargetMode="External"/><Relationship Id="rId2211" Type="http://schemas.openxmlformats.org/officeDocument/2006/relationships/hyperlink" Target="https://web.archive.org/web/20101021234307/http:/seattletimes.nwsource.com/html/localnews/2013170137_otherside21.html" TargetMode="External"/><Relationship Id="rId2449" Type="http://schemas.openxmlformats.org/officeDocument/2006/relationships/hyperlink" Target="http://archive.courierpress.com/news/rampage-at-atlantis-plastics-ends-with-six-dead-ep-448401177-325078951.html/" TargetMode="External"/><Relationship Id="rId2656" Type="http://schemas.openxmlformats.org/officeDocument/2006/relationships/hyperlink" Target="http://cdn.ca9.uscourts.gov/datastore/opinions/2012/09/18/08-99015.pdf" TargetMode="External"/><Relationship Id="rId628"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835" Type="http://schemas.openxmlformats.org/officeDocument/2006/relationships/hyperlink" Target="https://www.nytimes.com/1998/08/12/us/judge-punishes-arkansas-boys-who-killed-5.html" TargetMode="External"/><Relationship Id="rId1258" Type="http://schemas.openxmlformats.org/officeDocument/2006/relationships/hyperlink" Target="https://www.nytimes.com/2007/12/08/us/08gunman.html" TargetMode="External"/><Relationship Id="rId1465" Type="http://schemas.openxmlformats.org/officeDocument/2006/relationships/hyperlink" Target="https://abcnews.go.com/US/jared-loughner-alleged-tucson-shooting-gunman-appears-court/story?id=12580344" TargetMode="External"/><Relationship Id="rId1672" Type="http://schemas.openxmlformats.org/officeDocument/2006/relationships/hyperlink" Target="https://www.latimes.com/nation/la-na-school-shootings-2017-story.html" TargetMode="External"/><Relationship Id="rId2309" Type="http://schemas.openxmlformats.org/officeDocument/2006/relationships/hyperlink" Target="https://www.cnn.com/2019/01/24/us/sebring-florida-bank-shooting/index.html" TargetMode="External"/><Relationship Id="rId2516" Type="http://schemas.openxmlformats.org/officeDocument/2006/relationships/hyperlink" Target="https://www.nytimes.com/1984/07/20/us/neighbors-term-mass-slayer-a-quiet-but-hotheaded-loner.html" TargetMode="External"/><Relationship Id="rId2723" Type="http://schemas.openxmlformats.org/officeDocument/2006/relationships/hyperlink" Target="https://www.cnn.com/2019/08/05/us/el-paso-suspect-patrick-crusius/index.html" TargetMode="External"/><Relationship Id="rId1020" Type="http://schemas.openxmlformats.org/officeDocument/2006/relationships/hyperlink" Target="http://www.nytimes.com/2000/12/28/us/in-wake-of-killings-strands-of-suspect-s-life.html" TargetMode="External"/><Relationship Id="rId1118" Type="http://schemas.openxmlformats.org/officeDocument/2006/relationships/hyperlink" Target="http://news.minnesota.publicradio.org/features/2004/11/22_kelleherb_huntershooting/" TargetMode="External"/><Relationship Id="rId1325" Type="http://schemas.openxmlformats.org/officeDocument/2006/relationships/hyperlink" Target="http://www.nbcnews.com/id/25361852/ns/us_news-crime_and_courts/t/dead-argument-boss-ends-rampage/" TargetMode="External"/><Relationship Id="rId1532" Type="http://schemas.openxmlformats.org/officeDocument/2006/relationships/hyperlink" Target="http://www.bbc.com/news/world-us-canada-19167324" TargetMode="External"/><Relationship Id="rId1977"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902" Type="http://schemas.openxmlformats.org/officeDocument/2006/relationships/hyperlink" Target="https://www.theguardian.com/world/2009/apr/25/dave-cullen-columbine" TargetMode="External"/><Relationship Id="rId1837" Type="http://schemas.openxmlformats.org/officeDocument/2006/relationships/hyperlink" Target="https://www.nbcnews.com/news/us-news/gunman-california-shooting-spree-needed-mental-help-sister-says-n821216" TargetMode="External"/><Relationship Id="rId31" Type="http://schemas.openxmlformats.org/officeDocument/2006/relationships/hyperlink" Target="https://www.apnews.com/90117a56d5b861313b6721c3c25d42a5" TargetMode="External"/><Relationship Id="rId2099" Type="http://schemas.openxmlformats.org/officeDocument/2006/relationships/hyperlink" Target="https://www.nytimes.com/1995/04/04/us/6-die-in-texas-office-shooting.html" TargetMode="External"/><Relationship Id="rId180" Type="http://schemas.openxmlformats.org/officeDocument/2006/relationships/hyperlink" Target="https://www.leagle.com/decision/1985350349pasuper11350" TargetMode="External"/><Relationship Id="rId278" Type="http://schemas.openxmlformats.org/officeDocument/2006/relationships/hyperlink" Target="https://www.newspapers.com/image/?clipping_id=36003617&amp;fcfToken=eyJhbGciOiJIUzI1NiIsInR5cCI6IkpXVCJ9.eyJmcmVlLXZpZXctaWQiOjMwMzAwNjg4NywiaWF0IjoxNTkxMjAyNzM1LCJleHAiOjE1OTEyODkxMzV9.YSYj3PwHAfd9Ie_U2TTYwF-yflEnstDqpG72m6bsgec" TargetMode="External"/><Relationship Id="rId1904" Type="http://schemas.openxmlformats.org/officeDocument/2006/relationships/hyperlink" Target="https://www.newyorker.com/news/news-desk/this-is-a-dream-i-cant-wake-up-from" TargetMode="External"/><Relationship Id="rId485" Type="http://schemas.openxmlformats.org/officeDocument/2006/relationships/hyperlink" Target="https://www.nytimes.com/1989/09/17/us/survivors-of-shooting-and-gunman-s-relatives-ponder-sad-riddles.html" TargetMode="External"/><Relationship Id="rId692" Type="http://schemas.openxmlformats.org/officeDocument/2006/relationships/hyperlink" Target="https://caselaw.findlaw.com/co-supreme-court/1386758.html" TargetMode="External"/><Relationship Id="rId2166" Type="http://schemas.openxmlformats.org/officeDocument/2006/relationships/hyperlink" Target="https://www.chicagotribune.com/news/ct-xpm-2005-11-09-0511090194-story.html" TargetMode="External"/><Relationship Id="rId2373"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2580" Type="http://schemas.openxmlformats.org/officeDocument/2006/relationships/hyperlink" Target="https://www.washingtonpost.com/news/post-nation/wp/2018/01/29/jealousy-and-obsession-may-have-led-carwash-shooting-suspect-to-kill-four-relatives-say/" TargetMode="External"/><Relationship Id="rId138" Type="http://schemas.openxmlformats.org/officeDocument/2006/relationships/hyperlink" Target="https://books.google.com/books?id=sdd3ihupC_AC&amp;pg=PA102&amp;lpg=PA102&amp;dq=dewitt+henry+Oregon&amp;source=bl&amp;ots=z5RZDR5AY0&amp;sig=fkhOTQ4bBGZ_KfVqm4tp6TfvhBU&amp;hl=en&amp;sa=X&amp;ved=0ahUKEwj05J7qyZvZAhVKIqwKHRZADU44ChDoAQhZMA8" TargetMode="External"/><Relationship Id="rId345" Type="http://schemas.openxmlformats.org/officeDocument/2006/relationships/hyperlink" Target="https://www.upi.com/Archives/1984/11/08/The-estranged-wife-of-accused-murderer-Abdelkrim-Belachheb-testified/3858468738000/" TargetMode="External"/><Relationship Id="rId552" Type="http://schemas.openxmlformats.org/officeDocument/2006/relationships/hyperlink" Target="https://schoolshooters.info/sites/default/files/tally_medications_substance_abuse_1.3.pdf" TargetMode="External"/><Relationship Id="rId997" Type="http://schemas.openxmlformats.org/officeDocument/2006/relationships/hyperlink" Target="http://old.post-gazette.com/regionstate/20000429profile4.asp" TargetMode="External"/><Relationship Id="rId1182" Type="http://schemas.openxmlformats.org/officeDocument/2006/relationships/hyperlink" Target="http://www.nytimes.com/2005/03/24/us/signs-of-danger-were-missed-in-a-troubled-teenagers-life.html" TargetMode="External"/><Relationship Id="rId2026" Type="http://schemas.openxmlformats.org/officeDocument/2006/relationships/hyperlink" Target="https://www.nytimes.com/1981/05/09/us/four-slain-and-20-wounded-in-bar-as-oregon-man-shoots-into-crowd.html" TargetMode="External"/><Relationship Id="rId2233" Type="http://schemas.openxmlformats.org/officeDocument/2006/relationships/hyperlink" Target="https://www.cnn.com/2012/05/31/us/washington-cafe-shooting/index.html" TargetMode="External"/><Relationship Id="rId2440" Type="http://schemas.openxmlformats.org/officeDocument/2006/relationships/hyperlink" Target="https://www.starnewsonline.com/news/20050803/officials-end-investigation-of-deadly-church-shooting" TargetMode="External"/><Relationship Id="rId2678" Type="http://schemas.openxmlformats.org/officeDocument/2006/relationships/hyperlink" Target="https://www.nytimes.com/2015/10/03/us/chris-harper-mercer-umpqua-community-college-shooting.html" TargetMode="External"/><Relationship Id="rId205" Type="http://schemas.openxmlformats.org/officeDocument/2006/relationships/hyperlink" Target="http://photos.salemhistory.net/cdm/singleitem/collection/sj/id/23/rec/3" TargetMode="External"/><Relationship Id="rId412" Type="http://schemas.openxmlformats.org/officeDocument/2006/relationships/hyperlink" Target="http://articles.latimes.com/1987-04-25/news/mn-990_1_palm-bay-police" TargetMode="External"/><Relationship Id="rId857" Type="http://schemas.openxmlformats.org/officeDocument/2006/relationships/hyperlink" Target="https://www.pbs.org/wgbh/pages/frontline/shows/kinkel/trial/" TargetMode="External"/><Relationship Id="rId1042" Type="http://schemas.openxmlformats.org/officeDocument/2006/relationships/hyperlink" Target="https://www.chicagotribune.com/news/ct-xpm-2001-02-06-0102060231-story.html" TargetMode="External"/><Relationship Id="rId1487" Type="http://schemas.openxmlformats.org/officeDocument/2006/relationships/hyperlink" Target="http://abcnews.go.com/US/ian-stawicki-seattle-cafe-racer-shooter-kills-shoots-citywide/story?id=16463885" TargetMode="External"/><Relationship Id="rId1694" Type="http://schemas.openxmlformats.org/officeDocument/2006/relationships/hyperlink" Target="https://www.cnn.com/2015/12/03/us/syed-farook-tashfeen-malik-mass-shooting-profile/index.html" TargetMode="External"/><Relationship Id="rId2300" Type="http://schemas.openxmlformats.org/officeDocument/2006/relationships/hyperlink" Target="https://www.cbsnews.com/news/annapolis-shooting-five-dead-in-shooting-at-capital-gazette-newspaper-in-maryland-suspect-in-custody-2018-06-28-live-updates/" TargetMode="External"/><Relationship Id="rId2538" Type="http://schemas.openxmlformats.org/officeDocument/2006/relationships/hyperlink" Target="https://books.google.com/books?id=sdd3ihupC_AC&amp;pg=PA102&amp;lpg=PA102&amp;dq=dewitt+henry+Oregon&amp;source=bl&amp;ots=z5RZDR5AY0&amp;sig=fkhOTQ4bBGZ_KfVqm4tp6TfvhBU&amp;hl=en&amp;sa=X&amp;ved=0ahUKEwj05J7qyZvZAhVKIqwKHRZADU44ChDoAQhZMA8" TargetMode="External"/><Relationship Id="rId717" Type="http://schemas.openxmlformats.org/officeDocument/2006/relationships/hyperlink" Target="http://www.nytimes.com/1995/04/04/us/6-die-in-texas-office-shooting.html" TargetMode="External"/><Relationship Id="rId924" Type="http://schemas.openxmlformats.org/officeDocument/2006/relationships/hyperlink" Target="https://www.independent.co.uk/news/atlanta-massacre-broker-shoots-12-dead-as-stock-market-falls-1109415.html" TargetMode="External"/><Relationship Id="rId1347" Type="http://schemas.openxmlformats.org/officeDocument/2006/relationships/hyperlink" Target="https://www.seattletimes.com/seattle-news/shooting-rampage-suspect-described-as-deeply-troubled-1/" TargetMode="External"/><Relationship Id="rId1554" Type="http://schemas.openxmlformats.org/officeDocument/2006/relationships/hyperlink" Target="https://www.theguardian.com/world/2013/mar/28/newtown-shooting-gunman-adam-lanza-weapons" TargetMode="External"/><Relationship Id="rId1761" Type="http://schemas.openxmlformats.org/officeDocument/2006/relationships/hyperlink" Target="https://www.miamiherald.com/news/local/article211654694.html" TargetMode="External"/><Relationship Id="rId1999" Type="http://schemas.openxmlformats.org/officeDocument/2006/relationships/hyperlink" Target="https://news.google.com/newspapers?id=ZRgMAAAAIBAJ&amp;sjid=rlwDAAAAIBAJ&amp;pg=6550,4991780&amp;dq=&amp;hl=en" TargetMode="External"/><Relationship Id="rId2605" Type="http://schemas.openxmlformats.org/officeDocument/2006/relationships/hyperlink" Target="http://www.clarkprosecutor.org/html/death/US/wise992.htm" TargetMode="External"/><Relationship Id="rId53" Type="http://schemas.openxmlformats.org/officeDocument/2006/relationships/hyperlink" Target="https://books.google.com/books?id=LEgSiLnmgYoC&amp;pg=PA88&amp;lpg=PA88&amp;dq=%22leo+held%22+paranoid&amp;source=bl&amp;ots=lYSrqNF9p4&amp;sig=ACfU3U2hB3e3SFcOZwjkD8GJFWzEnNrU4Q&amp;hl=en&amp;sa=X&amp;ved=2ahUKEwjj-MHt4cPhAhUh8YMKHR3WBToQ6AEwAXoECAgQAQ" TargetMode="External"/><Relationship Id="rId1207" Type="http://schemas.openxmlformats.org/officeDocument/2006/relationships/hyperlink" Target="https://www.cbsnews.com/news/postal-shooters-bizarre-behavior/" TargetMode="External"/><Relationship Id="rId1414" Type="http://schemas.openxmlformats.org/officeDocument/2006/relationships/hyperlink" Target="https://www.latimes.com/local/lanow/la-me-ln-valley-village-sentencing-20161220-story.html" TargetMode="External"/><Relationship Id="rId1621" Type="http://schemas.openxmlformats.org/officeDocument/2006/relationships/hyperlink" Target="https://www.sacbee.com/news/local/crime/article143794574.html" TargetMode="External"/><Relationship Id="rId1859" Type="http://schemas.openxmlformats.org/officeDocument/2006/relationships/hyperlink" Target="https://www.cnn.com/2018/02/25/us/nikolas-cruz-warning-signs/index.html" TargetMode="External"/><Relationship Id="rId1719" Type="http://schemas.openxmlformats.org/officeDocument/2006/relationships/hyperlink" Target="http://www.cnn.com/2016/07/08/us/philando-castile-alton-sterling-protests/index.html" TargetMode="External"/><Relationship Id="rId1926" Type="http://schemas.openxmlformats.org/officeDocument/2006/relationships/hyperlink" Target="http://time.com/5326056/capital-gazette-shooter-jarrod-w-ramos/" TargetMode="External"/><Relationship Id="rId2090" Type="http://schemas.openxmlformats.org/officeDocument/2006/relationships/hyperlink" Target="https://www.nytimes.com/1993/12/04/us/man-s-7-year-search-to-find-job-ended-with-5-dead-in-california.html" TargetMode="External"/><Relationship Id="rId2188" Type="http://schemas.openxmlformats.org/officeDocument/2006/relationships/hyperlink" Target="https://www.npr.org/templates/story/story.php?storyId=9636137" TargetMode="External"/><Relationship Id="rId2395"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367" Type="http://schemas.openxmlformats.org/officeDocument/2006/relationships/hyperlink" Target="http://www.nytimes.com/1984/07/20/us/weapons-used-by-killer-said-to-be-easy-to-obtain.html" TargetMode="External"/><Relationship Id="rId574" Type="http://schemas.openxmlformats.org/officeDocument/2006/relationships/hyperlink" Target="http://www.nytimes.com/1991/11/15/us/ex-postal-worker-kills-3-and-wounds-6-in-michigan.html" TargetMode="External"/><Relationship Id="rId2048" Type="http://schemas.openxmlformats.org/officeDocument/2006/relationships/hyperlink" Target="https://www.chicagotribune.com/news/ct-xpm-1985-03-17-8501150150-story.html" TargetMode="External"/><Relationship Id="rId2255" Type="http://schemas.openxmlformats.org/officeDocument/2006/relationships/hyperlink" Target="https://www.theguardian.com/us-news/2015/feb/20/mass-shooter-elliot-rodger-isla-vista-killings-report" TargetMode="External"/><Relationship Id="rId227" Type="http://schemas.openxmlformats.org/officeDocument/2006/relationships/hyperlink" Target="https://www.nytimes.com/1981/10/18/us/around-the-nation-retired-miner-is-held-in-shooting-deaths-of-5.html" TargetMode="External"/><Relationship Id="rId781" Type="http://schemas.openxmlformats.org/officeDocument/2006/relationships/hyperlink" Target="http://www.aikenstandard.com/news/twenty-years-later-remembering-the-shooting-at-phelon-plant-in/article_4b5b7132-9983-11e7-b425-9f5c8ce770f8.html" TargetMode="External"/><Relationship Id="rId879" Type="http://schemas.openxmlformats.org/officeDocument/2006/relationships/hyperlink" Target="https://www.theguardian.com/world/2009/apr/17/columbine-massacre-gun-crime-us" TargetMode="External"/><Relationship Id="rId2462" Type="http://schemas.openxmlformats.org/officeDocument/2006/relationships/hyperlink" Target="https://www.smdp.com/gunmans-mother-opens-up-in-new-santa-monica-shooting-documentary/163119" TargetMode="External"/><Relationship Id="rId434" Type="http://schemas.openxmlformats.org/officeDocument/2006/relationships/hyperlink" Target="http://www.nytimes.com/1988/07/19/us/four-motorists-are-shot-to-death-gunman-wounded-in-12-minutes.html" TargetMode="External"/><Relationship Id="rId641" Type="http://schemas.openxmlformats.org/officeDocument/2006/relationships/hyperlink" Target="https://www.washingtonpost.com/archive/politics/1993/08/08/4-killed-when-gunman-opens-fire-in-restaurant/7120b492-adee-440b-b5bd-318e934c8c5a/?utm_term=.f24cfc57d3cd" TargetMode="External"/><Relationship Id="rId739" Type="http://schemas.openxmlformats.org/officeDocument/2006/relationships/hyperlink" Target="https://www.chicagotribune.com/news/ct-xpm-1995-12-20-9512200177-story.html" TargetMode="External"/><Relationship Id="rId1064" Type="http://schemas.openxmlformats.org/officeDocument/2006/relationships/hyperlink" Target="https://www.nytimes.com/2001/09/11/national/slaying-suspect-commits-suicide.html" TargetMode="External"/><Relationship Id="rId1271" Type="http://schemas.openxmlformats.org/officeDocument/2006/relationships/hyperlink" Target="https://www.denverpost.com/2008/03/27/murray-obsesses-with-guns-shootings/" TargetMode="External"/><Relationship Id="rId1369" Type="http://schemas.openxmlformats.org/officeDocument/2006/relationships/hyperlink" Target="https://www.nytimes.com/2009/04/12/nyregion/12binghamton.html" TargetMode="External"/><Relationship Id="rId1576" Type="http://schemas.openxmlformats.org/officeDocument/2006/relationships/hyperlink" Target="https://www.uticaod.com/x930813837/2-people-reportedly-shot-at-Herkimer-car-wash" TargetMode="External"/><Relationship Id="rId2115" Type="http://schemas.openxmlformats.org/officeDocument/2006/relationships/hyperlink" Target="https://www.latimes.com/archives/la-xpm-1997-dec-20-mn-431-story.html" TargetMode="External"/><Relationship Id="rId2322" Type="http://schemas.openxmlformats.org/officeDocument/2006/relationships/hyperlink" Target="https://www.usatoday.com/story/news/nation/2020/03/02/milwaukee-molson-coors-shooting-miller-brewery-anthony-ferrill/4928061002/" TargetMode="External"/><Relationship Id="rId501" Type="http://schemas.openxmlformats.org/officeDocument/2006/relationships/hyperlink" Target="https://news.google.com/newspapers?id=EPMRAAAAIBAJ&amp;sjid=PuoDAAAAIBAJ&amp;pg=6902,6441532&amp;dq=pough" TargetMode="External"/><Relationship Id="rId946" Type="http://schemas.openxmlformats.org/officeDocument/2006/relationships/hyperlink" Target="https://www.washingtonpost.com/archive/politics/1999/07/31/killer-wrote-of-fear-hopelessness/af33786a-de37-45cd-9d5f-1098379892dd/?noredirect=on&amp;utm_term=.df0baa182fdc" TargetMode="External"/><Relationship Id="rId1131" Type="http://schemas.openxmlformats.org/officeDocument/2006/relationships/hyperlink" Target="https://www.cbsnews.com/news/inside-the-mind-of-a-killer/" TargetMode="External"/><Relationship Id="rId1229" Type="http://schemas.openxmlformats.org/officeDocument/2006/relationships/hyperlink" Target="https://web.northeastern.edu/jfox/Documents/CapitolHillPanelReport.pdf" TargetMode="External"/><Relationship Id="rId1783" Type="http://schemas.openxmlformats.org/officeDocument/2006/relationships/hyperlink" Target="http://www.cnn.com/2017/06/05/us/orlando-fatalities/index.html" TargetMode="External"/><Relationship Id="rId1990" Type="http://schemas.openxmlformats.org/officeDocument/2006/relationships/hyperlink" Target="https://books.google.com/books?id=SMexDwAAQBAJ&amp;pg=PA296&amp;lpg=PA296&amp;dq=one+goh+older+brothers&amp;source=bl&amp;ots=-4-pHOiO6V&amp;sig=ACfU3U2540CY121ivQRTH01uHVG-FRUazQ&amp;hl=en&amp;sa=X&amp;ved=2ahUKEwikr4Lznf_nAhVVnp4KHQh4DM0Q6AEwAnoECAkQAQ" TargetMode="External"/><Relationship Id="rId2627" Type="http://schemas.openxmlformats.org/officeDocument/2006/relationships/hyperlink" Target="https://scholar.lib.vt.edu/prevail/docs/VTReviewPanelReport.pdf" TargetMode="External"/><Relationship Id="rId75" Type="http://schemas.openxmlformats.org/officeDocument/2006/relationships/hyperlink" Target="https://cdnc.ucr.edu/cgi-bin/cdnc?a=d&amp;d=DS19690407.2.35&amp;e=-------en--20--1--txt-txIN--------1" TargetMode="External"/><Relationship Id="rId806" Type="http://schemas.openxmlformats.org/officeDocument/2006/relationships/hyperlink" Target="http://www.nytimes.com/1998/03/07/nyregion/rampage-connecticut-overview-connecticut-lottery-worker-kills-4-bosses-then.html" TargetMode="External"/><Relationship Id="rId1436" Type="http://schemas.openxmlformats.org/officeDocument/2006/relationships/hyperlink" Target="https://www.nytimes.com/2010/08/04/nyregion/04shooting.html?mtrref=www.google.com" TargetMode="External"/><Relationship Id="rId1643" Type="http://schemas.openxmlformats.org/officeDocument/2006/relationships/hyperlink" Target="https://www.nbcnews.com/storyline/marysville-school-shooting/two-dead-including-gunman-school-shooting-near-seattle-n233371" TargetMode="External"/><Relationship Id="rId1850" Type="http://schemas.openxmlformats.org/officeDocument/2006/relationships/hyperlink" Target="https://www.foxnews.com/us/correction-deadly-car-wash-shooting-story" TargetMode="External"/><Relationship Id="rId1503" Type="http://schemas.openxmlformats.org/officeDocument/2006/relationships/hyperlink" Target="http://www.cnn.com/2013/07/19/us/colorado-theater-shooting-fast-facts/index.html" TargetMode="External"/><Relationship Id="rId1710" Type="http://schemas.openxmlformats.org/officeDocument/2006/relationships/hyperlink" Target="http://www.dailymail.co.uk/news/article-3463851/Uber-gunman-Jason-Dalton-tired-depressed-days-leading-deadly-shooting-rampage-wife-s-attorney-reveals.html" TargetMode="External"/><Relationship Id="rId1948" Type="http://schemas.openxmlformats.org/officeDocument/2006/relationships/hyperlink" Target="https://books.google.com/books?id=V7IluPG0GJ8C&amp;pg=PA111&amp;lpg=PA111&amp;dq=mark+essex+siblings&amp;source=bl&amp;ots=bcqfSfwZNX&amp;sig=ACfU3U3l8i0aE1ncTi8_Xwu_idbD_kDVjA&amp;hl=en&amp;sa=X&amp;ved=2ahUKEwjtjoWcmoboAhXTaM0KHR9DDT04ChDoATAFegQIBxAB" TargetMode="External"/><Relationship Id="rId291"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808" Type="http://schemas.openxmlformats.org/officeDocument/2006/relationships/hyperlink" Target="https://media.defense.gov/2018/Dec/07/2002070069/-1/-1/1/DODIG-2019-030_REDACTED.PDF" TargetMode="External"/><Relationship Id="rId151" Type="http://schemas.openxmlformats.org/officeDocument/2006/relationships/hyperlink" Target="https://www.upi.com/Archives/1987/09/02/Former-cook-convicted-in-restaurant-massacre/2502557553600/" TargetMode="External"/><Relationship Id="rId389" Type="http://schemas.openxmlformats.org/officeDocument/2006/relationships/hyperlink" Target="https://www.washingtonpost.com/archive/politics/1985/04/05/in-factory-town-fear-of-a-killing-pace/795719f4-fac5-45ee-a5ea-908b039750a8/?noredirect=on&amp;utm_term=.363d4155431a" TargetMode="External"/><Relationship Id="rId596" Type="http://schemas.openxmlformats.org/officeDocument/2006/relationships/hyperlink" Target="https://www.nbcbayarea.com/news/local/State-Court-Upholds-1993-Death-Penalty-Case-164819036.html" TargetMode="External"/><Relationship Id="rId2277" Type="http://schemas.openxmlformats.org/officeDocument/2006/relationships/hyperlink" Target="https://www.latimes.com/nation/la-na-washington-mall-shooting-2016-story.html" TargetMode="External"/><Relationship Id="rId2484" Type="http://schemas.openxmlformats.org/officeDocument/2006/relationships/hyperlink" Target="https://news.google.com/newspapers?nid=1891&amp;dat=19770827&amp;id=3d4pAAAAIBAJ&amp;sjid=KtYEAAAAIBAJ&amp;pg=3878,3973758" TargetMode="External"/><Relationship Id="rId2691" Type="http://schemas.openxmlformats.org/officeDocument/2006/relationships/hyperlink" Target="https://scholar.lib.vt.edu/prevail/docs/VTReviewPanelReport.pdf" TargetMode="External"/><Relationship Id="rId249" Type="http://schemas.openxmlformats.org/officeDocument/2006/relationships/hyperlink" Target="https://www.nytimes.com/1982/06/22/us/new-law-on-insanity-plea-stirs-dispute-in-alaska.html" TargetMode="External"/><Relationship Id="rId456" Type="http://schemas.openxmlformats.org/officeDocument/2006/relationships/hyperlink" Target="https://www.chicagotribune.com/news/ct-xpm-1988-09-23-8802010546-story.html" TargetMode="External"/><Relationship Id="rId663" Type="http://schemas.openxmlformats.org/officeDocument/2006/relationships/hyperlink" Target="http://articles.latimes.com/1993-10-17/news/mn-46854_1_writing-class" TargetMode="External"/><Relationship Id="rId870" Type="http://schemas.openxmlformats.org/officeDocument/2006/relationships/hyperlink" Target="https://www.nytimes.com/1999/03/12/us/louisiana-shooting-kills-3-at-church-and-one-at-home.html" TargetMode="External"/><Relationship Id="rId1086" Type="http://schemas.openxmlformats.org/officeDocument/2006/relationships/hyperlink" Target="https://www.heraldpalladium.com/localnews/killings-shock-friends-and-neighbors/article_1e98c855-92d1-5d68-aaa6-e68165370d57.html" TargetMode="External"/><Relationship Id="rId1293" Type="http://schemas.openxmlformats.org/officeDocument/2006/relationships/hyperlink" Target="http://www.santamariasun.com/news/8536/leeds-will-spend-the-rest-of-his-life-in-prison--for-scrap-yard-killings/" TargetMode="External"/><Relationship Id="rId2137" Type="http://schemas.openxmlformats.org/officeDocument/2006/relationships/hyperlink" Target="https://www.nytimes.com/1999/11/03/us/man-opens-fire-in-xerox-office-killing-7.html?mcubz=1" TargetMode="External"/><Relationship Id="rId2344" Type="http://schemas.openxmlformats.org/officeDocument/2006/relationships/hyperlink" Target="https://www.chicagotribune.com/news/ct-xpm-1988-09-23-8802010546-story.html" TargetMode="External"/><Relationship Id="rId2551" Type="http://schemas.openxmlformats.org/officeDocument/2006/relationships/hyperlink" Target="https://www.nytimes.com/1991/10/18/us/portrait-of-texas-killer-impatient-and-troubled.html?pagewanted=all" TargetMode="External"/><Relationship Id="rId109" Type="http://schemas.openxmlformats.org/officeDocument/2006/relationships/hyperlink" Target="https://cdnc.ucr.edu/cgi-bin/cdnc?a=d&amp;d=DS19750303.2.21&amp;e=-------en--20--1--txt-txIN--------1" TargetMode="External"/><Relationship Id="rId316" Type="http://schemas.openxmlformats.org/officeDocument/2006/relationships/hyperlink" Target="https://www.washingtonpost.com/archive/politics/1984/07/29/6-murders-linked-to-scheme-to-sabotage-alaska-pipeline/58b7985f-54ef-4b1a-842d-eadca72e93c9/?utm_term=.e32e5ce0b729" TargetMode="External"/><Relationship Id="rId523" Type="http://schemas.openxmlformats.org/officeDocument/2006/relationships/hyperlink" Target="https://newsok.com/article/2371623/fired-postal-worker-charged-in-killings" TargetMode="External"/><Relationship Id="rId968" Type="http://schemas.openxmlformats.org/officeDocument/2006/relationships/hyperlink" Target="https://www.nytimes.com/1999/09/17/us/deaths-in-a-church-the-overview-an-angry-mystery-man-who-brought-death.html" TargetMode="External"/><Relationship Id="rId1153" Type="http://schemas.openxmlformats.org/officeDocument/2006/relationships/hyperlink" Target="https://www.nytimes.com/2005/03/13/us/gunman-kills-7-in-church-group-near-milwaukee.html" TargetMode="External"/><Relationship Id="rId1598" Type="http://schemas.openxmlformats.org/officeDocument/2006/relationships/hyperlink" Target="https://www.latimes.com/local/la-xpm-2013-jun-12-la-me-santa-monica-gun-20130613-story.html" TargetMode="External"/><Relationship Id="rId2204" Type="http://schemas.openxmlformats.org/officeDocument/2006/relationships/hyperlink" Target="https://abc11.com/archive/6734388/" TargetMode="External"/><Relationship Id="rId2649" Type="http://schemas.openxmlformats.org/officeDocument/2006/relationships/hyperlink" Target="https://cdnc.ucr.edu/cgi-bin/cdnc?a=d&amp;d=DS19750303.2.21&amp;e=-------en--20--1--txt-txIN--------1" TargetMode="External"/><Relationship Id="rId97" Type="http://schemas.openxmlformats.org/officeDocument/2006/relationships/hyperlink" Target="https://www.nytimes.com/1972/05/31/archives/gunmans-motive-remains-mystery-police-say-shootings-were-not-linked.html" TargetMode="External"/><Relationship Id="rId730" Type="http://schemas.openxmlformats.org/officeDocument/2006/relationships/hyperlink" Target="http://articles.latimes.com/1996-11-06/local/me-61893_1_city-electrician" TargetMode="External"/><Relationship Id="rId828" Type="http://schemas.openxmlformats.org/officeDocument/2006/relationships/hyperlink" Target="http://www.nytimes.com/1998/03/07/nyregion/rampage-connecticut-overview-connecticut-lottery-worker-kills-4-bosses-then.html" TargetMode="External"/><Relationship Id="rId1013" Type="http://schemas.openxmlformats.org/officeDocument/2006/relationships/hyperlink" Target="https://www.nytimes.com/2000/12/27/us/7-die-in-rampage-at-company-co-worker-of-victims-arrested.html" TargetMode="External"/><Relationship Id="rId1360" Type="http://schemas.openxmlformats.org/officeDocument/2006/relationships/hyperlink" Target="https://www.thepilot.com/news/pinelake-at-a-decade-in-the-shadow-of-north-carolina/article_33d2be06-522a-11e9-b3d5-230b8a7f488f.html" TargetMode="External"/><Relationship Id="rId1458" Type="http://schemas.openxmlformats.org/officeDocument/2006/relationships/hyperlink" Target="https://www.nytimes.com/2011/01/16/us/16loughner.html" TargetMode="External"/><Relationship Id="rId1665" Type="http://schemas.openxmlformats.org/officeDocument/2006/relationships/hyperlink" Target="https://www.oregonlive.com/pacific-northwest-news/2017/09/umpqua_community_college_inves.html" TargetMode="External"/><Relationship Id="rId1872" Type="http://schemas.openxmlformats.org/officeDocument/2006/relationships/hyperlink" Target="https://www.abc.net.au/news/2018-04-24/waffle-house-shooting-suspect-travis-reinking-arrested/9690348" TargetMode="External"/><Relationship Id="rId2411" Type="http://schemas.openxmlformats.org/officeDocument/2006/relationships/hyperlink" Target="https://news.google.com/newspapers?id=_SdZAAAAIBAJ&amp;sjid=C0cNAAAAIBAJ&amp;pg=6601,992534&amp;dq=" TargetMode="External"/><Relationship Id="rId2509" Type="http://schemas.openxmlformats.org/officeDocument/2006/relationships/hyperlink" Target="https://www.nytimes.com/1977/02/15/archives/nazi-admirer-also-wounds-5-in-wild-attack-followed-by-a-siege-at.html" TargetMode="External"/><Relationship Id="rId2716" Type="http://schemas.openxmlformats.org/officeDocument/2006/relationships/hyperlink" Target="https://www.buzzfeednews.com/article/remysmidt/cruz" TargetMode="External"/><Relationship Id="rId1220" Type="http://schemas.openxmlformats.org/officeDocument/2006/relationships/hyperlink" Target="https://www.thestranger.com/seattle/dead-quiet/Content?oid=31361" TargetMode="External"/><Relationship Id="rId1318" Type="http://schemas.openxmlformats.org/officeDocument/2006/relationships/hyperlink" Target="http://www.nbcnews.com/id/25361852/ns/us_news-crime_and_courts/t/dead-argument-boss-ends-rampage/" TargetMode="External"/><Relationship Id="rId1525" Type="http://schemas.openxmlformats.org/officeDocument/2006/relationships/hyperlink" Target="http://www.bbc.com/news/world-us-canada-19167324" TargetMode="External"/><Relationship Id="rId1732" Type="http://schemas.openxmlformats.org/officeDocument/2006/relationships/hyperlink" Target="https://www.nbcnews.com/storyline/dallas-police-ambush/dallas-shooter-micah-xavier-johnson-was-army-veteran-n606101" TargetMode="External"/><Relationship Id="rId24" Type="http://schemas.openxmlformats.org/officeDocument/2006/relationships/hyperlink" Target="https://www.texasmonthly.com/articles/the-cops-who-stopped-charles-whitman/" TargetMode="External"/><Relationship Id="rId2299" Type="http://schemas.openxmlformats.org/officeDocument/2006/relationships/hyperlink" Target="https://www.nytimes.com/2018/05/18/us/school-shooting-santa-fe-texas.html?action=click&amp;module=RelatedCoverage&amp;pgtype=Article&amp;region=Footer" TargetMode="External"/><Relationship Id="rId173" Type="http://schemas.openxmlformats.org/officeDocument/2006/relationships/hyperlink" Target="https://www.upi.com/Archives/1982/01/19/Alvin-Lee-King-III-charged-with-storming-a-church/4408380264400/" TargetMode="External"/><Relationship Id="rId380" Type="http://schemas.openxmlformats.org/officeDocument/2006/relationships/hyperlink" Target="https://www.upi.com/Archives/1984/07/25/A-gunman-who-killed-four-people-and-wounded-another/3627459576000/" TargetMode="External"/><Relationship Id="rId2061" Type="http://schemas.openxmlformats.org/officeDocument/2006/relationships/hyperlink" Target="https://schoolshooters.info/sites/default/files/Purdy%20-%20official%20report.pdf" TargetMode="External"/><Relationship Id="rId240" Type="http://schemas.openxmlformats.org/officeDocument/2006/relationships/hyperlink" Target="https://www.nytimes.com/1982/06/22/us/new-law-on-insanity-plea-stirs-dispute-in-alaska.html" TargetMode="External"/><Relationship Id="rId478" Type="http://schemas.openxmlformats.org/officeDocument/2006/relationships/hyperlink" Target="https://www.nytimes.com/1989/09/16/us/disturbed-past-of-killer-of-7-is-unraveled.html" TargetMode="External"/><Relationship Id="rId685" Type="http://schemas.openxmlformats.org/officeDocument/2006/relationships/hyperlink" Target="https://www.nytimes.com/1993/12/16/us/gunman-kills-4-workers-at-colorado-restaurant.html" TargetMode="External"/><Relationship Id="rId892" Type="http://schemas.openxmlformats.org/officeDocument/2006/relationships/hyperlink" Target="https://www.cnn.com/2013/09/18/us/columbine-high-school-shootings-fast-facts/index.html" TargetMode="External"/><Relationship Id="rId2159" Type="http://schemas.openxmlformats.org/officeDocument/2006/relationships/hyperlink" Target="https://www.nytimes.com/2003/07/09/us/man-kills-5-co-workers-at-plant-and-himself.html?mcubz=0" TargetMode="External"/><Relationship Id="rId2366" Type="http://schemas.openxmlformats.org/officeDocument/2006/relationships/hyperlink" Target="https://beta.washingtonpost.com/news/post-nation/wp/2018/04/23/waffle-house-shooting-travis-reinking-manhunt-continues-nashville-police-say/" TargetMode="External"/><Relationship Id="rId2573" Type="http://schemas.openxmlformats.org/officeDocument/2006/relationships/hyperlink" Target="https://abcnews.go.com/US/lawyer-michigan-uber-drivers-family-shares-details-alleged/story?id=37175519" TargetMode="External"/><Relationship Id="rId100" Type="http://schemas.openxmlformats.org/officeDocument/2006/relationships/hyperlink" Target="https://legeros.com/history/stories/north-hills/" TargetMode="External"/><Relationship Id="rId338"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545" Type="http://schemas.openxmlformats.org/officeDocument/2006/relationships/hyperlink" Target="https://www.nytimes.com/1991/11/03/us/gunman-in-iowa-wrote-of-plans-in-five-letters.html" TargetMode="External"/><Relationship Id="rId752" Type="http://schemas.openxmlformats.org/officeDocument/2006/relationships/hyperlink" Target="https://www.washingtonpost.com/archive/politics/1996/04/25/firefighter-kills-wife-four-colleagues-before-being-wounded/f5b9eab9-d1cc-4c59-b2db-d664fe68c611/?utm_term=.0dd3dee56dfd" TargetMode="External"/><Relationship Id="rId1175" Type="http://schemas.openxmlformats.org/officeDocument/2006/relationships/hyperlink" Target="http://news.minnesota.publicradio.org/features/2005/03/22_ap_redlakesuspect/" TargetMode="External"/><Relationship Id="rId1382" Type="http://schemas.openxmlformats.org/officeDocument/2006/relationships/hyperlink" Target="http://www.nytimes.com/2009/04/04/nyregion/04hostage.html" TargetMode="External"/><Relationship Id="rId2019" Type="http://schemas.openxmlformats.org/officeDocument/2006/relationships/hyperlink" Target="https://www.upi.com/Archives/1987/09/02/Former-cook-convicted-in-restaurant-massacre/2502557553600/" TargetMode="External"/><Relationship Id="rId2226" Type="http://schemas.openxmlformats.org/officeDocument/2006/relationships/hyperlink" Target="https://www.news-herald.com/news/police-identify-th-victim-in-copley-shooting-spree/article_3622d646-2a2c-52db-825d-d6c21c163e61.html" TargetMode="External"/><Relationship Id="rId2433" Type="http://schemas.openxmlformats.org/officeDocument/2006/relationships/hyperlink" Target="https://www.postindependent.com/news/stagner-insane-judge-confirms" TargetMode="External"/><Relationship Id="rId2640" Type="http://schemas.openxmlformats.org/officeDocument/2006/relationships/hyperlink" Target="https://www.masslive.com/news/2010/08/enfield_girlfriend_omar_thornt.html" TargetMode="External"/><Relationship Id="rId405" Type="http://schemas.openxmlformats.org/officeDocument/2006/relationships/hyperlink" Target="http://articles.latimes.com/1987-04-25/news/mn-990_1_palm-bay-police" TargetMode="External"/><Relationship Id="rId612"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1035" Type="http://schemas.openxmlformats.org/officeDocument/2006/relationships/hyperlink" Target="https://www.chicagotribune.com/news/ct-xpm-2001-02-06-0102060231-story.html" TargetMode="External"/><Relationship Id="rId1242" Type="http://schemas.openxmlformats.org/officeDocument/2006/relationships/hyperlink" Target="https://www.cnn.com/2006/US/10/03/amish.shooting/index.html" TargetMode="External"/><Relationship Id="rId1687" Type="http://schemas.openxmlformats.org/officeDocument/2006/relationships/hyperlink" Target="https://www.theeagle.com/news/mother-of-man-convicted-of-killing-six-people-says-her-son-changed-after-a-car/article_1c073cfc-c6ad-11e7-a923-bf84ac2aa25c.html" TargetMode="External"/><Relationship Id="rId1894" Type="http://schemas.openxmlformats.org/officeDocument/2006/relationships/hyperlink" Target="https://www.npr.org/sections/thetwo-way/2018/05/19/612468377/what-we-know-about-dimitrios-pagourtzis-the-alleged-texas-high-school-shooter" TargetMode="External"/><Relationship Id="rId2500" Type="http://schemas.openxmlformats.org/officeDocument/2006/relationships/hyperlink" Target="https://time.com/5511989/who-is-zephen-xaver/" TargetMode="External"/><Relationship Id="rId2738" Type="http://schemas.openxmlformats.org/officeDocument/2006/relationships/printerSettings" Target="../printerSettings/printerSettings6.bin"/><Relationship Id="rId917" Type="http://schemas.openxmlformats.org/officeDocument/2006/relationships/hyperlink" Target="https://lasvegassun.com/news/1999/jun/04/floyd-described-as-sweet-guy-with-violent-streak/" TargetMode="External"/><Relationship Id="rId1102" Type="http://schemas.openxmlformats.org/officeDocument/2006/relationships/hyperlink" Target="https://www.chicagotribune.com/news/ct-xpm-2003-08-28-0308280412-story.html" TargetMode="External"/><Relationship Id="rId1547" Type="http://schemas.openxmlformats.org/officeDocument/2006/relationships/hyperlink" Target="https://www.mprnews.org/story/2012/10/05/police-workplace-gunman-started-shooting-at-dismissal-meeting" TargetMode="External"/><Relationship Id="rId1754" Type="http://schemas.openxmlformats.org/officeDocument/2006/relationships/hyperlink" Target="https://www.seattletimes.com/seattle-news/crime/suspected-cascade-mall-gunman-charged-with-5-counts-of-premeditated-murder/" TargetMode="External"/><Relationship Id="rId1961"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46" Type="http://schemas.openxmlformats.org/officeDocument/2006/relationships/hyperlink" Target="https://timesmachine.nytimes.com/timesmachine/1967/10/25/81841391.html?pageNumber=26" TargetMode="External"/><Relationship Id="rId1407" Type="http://schemas.openxmlformats.org/officeDocument/2006/relationships/hyperlink" Target="https://web.archive.org/web/20091209021105/http:/seattletimes.nwsource.com/html/localnews/2010436039_clemmonsprofile06m.html" TargetMode="External"/><Relationship Id="rId1614" Type="http://schemas.openxmlformats.org/officeDocument/2006/relationships/hyperlink" Target="https://www.theguardian.com/world/2013/sep/20/aaron-alexis-washington-navy-yard-shooter" TargetMode="External"/><Relationship Id="rId1821" Type="http://schemas.openxmlformats.org/officeDocument/2006/relationships/hyperlink" Target="https://www.aljazeera.com/news/2017/11/texas-church-shooting-devin-patrick-kelley-171106181800494.html" TargetMode="External"/><Relationship Id="rId195" Type="http://schemas.openxmlformats.org/officeDocument/2006/relationships/hyperlink" Target="http://katu.com/news/local/30-years-later-sounds-of-gunfire-still-haunt-shooting-victim" TargetMode="External"/><Relationship Id="rId1919" Type="http://schemas.openxmlformats.org/officeDocument/2006/relationships/hyperlink" Target="https://www.cbsnews.com/news/jarrod-ramos-annapolis-shooting-suspect-identified-maryland-shooting-capital-gazette-today-2018-06-28/" TargetMode="External"/><Relationship Id="rId2083" Type="http://schemas.openxmlformats.org/officeDocument/2006/relationships/hyperlink" Target="https://www.greensboro.com/man-kills-self-after-shooting-to-death-and-taking-hostage/article_f4245908-0e66-5e73-bf3a-2a57f2810346.html" TargetMode="External"/><Relationship Id="rId2290" Type="http://schemas.openxmlformats.org/officeDocument/2006/relationships/hyperlink" Target="https://beta.washingtonpost.com/news/post-nation/wp/2018/01/29/jealousy-and-obsession-may-have-led-carwash-shooting-suspect-to-kill-four-relatives-say/" TargetMode="External"/><Relationship Id="rId2388" Type="http://schemas.openxmlformats.org/officeDocument/2006/relationships/hyperlink" Target="https://www.upi.com/Archives/1981/10/16/Man-convicted-for-wild-nightclub-shootings/6579372052800/" TargetMode="External"/><Relationship Id="rId2595" Type="http://schemas.openxmlformats.org/officeDocument/2006/relationships/hyperlink" Target="https://www.courant.com/news/connecticut/hc-newtown-adam-lanza-child-advocate-report-20141121-story.html" TargetMode="External"/><Relationship Id="rId262"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567" Type="http://schemas.openxmlformats.org/officeDocument/2006/relationships/hyperlink" Target="https://www.nytimes.com/1991/11/15/us/ex-postal-worker-kills-3-and-wounds-6-in-michigan.html" TargetMode="External"/><Relationship Id="rId1197" Type="http://schemas.openxmlformats.org/officeDocument/2006/relationships/hyperlink" Target="https://www.independent.com/news/2013/jan/31/goleta-postal-murders/" TargetMode="External"/><Relationship Id="rId2150" Type="http://schemas.openxmlformats.org/officeDocument/2006/relationships/hyperlink" Target="https://www.upi.com/Archives/2001/07/05/Bond-denied-suspect-in-deadly-shooting/6717994305600/" TargetMode="External"/><Relationship Id="rId2248" Type="http://schemas.openxmlformats.org/officeDocument/2006/relationships/hyperlink" Target="https://www.nbclosangeles.com/news/local/Santa-Monica-Shooting-Police-News-Conference-Watch-Live-211492801.html" TargetMode="External"/><Relationship Id="rId122" Type="http://schemas.openxmlformats.org/officeDocument/2006/relationships/hyperlink" Target="http://www.nytimes.com/1977/02/15/archives/nazi-admirer-also-wounds-5-in-wild-attack-followed-by-a-siege-at.html" TargetMode="External"/><Relationship Id="rId774" Type="http://schemas.openxmlformats.org/officeDocument/2006/relationships/hyperlink" Target="https://www.concordmonitor.com/Somber-memories-20-years-after-small-town-shootings-11846765" TargetMode="External"/><Relationship Id="rId981" Type="http://schemas.openxmlformats.org/officeDocument/2006/relationships/hyperlink" Target="https://www.nytimes.com/2000/01/01/us/hotel-worker-is-charged-in-the-killing-of-5-in-tampa.html" TargetMode="External"/><Relationship Id="rId1057" Type="http://schemas.openxmlformats.org/officeDocument/2006/relationships/hyperlink" Target="https://www.nytimes.com/2001/09/11/national/slaying-suspect-commits-suicide.html" TargetMode="External"/><Relationship Id="rId2010" Type="http://schemas.openxmlformats.org/officeDocument/2006/relationships/hyperlink" Target="https://www.latimes.com/socal/weekend/news/tn-wknd-et-0703-cal-state-fullerton-memorial-20160702-story.html" TargetMode="External"/><Relationship Id="rId2455" Type="http://schemas.openxmlformats.org/officeDocument/2006/relationships/hyperlink" Target="https://www.theguardian.com/world/2010/sep/12/man-shot-wife-cooked-eggs" TargetMode="External"/><Relationship Id="rId2662" Type="http://schemas.openxmlformats.org/officeDocument/2006/relationships/hyperlink" Target="https://www.pbs.org/wgbh/pages/frontline/shows/kinkel/kip/cron.html" TargetMode="External"/><Relationship Id="rId427" Type="http://schemas.openxmlformats.org/officeDocument/2006/relationships/hyperlink" Target="http://www.the-dispatch.com/news/20130712/emotions-run-high-25-years-after-hayes-shootings" TargetMode="External"/><Relationship Id="rId634" Type="http://schemas.openxmlformats.org/officeDocument/2006/relationships/hyperlink" Target="http://articles.latimes.com/1993-07-03/news/mn-10731_1_mortgage-business/2" TargetMode="External"/><Relationship Id="rId841" Type="http://schemas.openxmlformats.org/officeDocument/2006/relationships/hyperlink" Target="https://www.nytimes.com/1998/03/29/us/from-wild-talk-and-friendship-to-five-deaths-in-a-schoolyard.html?mcubz=0" TargetMode="External"/><Relationship Id="rId1264" Type="http://schemas.openxmlformats.org/officeDocument/2006/relationships/hyperlink" Target="https://www.latimes.com/archives/la-xpm-2007-dec-11-na-shoot11-story.html" TargetMode="External"/><Relationship Id="rId1471" Type="http://schemas.openxmlformats.org/officeDocument/2006/relationships/hyperlink" Target="https://www.huffpost.com/entry/accused-killer-had-machin_n_1015671?guccounter=1&amp;guce_referrer=aHR0cHM6Ly93d3cuZ29vZ2xlLmNvbS8&amp;guce_referrer_sig=AQAAABPBDTAOCaE44U3QmXIA3_DTKkFOx8QzXX_UL3Mrfw6FNoJMk6OPuikUB83rPTSphaMiw76t8m-LBbTU3uFhNwROHR30G9tC1OGtqtICfrQ%22&amp;%22EMZp2N4GZ_x_Ma4ZVtWY7l2uQTFSOCsyu_2kXOsNJOy5kqJVE8b6U-B_D8CeKzsUh" TargetMode="External"/><Relationship Id="rId1569" Type="http://schemas.openxmlformats.org/officeDocument/2006/relationships/hyperlink" Target="https://www.cbsnews.com/news/upstate-new-york-shooting-update-kurt-myers-suspected-gunman-killed-by-police-in-shootout/" TargetMode="External"/><Relationship Id="rId2108" Type="http://schemas.openxmlformats.org/officeDocument/2006/relationships/hyperlink" Target="http://content.time.com/time/magazine/article/0,9171,138219,00.html" TargetMode="External"/><Relationship Id="rId2315" Type="http://schemas.openxmlformats.org/officeDocument/2006/relationships/hyperlink" Target="https://time.com/5643405/what-to-know-shooting-dayton-ohio/" TargetMode="External"/><Relationship Id="rId2522" Type="http://schemas.openxmlformats.org/officeDocument/2006/relationships/hyperlink" Target="https://schoolshooters.info/sites/default/files/Purdy%20-%20official%20report.pdf" TargetMode="External"/><Relationship Id="rId701" Type="http://schemas.openxmlformats.org/officeDocument/2006/relationships/hyperlink" Target="https://www.hsdl.org/?view&amp;did=744680" TargetMode="External"/><Relationship Id="rId939" Type="http://schemas.openxmlformats.org/officeDocument/2006/relationships/hyperlink" Target="https://www.nytimes.com/1999/07/31/us/shootings-in-atlanta-the-overview-killer-confessed-in-a-letter-spiked-with-rage.html" TargetMode="External"/><Relationship Id="rId1124" Type="http://schemas.openxmlformats.org/officeDocument/2006/relationships/hyperlink" Target="https://www.cbsnews.com/news/mom-of-concert-killer-he-was-sick/" TargetMode="External"/><Relationship Id="rId1331" Type="http://schemas.openxmlformats.org/officeDocument/2006/relationships/hyperlink" Target="http://www.nbcnews.com/id/25361852/ns/us_news-crime_and_courts/t/dead-argument-boss-ends-rampage/" TargetMode="External"/><Relationship Id="rId1776" Type="http://schemas.openxmlformats.org/officeDocument/2006/relationships/hyperlink" Target="https://www.wausaudailyherald.com/story/news/2017/05/08/wife-details-troubles-before-her-husband-gunned-down-4-people/100164526/" TargetMode="External"/><Relationship Id="rId1983" Type="http://schemas.openxmlformats.org/officeDocument/2006/relationships/hyperlink" Target="https://books.google.com/books?id=yfnbDQAAQBAJ&amp;pg=PA56&amp;lpg=PA56&amp;dq=dylan+klebold+pyloric+stenosis&amp;source=bl&amp;ots=Tvf7U3dfgt&amp;sig=ACfU3U1V55j6Gaq2MaSU9umJdTBmO3CfJw&amp;hl=en&amp;sa=X&amp;ved=2ahUKEwjLpIWdz5DoAhVSHM0KHbUgABQQ6AEwAXoECAsQAQ" TargetMode="External"/><Relationship Id="rId68"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1429" Type="http://schemas.openxmlformats.org/officeDocument/2006/relationships/hyperlink" Target="https://www.sun-sentinel.com/news/fl-xpm-2010-06-13-sfl-hialeah-massacre-romance-06132010-story.html" TargetMode="External"/><Relationship Id="rId1636" Type="http://schemas.openxmlformats.org/officeDocument/2006/relationships/hyperlink" Target="http://www.newsweek.com/2015/09/25/jaylen-ray-fryberg-marysville-pilchuck-high-school-shooting-372669.html" TargetMode="External"/><Relationship Id="rId1843" Type="http://schemas.openxmlformats.org/officeDocument/2006/relationships/hyperlink" Target="https://heavy.com/news/2018/01/timothy-tim-smith-melcroft-shooting-suspect-photos/" TargetMode="External"/><Relationship Id="rId1703" Type="http://schemas.openxmlformats.org/officeDocument/2006/relationships/hyperlink" Target="http://www.al.com/news/index.ssf/2016/02/who_is_jason_dalton_man_accuse.html" TargetMode="External"/><Relationship Id="rId1910" Type="http://schemas.openxmlformats.org/officeDocument/2006/relationships/hyperlink" Target="https://www.washingtonpost.com/national/alleged-school-killer-dimitrios-pagourtzis-was-nondescript-betraying-a-growing-darkness/2018/05/18/d69f5b88-5ade-11e8-8836-a4a123c359ab_story.html?utm_term=.6f701179d871" TargetMode="External"/><Relationship Id="rId284" Type="http://schemas.openxmlformats.org/officeDocument/2006/relationships/hyperlink" Target="http://amok.wikia.com/wiki/Louis_Hastings" TargetMode="External"/><Relationship Id="rId491" Type="http://schemas.openxmlformats.org/officeDocument/2006/relationships/hyperlink" Target="https://www.nytimes.com/1989/09/16/us/disturbed-past-of-killer-of-7-is-unraveled.html" TargetMode="External"/><Relationship Id="rId2172" Type="http://schemas.openxmlformats.org/officeDocument/2006/relationships/hyperlink" Target="http://archive.boston.com/news/nation/articles/2005/03/14/terry_dont_friend_cried_to_shooter/" TargetMode="External"/><Relationship Id="rId144" Type="http://schemas.openxmlformats.org/officeDocument/2006/relationships/hyperlink" Target="https://www.heraldandnews.com/state-s-worst-mass-murder-in-kf-years-ago/article_47caaa64-e90d-5bd5-ab4e-5427e93598d2.html" TargetMode="External"/><Relationship Id="rId589" Type="http://schemas.openxmlformats.org/officeDocument/2006/relationships/hyperlink" Target="https://www.sacbee.com/news/local/history/article146987224.html" TargetMode="External"/><Relationship Id="rId796" Type="http://schemas.openxmlformats.org/officeDocument/2006/relationships/hyperlink" Target="https://www.latimes.com/archives/la-xpm-1997-dec-20-mn-431-story.html" TargetMode="External"/><Relationship Id="rId2477" Type="http://schemas.openxmlformats.org/officeDocument/2006/relationships/hyperlink" Target="https://www.mlive.com/news/detroit/2018/02/manhunt_for_quadruple_homicide.html" TargetMode="External"/><Relationship Id="rId2684" Type="http://schemas.openxmlformats.org/officeDocument/2006/relationships/hyperlink" Target="https://www.washingtonpost.com/nation/2019/02/16/man-kills-five-warehouse-shooting-spree-shortly-after-being-fired-illinois-police-say/" TargetMode="External"/><Relationship Id="rId351" Type="http://schemas.openxmlformats.org/officeDocument/2006/relationships/hyperlink" Target="https://www.nytimes.com/1984/06/30/us/6-die-in-dallas-club-as-enraged-man-fires-wildly.html?mcubz=0" TargetMode="External"/><Relationship Id="rId449" Type="http://schemas.openxmlformats.org/officeDocument/2006/relationships/hyperlink" Target="http://www.journalnow.com/news/local/for-first-time-in-years-michael-hayes-is-free-of/article_d5514c21-a980-5bf3-934e-53b3e76e8c05.html" TargetMode="External"/><Relationship Id="rId656" Type="http://schemas.openxmlformats.org/officeDocument/2006/relationships/hyperlink" Target="http://articles.latimes.com/1993-10-15/news/mn-45964_1_fitness-club" TargetMode="External"/><Relationship Id="rId863" Type="http://schemas.openxmlformats.org/officeDocument/2006/relationships/hyperlink" Target="https://www.pbs.org/wgbh/pages/frontline/shows/kinkel/kip/cron.html" TargetMode="External"/><Relationship Id="rId1079" Type="http://schemas.openxmlformats.org/officeDocument/2006/relationships/hyperlink" Target="https://www.nwitimes.com/uncategorized/south-bend-factory-worker-kills-then-himself/article_f9510908-20ec-5629-8891-42c83bb776f3.html" TargetMode="External"/><Relationship Id="rId1286" Type="http://schemas.openxmlformats.org/officeDocument/2006/relationships/hyperlink" Target="https://www.stltoday.com/news/local/crime-and-courts/charles-lee-cookie-thornton-behind-the-smile/article_be96f13c-78b9-11df-bfdc-0017a4a78c22.html" TargetMode="External"/><Relationship Id="rId1493" Type="http://schemas.openxmlformats.org/officeDocument/2006/relationships/hyperlink" Target="https://komonews.com/news/local/family-seattle-gunman-had-a-concealed-weapon-permit-11-20-2015" TargetMode="External"/><Relationship Id="rId2032" Type="http://schemas.openxmlformats.org/officeDocument/2006/relationships/hyperlink" Target="https://www.upi.com/Archives/1982/08/09/Yes-I-know-hes-killing-people/2899397713600/" TargetMode="External"/><Relationship Id="rId2337" Type="http://schemas.openxmlformats.org/officeDocument/2006/relationships/hyperlink" Target="https://www.nytimes.com/interactive/2016/12/10/us/dylann-roof-exhibit2.html" TargetMode="External"/><Relationship Id="rId2544" Type="http://schemas.openxmlformats.org/officeDocument/2006/relationships/hyperlink" Target="https://www.latimes.com/archives/la-xpm-1994-07-17-me-16553-story.html" TargetMode="External"/><Relationship Id="rId211" Type="http://schemas.openxmlformats.org/officeDocument/2006/relationships/hyperlink" Target="https://www.upi.com/Archives/1981/05/12/An-unemployed-lumber-mill-worker-accused-of-killing-four/1659358488000/" TargetMode="External"/><Relationship Id="rId309" Type="http://schemas.openxmlformats.org/officeDocument/2006/relationships/hyperlink" Target="https://www.washingtonpost.com/archive/politics/1983/12/15/after-murder-rampage-a-test-of-survival/08bb8578-7f36-4dde-b3ce-076fbcb61aff/?noredirect=on&amp;utm_term=.e6cad36dfe11http://amok.wikia.com/wiki/Louis_Hastings" TargetMode="External"/><Relationship Id="rId516" Type="http://schemas.openxmlformats.org/officeDocument/2006/relationships/hyperlink" Target="http://www.nytimes.com/1991/10/11/nyregion/4-slain-in-2-new-jersey-attacks-and-former-postal-clerk-is-held.html?pagewanted=all" TargetMode="External"/><Relationship Id="rId1146" Type="http://schemas.openxmlformats.org/officeDocument/2006/relationships/hyperlink" Target="https://www.nytimes.com/2005/03/13/us/gunman-kills-7-in-church-group-near-milwaukee.html" TargetMode="External"/><Relationship Id="rId1798" Type="http://schemas.openxmlformats.org/officeDocument/2006/relationships/hyperlink" Target="https://www.nbcnews.com/storyline/texas-church-shooting/who-devin-kelley-alleged-texas-church-shooter-n817806" TargetMode="External"/><Relationship Id="rId723" Type="http://schemas.openxmlformats.org/officeDocument/2006/relationships/hyperlink" Target="https://www.nytimes.com/1995/07/20/us/9-fatally-shot-in-california-in-2-incidents-over-2-days.html" TargetMode="External"/><Relationship Id="rId930" Type="http://schemas.openxmlformats.org/officeDocument/2006/relationships/hyperlink" Target="https://www.washingtonpost.com/archive/politics/1999/07/31/killer-wrote-of-fear-hopelessness/af33786a-de37-45cd-9d5f-1098379892dd/?noredirect=on&amp;utm_term=.df0baa182fdc" TargetMode="External"/><Relationship Id="rId1006" Type="http://schemas.openxmlformats.org/officeDocument/2006/relationships/hyperlink" Target="https://web.archive.org/web/20070831085028/http:/the-duke.duq-duke.duq.edu/justice/Taylor/Baumhamm.htm" TargetMode="External"/><Relationship Id="rId1353" Type="http://schemas.openxmlformats.org/officeDocument/2006/relationships/hyperlink" Target="https://www.seattletimes.com/seattle-news/shooting-rampage-suspect-described-as-deeply-troubled-1/" TargetMode="External"/><Relationship Id="rId1560" Type="http://schemas.openxmlformats.org/officeDocument/2006/relationships/hyperlink" Target="http://www.nytimes.com/2013/03/14/nyregion/four-killed-in-shootings-in-upstate-new-york.html" TargetMode="External"/><Relationship Id="rId1658" Type="http://schemas.openxmlformats.org/officeDocument/2006/relationships/hyperlink" Target="https://www.washingtonpost.com/politics/chattanooga-shooter-an-aimless-young-man-who-smoked-dope-and-shot-guns/2015/07/18/c213f6a6-2d7d-11e5-a5ea-cf74396e59ec_story.html?utm_term=.045ed5c9dce6" TargetMode="External"/><Relationship Id="rId1865" Type="http://schemas.openxmlformats.org/officeDocument/2006/relationships/hyperlink" Target="https://www.cnn.com/2018/02/25/us/nikolas-cruz-warning-signs/index.html" TargetMode="External"/><Relationship Id="rId2404" Type="http://schemas.openxmlformats.org/officeDocument/2006/relationships/hyperlink" Target="https://www.washingtonpost.com/archive/politics/1991/10/18/texas-killer-said-to-have-problem-with-women/0af79d27-5ed2-4a1a-afb2-f6a38e9c32c2/" TargetMode="External"/><Relationship Id="rId2611" Type="http://schemas.openxmlformats.org/officeDocument/2006/relationships/hyperlink" Target="https://www.cbsnews.com/news/no-motive-in-vegas-shooting/" TargetMode="External"/><Relationship Id="rId2709" Type="http://schemas.openxmlformats.org/officeDocument/2006/relationships/hyperlink" Target="https://www.miamiherald.com/news/nation-world/national/article84370692.html" TargetMode="External"/><Relationship Id="rId1213" Type="http://schemas.openxmlformats.org/officeDocument/2006/relationships/hyperlink" Target="https://www.britannica.com/place/Seattle-Washington" TargetMode="External"/><Relationship Id="rId1420" Type="http://schemas.openxmlformats.org/officeDocument/2006/relationships/hyperlink" Target="https://www.huffingtonpost.com/josh-sugarmann/hialeah-only-the-latest-m_b_3676274.html" TargetMode="External"/><Relationship Id="rId1518" Type="http://schemas.openxmlformats.org/officeDocument/2006/relationships/hyperlink" Target="https://www.cnn.com/2015/05/26/us/james-holmes-trial-notebook/index.html" TargetMode="External"/><Relationship Id="rId1725" Type="http://schemas.openxmlformats.org/officeDocument/2006/relationships/hyperlink" Target="http://abcnews.go.com/US/dallas-shooting-suspect-wanted-kill-white-people-white/story?id=40431306" TargetMode="External"/><Relationship Id="rId1932" Type="http://schemas.openxmlformats.org/officeDocument/2006/relationships/hyperlink" Target="https://bakersfieldnow.com/news/local/law-office-employee-talks-about-woman-her-killer-husband-he-was-obsessive-jealous" TargetMode="External"/><Relationship Id="rId17" Type="http://schemas.openxmlformats.org/officeDocument/2006/relationships/hyperlink" Target="https://archive.nytimes.com/www.nytimes.com/library/national/080366tx-shoot.html" TargetMode="External"/><Relationship Id="rId2194" Type="http://schemas.openxmlformats.org/officeDocument/2006/relationships/hyperlink" Target="https://www.cbsnews.com/news/six-dead-in-missouri-city-council-shooting/" TargetMode="External"/><Relationship Id="rId166" Type="http://schemas.openxmlformats.org/officeDocument/2006/relationships/hyperlink" Target="https://www.upi.com/Archives/1987/09/02/Former-cook-convicted-in-restaurant-massacre/2502557553600/" TargetMode="External"/><Relationship Id="rId373" Type="http://schemas.openxmlformats.org/officeDocument/2006/relationships/hyperlink" Target="https://www.upi.com/Archives/1984/07/25/A-gunman-who-killed-four-people-and-wounded-another/3627459576000/" TargetMode="External"/><Relationship Id="rId580" Type="http://schemas.openxmlformats.org/officeDocument/2006/relationships/hyperlink" Target="https://www.kcra.com/article/25-years-later-survivors-of-norcal-school-shooting-remember-tragedy/9589885" TargetMode="External"/><Relationship Id="rId2054" Type="http://schemas.openxmlformats.org/officeDocument/2006/relationships/hyperlink" Target="https://www.washingtonpost.com/archive/politics/1988/02/18/sudden-death-in-sunnyvale/4f50e5d7-0804-4a56-a2af-ced693c3b577/" TargetMode="External"/><Relationship Id="rId2261" Type="http://schemas.openxmlformats.org/officeDocument/2006/relationships/hyperlink" Target="https://www.timesfreepress.com/news/local/story/2016/jul/01/fbi-people-knew-july-16-shooter-wradicalized/373894/" TargetMode="External"/><Relationship Id="rId2499" Type="http://schemas.openxmlformats.org/officeDocument/2006/relationships/hyperlink" Target="https://www.nydailynews.com/news/crime/beauty-salon-massacre-article-1.273663" TargetMode="External"/><Relationship Id="rId1" Type="http://schemas.openxmlformats.org/officeDocument/2006/relationships/hyperlink" Target="https://www.npr.org/sections/health-shots/2016/07/29/487767127/gun-violence-and-mental-health-laws-50-years-after-texas-tower-sniper" TargetMode="External"/><Relationship Id="rId233" Type="http://schemas.openxmlformats.org/officeDocument/2006/relationships/hyperlink" Target="https://www.nytimes.com/1982/06/22/us/new-law-on-insanity-plea-stirs-dispute-in-alaska.html" TargetMode="External"/><Relationship Id="rId440" Type="http://schemas.openxmlformats.org/officeDocument/2006/relationships/hyperlink" Target="https://law.justia.com/cases/north-carolina/court-of-appeals/1991/9021sc308-1.html" TargetMode="External"/><Relationship Id="rId678" Type="http://schemas.openxmlformats.org/officeDocument/2006/relationships/hyperlink" Target="https://www1.nyc.gov/site/planning/data-maps/nyc-population/census-summary-2000.page" TargetMode="External"/><Relationship Id="rId885" Type="http://schemas.openxmlformats.org/officeDocument/2006/relationships/hyperlink" Target="https://www.theguardian.com/world/2009/apr/12/columbine-massacre-ten-year-anniversary" TargetMode="External"/><Relationship Id="rId1070" Type="http://schemas.openxmlformats.org/officeDocument/2006/relationships/hyperlink" Target="https://www.latimes.com/archives/la-xpm-2001-sep-11-mn-44550-story.html" TargetMode="External"/><Relationship Id="rId2121" Type="http://schemas.openxmlformats.org/officeDocument/2006/relationships/hyperlink" Target="https://www.nytimes.com/1998/03/29/us/from-wild-talk-and-friendship-to-five-deaths-in-a-schoolyard.html?mcubz=0" TargetMode="External"/><Relationship Id="rId2359" Type="http://schemas.openxmlformats.org/officeDocument/2006/relationships/hyperlink" Target="https://sacramento.cbslocal.com/2011/10/05/rifle-in-ihop-shooting-was-illegally-altered/" TargetMode="External"/><Relationship Id="rId2566" Type="http://schemas.openxmlformats.org/officeDocument/2006/relationships/hyperlink" Target="https://caselaw.findlaw.com/co-supreme-court/1386758.html" TargetMode="External"/><Relationship Id="rId300"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538" Type="http://schemas.openxmlformats.org/officeDocument/2006/relationships/hyperlink" Target="http://www.nytimes.com/1991/10/18/us/portrait-of-texas-killer-impatient-and-troubled.html?pagewanted=all" TargetMode="External"/><Relationship Id="rId745" Type="http://schemas.openxmlformats.org/officeDocument/2006/relationships/hyperlink" Target="https://www.nytimes.com/1996/02/10/us/5-beach-workers-in-florida-are-slain-by-ex-colleague.html" TargetMode="External"/><Relationship Id="rId952" Type="http://schemas.openxmlformats.org/officeDocument/2006/relationships/hyperlink" Target="https://www.latimes.com/archives/la-xpm-1999-sep-18-mn-11519-story.html" TargetMode="External"/><Relationship Id="rId1168" Type="http://schemas.openxmlformats.org/officeDocument/2006/relationships/hyperlink" Target="https://www.mprnews.org/story/2015/03/18/red-lake-shooting-explained" TargetMode="External"/><Relationship Id="rId1375" Type="http://schemas.openxmlformats.org/officeDocument/2006/relationships/hyperlink" Target="https://www.syracuse.com/news/2009/04/jiverly_wongs_father_our_son_w.html" TargetMode="External"/><Relationship Id="rId1582" Type="http://schemas.openxmlformats.org/officeDocument/2006/relationships/hyperlink" Target="https://www.seattletimes.com/seattle-news/federal-way-gunman-charged-at-17-in-bb-gun-attack-on-an-ex/" TargetMode="External"/><Relationship Id="rId2219" Type="http://schemas.openxmlformats.org/officeDocument/2006/relationships/hyperlink" Target="https://www.tmcnet.com/usubmit/2011/04/03/5420269.htm" TargetMode="External"/><Relationship Id="rId2426" Type="http://schemas.openxmlformats.org/officeDocument/2006/relationships/hyperlink" Target="https://slate.com/news-and-politics/2004/04/at-last-we-know-why-the-columbine-killers-did-it.html" TargetMode="External"/><Relationship Id="rId2633" Type="http://schemas.openxmlformats.org/officeDocument/2006/relationships/hyperlink" Target="http://web.archive.org/web/20161018033626/https:/mustangnews.net/policedoubtlinkbetweensantamariakillingssanluisobispomurder/" TargetMode="External"/><Relationship Id="rId81" Type="http://schemas.openxmlformats.org/officeDocument/2006/relationships/hyperlink" Target="https://news.google.com/newspapers?id=G8daAAAAIBAJ&amp;sjid=z2wDAAAAIBAJ&amp;pg=6070,782221" TargetMode="External"/><Relationship Id="rId605" Type="http://schemas.openxmlformats.org/officeDocument/2006/relationships/hyperlink" Target="http://www.nytimes.com/1992/10/16/nyregion/gunman-kills-4-who-collected-child-payments.html" TargetMode="External"/><Relationship Id="rId812" Type="http://schemas.openxmlformats.org/officeDocument/2006/relationships/hyperlink" Target="https://www.nytimes.com/1998/03/08/nyregion/in-a-province-of-winners-worker-who-lost-out-takes-revenge.html" TargetMode="External"/><Relationship Id="rId1028" Type="http://schemas.openxmlformats.org/officeDocument/2006/relationships/hyperlink" Target="https://www.washingtonpost.com/archive/politics/2000/12/27/7-die-in-massachusetts-office-shooting/1b9f9c67-b2c3-482c-bf1b-fa869fc6c430/?utm_term=.7ba3f7b24e68" TargetMode="External"/><Relationship Id="rId1235" Type="http://schemas.openxmlformats.org/officeDocument/2006/relationships/hyperlink" Target="https://www.washingtonpost.com/wp-dyn/content/article/2006/05/22/AR2006052200226.html" TargetMode="External"/><Relationship Id="rId1442" Type="http://schemas.openxmlformats.org/officeDocument/2006/relationships/hyperlink" Target="https://www.courant.com/community/manchester/hc-ap-omar-thornton-racism-0808-20100808-story.html" TargetMode="External"/><Relationship Id="rId1887" Type="http://schemas.openxmlformats.org/officeDocument/2006/relationships/hyperlink" Target="https://abc7chicago.com/tenn-waffle-house-shooting-suspect-from-illinois-in-custody-police-say/3381353/" TargetMode="External"/><Relationship Id="rId1302" Type="http://schemas.openxmlformats.org/officeDocument/2006/relationships/hyperlink" Target="http://www.nbcnews.com/id/23699429/ns/us_news-crime_and_courts/t/suspect-held-after-killed-junk-yard-rampage/" TargetMode="External"/><Relationship Id="rId1747" Type="http://schemas.openxmlformats.org/officeDocument/2006/relationships/hyperlink" Target="http://www.seattleweekly.com/news/the-bitter-life-and-sudden-death-of-arcan-cetin/" TargetMode="External"/><Relationship Id="rId1954"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2700" Type="http://schemas.openxmlformats.org/officeDocument/2006/relationships/hyperlink" Target="https://www.cbsnews.com/news/sikh-temple-shooting-suspect-wade-michael-page-was-white-supremacist/" TargetMode="External"/><Relationship Id="rId39" Type="http://schemas.openxmlformats.org/officeDocument/2006/relationships/hyperlink" Target="https://www.newspapers.com/clip/13890105/leo_held_dies_his_motives_remain/" TargetMode="External"/><Relationship Id="rId1607" Type="http://schemas.openxmlformats.org/officeDocument/2006/relationships/hyperlink" Target="https://www.nytimes.com/2013/09/17/us/shooting-reported-at-washington-navy-yard.html?pagewanted=all&amp;mcubz=0" TargetMode="External"/><Relationship Id="rId1814" Type="http://schemas.openxmlformats.org/officeDocument/2006/relationships/hyperlink" Target="https://media.defense.gov/2018/Dec/07/2002070069/-1/-1/1/DODIG-2019-030_REDACTED.PDF" TargetMode="External"/><Relationship Id="rId188" Type="http://schemas.openxmlformats.org/officeDocument/2006/relationships/hyperlink" Target="https://www.leagle.com/decision/1985350349pasuper11350" TargetMode="External"/><Relationship Id="rId395" Type="http://schemas.openxmlformats.org/officeDocument/2006/relationships/hyperlink" Target="http://articles.latimes.com/1986-08-21/news/mn-17529_1_oklahoma-city-post-office" TargetMode="External"/><Relationship Id="rId2076" Type="http://schemas.openxmlformats.org/officeDocument/2006/relationships/hyperlink" Target="https://casetext.com/case/rogovich-v-schriro-2" TargetMode="External"/><Relationship Id="rId2283" Type="http://schemas.openxmlformats.org/officeDocument/2006/relationships/hyperlink" Target="https://www.cbsnews.com/news/friend-orlando-victim-feared-workplace-shooter-would-seek-revenge-over-firing/" TargetMode="External"/><Relationship Id="rId2490" Type="http://schemas.openxmlformats.org/officeDocument/2006/relationships/hyperlink" Target="https://www.nytimes.com/1984/11/11/us/memories-of-springtime-murders-chill-small-alaskan-town.html" TargetMode="External"/><Relationship Id="rId2588" Type="http://schemas.openxmlformats.org/officeDocument/2006/relationships/hyperlink" Target="https://www.cnn.com/2015/06/19/us/charleston-church-shooting-suspect/index.html" TargetMode="External"/><Relationship Id="rId255"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462" Type="http://schemas.openxmlformats.org/officeDocument/2006/relationships/hyperlink" Target="https://www.mercurynews.com/2014/01/16/stockton-shooting-25-years-later-city-cant-forget-its-worst-day/" TargetMode="External"/><Relationship Id="rId1092" Type="http://schemas.openxmlformats.org/officeDocument/2006/relationships/hyperlink" Target="http://www.wafb.com/story/1352329/more-details-released-in-lockheed-martin-plant-shooting/" TargetMode="External"/><Relationship Id="rId1397" Type="http://schemas.openxmlformats.org/officeDocument/2006/relationships/hyperlink" Target="https://web.archive.org/web/20091204124651/http:/seattletimes.nwsource.com/html/localnews/2010393433_webarrest01m.html" TargetMode="External"/><Relationship Id="rId2143" Type="http://schemas.openxmlformats.org/officeDocument/2006/relationships/hyperlink" Target="http://old.post-gazette.com/regionstate/20000429shootings2.asp" TargetMode="External"/><Relationship Id="rId2350" Type="http://schemas.openxmlformats.org/officeDocument/2006/relationships/hyperlink" Target="https://www.cnn.com/US/9909/18/texas.shooter.profile/" TargetMode="External"/><Relationship Id="rId115" Type="http://schemas.openxmlformats.org/officeDocument/2006/relationships/hyperlink" Target="https://www.latimes.com/socal/weekend/news/tn-wknd-et-0703-cal-state-fullerton-memorial-20160702-story.html" TargetMode="External"/><Relationship Id="rId322" Type="http://schemas.openxmlformats.org/officeDocument/2006/relationships/hyperlink" Target="https://www.nytimes.com/1984/11/11/us/memories-of-springtime-murders-chill-small-alaskan-town.html" TargetMode="External"/><Relationship Id="rId767" Type="http://schemas.openxmlformats.org/officeDocument/2006/relationships/hyperlink" Target="https://www.washingtonpost.com/archive/politics/1996/04/25/firefighter-kills-wife-four-colleagues-before-being-wounded/f5b9eab9-d1cc-4c59-b2db-d664fe68c611/?utm_term=.f22b8b1a660c" TargetMode="External"/><Relationship Id="rId974" Type="http://schemas.openxmlformats.org/officeDocument/2006/relationships/hyperlink" Target="http://archives.starbulletin.com/1999/11/09/news/story1.html" TargetMode="External"/><Relationship Id="rId2003" Type="http://schemas.openxmlformats.org/officeDocument/2006/relationships/hyperlink" Target="https://www.nytimes.com/1970/09/24/archives/state-employe-kills-4-coworkers-and-himself-in-albany-office.html" TargetMode="External"/><Relationship Id="rId2210" Type="http://schemas.openxmlformats.org/officeDocument/2006/relationships/hyperlink" Target="https://www.theguardian.com/world/2013/jun/03/fort-hood-nidal-hasan-trial?guni=Network%20front:network-front%20main-3%20Main%20trailblock:Network%20front%20-%20main%20trailblock:Position6" TargetMode="External"/><Relationship Id="rId2448" Type="http://schemas.openxmlformats.org/officeDocument/2006/relationships/hyperlink" Target="https://caselaw.findlaw.com/ca-court-of-appeal/1714165.html" TargetMode="External"/><Relationship Id="rId2655" Type="http://schemas.openxmlformats.org/officeDocument/2006/relationships/hyperlink" Target="https://schoolshooters.info/sites/default/files/Purdy%20-%20official%20report.pdf" TargetMode="External"/><Relationship Id="rId627"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834" Type="http://schemas.openxmlformats.org/officeDocument/2006/relationships/hyperlink" Target="https://www.nytimes.com/1998/03/29/us/from-wild-talk-and-friendship-to-five-deaths-in-a-schoolyard.html?mcubz=0" TargetMode="External"/><Relationship Id="rId1257" Type="http://schemas.openxmlformats.org/officeDocument/2006/relationships/hyperlink" Target="https://abcnews.go.com/US/seung-hui-chos-mental-health-records-released/story?id=8278195" TargetMode="External"/><Relationship Id="rId1464" Type="http://schemas.openxmlformats.org/officeDocument/2006/relationships/hyperlink" Target="https://www.wsj.com/articles/SB10001424052748703791904576075851892478080" TargetMode="External"/><Relationship Id="rId1671" Type="http://schemas.openxmlformats.org/officeDocument/2006/relationships/hyperlink" Target="https://www.latimes.com/nation/la-na-school-shootings-2017-story.html" TargetMode="External"/><Relationship Id="rId2308" Type="http://schemas.openxmlformats.org/officeDocument/2006/relationships/hyperlink" Target="https://www.cnn.com/2019/01/24/us/sebring-florida-bank-shooting/index.html" TargetMode="External"/><Relationship Id="rId2515" Type="http://schemas.openxmlformats.org/officeDocument/2006/relationships/hyperlink" Target="https://www.upi.com/Archives/1984/11/08/The-estranged-wife-of-accused-murderer-Abdelkrim-Belachheb-testified/3858468738000/" TargetMode="External"/><Relationship Id="rId2722" Type="http://schemas.openxmlformats.org/officeDocument/2006/relationships/hyperlink" Target="https://www.chicagotribune.com/news/breaking/ct-met-gary-martin-aurora-shooter-20190216-story.html" TargetMode="External"/><Relationship Id="rId901" Type="http://schemas.openxmlformats.org/officeDocument/2006/relationships/hyperlink" Target="https://www.nytimes.com/1999/06/29/us/shattered-lives-special-report-caring-parents-no-answers-columbine-killers-pasts.html" TargetMode="External"/><Relationship Id="rId1117" Type="http://schemas.openxmlformats.org/officeDocument/2006/relationships/hyperlink" Target="http://news.minnesota.publicradio.org/features/2004/11/22_kelleherb_huntershooting/" TargetMode="External"/><Relationship Id="rId1324" Type="http://schemas.openxmlformats.org/officeDocument/2006/relationships/hyperlink" Target="http://www.nbcnews.com/id/25361852/ns/us_news-crime_and_courts/t/dead-argument-boss-ends-rampage/" TargetMode="External"/><Relationship Id="rId1531" Type="http://schemas.openxmlformats.org/officeDocument/2006/relationships/hyperlink" Target="https://www.bbc.com/news/world-us-canada-19167324" TargetMode="External"/><Relationship Id="rId1769" Type="http://schemas.openxmlformats.org/officeDocument/2006/relationships/hyperlink" Target="https://www.miamiherald.com/news/local/article211654694.html" TargetMode="External"/><Relationship Id="rId1976"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30" Type="http://schemas.openxmlformats.org/officeDocument/2006/relationships/hyperlink" Target="http://wnep.com/2017/10/23/50-years-since-mass-shooting-in-clinton-county/" TargetMode="External"/><Relationship Id="rId1629" Type="http://schemas.openxmlformats.org/officeDocument/2006/relationships/hyperlink" Target="https://www.marysvillewa.gov/226/Demographics" TargetMode="External"/><Relationship Id="rId1836" Type="http://schemas.openxmlformats.org/officeDocument/2006/relationships/hyperlink" Target="https://www.nbcnews.com/news/us-news/gunman-california-shooting-spree-needed-mental-help-sister-says-n821216" TargetMode="External"/><Relationship Id="rId1903" Type="http://schemas.openxmlformats.org/officeDocument/2006/relationships/hyperlink" Target="https://www.standard.co.uk/news/world/texas-school-shooting-suspect-dimitrios-pagourtzis-shared-gun-photo-on-instagram-and-had-born-to-a3843281.html" TargetMode="External"/><Relationship Id="rId2098" Type="http://schemas.openxmlformats.org/officeDocument/2006/relationships/hyperlink" Target="https://www.nytimes.com/1995/04/04/us/6-die-in-texas-office-shooting.html" TargetMode="External"/><Relationship Id="rId277" Type="http://schemas.openxmlformats.org/officeDocument/2006/relationships/hyperlink" Target="https://www.newspapers.com/image/?clipping_id=36003617&amp;fcfToken=eyJhbGciOiJIUzI1NiIsInR5cCI6IkpXVCJ9.eyJmcmVlLXZpZXctaWQiOjMwMzAwNjg4NywiaWF0IjoxNTkxMTExNDM4LCJleHAiOjE1OTExOTc4Mzh9.EoEn2ntloEfWEgtimUs9GIcZphN540vuEmtK42JwM_Y" TargetMode="External"/><Relationship Id="rId484" Type="http://schemas.openxmlformats.org/officeDocument/2006/relationships/hyperlink" Target="https://www.nytimes.com/1989/09/17/us/survivors-of-shooting-and-gunman-s-relatives-ponder-sad-riddles.html" TargetMode="External"/><Relationship Id="rId2165" Type="http://schemas.openxmlformats.org/officeDocument/2006/relationships/hyperlink" Target="https://www2.ljworld.com/news/2004/jul/04/chaos_reigned_at/" TargetMode="External"/><Relationship Id="rId137" Type="http://schemas.openxmlformats.org/officeDocument/2006/relationships/hyperlink" Target="http://worldpopulationreview.com/us-cities/klamath-falls-or-population/" TargetMode="External"/><Relationship Id="rId344" Type="http://schemas.openxmlformats.org/officeDocument/2006/relationships/hyperlink" Target="https://www.nytimes.com/1984/06/30/us/6-die-in-dallas-club-as-enraged-man-fires-wildly.html?mcubz=0" TargetMode="External"/><Relationship Id="rId691" Type="http://schemas.openxmlformats.org/officeDocument/2006/relationships/hyperlink" Target="https://www.nytimes.com/1993/12/16/us/gunman-kills-4-workers-at-colorado-restaurant.html" TargetMode="External"/><Relationship Id="rId789" Type="http://schemas.openxmlformats.org/officeDocument/2006/relationships/hyperlink" Target="https://caselaw.findlaw.com/fl-supreme-court/1559835.html" TargetMode="External"/><Relationship Id="rId996" Type="http://schemas.openxmlformats.org/officeDocument/2006/relationships/hyperlink" Target="http://old.post-gazette.com/regionstate/20000429profile4.asp" TargetMode="External"/><Relationship Id="rId2025" Type="http://schemas.openxmlformats.org/officeDocument/2006/relationships/hyperlink" Target="https://www.newspapers.com/image/?clipping_id=15631009&amp;fcfToken=eyJhbGciOiJIUzI1NiIsInR5cCI6IkpXVCJ9.eyJmcmVlLXZpZXctaWQiOjE3Mzk0Njg2MSwiaWF0IjoxNTY4Mzk3NzkwLCJleHAiOjE1Njg0ODQxOTB9.TNb3lTHrUhjeg4la5IOgT9nXTqOZfrfFoEvlWIsAQ3o" TargetMode="External"/><Relationship Id="rId2372"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2677" Type="http://schemas.openxmlformats.org/officeDocument/2006/relationships/hyperlink" Target="https://www.cbsnews.com/news/cherie-lash-rhoades-woman-arrested-for-tribal-shooting-known-as-bully/" TargetMode="External"/><Relationship Id="rId551" Type="http://schemas.openxmlformats.org/officeDocument/2006/relationships/hyperlink" Target="http://www.thegazette.com/subject/news/education/higher-education/friends-of-university-of-iowa-student-say-he-was-expelled-following-online-threat-referencing-gang-lu-shooting-20160210" TargetMode="External"/><Relationship Id="rId649" Type="http://schemas.openxmlformats.org/officeDocument/2006/relationships/hyperlink" Target="http://www.nytimes.com/1993/08/08/us/soldier-kills-4-people-and-hurts-6-in-a-restaurant-in-north-carolina.html" TargetMode="External"/><Relationship Id="rId856" Type="http://schemas.openxmlformats.org/officeDocument/2006/relationships/hyperlink" Target="https://www.pbs.org/wgbh/pages/frontline/shows/kinkel/kip/cron.html" TargetMode="External"/><Relationship Id="rId1181" Type="http://schemas.openxmlformats.org/officeDocument/2006/relationships/hyperlink" Target="http://news.minnesota.publicradio.org/features/2005/03/25_galballye_mentalhealth/" TargetMode="External"/><Relationship Id="rId1279" Type="http://schemas.openxmlformats.org/officeDocument/2006/relationships/hyperlink" Target="https://www.denverpost.com/2008/03/27/arvada-shooting-report-offers-new-insights-into-killer/" TargetMode="External"/><Relationship Id="rId1486" Type="http://schemas.openxmlformats.org/officeDocument/2006/relationships/hyperlink" Target="http://www.kiro7.com/news/shooting-suspect-large-north-seattle/246788850" TargetMode="External"/><Relationship Id="rId2232" Type="http://schemas.openxmlformats.org/officeDocument/2006/relationships/hyperlink" Target="https://www.sfgate.com/crime/article/Oakland-school-massacre-Jury-told-of-5-minutes-5760283.php" TargetMode="External"/><Relationship Id="rId2537" Type="http://schemas.openxmlformats.org/officeDocument/2006/relationships/hyperlink" Target="https://books.google.com/books?id=MfQ1BgAAQBAJ&amp;pg=PA121&amp;lpg=PA121&amp;dq=edward+allaway&amp;source=bl&amp;ots=Nos2RW1YYa&amp;sig=ACfU3U2Y4xbqx6iCdC1VIPfbKJwREofHuA&amp;hl=en&amp;sa=X&amp;ved=2ahUKEwir44qO_YrjAhXPQc0KHSe8CN04ChDoATAIegQICBAB" TargetMode="External"/><Relationship Id="rId204" Type="http://schemas.openxmlformats.org/officeDocument/2006/relationships/hyperlink" Target="http://katu.com/news/local/30-years-later-sounds-of-gunfire-still-haunt-shooting-victim" TargetMode="External"/><Relationship Id="rId411" Type="http://schemas.openxmlformats.org/officeDocument/2006/relationships/hyperlink" Target="http://articles.latimes.com/1987-04-25/news/mn-990_1_palm-bay-police" TargetMode="External"/><Relationship Id="rId509" Type="http://schemas.openxmlformats.org/officeDocument/2006/relationships/hyperlink" Target="https://www.nytimes.com/1991/10/11/nyregion/4-slain-in-2-new-jersey-attacks-and-former-postal-clerk-is-held.html?pagewanted=all" TargetMode="External"/><Relationship Id="rId1041" Type="http://schemas.openxmlformats.org/officeDocument/2006/relationships/hyperlink" Target="https://www.chicagotribune.com/news/ct-xpm-2001-02-06-0102060231-story.html" TargetMode="External"/><Relationship Id="rId1139" Type="http://schemas.openxmlformats.org/officeDocument/2006/relationships/hyperlink" Target="https://www.baltimoresun.com/bal-te.to.nichols18mar18-story.html" TargetMode="External"/><Relationship Id="rId1346" Type="http://schemas.openxmlformats.org/officeDocument/2006/relationships/hyperlink" Target="http://www.nytimes.com/2008/09/04/us/04spree.html" TargetMode="External"/><Relationship Id="rId1693" Type="http://schemas.openxmlformats.org/officeDocument/2006/relationships/hyperlink" Target="https://www.cnn.com/2015/12/03/us/syed-farook-tashfeen-malik-mass-shooting-profile/index.html" TargetMode="External"/><Relationship Id="rId1998" Type="http://schemas.openxmlformats.org/officeDocument/2006/relationships/hyperlink" Target="https://news.google.com/newspapers?id=ZRgMAAAAIBAJ&amp;sjid=rlwDAAAAIBAJ&amp;pg=6550,4991780&amp;dq=&amp;hl=en" TargetMode="External"/><Relationship Id="rId716" Type="http://schemas.openxmlformats.org/officeDocument/2006/relationships/hyperlink" Target="http://www.nytimes.com/1995/04/04/us/6-die-in-texas-office-shooting.html" TargetMode="External"/><Relationship Id="rId923" Type="http://schemas.openxmlformats.org/officeDocument/2006/relationships/hyperlink" Target="http://www.nytimes.com/1999/07/31/us/shootings-in-atlanta-the-overview-killer-confessed-in-a-letter-spiked-with-rage.html" TargetMode="External"/><Relationship Id="rId1553" Type="http://schemas.openxmlformats.org/officeDocument/2006/relationships/hyperlink" Target="https://www.washingtonpost.com/local/for-lanza-family-son-adams-difficulties-dominated/2012/12/17/3c0e8eb0-4890-11e2-ad54-580638ede391_story.html?utm_term=.06a5f9484507" TargetMode="External"/><Relationship Id="rId1760" Type="http://schemas.openxmlformats.org/officeDocument/2006/relationships/hyperlink" Target="http://www.sun-sentinel.com/news/fort-lauderdale-hollywood-airport-shooting/fl-airport-shooting-esteban-santiago-indicted-20170126-story.html" TargetMode="External"/><Relationship Id="rId1858" Type="http://schemas.openxmlformats.org/officeDocument/2006/relationships/hyperlink" Target="https://www.usatoday.com/story/news/nation-now/2018/02/15/parkland-florida-high-school-shooting/340071002/" TargetMode="External"/><Relationship Id="rId2604" Type="http://schemas.openxmlformats.org/officeDocument/2006/relationships/hyperlink" Target="https://www.latimes.com/archives/la-xpm-1996-11-06-me-61893-story.html" TargetMode="External"/><Relationship Id="rId52" Type="http://schemas.openxmlformats.org/officeDocument/2006/relationships/hyperlink" Target="https://books.google.com/books?id=LEgSiLnmgYoC&amp;pg=PA88&amp;lpg=PA88&amp;dq=%22leo+held%22+paranoid&amp;source=bl&amp;ots=lYSrqNF9p4&amp;sig=ACfU3U2hB3e3SFcOZwjkD8GJFWzEnNrU4Q&amp;hl=en&amp;sa=X&amp;ved=2ahUKEwjj-MHt4cPhAhUh8YMKHR3WBToQ6AEwAXoECAgQAQ" TargetMode="External"/><Relationship Id="rId1206" Type="http://schemas.openxmlformats.org/officeDocument/2006/relationships/hyperlink" Target="https://www.cbsnews.com/news/postal-shooters-bizarre-behavior/" TargetMode="External"/><Relationship Id="rId1413" Type="http://schemas.openxmlformats.org/officeDocument/2006/relationships/hyperlink" Target="https://web.archive.org/web/20091204124651/http:/seattletimes.nwsource.com/html/localnews/2010393433_webarrest01m.html" TargetMode="External"/><Relationship Id="rId1620" Type="http://schemas.openxmlformats.org/officeDocument/2006/relationships/hyperlink" Target="https://www.latimes.com/local/lanow/la-me-ln-tribal-leader-death-sentence-20170410-story.html" TargetMode="External"/><Relationship Id="rId1718" Type="http://schemas.openxmlformats.org/officeDocument/2006/relationships/hyperlink" Target="http://www.cnn.com/2016/07/08/us/philando-castile-alton-sterling-protests/index.html" TargetMode="External"/><Relationship Id="rId1925" Type="http://schemas.openxmlformats.org/officeDocument/2006/relationships/hyperlink" Target="https://www.baltimoresun.com/news/maryland/crime/bs-md-ramos-search-20180628-story.html" TargetMode="External"/><Relationship Id="rId299" Type="http://schemas.openxmlformats.org/officeDocument/2006/relationships/hyperlink" Target="https://www.washingtonpost.com/archive/politics/1983/12/15/after-murder-rampage-a-test-of-survival/08bb8578-7f36-4dde-b3ce-076fbcb61aff/?noredirect=on&amp;utm_term=.e6cad36dfe11http://amok.wikia.com/wiki/Louis_Hastings" TargetMode="External"/><Relationship Id="rId2187" Type="http://schemas.openxmlformats.org/officeDocument/2006/relationships/hyperlink" Target="https://www.npr.org/templates/story/story.php?storyId=9636137" TargetMode="External"/><Relationship Id="rId2394" Type="http://schemas.openxmlformats.org/officeDocument/2006/relationships/hyperlink" Target="https://www.nytimes.com/1987/03/05/us/texan-who-killed-6-in-1983-is-executed-by-lethal-injection.html" TargetMode="External"/><Relationship Id="rId159"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366" Type="http://schemas.openxmlformats.org/officeDocument/2006/relationships/hyperlink" Target="https://www.washingtonpost.com/archive/politics/1984/07/20/death-blood-in-a-place-of-laughter/a5bb422b-fc48-4289-ab47-0f63d88676cd/?utm_term=.c9a853102a81" TargetMode="External"/><Relationship Id="rId573" Type="http://schemas.openxmlformats.org/officeDocument/2006/relationships/hyperlink" Target="http://articles.latimes.com/1991-11-15/news/mn-1435_1_post-office" TargetMode="External"/><Relationship Id="rId780" Type="http://schemas.openxmlformats.org/officeDocument/2006/relationships/hyperlink" Target="http://www.aikenstandard.com/news/twenty-years-later-remembering-the-shooting-at-phelon-plant-in/article_4b5b7132-9983-11e7-b425-9f5c8ce770f8.html" TargetMode="External"/><Relationship Id="rId2047" Type="http://schemas.openxmlformats.org/officeDocument/2006/relationships/hyperlink" Target="https://www.upi.com/Archives/1984/07/25/A-gunman-who-killed-four-people-and-wounded-another/3627459576000/" TargetMode="External"/><Relationship Id="rId2254" Type="http://schemas.openxmlformats.org/officeDocument/2006/relationships/hyperlink" Target="https://www.sacbee.com/news/local/crime/article143794574.html" TargetMode="External"/><Relationship Id="rId2461" Type="http://schemas.openxmlformats.org/officeDocument/2006/relationships/hyperlink" Target="https://www.seattletimes.com/seattle-news/witnesses-among-5-dead-in-federal-way" TargetMode="External"/><Relationship Id="rId2699" Type="http://schemas.openxmlformats.org/officeDocument/2006/relationships/hyperlink" Target="https://web.archive.org/web/20110114232701/http:/www.adl.org/main_Extremism/jared_lee_loughner.htm?Multi_page_sections=sHeading_4" TargetMode="External"/><Relationship Id="rId226" Type="http://schemas.openxmlformats.org/officeDocument/2006/relationships/hyperlink" Target="https://www.upi.com/Archives/1981/10/17/Killing-of-5-stuns-Kentucky-mountain-commmunity/9251372139200/" TargetMode="External"/><Relationship Id="rId433" Type="http://schemas.openxmlformats.org/officeDocument/2006/relationships/hyperlink" Target="https://www.nytimes.com/1988/07/19/us/four-motorists-are-shot-to-death-gunman-wounded-in-12-minutes.html" TargetMode="External"/><Relationship Id="rId878" Type="http://schemas.openxmlformats.org/officeDocument/2006/relationships/hyperlink" Target="https://www.theguardian.com/world/2009/apr/17/columbine-massacre-gun-crime-us" TargetMode="External"/><Relationship Id="rId1063" Type="http://schemas.openxmlformats.org/officeDocument/2006/relationships/hyperlink" Target="https://www.cbsnews.com/news/another-sacramento-bloodbath/" TargetMode="External"/><Relationship Id="rId1270" Type="http://schemas.openxmlformats.org/officeDocument/2006/relationships/hyperlink" Target="https://www.denverpost.com/2008/03/27/murray-obsesses-with-guns-shootings/" TargetMode="External"/><Relationship Id="rId2114" Type="http://schemas.openxmlformats.org/officeDocument/2006/relationships/hyperlink" Target="https://www.latimes.com/archives/la-xpm-1997-dec-20-mn-431-story.html" TargetMode="External"/><Relationship Id="rId2559" Type="http://schemas.openxmlformats.org/officeDocument/2006/relationships/hyperlink" Target="https://schoolshooters.info/sites/default/files/California-v-Houston-2007.pdf" TargetMode="External"/><Relationship Id="rId640" Type="http://schemas.openxmlformats.org/officeDocument/2006/relationships/hyperlink" Target="https://www.newsday.com/news/nation/retiring-nc-officer-stopped-1993-luigi-s-massacre-1.1402842" TargetMode="External"/><Relationship Id="rId738" Type="http://schemas.openxmlformats.org/officeDocument/2006/relationships/hyperlink" Target="https://www.chicagotribune.com/news/ct-xpm-1995-12-20-9512200177-story.html" TargetMode="External"/><Relationship Id="rId945" Type="http://schemas.openxmlformats.org/officeDocument/2006/relationships/hyperlink" Target="https://books.google.com/books?id=b54xcYkbSlcC&amp;lpg=PA67&amp;ots=mlvGRSb_k6&amp;dq=mark%20barton%20biography&amp;pg=PA67" TargetMode="External"/><Relationship Id="rId1368" Type="http://schemas.openxmlformats.org/officeDocument/2006/relationships/hyperlink" Target="https://www.nytimes.com/2009/04/12/nyregion/12binghamton.html" TargetMode="External"/><Relationship Id="rId1575" Type="http://schemas.openxmlformats.org/officeDocument/2006/relationships/hyperlink" Target="https://www.nytimes.com/2013/03/14/nyregion/four-killed-in-shootings-in-upstate-new-york.html" TargetMode="External"/><Relationship Id="rId1782" Type="http://schemas.openxmlformats.org/officeDocument/2006/relationships/hyperlink" Target="http://www.cnn.com/2017/06/05/us/orlando-fatalities/index.html" TargetMode="External"/><Relationship Id="rId2321" Type="http://schemas.openxmlformats.org/officeDocument/2006/relationships/hyperlink" Target="https://heavy.com/news/2019/12/francine-graham/" TargetMode="External"/><Relationship Id="rId2419" Type="http://schemas.openxmlformats.org/officeDocument/2006/relationships/hyperlink" Target="https://caselaw.findlaw.com/nc-court-of-appeals/1359423.html" TargetMode="External"/><Relationship Id="rId2626" Type="http://schemas.openxmlformats.org/officeDocument/2006/relationships/hyperlink" Target="https://archive.seattletimes.com/archive/?date=20060718&amp;slug=huff18m" TargetMode="External"/><Relationship Id="rId74" Type="http://schemas.openxmlformats.org/officeDocument/2006/relationships/hyperlink" Target="https://cdnc.ucr.edu/cgi-bin/cdnc?a=d&amp;d=DS19690407.2.35&amp;e=-------en--20--1--txt-txIN--------1" TargetMode="External"/><Relationship Id="rId500" Type="http://schemas.openxmlformats.org/officeDocument/2006/relationships/hyperlink" Target="https://www.deseretnews.com/article/107923/911-TAPE-TELLS-HORROR-OF-FLORIDA-MASSACRE.html" TargetMode="External"/><Relationship Id="rId805" Type="http://schemas.openxmlformats.org/officeDocument/2006/relationships/hyperlink" Target="https://www.washingtonpost.com/archive/politics/1998/03/07/worker-kills-four-at-conn-lottery/c13a0a44-be0c-4a1a-8af3-98ee11a55c14/?noredirect=on&amp;utm_term=.4820ebd07634" TargetMode="External"/><Relationship Id="rId1130" Type="http://schemas.openxmlformats.org/officeDocument/2006/relationships/hyperlink" Target="https://www.seattletimes.com/nation-world/friends-describe-bizarre-behavior-of-gunman-in-band-shooting/" TargetMode="External"/><Relationship Id="rId1228" Type="http://schemas.openxmlformats.org/officeDocument/2006/relationships/hyperlink" Target="https://www.thestranger.com/seattle/dead-quiet/Content?oid=31361" TargetMode="External"/><Relationship Id="rId1435" Type="http://schemas.openxmlformats.org/officeDocument/2006/relationships/hyperlink" Target="https://www.cbsnews.com/news/florida-man-kills-four-women-in-restaurant-shooting-police-say/" TargetMode="External"/><Relationship Id="rId1642" Type="http://schemas.openxmlformats.org/officeDocument/2006/relationships/hyperlink" Target="http://www.newsweek.com/2015/09/25/jaylen-ray-fryberg-marysville-pilchuck-high-school-shooting-372669.html" TargetMode="External"/><Relationship Id="rId1947" Type="http://schemas.openxmlformats.org/officeDocument/2006/relationships/hyperlink" Target="https://books.google.com/books?id=V7IluPG0GJ8C&amp;pg=PA111&amp;lpg=PA111&amp;dq=mark+essex+siblings&amp;source=bl&amp;ots=bcqfSfwZNX&amp;sig=ACfU3U3l8i0aE1ncTi8_Xwu_idbD_kDVjA&amp;hl=en&amp;sa=X&amp;ved=2ahUKEwjtjoWcmoboAhXTaM0KHR9DDT04ChDoATAFegQIBxAB" TargetMode="External"/><Relationship Id="rId1502" Type="http://schemas.openxmlformats.org/officeDocument/2006/relationships/hyperlink" Target="http://www.cnn.com/2013/07/19/us/colorado-theater-shooting-fast-facts/index.html" TargetMode="External"/><Relationship Id="rId1807" Type="http://schemas.openxmlformats.org/officeDocument/2006/relationships/hyperlink" Target="https://www.cnn.com/2017/11/06/us/devin-kelley-texas-church-shooting-suspect/index.html" TargetMode="External"/><Relationship Id="rId290" Type="http://schemas.openxmlformats.org/officeDocument/2006/relationships/hyperlink" Target="https://www.washingtonpost.com/archive/politics/1983/12/15/after-murder-rampage-a-test-of-survival/08bb8578-7f36-4dde-b3ce-076fbcb61aff/?utm_term=.a6fb1a8bb707" TargetMode="External"/><Relationship Id="rId388" Type="http://schemas.openxmlformats.org/officeDocument/2006/relationships/hyperlink" Target="https://www.washingtonpost.com/archive/politics/1985/04/05/in-factory-town-fear-of-a-killing-pace/795719f4-fac5-45ee-a5ea-908b039750a8/?noredirect=on&amp;utm_term=.363d4155431a" TargetMode="External"/><Relationship Id="rId2069" Type="http://schemas.openxmlformats.org/officeDocument/2006/relationships/hyperlink" Target="http://www.crimemagazine.com/lubys-cafeteria-massacre-1991" TargetMode="External"/><Relationship Id="rId150" Type="http://schemas.openxmlformats.org/officeDocument/2006/relationships/hyperlink" Target="https://www.upi.com/Archives/1987/09/02/Former-cook-convicted-in-restaurant-massacre/2502557553600/" TargetMode="External"/><Relationship Id="rId595" Type="http://schemas.openxmlformats.org/officeDocument/2006/relationships/hyperlink" Target="https://www.sacbee.com/news/local/history/article146987224.html" TargetMode="External"/><Relationship Id="rId2276" Type="http://schemas.openxmlformats.org/officeDocument/2006/relationships/hyperlink" Target="https://www.cnn.com/2016/07/08/us/philando-castile-alton-sterling-protests/index.html" TargetMode="External"/><Relationship Id="rId2483" Type="http://schemas.openxmlformats.org/officeDocument/2006/relationships/hyperlink" Target="https://news.google.com/newspapers?nid=1891&amp;dat=19770827&amp;id=3d4pAAAAIBAJ&amp;sjid=KtYEAAAAIBAJ&amp;pg=3878,3973758" TargetMode="External"/><Relationship Id="rId2690" Type="http://schemas.openxmlformats.org/officeDocument/2006/relationships/hyperlink" Target="https://www.theguardian.com/world/2010/sep/12/man-shot-wife-cooked-eggs" TargetMode="External"/><Relationship Id="rId248"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455" Type="http://schemas.openxmlformats.org/officeDocument/2006/relationships/hyperlink" Target="https://www.upi.com/Archives/1988/09/23/The-partner-of-a-slain-policewoman-who-took-three/7216590990400/" TargetMode="External"/><Relationship Id="rId662" Type="http://schemas.openxmlformats.org/officeDocument/2006/relationships/hyperlink" Target="http://articles.latimes.com/1993-10-15/news/mn-45964_1_fitness-club" TargetMode="External"/><Relationship Id="rId1085" Type="http://schemas.openxmlformats.org/officeDocument/2006/relationships/hyperlink" Target="https://www.southbendtribune.com/news/local/archive-police-recall-s-incident-with-lockey/article_aa36b908-ee30-11e2-8e04-0019bb30f31a.html" TargetMode="External"/><Relationship Id="rId1292" Type="http://schemas.openxmlformats.org/officeDocument/2006/relationships/hyperlink" Target="https://www.esquire.com/news-politics/a4863/steven-kazmierczak-0808/" TargetMode="External"/><Relationship Id="rId2136" Type="http://schemas.openxmlformats.org/officeDocument/2006/relationships/hyperlink" Target="https://www.nytimes.com/1999/11/03/us/man-opens-fire-in-xerox-office-killing-7.html?mcubz=1" TargetMode="External"/><Relationship Id="rId2343" Type="http://schemas.openxmlformats.org/officeDocument/2006/relationships/hyperlink" Target="https://books.google.com/books?id=Hr3OBwP-lbUC&amp;pg=PA232&amp;dq=abdelkrim+belachheb+no+formal+education&amp;hl=en&amp;sa=X&amp;ved=0ahUKEwjgtZ_68vXfAhXDpYMKHdLHAzYQ6AEIKDAA" TargetMode="External"/><Relationship Id="rId2550" Type="http://schemas.openxmlformats.org/officeDocument/2006/relationships/hyperlink" Target="https://www.nytimes.com/1988/07/19/us/four-motorists-are-shot-to-death-gunman-wounded-in-12-minutes.html" TargetMode="External"/><Relationship Id="rId108" Type="http://schemas.openxmlformats.org/officeDocument/2006/relationships/hyperlink" Target="http://www.crimemagazine.com/sniper-mark-essex" TargetMode="External"/><Relationship Id="rId315"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522" Type="http://schemas.openxmlformats.org/officeDocument/2006/relationships/hyperlink" Target="https://newsok.com/article/2371623/fired-postal-worker-charged-in-killings" TargetMode="External"/><Relationship Id="rId967" Type="http://schemas.openxmlformats.org/officeDocument/2006/relationships/hyperlink" Target="https://www.nytimes.com/1999/09/17/us/deaths-in-a-church-the-overview-an-angry-mystery-man-who-brought-death.html" TargetMode="External"/><Relationship Id="rId1152" Type="http://schemas.openxmlformats.org/officeDocument/2006/relationships/hyperlink" Target="https://www.nytimes.com/2005/03/13/us/gunman-kills-7-in-church-group-near-milwaukee.html" TargetMode="External"/><Relationship Id="rId1597" Type="http://schemas.openxmlformats.org/officeDocument/2006/relationships/hyperlink" Target="https://casetext.com/case/estate-of-zawahri-v-fayad" TargetMode="External"/><Relationship Id="rId2203" Type="http://schemas.openxmlformats.org/officeDocument/2006/relationships/hyperlink" Target="https://abc11.com/archive/6734388/" TargetMode="External"/><Relationship Id="rId2410" Type="http://schemas.openxmlformats.org/officeDocument/2006/relationships/hyperlink" Target="http://cdn.ca9.uscourts.gov/datastore/opinions/2012/09/18/08-99015.pdf" TargetMode="External"/><Relationship Id="rId2648" Type="http://schemas.openxmlformats.org/officeDocument/2006/relationships/hyperlink" Target="https://www.nytimes.com/1972/05/31/archives/gunmans-motive-remains-mystery-police-say-shootings-were-not-linked.html" TargetMode="External"/><Relationship Id="rId96" Type="http://schemas.openxmlformats.org/officeDocument/2006/relationships/hyperlink" Target="https://www.nytimes.com/1972/05/31/archives/gunmans-motive-remains-mystery-police-say-shootings-were-not-linked.html" TargetMode="External"/><Relationship Id="rId827" Type="http://schemas.openxmlformats.org/officeDocument/2006/relationships/hyperlink" Target="https://www.nytimes.com/1998/03/08/nyregion/in-a-province-of-winners-worker-who-lost-out-takes-revenge.html" TargetMode="External"/><Relationship Id="rId1012" Type="http://schemas.openxmlformats.org/officeDocument/2006/relationships/hyperlink" Target="https://www.nytimes.com/2000/12/27/us/7-die-in-rampage-at-company-co-worker-of-victims-arrested.html" TargetMode="External"/><Relationship Id="rId1457" Type="http://schemas.openxmlformats.org/officeDocument/2006/relationships/hyperlink" Target="https://www.nytimes.com/2011/01/16/us/16loughner.html" TargetMode="External"/><Relationship Id="rId1664" Type="http://schemas.openxmlformats.org/officeDocument/2006/relationships/hyperlink" Target="https://www.nytimes.com/2015/10/03/us/chris-harper-mercer-umpqua-community-college-shooting.html" TargetMode="External"/><Relationship Id="rId1871" Type="http://schemas.openxmlformats.org/officeDocument/2006/relationships/hyperlink" Target="https://www.usatoday.com/story/news/nation-now/2018/02/15/parkland-florida-high-school-shooting/340071002/" TargetMode="External"/><Relationship Id="rId2508" Type="http://schemas.openxmlformats.org/officeDocument/2006/relationships/hyperlink" Target="http://www.crimemagazine.com/sniper-mark-essex" TargetMode="External"/><Relationship Id="rId2715" Type="http://schemas.openxmlformats.org/officeDocument/2006/relationships/hyperlink" Target="https://www.cnn.com/2018/02/16/us/exclusive-school-shooter-instagram-group/index.html" TargetMode="External"/><Relationship Id="rId1317" Type="http://schemas.openxmlformats.org/officeDocument/2006/relationships/hyperlink" Target="http://www.santamariasun.com/news/8536/leeds-will-spend-the-rest-of-his-life-in-prison--for-scrap-yard-killings/" TargetMode="External"/><Relationship Id="rId1524" Type="http://schemas.openxmlformats.org/officeDocument/2006/relationships/hyperlink" Target="https://www.splcenter.org/fighting-hate/intelligence-report/2012/sikh-temple-killer-wade-michael-page-radicalized-army" TargetMode="External"/><Relationship Id="rId1731" Type="http://schemas.openxmlformats.org/officeDocument/2006/relationships/hyperlink" Target="https://www.nbcnews.com/storyline/dallas-police-ambush/dallas-shooter-micah-xavier-johnson-was-army-veteran-n606101" TargetMode="External"/><Relationship Id="rId1969"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23" Type="http://schemas.openxmlformats.org/officeDocument/2006/relationships/hyperlink" Target="https://upload.wikimedia.org/wikipedia/commons/c/cc/Very-long-police-report.jpg" TargetMode="External"/><Relationship Id="rId1829" Type="http://schemas.openxmlformats.org/officeDocument/2006/relationships/hyperlink" Target="https://www.nbcnews.com/news/us-news/gunman-california-shooting-spree-needed-mental-help-sister-says-n821216" TargetMode="External"/><Relationship Id="rId2298" Type="http://schemas.openxmlformats.org/officeDocument/2006/relationships/hyperlink" Target="https://www.nytimes.com/2018/05/18/us/school-shooting-santa-fe-texas.html?action=click&amp;module=RelatedCoverage&amp;pgtype=Article&amp;region=Footer" TargetMode="External"/><Relationship Id="rId172" Type="http://schemas.openxmlformats.org/officeDocument/2006/relationships/hyperlink" Target="https://news.google.com/newspapers?id=xtNWAAAAIBAJ&amp;sjid=O_kDAAAAIBAJ&amp;pg=5283%2C2408948" TargetMode="External"/><Relationship Id="rId477" Type="http://schemas.openxmlformats.org/officeDocument/2006/relationships/hyperlink" Target="https://www.nytimes.com/1989/09/16/us/disturbed-past-of-killer-of-7-is-unraveled.html" TargetMode="External"/><Relationship Id="rId684" Type="http://schemas.openxmlformats.org/officeDocument/2006/relationships/hyperlink" Target="https://kdvr.com/2012/07/27/lone-survivor-of-mass-shooting-18-years-ago-tells-what-life-is-like-now/" TargetMode="External"/><Relationship Id="rId2060" Type="http://schemas.openxmlformats.org/officeDocument/2006/relationships/hyperlink" Target="https://schoolshooters.info/sites/default/files/Purdy%20-%20official%20report.pdf" TargetMode="External"/><Relationship Id="rId2158" Type="http://schemas.openxmlformats.org/officeDocument/2006/relationships/hyperlink" Target="https://www.nytimes.com/2003/07/09/us/man-kills-5-co-workers-at-plant-and-himself.html?mcubz=0" TargetMode="External"/><Relationship Id="rId2365" Type="http://schemas.openxmlformats.org/officeDocument/2006/relationships/hyperlink" Target="https://www.nytimes.com/2017/01/08/us/fort-lauderdale-esteban-santiago-schizophrenia-military.html" TargetMode="External"/><Relationship Id="rId337"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891" Type="http://schemas.openxmlformats.org/officeDocument/2006/relationships/hyperlink" Target="https://www.cnn.com/2013/09/18/us/columbine-high-school-shootings-fast-facts/index.html" TargetMode="External"/><Relationship Id="rId989" Type="http://schemas.openxmlformats.org/officeDocument/2006/relationships/hyperlink" Target="https://tdcj.texas.gov/death_row/dr_info/harrisrobert.html" TargetMode="External"/><Relationship Id="rId2018" Type="http://schemas.openxmlformats.org/officeDocument/2006/relationships/hyperlink" Target="https://www.upi.com/Archives/1987/09/02/Former-cook-convicted-in-restaurant-massacre/2502557553600/" TargetMode="External"/><Relationship Id="rId2572" Type="http://schemas.openxmlformats.org/officeDocument/2006/relationships/hyperlink" Target="https://abcnews.go.com/US/lawyer-michigan-uber-drivers-family-shares-details-alleged/story?id=37175519" TargetMode="External"/><Relationship Id="rId544" Type="http://schemas.openxmlformats.org/officeDocument/2006/relationships/hyperlink" Target="http://articles.latimes.com/1991-10-22/news/mn-176_1_illegal-drugs" TargetMode="External"/><Relationship Id="rId751" Type="http://schemas.openxmlformats.org/officeDocument/2006/relationships/hyperlink" Target="http://articles.latimes.com/1996-04-25/news/mn-62698_1_department-officers" TargetMode="External"/><Relationship Id="rId849" Type="http://schemas.openxmlformats.org/officeDocument/2006/relationships/hyperlink" Target="https://www.pbs.org/wgbh/frontline/article/fourteen-years-later-looking-back-at-a-school-shooting/" TargetMode="External"/><Relationship Id="rId1174" Type="http://schemas.openxmlformats.org/officeDocument/2006/relationships/hyperlink" Target="https://www.mprnews.org/story/2015/03/18/red-lake-shooting-explained" TargetMode="External"/><Relationship Id="rId1381" Type="http://schemas.openxmlformats.org/officeDocument/2006/relationships/hyperlink" Target="http://www.nbcnews.com/id/30094954/ns/us_news-crime_and_courts/t/gunmen-mass-killings-had-permits/" TargetMode="External"/><Relationship Id="rId1479" Type="http://schemas.openxmlformats.org/officeDocument/2006/relationships/hyperlink" Target="https://www.latimes.com/local/lanow/la-me-ln-oikos-college-shooting-plea-no-contest-20170502-story.html" TargetMode="External"/><Relationship Id="rId1686" Type="http://schemas.openxmlformats.org/officeDocument/2006/relationships/hyperlink" Target="https://www.theeagle.com/townnews/crime/trial-update-psychiatrist-testifies-that-east-texas-man-who-killed/article_ce6124e0-c8b4-11e7-a603-87b213d2a2d2.html" TargetMode="External"/><Relationship Id="rId2225" Type="http://schemas.openxmlformats.org/officeDocument/2006/relationships/hyperlink" Target="https://www.news-herald.com/news/police-identify-th-victim-in-copley-shooting-spree/article_3622d646-2a2c-52db-825d-d6c21c163e61.html" TargetMode="External"/><Relationship Id="rId2432" Type="http://schemas.openxmlformats.org/officeDocument/2006/relationships/hyperlink" Target="https://www.latimes.com/archives/la-xpm-2001-jan-10-mn-10586-story.html" TargetMode="External"/><Relationship Id="rId404" Type="http://schemas.openxmlformats.org/officeDocument/2006/relationships/hyperlink" Target="http://articles.latimes.com/1987-04-25/news/mn-990_1_palm-bay-police" TargetMode="External"/><Relationship Id="rId611" Type="http://schemas.openxmlformats.org/officeDocument/2006/relationships/hyperlink" Target="https://www.nytimes.com/1992/11/09/us/gunman-kills-6-then-himself-in-california.html?mtrref=undefined" TargetMode="External"/><Relationship Id="rId1034" Type="http://schemas.openxmlformats.org/officeDocument/2006/relationships/hyperlink" Target="http://www.cnn.com/2001/US/02/07/plant.shootings/" TargetMode="External"/><Relationship Id="rId1241" Type="http://schemas.openxmlformats.org/officeDocument/2006/relationships/hyperlink" Target="https://www.nydailynews.com/news/crime/mystery-loving-dad-amish-slay-spree-article-1.1914649" TargetMode="External"/><Relationship Id="rId1339" Type="http://schemas.openxmlformats.org/officeDocument/2006/relationships/hyperlink" Target="http://www.nytimes.com/2008/09/04/us/04spree.html" TargetMode="External"/><Relationship Id="rId1893" Type="http://schemas.openxmlformats.org/officeDocument/2006/relationships/hyperlink" Target="https://www.npr.org/sections/thetwo-way/2018/05/19/612468377/what-we-know-about-dimitrios-pagourtzis-the-alleged-texas-high-school-shooter" TargetMode="External"/><Relationship Id="rId2737" Type="http://schemas.openxmlformats.org/officeDocument/2006/relationships/hyperlink" Target="https://www.wtae.com/article/two-men-charged-with-homicide-in-connection-with-wilkinsburg-backyard-ambush/7480821" TargetMode="External"/><Relationship Id="rId709" Type="http://schemas.openxmlformats.org/officeDocument/2006/relationships/hyperlink" Target="http://www.nytimes.com/1995/04/04/us/6-die-in-texas-office-shooting.html" TargetMode="External"/><Relationship Id="rId916" Type="http://schemas.openxmlformats.org/officeDocument/2006/relationships/hyperlink" Target="https://lasvegassun.com/news/1999/jun/04/floyd-described-as-sweet-guy-with-violent-streak/" TargetMode="External"/><Relationship Id="rId1101" Type="http://schemas.openxmlformats.org/officeDocument/2006/relationships/hyperlink" Target="https://www.chicagotribune.com/news/ct-xpm-2003-08-28-0308280412-story.html" TargetMode="External"/><Relationship Id="rId1546" Type="http://schemas.openxmlformats.org/officeDocument/2006/relationships/hyperlink" Target="https://www.mprnews.org/story/2013/09/27/news/accent-signage-shooting-one-year" TargetMode="External"/><Relationship Id="rId1753" Type="http://schemas.openxmlformats.org/officeDocument/2006/relationships/hyperlink" Target="https://www.seattleweekly.com/news/the-bitter-life-and-sudden-death-of-arcan-cetin/" TargetMode="External"/><Relationship Id="rId1960"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45" Type="http://schemas.openxmlformats.org/officeDocument/2006/relationships/hyperlink" Target="https://timesmachine.nytimes.com/timesmachine/1967/10/25/81841391.html?pageNumber=26" TargetMode="External"/><Relationship Id="rId1406" Type="http://schemas.openxmlformats.org/officeDocument/2006/relationships/hyperlink" Target="https://www.seattletimes.com/seattle-news/a-path-to-murder-the-story-of-maurice-clemmons/" TargetMode="External"/><Relationship Id="rId1613" Type="http://schemas.openxmlformats.org/officeDocument/2006/relationships/hyperlink" Target="https://www.usatoday.com/story/news/nation/2013/09/16/aaron-alexis-navy-yard-shooter/2822731/" TargetMode="External"/><Relationship Id="rId1820" Type="http://schemas.openxmlformats.org/officeDocument/2006/relationships/hyperlink" Target="https://edition.cnn.com/2017/11/06/us/devin-kelley-texas-church-shooting-suspect/index.html" TargetMode="External"/><Relationship Id="rId194" Type="http://schemas.openxmlformats.org/officeDocument/2006/relationships/hyperlink" Target="http://katu.com/news/local/30-years-later-sounds-of-gunfire-still-haunt-shooting-victim" TargetMode="External"/><Relationship Id="rId1918" Type="http://schemas.openxmlformats.org/officeDocument/2006/relationships/hyperlink" Target="https://www.cbsnews.com/news/jarrod-ramos-annapolis-shooting-suspect-identified-maryland-shooting-capital-gazette-today-2018-06-28/" TargetMode="External"/><Relationship Id="rId2082" Type="http://schemas.openxmlformats.org/officeDocument/2006/relationships/hyperlink" Target="https://www.greensboro.com/man-kills-self-after-shooting-to-death-and-taking-hostage/article_f4245908-0e66-5e73-bf3a-2a57f2810346.html" TargetMode="External"/><Relationship Id="rId261"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499" Type="http://schemas.openxmlformats.org/officeDocument/2006/relationships/hyperlink" Target="http://www.nytimes.com/1990/06/19/us/florida-gunman-kills-8-and-wounds-6-in-office.html" TargetMode="External"/><Relationship Id="rId2387" Type="http://schemas.openxmlformats.org/officeDocument/2006/relationships/hyperlink" Target="https://www.leagle.com/decision/1985350349pasuper11350" TargetMode="External"/><Relationship Id="rId2594" Type="http://schemas.openxmlformats.org/officeDocument/2006/relationships/hyperlink" Target="https://www.mprnews.org/story/2012/10/16/engeldinger-parents-describe-their-sons-struggles-with-mental-illness" TargetMode="External"/><Relationship Id="rId359" Type="http://schemas.openxmlformats.org/officeDocument/2006/relationships/hyperlink" Target="https://www.upi.com/Archives/1984/07/22/Mass-murderer-always-very-sad-and-very-lonely/4891459316800/" TargetMode="External"/><Relationship Id="rId566" Type="http://schemas.openxmlformats.org/officeDocument/2006/relationships/hyperlink" Target="https://www.deseretnews.com/article/194120/FIRED-POSTAL-WORKER-WHO-SHOT-9-PEOPLE-DIES-OF-HIS-INJURIES.html" TargetMode="External"/><Relationship Id="rId773" Type="http://schemas.openxmlformats.org/officeDocument/2006/relationships/hyperlink" Target="http://content.time.com/time/magazine/article/0,9171,138219,00.html" TargetMode="External"/><Relationship Id="rId1196" Type="http://schemas.openxmlformats.org/officeDocument/2006/relationships/hyperlink" Target="http://articles.chicagotribune.com/2005-08-30/news/0508300294_1_gunman-killed-four-people-small-town-church-witnesses" TargetMode="External"/><Relationship Id="rId2247" Type="http://schemas.openxmlformats.org/officeDocument/2006/relationships/hyperlink" Target="https://www.nbclosangeles.com/news/local/Santa-Monica-Shooting-Police-News-Conference-Watch-Live-211492801.html" TargetMode="External"/><Relationship Id="rId2454" Type="http://schemas.openxmlformats.org/officeDocument/2006/relationships/hyperlink" Target="https://www.mpnnow.com/x905911221/Jurors-get-case-of-Buffalo-shooting-that-killed-4" TargetMode="External"/><Relationship Id="rId121" Type="http://schemas.openxmlformats.org/officeDocument/2006/relationships/hyperlink" Target="http://www.nydailynews.com/news/crime/rochelle-sniper-kills-1977-article-1.2973348" TargetMode="External"/><Relationship Id="rId219" Type="http://schemas.openxmlformats.org/officeDocument/2006/relationships/hyperlink" Target="https://www.upi.com/Archives/1981/10/16/A-gunman-burst-into-an-auto-parts-store-Friday/9402372052800/" TargetMode="External"/><Relationship Id="rId426" Type="http://schemas.openxmlformats.org/officeDocument/2006/relationships/hyperlink" Target="http://www.the-dispatch.com/news/20130712/emotions-run-high-25-years-after-hayes-shootings" TargetMode="External"/><Relationship Id="rId633" Type="http://schemas.openxmlformats.org/officeDocument/2006/relationships/hyperlink" Target="https://www.nytimes.com/1993/07/03/us/the-broker-who-killed-8-gunman-s-motives-a-puzzle.html" TargetMode="External"/><Relationship Id="rId980" Type="http://schemas.openxmlformats.org/officeDocument/2006/relationships/hyperlink" Target="https://www.washingtonpost.com/archive/politics/1999/12/31/gunman-slays-four-at-hotel-then-kills-driver-in-tampa/fb1853ec-417f-4656-97de-c3bf23d67c30/?utm_term=.4533613f6ad7" TargetMode="External"/><Relationship Id="rId1056" Type="http://schemas.openxmlformats.org/officeDocument/2006/relationships/hyperlink" Target="https://www.nytimes.com/2001/09/11/national/slaying-suspect-commits-suicide.html" TargetMode="External"/><Relationship Id="rId1263" Type="http://schemas.openxmlformats.org/officeDocument/2006/relationships/hyperlink" Target="https://www.latimes.com/archives/la-xpm-2007-dec-11-na-shoot11-story.html" TargetMode="External"/><Relationship Id="rId2107" Type="http://schemas.openxmlformats.org/officeDocument/2006/relationships/hyperlink" Target="https://www.wlbt.com/story/18995724/new-book-details-shooting-rampage-at-jackson-fire-station/" TargetMode="External"/><Relationship Id="rId2314" Type="http://schemas.openxmlformats.org/officeDocument/2006/relationships/hyperlink" Target="https://time.com/5643405/what-to-know-shooting-dayton-ohio/" TargetMode="External"/><Relationship Id="rId2661" Type="http://schemas.openxmlformats.org/officeDocument/2006/relationships/hyperlink" Target="https://caselaw.findlaw.com/fl-supreme-court/1559835.html" TargetMode="External"/><Relationship Id="rId840" Type="http://schemas.openxmlformats.org/officeDocument/2006/relationships/hyperlink" Target="https://www.nytimes.com/1998/03/29/us/from-wild-talk-and-friendship-to-five-deaths-in-a-schoolyard.html?mcubz=0" TargetMode="External"/><Relationship Id="rId938" Type="http://schemas.openxmlformats.org/officeDocument/2006/relationships/hyperlink" Target="https://books.google.com/books?id=b54xcYkbSlcC&amp;lpg=PA67&amp;ots=mlvGRSb_k6&amp;dq=mark%20barton%20biography&amp;pg=PA67" TargetMode="External"/><Relationship Id="rId1470" Type="http://schemas.openxmlformats.org/officeDocument/2006/relationships/hyperlink" Target="http://articles.latimes.com/2011/oct/12/local/la-me-1013-seal-beach-shooting-20111013" TargetMode="External"/><Relationship Id="rId1568" Type="http://schemas.openxmlformats.org/officeDocument/2006/relationships/hyperlink" Target="http://www.uticaod.com/article/20140313/NEWS/140319690" TargetMode="External"/><Relationship Id="rId1775" Type="http://schemas.openxmlformats.org/officeDocument/2006/relationships/hyperlink" Target="https://www.wausaudailyherald.com/story/news/2017/05/08/wife-details-troubles-before-her-husband-gunned-down-4-people/100164526/" TargetMode="External"/><Relationship Id="rId2521" Type="http://schemas.openxmlformats.org/officeDocument/2006/relationships/hyperlink" Target="https://www.theledger.com/article/20070430/news/608097071" TargetMode="External"/><Relationship Id="rId2619" Type="http://schemas.openxmlformats.org/officeDocument/2006/relationships/hyperlink" Target="https://www.chicagotribune.com/investigations/chi-0509070252sep07-story.html" TargetMode="External"/><Relationship Id="rId67"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700" Type="http://schemas.openxmlformats.org/officeDocument/2006/relationships/hyperlink" Target="https://www.nytimes.com/1994/06/22/us/an-airman-s-revenge-5-minutes-of-terror.html" TargetMode="External"/><Relationship Id="rId1123" Type="http://schemas.openxmlformats.org/officeDocument/2006/relationships/hyperlink" Target="http://censusviewer.com/city/OH/Columbus" TargetMode="External"/><Relationship Id="rId1330" Type="http://schemas.openxmlformats.org/officeDocument/2006/relationships/hyperlink" Target="https://www.wkyt.com/home/headlines/25559494.html" TargetMode="External"/><Relationship Id="rId1428" Type="http://schemas.openxmlformats.org/officeDocument/2006/relationships/hyperlink" Target="https://www.sun-sentinel.com/news/fl-xpm-2010-06-13-sfl-hialeah-massacre-romance-06132010-story.html" TargetMode="External"/><Relationship Id="rId1635" Type="http://schemas.openxmlformats.org/officeDocument/2006/relationships/hyperlink" Target="https://www.newsweek.com/2015/09/25/jaylen-ray-fryberg-marysville-pilchuck-high-school-shooting-372669.html" TargetMode="External"/><Relationship Id="rId1982" Type="http://schemas.openxmlformats.org/officeDocument/2006/relationships/hyperlink" Target="https://books.google.com/books?id=yfnbDQAAQBAJ&amp;pg=PA56&amp;lpg=PA56&amp;dq=dylan+klebold+pyloric+stenosis&amp;source=bl&amp;ots=Tvf7U3dfgt&amp;sig=ACfU3U1V55j6Gaq2MaSU9umJdTBmO3CfJw&amp;hl=en&amp;sa=X&amp;ved=2ahUKEwjLpIWdz5DoAhVSHM0KHbUgABQQ6AEwAXoECAsQAQ" TargetMode="External"/><Relationship Id="rId1842" Type="http://schemas.openxmlformats.org/officeDocument/2006/relationships/hyperlink" Target="https://www.cbsnews.com/news/pennsylvania-car-wash-shooting-suspect-jealousy-relatives-say/" TargetMode="External"/><Relationship Id="rId1702" Type="http://schemas.openxmlformats.org/officeDocument/2006/relationships/hyperlink" Target="http://www.dailymail.co.uk/news/article-3463851/Uber-gunman-Jason-Dalton-tired-depressed-days-leading-deadly-shooting-rampage-wife-s-attorney-reveals.html" TargetMode="External"/><Relationship Id="rId283" Type="http://schemas.openxmlformats.org/officeDocument/2006/relationships/hyperlink" Target="https://www.upi.com/Archives/1983/03/03/Survivor-describes-random-shootings-that-killed-six/9561415515600/" TargetMode="External"/><Relationship Id="rId490" Type="http://schemas.openxmlformats.org/officeDocument/2006/relationships/hyperlink" Target="https://www.apnews.com/fcc5d4beb0b9b29a6e2353939bad33bc" TargetMode="External"/><Relationship Id="rId2171" Type="http://schemas.openxmlformats.org/officeDocument/2006/relationships/hyperlink" Target="http://archive.boston.com/news/nation/articles/2005/03/14/terry_dont_friend_cried_to_shooter/" TargetMode="External"/><Relationship Id="rId143" Type="http://schemas.openxmlformats.org/officeDocument/2006/relationships/hyperlink" Target="https://www.heraldandnews.com/state-s-worst-mass-murder-in-kf-years-ago/article_47caaa64-e90d-5bd5-ab4e-5427e93598d2.html" TargetMode="External"/><Relationship Id="rId350" Type="http://schemas.openxmlformats.org/officeDocument/2006/relationships/hyperlink" Target="https://www.upi.com/Archives/1984/11/08/The-estranged-wife-of-accused-murderer-Abdelkrim-Belachheb-testified/3858468738000/" TargetMode="External"/><Relationship Id="rId588" Type="http://schemas.openxmlformats.org/officeDocument/2006/relationships/hyperlink" Target="https://www.sacbee.com/news/local/history/article146987224.html" TargetMode="External"/><Relationship Id="rId795" Type="http://schemas.openxmlformats.org/officeDocument/2006/relationships/hyperlink" Target="http://articles.latimes.com/1997/dec/20/news/mn-431" TargetMode="External"/><Relationship Id="rId2031"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2269" Type="http://schemas.openxmlformats.org/officeDocument/2006/relationships/hyperlink" Target="https://www.washingtonpost.com/news/post-nation/wp/2016/12/02/one-year-after-san-bernardino-police-offer-a-possible-motive-as-questions-still-linger/" TargetMode="External"/><Relationship Id="rId2476" Type="http://schemas.openxmlformats.org/officeDocument/2006/relationships/hyperlink" Target="https://www.sacbee.com/news/local/crime/article184754473.html" TargetMode="External"/><Relationship Id="rId2683" Type="http://schemas.openxmlformats.org/officeDocument/2006/relationships/hyperlink" Target="https://time.com/5511989/who-is-zephen-xaver/" TargetMode="External"/><Relationship Id="rId9" Type="http://schemas.openxmlformats.org/officeDocument/2006/relationships/hyperlink" Target="https://www.washingtonpost.com/sf/local/2016/07/31/the-loaded-legacy-of-the-ut-tower-shooting/?hpid=hp_rhp-top-table-main_uttower-0840pm%3Ahomepage%2Fstory&amp;tid=a_inl&amp;utm_term=.6ab077235c7d" TargetMode="External"/><Relationship Id="rId210" Type="http://schemas.openxmlformats.org/officeDocument/2006/relationships/hyperlink" Target="https://www.upi.com/Archives/1981/05/12/An-unemployed-lumber-mill-worker-accused-of-killing-four/1659358488000/" TargetMode="External"/><Relationship Id="rId448" Type="http://schemas.openxmlformats.org/officeDocument/2006/relationships/hyperlink" Target="https://law.justia.com/cases/north-carolina/court-of-appeals/1991/9021sc308-1.html" TargetMode="External"/><Relationship Id="rId655" Type="http://schemas.openxmlformats.org/officeDocument/2006/relationships/hyperlink" Target="http://articles.latimes.com/1993-10-15/news/mn-45964_1_fitness-club" TargetMode="External"/><Relationship Id="rId862" Type="http://schemas.openxmlformats.org/officeDocument/2006/relationships/hyperlink" Target="http://www.pbs.org/wgbh/pages/frontline/shows/kinkel/kip/cron.html" TargetMode="External"/><Relationship Id="rId1078" Type="http://schemas.openxmlformats.org/officeDocument/2006/relationships/hyperlink" Target="https://www.nwitimes.com/uncategorized/south-bend-factory-worker-kills-then-himself/article_f9510908-20ec-5629-8891-42c83bb776f3.html" TargetMode="External"/><Relationship Id="rId1285" Type="http://schemas.openxmlformats.org/officeDocument/2006/relationships/hyperlink" Target="https://www.stltoday.com/news/local/crime-and-courts/charles-lee-cookie-thornton-behind-the-smile/article_be96f13c-78b9-11df-bfdc-0017a4a78c22.html" TargetMode="External"/><Relationship Id="rId1492" Type="http://schemas.openxmlformats.org/officeDocument/2006/relationships/hyperlink" Target="https://www.seattletimes.com/seattle-news/gunman-a-life-full-of-rage-a-shocking-final-act/" TargetMode="External"/><Relationship Id="rId2129" Type="http://schemas.openxmlformats.org/officeDocument/2006/relationships/hyperlink" Target="https://www.theguardian.com/world/2009/apr/17/columbine-massacre-gun-crime-us" TargetMode="External"/><Relationship Id="rId2336" Type="http://schemas.openxmlformats.org/officeDocument/2006/relationships/hyperlink" Target="https://www.omaha.com/news/local/understanding-tragedy-hawkins-family-turmoil-drug-use-fill-angry-teen-years-in-foster-care/article_5e992db6-c4da-11e7-a77b-031bf3c11181.html" TargetMode="External"/><Relationship Id="rId2543" Type="http://schemas.openxmlformats.org/officeDocument/2006/relationships/hyperlink" Target="https://www.nytimes.com/1987/03/05/us/texan-who-killed-6-in-1983-is-executed-by-lethal-injection.html" TargetMode="External"/><Relationship Id="rId308"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515" Type="http://schemas.openxmlformats.org/officeDocument/2006/relationships/hyperlink" Target="https://www.washingtonpost.com/archive/politics/1991/10/13/ex-postal-worker-held-in-bosss-slaying/6005549f-1768-4097-9aa8-b16b03d589d3/?utm_term=.02aaf494733b" TargetMode="External"/><Relationship Id="rId722" Type="http://schemas.openxmlformats.org/officeDocument/2006/relationships/hyperlink" Target="https://www.nytimes.com/1995/07/20/us/9-fatally-shot-in-california-in-2-incidents-over-2-days.html" TargetMode="External"/><Relationship Id="rId1145" Type="http://schemas.openxmlformats.org/officeDocument/2006/relationships/hyperlink" Target="https://www.nytimes.com/2005/03/13/us/gunman-kills-7-in-church-group-near-milwaukee.html" TargetMode="External"/><Relationship Id="rId1352" Type="http://schemas.openxmlformats.org/officeDocument/2006/relationships/hyperlink" Target="https://www.seattletimes.com/seattle-news/shooting-rampage-suspect-described-as-deeply-troubled-1/" TargetMode="External"/><Relationship Id="rId1797" Type="http://schemas.openxmlformats.org/officeDocument/2006/relationships/hyperlink" Target="https://www.nbcnews.com/storyline/texas-church-shooting/who-devin-kelley-alleged-texas-church-shooter-n817806" TargetMode="External"/><Relationship Id="rId2403" Type="http://schemas.openxmlformats.org/officeDocument/2006/relationships/hyperlink" Target="https://www.journalnow.com/news/local/for-first-time-in-years-michael-hayes-is-free-of/article_d5514c21-a980-5bf3-934e-53b3e76e8c05.html" TargetMode="External"/><Relationship Id="rId89" Type="http://schemas.openxmlformats.org/officeDocument/2006/relationships/hyperlink" Target="https://newspaperarchive.com/daily-review-oct-23-1970-p-20/" TargetMode="External"/><Relationship Id="rId1005" Type="http://schemas.openxmlformats.org/officeDocument/2006/relationships/hyperlink" Target="https://web.archive.org/web/20070831085028/http:/the-duke.duq-duke.duq.edu/justice/Taylor/Baumhamm.htm" TargetMode="External"/><Relationship Id="rId1212" Type="http://schemas.openxmlformats.org/officeDocument/2006/relationships/hyperlink" Target="http://www.nytimes.com/2006/03/28/us/seattle-police-and-partygoers-still-puzzle-over-attack.html" TargetMode="External"/><Relationship Id="rId1657" Type="http://schemas.openxmlformats.org/officeDocument/2006/relationships/hyperlink" Target="https://www.washingtonpost.com/politics/chattanooga-shooter-an-aimless-young-man-who-smoked-dope-and-shot-guns/2015/07/18/c213f6a6-2d7d-11e5-a5ea-cf74396e59ec_story.html?utm_term=.045ed5c9dce6" TargetMode="External"/><Relationship Id="rId1864" Type="http://schemas.openxmlformats.org/officeDocument/2006/relationships/hyperlink" Target="https://www.miamiherald.com/news/local/community/broward/article216909390.html" TargetMode="External"/><Relationship Id="rId2610" Type="http://schemas.openxmlformats.org/officeDocument/2006/relationships/hyperlink" Target="https://www.nytimes.com/1999/06/29/us/shattered-lives-special-report-caring-parents-no-answers-columbine-killers-pasts.html" TargetMode="External"/><Relationship Id="rId2708" Type="http://schemas.openxmlformats.org/officeDocument/2006/relationships/hyperlink" Target="https://abcnews.go.com/US/christmas-party-triggered-san-bernardino-terror-attack-police/story?id=43884973" TargetMode="External"/><Relationship Id="rId1517" Type="http://schemas.openxmlformats.org/officeDocument/2006/relationships/hyperlink" Target="http://www.nytimes.com/2012/08/27/us/before-gunfire-in-colorado-theater-hints-of-bad-news-about-james-holmes.html" TargetMode="External"/><Relationship Id="rId1724" Type="http://schemas.openxmlformats.org/officeDocument/2006/relationships/hyperlink" Target="https://www.telegraph.co.uk/news/2016/07/08/dallas-shooting-who-is-micah-johnson/" TargetMode="External"/><Relationship Id="rId16" Type="http://schemas.openxmlformats.org/officeDocument/2006/relationships/hyperlink" Target="https://archive.nytimes.com/www.nytimes.com/library/national/080366tx-shoot.html" TargetMode="External"/><Relationship Id="rId1931" Type="http://schemas.openxmlformats.org/officeDocument/2006/relationships/hyperlink" Target="http://time.com/5326056/capital-gazette-shooter-jarrod-w-ramos/" TargetMode="External"/><Relationship Id="rId2193" Type="http://schemas.openxmlformats.org/officeDocument/2006/relationships/hyperlink" Target="https://www.cbsnews.com/news/six-dead-in-missouri-city-council-shooting/" TargetMode="External"/><Relationship Id="rId2498" Type="http://schemas.openxmlformats.org/officeDocument/2006/relationships/hyperlink" Target="http://content.time.com/time/magazine/article/0,9171,138219,00.html" TargetMode="External"/><Relationship Id="rId165"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372" Type="http://schemas.openxmlformats.org/officeDocument/2006/relationships/hyperlink" Target="https://www.upi.com/Archives/1984/07/25/A-gunman-who-killed-four-people-and-wounded-another/3627459576000/" TargetMode="External"/><Relationship Id="rId677" Type="http://schemas.openxmlformats.org/officeDocument/2006/relationships/hyperlink" Target="https://www.wired.com/1994/06/rage/" TargetMode="External"/><Relationship Id="rId2053" Type="http://schemas.openxmlformats.org/officeDocument/2006/relationships/hyperlink" Target="https://www.latimes.com/archives/la-xpm-1987-04-25-mn-990-story.html" TargetMode="External"/><Relationship Id="rId2260" Type="http://schemas.openxmlformats.org/officeDocument/2006/relationships/hyperlink" Target="https://www.nytimes.com/2017/01/10/us/dylann-roof-trial-charleston.html" TargetMode="External"/><Relationship Id="rId2358" Type="http://schemas.openxmlformats.org/officeDocument/2006/relationships/hyperlink" Target="https://www.nytimes.com/2011/01/16/us/16loughner.html" TargetMode="External"/><Relationship Id="rId232" Type="http://schemas.openxmlformats.org/officeDocument/2006/relationships/hyperlink" Target="https://www.nytimes.com/1982/06/22/us/new-law-on-insanity-plea-stirs-dispute-in-alaska.html" TargetMode="External"/><Relationship Id="rId884" Type="http://schemas.openxmlformats.org/officeDocument/2006/relationships/hyperlink" Target="https://www.cnn.com/2013/09/18/us/columbine-high-school-shootings-fast-facts/index.html" TargetMode="External"/><Relationship Id="rId2120" Type="http://schemas.openxmlformats.org/officeDocument/2006/relationships/hyperlink" Target="https://www.nytimes.com/1998/03/29/us/from-wild-talk-and-friendship-to-five-deaths-in-a-schoolyard.html?mcubz=0" TargetMode="External"/><Relationship Id="rId2565" Type="http://schemas.openxmlformats.org/officeDocument/2006/relationships/hyperlink" Target="https://www.nytimes.com/1993/12/12/nyregion/tormented-life-special-report-long-slide-privilege-ends-slaughter-train.html" TargetMode="External"/><Relationship Id="rId537" Type="http://schemas.openxmlformats.org/officeDocument/2006/relationships/hyperlink" Target="http://www.nytimes.com/1991/10/18/us/portrait-of-texas-killer-impatient-and-troubled.html?pagewanted=all" TargetMode="External"/><Relationship Id="rId744" Type="http://schemas.openxmlformats.org/officeDocument/2006/relationships/hyperlink" Target="https://www.nytimes.com/1996/02/10/us/5-beach-workers-in-florida-are-slain-by-ex-colleague.html" TargetMode="External"/><Relationship Id="rId951" Type="http://schemas.openxmlformats.org/officeDocument/2006/relationships/hyperlink" Target="http://www.washingtonpost.com/wp-srv/national/daily/sept99/texas16.htm" TargetMode="External"/><Relationship Id="rId1167" Type="http://schemas.openxmlformats.org/officeDocument/2006/relationships/hyperlink" Target="https://www.mprnews.org/story/2015/03/18/red-lake-shooting-explained" TargetMode="External"/><Relationship Id="rId1374" Type="http://schemas.openxmlformats.org/officeDocument/2006/relationships/hyperlink" Target="https://www.syracuse.com/news/2009/04/jiverly_wongs_father_our_son_w.html" TargetMode="External"/><Relationship Id="rId1581" Type="http://schemas.openxmlformats.org/officeDocument/2006/relationships/hyperlink" Target="https://www.seattletimes.com/seattle-news/witnesses-among-5-dead-in-federal-way/" TargetMode="External"/><Relationship Id="rId1679" Type="http://schemas.openxmlformats.org/officeDocument/2006/relationships/hyperlink" Target="https://www.usatoday.com/story/news/nation-now/2015/11/16/family-confirms-6-killed-texas-campsite/75893806/" TargetMode="External"/><Relationship Id="rId2218" Type="http://schemas.openxmlformats.org/officeDocument/2006/relationships/hyperlink" Target="https://www.nytimes.com/2010/08/04/nyregion/04shooting.html?mtrref=www.google.com" TargetMode="External"/><Relationship Id="rId2425" Type="http://schemas.openxmlformats.org/officeDocument/2006/relationships/hyperlink" Target="https://www.latimes.com/archives/la-xpm-1997-dec-20-mn-431-story.html" TargetMode="External"/><Relationship Id="rId2632" Type="http://schemas.openxmlformats.org/officeDocument/2006/relationships/hyperlink" Target="http://web.archive.org/web/20161018033626/https:/mustangnews.net/policedoubtlinkbetweensantamariakillingssanluisobispomurder/" TargetMode="External"/><Relationship Id="rId80"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604" Type="http://schemas.openxmlformats.org/officeDocument/2006/relationships/hyperlink" Target="http://www.nytimes.com/1992/10/17/nyregion/shooting-followed-tougher-efforts-to-collect-child-support.html" TargetMode="External"/><Relationship Id="rId811" Type="http://schemas.openxmlformats.org/officeDocument/2006/relationships/hyperlink" Target="https://www.nytimes.com/1998/03/07/nyregion/rampage-connecticut-overview-connecticut-lottery-worker-kills-4-bosses-then.html" TargetMode="External"/><Relationship Id="rId1027" Type="http://schemas.openxmlformats.org/officeDocument/2006/relationships/hyperlink" Target="https://www.nytimes.com/2000/12/28/us/in-wake-of-killings-strands-of-suspect-s-life.html" TargetMode="External"/><Relationship Id="rId1234" Type="http://schemas.openxmlformats.org/officeDocument/2006/relationships/hyperlink" Target="http://www.washingtonpost.com/wp-dyn/content/article/2006/05/22/AR2006052200226.html" TargetMode="External"/><Relationship Id="rId1441" Type="http://schemas.openxmlformats.org/officeDocument/2006/relationships/hyperlink" Target="https://www.masslive.com/news/2010/08/enfield_girlfriend_omar_thornt.html" TargetMode="External"/><Relationship Id="rId1886" Type="http://schemas.openxmlformats.org/officeDocument/2006/relationships/hyperlink" Target="https://www.tennessean.com/story/news/crime/2019/02/13/waffle-house-shooting-travis-reinking-arraignment/2847784002/" TargetMode="External"/><Relationship Id="rId909" Type="http://schemas.openxmlformats.org/officeDocument/2006/relationships/hyperlink" Target="https://lasvegassun.com/news/1999/jun/04/floyd-described-as-sweet-guy-with-violent-streak/" TargetMode="External"/><Relationship Id="rId1301" Type="http://schemas.openxmlformats.org/officeDocument/2006/relationships/hyperlink" Target="http://www.nbcnews.com/id/23699429/ns/us_news-crime_and_courts/t/suspect-held-after-killed-junk-yard-rampage/" TargetMode="External"/><Relationship Id="rId1539" Type="http://schemas.openxmlformats.org/officeDocument/2006/relationships/hyperlink" Target="https://www.cbsnews.com/news/sikh-temple-shooting-weapon-obtained-legally/" TargetMode="External"/><Relationship Id="rId1746" Type="http://schemas.openxmlformats.org/officeDocument/2006/relationships/hyperlink" Target="https://www.seattleweekly.com/news/the-bitter-life-and-sudden-death-of-arcan-cetin/" TargetMode="External"/><Relationship Id="rId1953"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38" Type="http://schemas.openxmlformats.org/officeDocument/2006/relationships/hyperlink" Target="https://www.newspapers.com/clip/13890105/leo_held_dies_his_motives_remain/" TargetMode="External"/><Relationship Id="rId1606" Type="http://schemas.openxmlformats.org/officeDocument/2006/relationships/hyperlink" Target="https://www.nbcmiami.com/news/Gunman-Called-911-Hours-Before-Shooting-Rampage-in-Hialeah-Apartment-Complex-217794021.html" TargetMode="External"/><Relationship Id="rId1813" Type="http://schemas.openxmlformats.org/officeDocument/2006/relationships/hyperlink" Target="https://media.defense.gov/2018/Dec/07/2002070069/-1/-1/1/DODIG-2019-030_REDACTED.PDF" TargetMode="External"/><Relationship Id="rId187" Type="http://schemas.openxmlformats.org/officeDocument/2006/relationships/hyperlink" Target="https://www.leagle.com/decision/1985350349pasuper11350" TargetMode="External"/><Relationship Id="rId394" Type="http://schemas.openxmlformats.org/officeDocument/2006/relationships/hyperlink" Target="https://www.nydailynews.com/news/crime/mailman-massacre-14-die-patrick-sherrill-postal-1986-shootings-article-1.204101" TargetMode="External"/><Relationship Id="rId2075" Type="http://schemas.openxmlformats.org/officeDocument/2006/relationships/hyperlink" Target="https://www.nytimes.com/1991/11/15/us/ex-postal-worker-kills-3-and-wounds-6-in-michigan.html" TargetMode="External"/><Relationship Id="rId2282" Type="http://schemas.openxmlformats.org/officeDocument/2006/relationships/hyperlink" Target="https://www.doj.state.wi.us/sites/default/files/oid-reports/17-1860/AAG%20Decision%20Regarding%20Marathon%20Co%20OID%20-%20Nengmy%20Vang%281%29.pdf" TargetMode="External"/><Relationship Id="rId254"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699" Type="http://schemas.openxmlformats.org/officeDocument/2006/relationships/hyperlink" Target="https://population.us/wa/spokane/" TargetMode="External"/><Relationship Id="rId1091" Type="http://schemas.openxmlformats.org/officeDocument/2006/relationships/hyperlink" Target="http://www.royalfh.com/memsol.cgi?page=profile&amp;section=tree&amp;user_id=1699016" TargetMode="External"/><Relationship Id="rId2587" Type="http://schemas.openxmlformats.org/officeDocument/2006/relationships/hyperlink" Target="https://www.cnn.com/2017/01/16/us/omar-mateen-wife-arrested/index.html" TargetMode="External"/><Relationship Id="rId114" Type="http://schemas.openxmlformats.org/officeDocument/2006/relationships/hyperlink" Target="https://cdnc.ucr.edu/cgi-bin/cdnc?a=d&amp;d=DS19750303.2.21&amp;e=-------en--20--1--txt-txIN--------1" TargetMode="External"/><Relationship Id="rId461" Type="http://schemas.openxmlformats.org/officeDocument/2006/relationships/hyperlink" Target="https://www.mercurynews.com/2014/01/16/stockton-shooting-25-years-later-city-cant-forget-its-worst-day/" TargetMode="External"/><Relationship Id="rId559" Type="http://schemas.openxmlformats.org/officeDocument/2006/relationships/hyperlink" Target="https://www.apnews.com/2ef3eeb1eb4f91024720120a176329c8" TargetMode="External"/><Relationship Id="rId766" Type="http://schemas.openxmlformats.org/officeDocument/2006/relationships/hyperlink" Target="https://www.washingtonpost.com/archive/politics/1996/04/25/firefighter-kills-wife-four-colleagues-before-being-wounded/f5b9eab9-d1cc-4c59-b2db-d664fe68c611/?utm_term=.0dd3dee56dfd" TargetMode="External"/><Relationship Id="rId1189" Type="http://schemas.openxmlformats.org/officeDocument/2006/relationships/hyperlink" Target="http://articles.chicagotribune.com/2005-08-30/news/0508300294_1_gunman-killed-four-people-small-town-church-witnesses" TargetMode="External"/><Relationship Id="rId1396" Type="http://schemas.openxmlformats.org/officeDocument/2006/relationships/hyperlink" Target="http://articles.latimes.com/2009/dec/02/nation/la-na-police-shooting2-2009dec02" TargetMode="External"/><Relationship Id="rId2142" Type="http://schemas.openxmlformats.org/officeDocument/2006/relationships/hyperlink" Target="http://old.post-gazette.com/regionstate/20000429shootings2.asp" TargetMode="External"/><Relationship Id="rId2447" Type="http://schemas.openxmlformats.org/officeDocument/2006/relationships/hyperlink" Target="https://www.stltoday.com/news/local/crime-and-courts/thornton-s-smile-gave-in-to-anger/article_6c8dfcc8-77e7-11df-ba06-0017a4a78c22.html" TargetMode="External"/><Relationship Id="rId321" Type="http://schemas.openxmlformats.org/officeDocument/2006/relationships/hyperlink" Target="https://www.nytimes.com/1984/11/11/us/memories-of-springtime-murders-chill-small-alaskan-town.html" TargetMode="External"/><Relationship Id="rId419"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626"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973" Type="http://schemas.openxmlformats.org/officeDocument/2006/relationships/hyperlink" Target="https://www.nytimes.com/1999/11/03/us/man-opens-fire-in-xerox-office-killing-7.html?mcubz=1" TargetMode="External"/><Relationship Id="rId1049" Type="http://schemas.openxmlformats.org/officeDocument/2006/relationships/hyperlink" Target="https://www.denverpost.com/2015/04/02/gunman-kills-3-wounds-4-in-rifle-rampage-mental-patient-is-arrested/" TargetMode="External"/><Relationship Id="rId1256" Type="http://schemas.openxmlformats.org/officeDocument/2006/relationships/hyperlink" Target="https://scholar.lib.vt.edu/prevail/docs/VTReviewPanelReport.pdf" TargetMode="External"/><Relationship Id="rId2002" Type="http://schemas.openxmlformats.org/officeDocument/2006/relationships/hyperlink" Target="https://www.nytimes.com/1970/09/24/archives/state-employe-kills-4-coworkers-and-himself-in-albany-office.html" TargetMode="External"/><Relationship Id="rId2307" Type="http://schemas.openxmlformats.org/officeDocument/2006/relationships/hyperlink" Target="https://www.washingtonpost.com/nation/2018/11/27/investigators-still-seeking-motive-thousand-oaks-shooting/?noredirect=on&amp;utm_term=.889384b0c0b7" TargetMode="External"/><Relationship Id="rId2654" Type="http://schemas.openxmlformats.org/officeDocument/2006/relationships/hyperlink" Target="https://www.chicagotribune.com/news/ct-xpm-1988-09-23-8802010546-story.html" TargetMode="External"/><Relationship Id="rId833" Type="http://schemas.openxmlformats.org/officeDocument/2006/relationships/hyperlink" Target="https://www.nytimes.com/1998/03/29/us/from-wild-talk-and-friendship-to-five-deaths-in-a-schoolyard.html?mcubz=0" TargetMode="External"/><Relationship Id="rId1116" Type="http://schemas.openxmlformats.org/officeDocument/2006/relationships/hyperlink" Target="https://www.chicagotribune.com/news/watchdog/chi-0509070252sep07-story.html" TargetMode="External"/><Relationship Id="rId1463" Type="http://schemas.openxmlformats.org/officeDocument/2006/relationships/hyperlink" Target="https://www.cbsnews.com/news/jared-loughner-who-shot-gabrielle-giffords-in-tucson-ranted-online/" TargetMode="External"/><Relationship Id="rId1670" Type="http://schemas.openxmlformats.org/officeDocument/2006/relationships/hyperlink" Target="https://www.oregonlive.com/pacific-northwest-news/2017/09/umpqua_community_college_inves.html" TargetMode="External"/><Relationship Id="rId1768" Type="http://schemas.openxmlformats.org/officeDocument/2006/relationships/hyperlink" Target="http://www.sun-sentinel.com/news/fort-lauderdale-hollywood-airport-shooting/fl-esteban-santiago-arraignment-airport-shootings-20170130-story.html" TargetMode="External"/><Relationship Id="rId2514" Type="http://schemas.openxmlformats.org/officeDocument/2006/relationships/hyperlink" Target="https://www.upi.com/Archives/1981/10/16/Man-convicted-for-wild-nightclub-shootings/6579372052800/" TargetMode="External"/><Relationship Id="rId2721" Type="http://schemas.openxmlformats.org/officeDocument/2006/relationships/hyperlink" Target="https://www.post-gazette.com/news/crime-courts/2018/10/29/Robert-Bowers-suspect-gunman-Pittsburgh-Tree-of-Life-synagogue-massacre-attack-federal-court/stories/201810290090" TargetMode="External"/><Relationship Id="rId900" Type="http://schemas.openxmlformats.org/officeDocument/2006/relationships/hyperlink" Target="http://www.acolumbinesite.com/eric.php" TargetMode="External"/><Relationship Id="rId1323" Type="http://schemas.openxmlformats.org/officeDocument/2006/relationships/hyperlink" Target="https://www.nytimes.com/2008/06/25/us/26kentuckycnd.html" TargetMode="External"/><Relationship Id="rId1530" Type="http://schemas.openxmlformats.org/officeDocument/2006/relationships/hyperlink" Target="http://www.bbc.com/news/world-us-canada-19167324" TargetMode="External"/><Relationship Id="rId1628" Type="http://schemas.openxmlformats.org/officeDocument/2006/relationships/hyperlink" Target="http://www.nbcnews.com/storyline/marysville-school-shooting/two=dead-including-gunman-school-schooting-near-seattle-n233371" TargetMode="External"/><Relationship Id="rId1975"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1835" Type="http://schemas.openxmlformats.org/officeDocument/2006/relationships/hyperlink" Target="https://www.nbcnews.com/news/us-news/gunman-california-shooting-spree-needed-mental-help-sister-says-n821216" TargetMode="External"/><Relationship Id="rId1902" Type="http://schemas.openxmlformats.org/officeDocument/2006/relationships/hyperlink" Target="https://www.newyorker.com/news/news-desk/this-is-a-dream-i-cant-wake-up-from" TargetMode="External"/><Relationship Id="rId2097" Type="http://schemas.openxmlformats.org/officeDocument/2006/relationships/hyperlink" Target="https://www.nytimes.com/1994/06/22/us/an-airman-s-revenge-5-minutes-of-terror.html?mtrref=undefined" TargetMode="External"/><Relationship Id="rId276" Type="http://schemas.openxmlformats.org/officeDocument/2006/relationships/hyperlink" Target="https://www.miamiherald.com/news/local/community/miami-dade/hialeah/article234124132.html" TargetMode="External"/><Relationship Id="rId483" Type="http://schemas.openxmlformats.org/officeDocument/2006/relationships/hyperlink" Target="https://www.nytimes.com/1989/09/17/us/survivors-of-shooting-and-gunman-s-relatives-ponder-sad-riddles.html" TargetMode="External"/><Relationship Id="rId690" Type="http://schemas.openxmlformats.org/officeDocument/2006/relationships/hyperlink" Target="https://web.archive.org/web/20150421030616/http:/www.cofpd.org/docs-dun/final-clemency-petition-5-6.pdf" TargetMode="External"/><Relationship Id="rId2164" Type="http://schemas.openxmlformats.org/officeDocument/2006/relationships/hyperlink" Target="https://www2.ljworld.com/news/2004/jul/04/chaos_reigned_at/" TargetMode="External"/><Relationship Id="rId2371"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136" Type="http://schemas.openxmlformats.org/officeDocument/2006/relationships/hyperlink" Target="http://www.nytimes.com/1977/02/15/archives/nazi-admirer-also-wounds-5-in-wild-attack-followed-by-a-siege-at.html" TargetMode="External"/><Relationship Id="rId343" Type="http://schemas.openxmlformats.org/officeDocument/2006/relationships/hyperlink" Target="https://www.nytimes.com/1984/06/30/us/6-die-in-dallas-club-as-enraged-man-fires-wildly.html?mcubz=0" TargetMode="External"/><Relationship Id="rId550" Type="http://schemas.openxmlformats.org/officeDocument/2006/relationships/hyperlink" Target="http://www.thegazette.com/subject/news/education/higher-education/friends-of-university-of-iowa-student-say-he-was-expelled-following-online-threat-referencing-gang-lu-shooting-20160210" TargetMode="External"/><Relationship Id="rId788" Type="http://schemas.openxmlformats.org/officeDocument/2006/relationships/hyperlink" Target="https://caselaw.findlaw.com/fl-supreme-court/1559835.html" TargetMode="External"/><Relationship Id="rId995" Type="http://schemas.openxmlformats.org/officeDocument/2006/relationships/hyperlink" Target="https://web.archive.org/web/20070831085028/http:/the-duke.duq-duke.duq.edu/justice/Taylor/Baumhamm.htm" TargetMode="External"/><Relationship Id="rId1180" Type="http://schemas.openxmlformats.org/officeDocument/2006/relationships/hyperlink" Target="http://www.nytimes.com/2005/03/24/us/signs-of-danger-were-missed-in-a-troubled-teenagers-life.html" TargetMode="External"/><Relationship Id="rId2024" Type="http://schemas.openxmlformats.org/officeDocument/2006/relationships/hyperlink" Target="https://www.newspapers.com/image/?clipping_id=15631009&amp;fcfToken=eyJhbGciOiJIUzI1NiIsInR5cCI6IkpXVCJ9.eyJmcmVlLXZpZXctaWQiOjE3Mzk0Njg2MSwiaWF0IjoxNTY4Mzk3NzkwLCJleHAiOjE1Njg0ODQxOTB9.TNb3lTHrUhjeg4la5IOgT9nXTqOZfrfFoEvlWIsAQ3o" TargetMode="External"/><Relationship Id="rId2231" Type="http://schemas.openxmlformats.org/officeDocument/2006/relationships/hyperlink" Target="https://www.sfgate.com/crime/article/Oakland-school-massacre-Jury-told-of-5-minutes-5760283.php" TargetMode="External"/><Relationship Id="rId2469" Type="http://schemas.openxmlformats.org/officeDocument/2006/relationships/hyperlink" Target="https://www.latimes.com/nation/la-na-school-shootings-2017-story.html" TargetMode="External"/><Relationship Id="rId2676" Type="http://schemas.openxmlformats.org/officeDocument/2006/relationships/hyperlink" Target="https://www.businessinsider.com/john-zawahri-had-a-troubled-past-2013-6" TargetMode="External"/><Relationship Id="rId203" Type="http://schemas.openxmlformats.org/officeDocument/2006/relationships/hyperlink" Target="http://www.nytimes.com/1981/05/09/us/four-slain-and-20-wounded-in-bar-as-oregon-man-shoots-into-crowd.html" TargetMode="External"/><Relationship Id="rId648" Type="http://schemas.openxmlformats.org/officeDocument/2006/relationships/hyperlink" Target="https://www.washingtonpost.com/archive/politics/1993/08/08/4-killed-when-gunman-opens-fire-in-restaurant/7120b492-adee-440b-b5bd-318e934c8c5a/?utm_term=.f24cfc57d3cd" TargetMode="External"/><Relationship Id="rId855" Type="http://schemas.openxmlformats.org/officeDocument/2006/relationships/hyperlink" Target="https://www.pbs.org/wgbh/pages/frontline/shows/kinkel/kip/kristin.html" TargetMode="External"/><Relationship Id="rId1040" Type="http://schemas.openxmlformats.org/officeDocument/2006/relationships/hyperlink" Target="http://www.cnn.com/2001/US/02/07/plant.shootings/" TargetMode="External"/><Relationship Id="rId1278" Type="http://schemas.openxmlformats.org/officeDocument/2006/relationships/hyperlink" Target="https://www.denverpost.com/2008/03/27/murray-obsesses-with-guns-shootings/" TargetMode="External"/><Relationship Id="rId1485" Type="http://schemas.openxmlformats.org/officeDocument/2006/relationships/hyperlink" Target="https://www.eastbaytimes.com/2017/07/14/oikos-nursing-school-massacre-suspect-one-goh-to-face-life-in-prison/" TargetMode="External"/><Relationship Id="rId1692" Type="http://schemas.openxmlformats.org/officeDocument/2006/relationships/hyperlink" Target="https://www.telegraph.co.uk/news/worldnews/northamerica/usa/12030481/Syed-Farook-what-we-know-about-the-San-Bernardino-gunman.html" TargetMode="External"/><Relationship Id="rId2329" Type="http://schemas.openxmlformats.org/officeDocument/2006/relationships/hyperlink" Target="https://www.nydailynews.com/news/crime/ex-teacher-gunned-8-fla-1982-offered-hint-future-article-1.3840706" TargetMode="External"/><Relationship Id="rId2536" Type="http://schemas.openxmlformats.org/officeDocument/2006/relationships/hyperlink" Target="https://books.google.com/books?id=MfQ1BgAAQBAJ&amp;pg=PA121&amp;lpg=PA121&amp;dq=edward+allaway&amp;source=bl&amp;ots=Nos2RW1YYa&amp;sig=ACfU3U2Y4xbqx6iCdC1VIPfbKJwREofHuA&amp;hl=en&amp;sa=X&amp;ved=2ahUKEwir44qO_YrjAhXPQc0KHSe8CN04ChDoATAIegQICBAB" TargetMode="External"/><Relationship Id="rId410" Type="http://schemas.openxmlformats.org/officeDocument/2006/relationships/hyperlink" Target="http://articles.latimes.com/1987-04-25/news/mn-990_1_palm-bay-police" TargetMode="External"/><Relationship Id="rId508" Type="http://schemas.openxmlformats.org/officeDocument/2006/relationships/hyperlink" Target="https://www.nytimes.com/1991/10/13/nyregion/death-invades-a-tranquil-village-and-ridgewood-deals-with-horror.html?pagewanted=all&amp;src=pm" TargetMode="External"/><Relationship Id="rId715" Type="http://schemas.openxmlformats.org/officeDocument/2006/relationships/hyperlink" Target="https://books.google.com/books?id=_UHFAgAAQBAJ&amp;pg=PT47&amp;lpg=PT47&amp;dq=james+simpson+shooting&amp;source=bl&amp;ots=uixNRwZ2cp&amp;sig=ACfU3U345Z7wx7M7pp8_j6lBbNoeBuQpjw&amp;hl=en&amp;sa=X&amp;ved=2ahUKEwjQpMOxpb_jAhVDHc0KHZOJANc4ChDoATAHegQICRAB" TargetMode="External"/><Relationship Id="rId922" Type="http://schemas.openxmlformats.org/officeDocument/2006/relationships/hyperlink" Target="http://www.nytimes.com/1999/07/31/us/shootings-in-atlanta-the-overview-killer-confessed-in-a-letter-spiked-with-rage.html" TargetMode="External"/><Relationship Id="rId1138" Type="http://schemas.openxmlformats.org/officeDocument/2006/relationships/hyperlink" Target="https://www.baltimoresun.com/bal-te.to.nichols18mar18-story.html" TargetMode="External"/><Relationship Id="rId1345" Type="http://schemas.openxmlformats.org/officeDocument/2006/relationships/hyperlink" Target="http://www.oregonlive.com/news/index.ssf/2008/09/court_documents_detail_washing.html" TargetMode="External"/><Relationship Id="rId1552" Type="http://schemas.openxmlformats.org/officeDocument/2006/relationships/hyperlink" Target="https://www.nytimes.com/2012/12/15/nyregion/shooting-reported-at-connecticut-elementary-school.html?mcubz=3" TargetMode="External"/><Relationship Id="rId1997" Type="http://schemas.openxmlformats.org/officeDocument/2006/relationships/hyperlink" Target="https://www.nydailynews.com/news/crime/experts-clueless-man-fatally-shot-50-years-article-1.3548519" TargetMode="External"/><Relationship Id="rId2603" Type="http://schemas.openxmlformats.org/officeDocument/2006/relationships/hyperlink" Target="https://www.cnn.com/2009/CRIME/02/13/niu.shooting.investigation/index.html" TargetMode="External"/><Relationship Id="rId1205" Type="http://schemas.openxmlformats.org/officeDocument/2006/relationships/hyperlink" Target="https://www.cbsnews.com/news/postal-shooters-bizarre-behavior/" TargetMode="External"/><Relationship Id="rId1857" Type="http://schemas.openxmlformats.org/officeDocument/2006/relationships/hyperlink" Target="https://www.cnn.com/2018/02/25/us/nikolas-cruz-warning-signs/index.html" TargetMode="External"/><Relationship Id="rId51" Type="http://schemas.openxmlformats.org/officeDocument/2006/relationships/hyperlink" Target="https://books.google.com/books?id=LEgSiLnmgYoC&amp;pg=PA88&amp;lpg=PA88&amp;dq=%22leo+held%22+paranoid&amp;source=bl&amp;ots=lYSrqNF9p4&amp;sig=ACfU3U2hB3e3SFcOZwjkD8GJFWzEnNrU4Q&amp;hl=en&amp;sa=X&amp;ved=2ahUKEwjj-MHt4cPhAhUh8YMKHR3WBToQ6AEwAXoECAgQAQ" TargetMode="External"/><Relationship Id="rId1412" Type="http://schemas.openxmlformats.org/officeDocument/2006/relationships/hyperlink" Target="https://www.latimes.com/archives/la-xpm-2009-dec-02-la-na-police-shooting2-2009dec02-story.html" TargetMode="External"/><Relationship Id="rId1717" Type="http://schemas.openxmlformats.org/officeDocument/2006/relationships/hyperlink" Target="https://www.washingtonpost.com/news/morning-mix/wp/2016/07/08/like-a-little-war-snipers-shoot-11-police-officers-during-dallas-protest-march-killing-five/?utm_term=.ee535b655b3e" TargetMode="External"/><Relationship Id="rId1924" Type="http://schemas.openxmlformats.org/officeDocument/2006/relationships/hyperlink" Target="https://www.cbsnews.com/news/jarrod-ramos-annapolis-shooting-suspect-identified-maryland-shooting-capital-gazette-today-2018-06-28/" TargetMode="External"/><Relationship Id="rId298"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58"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2186" Type="http://schemas.openxmlformats.org/officeDocument/2006/relationships/hyperlink" Target="https://www.deseret.com/2007/2/19/20002722/police-da-give-further-details-in-trolley-shooting" TargetMode="External"/><Relationship Id="rId2393" Type="http://schemas.openxmlformats.org/officeDocument/2006/relationships/hyperlink" Target="https://www.nytimes.com/1983/02/04/nyregion/gunman-kills-four-and-wounds-a-fifth-at-a-west-side-hotel.html" TargetMode="External"/><Relationship Id="rId2698" Type="http://schemas.openxmlformats.org/officeDocument/2006/relationships/hyperlink" Target="https://www.cbsnews.com/news/jared-lee-loughner-grew-delusional-in-months-before-tucson-rampage-police-reports-show/" TargetMode="External"/><Relationship Id="rId365" Type="http://schemas.openxmlformats.org/officeDocument/2006/relationships/hyperlink" Target="https://www.washingtonpost.com/archive/politics/1984/07/21/to-father-of-mass-murderer-sons-violence-is-inexplicable/377d77bd-97ff-4f22-b2a3-15c747f70ea3/?utm_term=.2439cdd644fc" TargetMode="External"/><Relationship Id="rId572" Type="http://schemas.openxmlformats.org/officeDocument/2006/relationships/hyperlink" Target="http://community.seattletimes.nwsource.com/archive/?date=19911115&amp;slug=1317398" TargetMode="External"/><Relationship Id="rId2046" Type="http://schemas.openxmlformats.org/officeDocument/2006/relationships/hyperlink" Target="https://www.upi.com/Archives/1984/07/25/A-gunman-who-killed-four-people-and-wounded-another/3627459576000/" TargetMode="External"/><Relationship Id="rId2253" Type="http://schemas.openxmlformats.org/officeDocument/2006/relationships/hyperlink" Target="https://www.sacbee.com/news/local/crime/article143794574.html" TargetMode="External"/><Relationship Id="rId2460" Type="http://schemas.openxmlformats.org/officeDocument/2006/relationships/hyperlink" Target="https://www.theguardian.com/us-news/2015/dec/05/oakland-shooting-hearing-oikos-university-psychiatrist-one-goh" TargetMode="External"/><Relationship Id="rId225" Type="http://schemas.openxmlformats.org/officeDocument/2006/relationships/hyperlink" Target="https://www.newspapers.com/clip/33085085/messenger-inquirer/" TargetMode="External"/><Relationship Id="rId432" Type="http://schemas.openxmlformats.org/officeDocument/2006/relationships/hyperlink" Target="http://www.nytimes.com/1988/07/19/us/four-motorists-are-shot-to-death-gunman-wounded-in-12-minutes.html" TargetMode="External"/><Relationship Id="rId877" Type="http://schemas.openxmlformats.org/officeDocument/2006/relationships/hyperlink" Target="https://web.archive.org/web/20021208205724/http:/www.rcfp.org/news/2002/1106inreha.html" TargetMode="External"/><Relationship Id="rId1062" Type="http://schemas.openxmlformats.org/officeDocument/2006/relationships/hyperlink" Target="https://www.nytimes.com/2001/09/11/national/slaying-suspect-commits-suicide.html" TargetMode="External"/><Relationship Id="rId2113" Type="http://schemas.openxmlformats.org/officeDocument/2006/relationships/hyperlink" Target="https://caselaw.findlaw.com/fl-supreme-court/1559835.html" TargetMode="External"/><Relationship Id="rId2320" Type="http://schemas.openxmlformats.org/officeDocument/2006/relationships/hyperlink" Target="https://heavy.com/news/2019/12/francine-graham/" TargetMode="External"/><Relationship Id="rId2558" Type="http://schemas.openxmlformats.org/officeDocument/2006/relationships/hyperlink" Target="https://schoolshooters.info/sites/default/files/California-v-Houston-2007.pdf" TargetMode="External"/><Relationship Id="rId737" Type="http://schemas.openxmlformats.org/officeDocument/2006/relationships/hyperlink" Target="https://www.chicagotribune.com/news/ct-xpm-1995-12-20-9512200177-story.html" TargetMode="External"/><Relationship Id="rId944" Type="http://schemas.openxmlformats.org/officeDocument/2006/relationships/hyperlink" Target="https://books.google.com/books?id=b54xcYkbSlcC&amp;lpg=PA67&amp;ots=mlvGRSb_k6&amp;dq=mark%20barton%20biography&amp;pg=PA67" TargetMode="External"/><Relationship Id="rId1367" Type="http://schemas.openxmlformats.org/officeDocument/2006/relationships/hyperlink" Target="https://www.nytimes.com/2009/04/12/nyregion/12binghamton.html" TargetMode="External"/><Relationship Id="rId1574" Type="http://schemas.openxmlformats.org/officeDocument/2006/relationships/hyperlink" Target="https://www.uticaod.com/x930813837/2-people-reportedly-shot-at-Herkimer-car-wash" TargetMode="External"/><Relationship Id="rId1781" Type="http://schemas.openxmlformats.org/officeDocument/2006/relationships/hyperlink" Target="https://www.cbsnews.com/news/friend-orlando-victim-feared-workplace-shooter-would-seek-revenge-over-firing/" TargetMode="External"/><Relationship Id="rId2418" Type="http://schemas.openxmlformats.org/officeDocument/2006/relationships/hyperlink" Target="https://www.nytimes.com/1993/12/12/nyregion/tormented-life-special-report-long-slide-privilege-ends-slaughter-train.html" TargetMode="External"/><Relationship Id="rId2625" Type="http://schemas.openxmlformats.org/officeDocument/2006/relationships/hyperlink" Target="https://www.seattleweekly.com/news/epilogue-to-a-tragedy/" TargetMode="External"/><Relationship Id="rId73"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804" Type="http://schemas.openxmlformats.org/officeDocument/2006/relationships/hyperlink" Target="https://www.nytimes.com/1998/03/07/nyregion/rampage-connecticut-overview-connecticut-lottery-worker-kills-4-bosses-then.html" TargetMode="External"/><Relationship Id="rId1227" Type="http://schemas.openxmlformats.org/officeDocument/2006/relationships/hyperlink" Target="https://www.thestranger.com/seattle/dead-quiet/Content?oid=31361" TargetMode="External"/><Relationship Id="rId1434" Type="http://schemas.openxmlformats.org/officeDocument/2006/relationships/hyperlink" Target="http://www.nydailynews.com/sports/baseball/yankees/yankees-mets-pitcher-orlando-el-duque-hernandez-shock-half-brother-shootings-article-1.181967" TargetMode="External"/><Relationship Id="rId1641" Type="http://schemas.openxmlformats.org/officeDocument/2006/relationships/hyperlink" Target="http://www.newsweek.com/2015/09/25/jaylen-ray-fryberg-marysville-pilchuck-high-school-shooting-372669.html" TargetMode="External"/><Relationship Id="rId1879" Type="http://schemas.openxmlformats.org/officeDocument/2006/relationships/hyperlink" Target="https://www.chicagotribune.com/news/breaking/ct-met-waffle-house-shooting-suspect-morton-20180423-story.html" TargetMode="External"/><Relationship Id="rId1501" Type="http://schemas.openxmlformats.org/officeDocument/2006/relationships/hyperlink" Target="http://www.cnn.com/2013/07/19/us/colorado-theater-shooting-fast-facts/index.html" TargetMode="External"/><Relationship Id="rId1739" Type="http://schemas.openxmlformats.org/officeDocument/2006/relationships/hyperlink" Target="https://www.telegraph.co.uk/news/2016/07/08/dallas-shooting-who-is-micah-johnson/" TargetMode="External"/><Relationship Id="rId1946" Type="http://schemas.openxmlformats.org/officeDocument/2006/relationships/hyperlink" Target="https://www.jsonline.com/story/news/crime/2020/03/03/milwaukee-molson-coors-shooting-facts-behind-racism-noose-rumors/4934728002/?utm_source=oembed&amp;utm_medium=onsite&amp;utm_campaign=storylines&amp;utm_content=news&amp;utm_term=4893028002" TargetMode="External"/><Relationship Id="rId1806" Type="http://schemas.openxmlformats.org/officeDocument/2006/relationships/hyperlink" Target="https://www.aljazeera.com/news/2017/11/texas-church-shooting-devin-patrick-kelley-171106181800494.html" TargetMode="External"/><Relationship Id="rId387" Type="http://schemas.openxmlformats.org/officeDocument/2006/relationships/hyperlink" Target="https://www.apnews.com/c5d8552f56a7d24ddb1d7e57738d8242" TargetMode="External"/><Relationship Id="rId594" Type="http://schemas.openxmlformats.org/officeDocument/2006/relationships/hyperlink" Target="https://casetext.com/brief/s035190-people-v-houston-eric-c-respondents-brief" TargetMode="External"/><Relationship Id="rId2068" Type="http://schemas.openxmlformats.org/officeDocument/2006/relationships/hyperlink" Target="http://www.crimemagazine.com/lubys-cafeteria-massacre-1991" TargetMode="External"/><Relationship Id="rId2275" Type="http://schemas.openxmlformats.org/officeDocument/2006/relationships/hyperlink" Target="https://www.cnn.com/2016/07/08/us/philando-castile-alton-sterling-protests/index.html" TargetMode="External"/><Relationship Id="rId247" Type="http://schemas.openxmlformats.org/officeDocument/2006/relationships/hyperlink" Target="https://www.nytimes.com/1982/06/22/us/new-law-on-insanity-plea-stirs-dispute-in-alaska.html" TargetMode="External"/><Relationship Id="rId899" Type="http://schemas.openxmlformats.org/officeDocument/2006/relationships/hyperlink" Target="https://www.nytimes.com/1999/06/29/us/shattered-lives-special-report-caring-parents-no-answers-columbine-killers-pasts.html" TargetMode="External"/><Relationship Id="rId1084" Type="http://schemas.openxmlformats.org/officeDocument/2006/relationships/hyperlink" Target="https://www.southbendtribune.com/news/local/archive-police-recall-s-incident-with-lockey/article_aa36b908-ee30-11e2-8e04-0019bb30f31a.html" TargetMode="External"/><Relationship Id="rId2482" Type="http://schemas.openxmlformats.org/officeDocument/2006/relationships/hyperlink" Target="https://cdnc.ucr.edu/cgi-bin/cdnc?a=d&amp;d=DS19690407.2.35&amp;e=-------en--20--1--txt-txIN--------1" TargetMode="External"/><Relationship Id="rId107" Type="http://schemas.openxmlformats.org/officeDocument/2006/relationships/hyperlink" Target="https://news.google.com/newspapers?nid=2002&amp;dat=19720622&amp;id=CbAiAAAAIBAJ&amp;sjid=FLMFAAAAIBAJ&amp;pg=5232,1749134&amp;hl=en" TargetMode="External"/><Relationship Id="rId454" Type="http://schemas.openxmlformats.org/officeDocument/2006/relationships/hyperlink" Target="https://www.upi.com/Archives/1988/09/23/The-partner-of-a-slain-policewoman-who-took-three/7216590990400/" TargetMode="External"/><Relationship Id="rId661" Type="http://schemas.openxmlformats.org/officeDocument/2006/relationships/hyperlink" Target="http://articles.latimes.com/1993-10-15/news/mn-45964_1_fitness-club" TargetMode="External"/><Relationship Id="rId759" Type="http://schemas.openxmlformats.org/officeDocument/2006/relationships/hyperlink" Target="http://articles.latimes.com/1996-04-25/news/mn-62698_1_department-officers" TargetMode="External"/><Relationship Id="rId966" Type="http://schemas.openxmlformats.org/officeDocument/2006/relationships/hyperlink" Target="https://www.nytimes.com/1999/09/17/us/deaths-in-a-church-the-overview-an-angry-mystery-man-who-brought-death.html" TargetMode="External"/><Relationship Id="rId1291" Type="http://schemas.openxmlformats.org/officeDocument/2006/relationships/hyperlink" Target="https://www.esquire.com/news-politics/a4863/steven-kazmierczak-0808/" TargetMode="External"/><Relationship Id="rId1389" Type="http://schemas.openxmlformats.org/officeDocument/2006/relationships/hyperlink" Target="https://web.archive.org/web/20101021234307/http:/seattletimes.nwsource.com/html/localnews/2013170137_otherside21.html" TargetMode="External"/><Relationship Id="rId1596" Type="http://schemas.openxmlformats.org/officeDocument/2006/relationships/hyperlink" Target="https://casetext.com/case/estate-of-zawahri-v-fayad" TargetMode="External"/><Relationship Id="rId2135" Type="http://schemas.openxmlformats.org/officeDocument/2006/relationships/hyperlink" Target="http://www.washingtonpost.com/wp-srv/national/daily/sept99/texas16.htm" TargetMode="External"/><Relationship Id="rId2342" Type="http://schemas.openxmlformats.org/officeDocument/2006/relationships/hyperlink" Target="https://www.nydailynews.com/news/crime/ex-teacher-gunned-8-fla-1982-offered-hint-future-article-1.3840706" TargetMode="External"/><Relationship Id="rId2647" Type="http://schemas.openxmlformats.org/officeDocument/2006/relationships/hyperlink" Target="https://caselaw.findlaw.com/pa-supreme-court/1166214.html" TargetMode="External"/><Relationship Id="rId314"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521" Type="http://schemas.openxmlformats.org/officeDocument/2006/relationships/hyperlink" Target="https://www.nytimes.com/1991/10/11/nyregion/4-slain-in-2-new-jersey-attacks-and-former-postal-clerk-is-held.html?pagewanted=all" TargetMode="External"/><Relationship Id="rId619" Type="http://schemas.openxmlformats.org/officeDocument/2006/relationships/hyperlink" Target="https://www.latimes.com/archives/la-xpm-1992-11-15-mn-1096-story.html" TargetMode="External"/><Relationship Id="rId1151" Type="http://schemas.openxmlformats.org/officeDocument/2006/relationships/hyperlink" Target="https://www.cbsnews.com/news/church-police-probe-7-murders/" TargetMode="External"/><Relationship Id="rId1249" Type="http://schemas.openxmlformats.org/officeDocument/2006/relationships/hyperlink" Target="https://www.ksl.com/article/6521661" TargetMode="External"/><Relationship Id="rId2202" Type="http://schemas.openxmlformats.org/officeDocument/2006/relationships/hyperlink" Target="https://www.seattlepi.com/local/article/Isaac-Zamora-10781621.php" TargetMode="External"/><Relationship Id="rId95" Type="http://schemas.openxmlformats.org/officeDocument/2006/relationships/hyperlink" Target="https://legeros.com/history/stories/north-hills/" TargetMode="External"/><Relationship Id="rId826" Type="http://schemas.openxmlformats.org/officeDocument/2006/relationships/hyperlink" Target="https://books.google.com/books?id=3ewAoOHQQzcC&amp;pg=PA158&amp;lpg=PA158&amp;dq=matthew+beck+shooting+march+6+1998&amp;source=bl&amp;ots=FyjXTPh7sz&amp;sig=qN7NzBuWHk2XbdHNZgZAMYsS6YY&amp;hl=en&amp;sa=X&amp;ved=0ahUKEwj_7cuqhufYAhUJ7awKHU7JAa0Q6AEIOTAD" TargetMode="External"/><Relationship Id="rId1011" Type="http://schemas.openxmlformats.org/officeDocument/2006/relationships/hyperlink" Target="https://www.nytimes.com/2000/12/27/us/7-die-in-rampage-at-company-co-worker-of-victims-arrested.html" TargetMode="External"/><Relationship Id="rId1109" Type="http://schemas.openxmlformats.org/officeDocument/2006/relationships/hyperlink" Target="http://www.nbcnews.com/id/5353964/ns/us_news-crime_and_courts/t/six-dead-kansas-workplace-shooting/" TargetMode="External"/><Relationship Id="rId1456" Type="http://schemas.openxmlformats.org/officeDocument/2006/relationships/hyperlink" Target="http://content.time.com/time/magazine/article/0,9171,2042358,00.html" TargetMode="External"/><Relationship Id="rId1663" Type="http://schemas.openxmlformats.org/officeDocument/2006/relationships/hyperlink" Target="https://www.nytimes.com/2015/10/03/us/chris-harper-mercer-umpqua-community-college-shooting.html" TargetMode="External"/><Relationship Id="rId1870" Type="http://schemas.openxmlformats.org/officeDocument/2006/relationships/hyperlink" Target="https://www.cnn.com/2018/02/25/us/nikolas-cruz-warning-signs/index.html" TargetMode="External"/><Relationship Id="rId1968"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2507" Type="http://schemas.openxmlformats.org/officeDocument/2006/relationships/hyperlink" Target="https://schoolshooters.info/sites/default/files/smith_analysis_1.0.pdf" TargetMode="External"/><Relationship Id="rId2714" Type="http://schemas.openxmlformats.org/officeDocument/2006/relationships/hyperlink" Target="https://www.wausaudailyherald.com/story/news/2017/05/08/wife-details-troubles-before-her-husband-gunned-down-4-people/100164526/" TargetMode="External"/><Relationship Id="rId1316" Type="http://schemas.openxmlformats.org/officeDocument/2006/relationships/hyperlink" Target="http://www.nbcnews.com/id/23699429/ns/us_news-crime_and_courts/t/suspect-held-after-killed-junk-yard-rampage/" TargetMode="External"/><Relationship Id="rId1523" Type="http://schemas.openxmlformats.org/officeDocument/2006/relationships/hyperlink" Target="http://www.bbc.com/news/world-us-canada-19167324" TargetMode="External"/><Relationship Id="rId1730" Type="http://schemas.openxmlformats.org/officeDocument/2006/relationships/hyperlink" Target="https://www.telegraph.co.uk/news/2016/07/08/dallas-shooting-who-is-micah-johnson/" TargetMode="External"/><Relationship Id="rId22" Type="http://schemas.openxmlformats.org/officeDocument/2006/relationships/hyperlink" Target="https://upload.wikimedia.org/wikipedia/commons/c/cc/Very-long-police-report.jpg" TargetMode="External"/><Relationship Id="rId1828" Type="http://schemas.openxmlformats.org/officeDocument/2006/relationships/hyperlink" Target="https://www.nbcnews.com/news/us-news/gunman-california-shooting-spree-needed-mental-help-sister-says-n821216" TargetMode="External"/><Relationship Id="rId171" Type="http://schemas.openxmlformats.org/officeDocument/2006/relationships/hyperlink" Target="https://www.news-journal.com/news/local/daingerfield-knows-church-s-pain-after-shooting/article_bfa3ba00-2620-5b9f-8870-6a1e13e7f023.html" TargetMode="External"/><Relationship Id="rId2297" Type="http://schemas.openxmlformats.org/officeDocument/2006/relationships/hyperlink" Target="https://www.tennessean.com/story/news/2018/04/22/antioch-tn-waffle-house-shooting-naked-suspect/540033002/" TargetMode="External"/><Relationship Id="rId269" Type="http://schemas.openxmlformats.org/officeDocument/2006/relationships/hyperlink" Target="https://www.upi.com/Archives/1982/08/09/Yes-I-know-hes-killing-people/2899397713600/" TargetMode="External"/><Relationship Id="rId476" Type="http://schemas.openxmlformats.org/officeDocument/2006/relationships/hyperlink" Target="https://www.wdrb.com/news/today-marks--year-anniversary-of-standard-gravure-shooting/article_ee7bba96-66ee-5926-8ee6-a519aa39c870.html" TargetMode="External"/><Relationship Id="rId683" Type="http://schemas.openxmlformats.org/officeDocument/2006/relationships/hyperlink" Target="https://www.law.cornell.edu/background/unabom/lirr.html" TargetMode="External"/><Relationship Id="rId890" Type="http://schemas.openxmlformats.org/officeDocument/2006/relationships/hyperlink" Target="https://www.cnn.com/2013/09/18/us/columbine-high-school-shootings-fast-facts/index.html" TargetMode="External"/><Relationship Id="rId2157" Type="http://schemas.openxmlformats.org/officeDocument/2006/relationships/hyperlink" Target="https://www.gainesville.com/news/20030226/four-dead-in-ala-shooting-at-job-agency" TargetMode="External"/><Relationship Id="rId2364" Type="http://schemas.openxmlformats.org/officeDocument/2006/relationships/hyperlink" Target="https://www.theeagle.com/news/mother-of-man-convicted-of-killing-six-people-says-her-son-changed-after-a-car/article_1c073cfc-c6ad-11e7-a923-bf84ac2aa25c.html" TargetMode="External"/><Relationship Id="rId2571" Type="http://schemas.openxmlformats.org/officeDocument/2006/relationships/hyperlink" Target="https://www.washingtonpost.com/national/sheriff-calif-shooter-rodger-flew-under-the-radar-when-deputies-visited-him-in-april/2014/05/25/88123026-e3b4-11e3-8dcc-d6b7fede081a_story.html?noredirect=on&amp;utm_term=.91ecbf6a9a20" TargetMode="External"/><Relationship Id="rId129" Type="http://schemas.openxmlformats.org/officeDocument/2006/relationships/hyperlink" Target="http://www.nytimes.com/1977/02/15/archives/nazi-admirer-also-wounds-5-in-wild-attack-followed-by-a-siege-at.html" TargetMode="External"/><Relationship Id="rId336"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543" Type="http://schemas.openxmlformats.org/officeDocument/2006/relationships/hyperlink" Target="http://www.nytimes.com/1991/10/18/us/portrait-of-texas-killer-impatient-and-troubled.html?pagewanted=all" TargetMode="External"/><Relationship Id="rId988" Type="http://schemas.openxmlformats.org/officeDocument/2006/relationships/hyperlink" Target="http://www.newson6.com/story/7671838/irving-carwash-slaying-suspect-leads-authorities-to-body" TargetMode="External"/><Relationship Id="rId1173" Type="http://schemas.openxmlformats.org/officeDocument/2006/relationships/hyperlink" Target="http://news.minnesota.publicradio.org/features/2005/03/21_gundersond_redlakeshooting/" TargetMode="External"/><Relationship Id="rId1380" Type="http://schemas.openxmlformats.org/officeDocument/2006/relationships/hyperlink" Target="https://www.syracuse.com/news/2009/04/jiverly_wongs_father_our_son_w.html" TargetMode="External"/><Relationship Id="rId2017" Type="http://schemas.openxmlformats.org/officeDocument/2006/relationships/hyperlink" Target="https://www.nytimes.com/1977/08/28/archives/police-feel-sniper-killed-6-at-random-authorities-at-loss-for-a.html" TargetMode="External"/><Relationship Id="rId2224" Type="http://schemas.openxmlformats.org/officeDocument/2006/relationships/hyperlink" Target="https://www.nytimes.com/2011/01/09/us/politics/09giffords.html" TargetMode="External"/><Relationship Id="rId2669" Type="http://schemas.openxmlformats.org/officeDocument/2006/relationships/hyperlink" Target="https://www.nytimes.com/2007/12/08/us/08gunman.html" TargetMode="External"/><Relationship Id="rId403" Type="http://schemas.openxmlformats.org/officeDocument/2006/relationships/hyperlink" Target="http://articles.latimes.com/1987-04-25/news/mn-990_1_palm-bay-police" TargetMode="External"/><Relationship Id="rId750" Type="http://schemas.openxmlformats.org/officeDocument/2006/relationships/hyperlink" Target="http://articles.latimes.com/1996-04-25/news/mn-62698_1_department-officers" TargetMode="External"/><Relationship Id="rId848" Type="http://schemas.openxmlformats.org/officeDocument/2006/relationships/hyperlink" Target="https://www.pbs.org/wgbh/frontline/article/fourteen-years-later-looking-back-at-a-school-shooting/" TargetMode="External"/><Relationship Id="rId1033" Type="http://schemas.openxmlformats.org/officeDocument/2006/relationships/hyperlink" Target="http://www.cnn.com/2001/US/02/07/plant.shootings/" TargetMode="External"/><Relationship Id="rId1478" Type="http://schemas.openxmlformats.org/officeDocument/2006/relationships/hyperlink" Target="http://articles.latimes.com/2011/oct/15/local/la-me-seal-beach-shooting-20111015" TargetMode="External"/><Relationship Id="rId1685" Type="http://schemas.openxmlformats.org/officeDocument/2006/relationships/hyperlink" Target="https://www.theeagle.com/news/crime/ex-wife-testifies-about-abuse-in-punishment-phase-of-hudson-capital-murder-trial/article_1ec79c32-c4b6-11e7-8e5d-cb2285514a7a.html" TargetMode="External"/><Relationship Id="rId1892" Type="http://schemas.openxmlformats.org/officeDocument/2006/relationships/hyperlink" Target="https://abc13.com/no-federal-charges-for-santa-fe-high-shooting-suspect/5211138/" TargetMode="External"/><Relationship Id="rId2431" Type="http://schemas.openxmlformats.org/officeDocument/2006/relationships/hyperlink" Target="https://www.latimes.com/archives/la-xpm-2001-jan-10-mn-10586-story.html" TargetMode="External"/><Relationship Id="rId2529" Type="http://schemas.openxmlformats.org/officeDocument/2006/relationships/hyperlink" Target="https://www.jstor.org/stable/j.ctt1bw1ktw.9?seq=3" TargetMode="External"/><Relationship Id="rId2736" Type="http://schemas.openxmlformats.org/officeDocument/2006/relationships/hyperlink" Target="https://www.wtae.com/article/two-men-charged-with-homicide-in-connection-with-wilkinsburg-backyard-ambush/7480821" TargetMode="External"/><Relationship Id="rId610" Type="http://schemas.openxmlformats.org/officeDocument/2006/relationships/hyperlink" Target="https://www.nytimes.com/1992/11/09/us/gunman-kills-6-then-himself-in-california.html?mtrref=undefined" TargetMode="External"/><Relationship Id="rId708" Type="http://schemas.openxmlformats.org/officeDocument/2006/relationships/hyperlink" Target="http://www.nytimes.com/1995/04/04/us/6-die-in-texas-office-shooting.html" TargetMode="External"/><Relationship Id="rId915" Type="http://schemas.openxmlformats.org/officeDocument/2006/relationships/hyperlink" Target="https://lasvegassun.com/news/1999/jun/04/floyd-described-as-sweet-guy-with-violent-streak/" TargetMode="External"/><Relationship Id="rId1240" Type="http://schemas.openxmlformats.org/officeDocument/2006/relationships/hyperlink" Target="https://www.nydailynews.com/news/crime/mystery-loving-dad-amish-slay-spree-article-1.1914649" TargetMode="External"/><Relationship Id="rId1338" Type="http://schemas.openxmlformats.org/officeDocument/2006/relationships/hyperlink" Target="http://www.nytimes.com/2008/09/04/us/04spree.html" TargetMode="External"/><Relationship Id="rId1545" Type="http://schemas.openxmlformats.org/officeDocument/2006/relationships/hyperlink" Target="https://www.mprnews.org/story/2012/10/16/engeldinger_1" TargetMode="External"/><Relationship Id="rId1100" Type="http://schemas.openxmlformats.org/officeDocument/2006/relationships/hyperlink" Target="https://www.chicagotribune.com/news/ct-xpm-2003-08-28-0308280412-story.html" TargetMode="External"/><Relationship Id="rId1405" Type="http://schemas.openxmlformats.org/officeDocument/2006/relationships/hyperlink" Target="https://www.seattletimes.com/seattle-news/a-path-to-murder-the-story-of-maurice-clemmons/" TargetMode="External"/><Relationship Id="rId1752" Type="http://schemas.openxmlformats.org/officeDocument/2006/relationships/hyperlink" Target="https://www.king5.com/article/news/local/ex-girlfriend-describes-macys-shooting-suspects-rage-and-abuse/281-353593808" TargetMode="External"/><Relationship Id="rId44" Type="http://schemas.openxmlformats.org/officeDocument/2006/relationships/hyperlink" Target="https://www.newspapers.com/clip/13890105/leo_held_dies_his_motives_remain/" TargetMode="External"/><Relationship Id="rId1612" Type="http://schemas.openxmlformats.org/officeDocument/2006/relationships/hyperlink" Target="https://www.usatoday.com/story/news/nation/2013/09/16/aaron-alexis-navy-yard-shooter/2822731/" TargetMode="External"/><Relationship Id="rId1917" Type="http://schemas.openxmlformats.org/officeDocument/2006/relationships/hyperlink" Target="https://www.baltimoresun.com/news/maryland/crime/bs-md-ramos-search-20180628-story.html" TargetMode="External"/><Relationship Id="rId193" Type="http://schemas.openxmlformats.org/officeDocument/2006/relationships/hyperlink" Target="https://www.leagle.com/decision/1985350349pasuper11350" TargetMode="External"/><Relationship Id="rId498" Type="http://schemas.openxmlformats.org/officeDocument/2006/relationships/hyperlink" Target="http://www.nytimes.com/1990/06/19/us/florida-gunman-kills-8-and-wounds-6-in-office.html" TargetMode="External"/><Relationship Id="rId2081" Type="http://schemas.openxmlformats.org/officeDocument/2006/relationships/hyperlink" Target="https://www.nytimes.com/1992/10/16/nyregion/gunman-kills-4-who-collected-child-payments.html" TargetMode="External"/><Relationship Id="rId2179" Type="http://schemas.openxmlformats.org/officeDocument/2006/relationships/hyperlink" Target="https://www.seattletimes.com/seattle-news/cop-cant-shake-memory-of-capitol-hill-massacre/" TargetMode="External"/><Relationship Id="rId260"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2386" Type="http://schemas.openxmlformats.org/officeDocument/2006/relationships/hyperlink" Target="https://www.nytimes.com/1977/08/29/archives/quarrels-at-home-cited-as-cause-in-jersey-shootings.html" TargetMode="External"/><Relationship Id="rId2593" Type="http://schemas.openxmlformats.org/officeDocument/2006/relationships/hyperlink" Target="https://www.nytimes.com/2012/04/04/us/oikos-university-gunman-lined-up-victims.html" TargetMode="External"/><Relationship Id="rId120" Type="http://schemas.openxmlformats.org/officeDocument/2006/relationships/hyperlink" Target="https://www.latimes.com/socal/weekend/news/tn-wknd-et-0703-cal-state-fullerton-memorial-20160702-story.html" TargetMode="External"/><Relationship Id="rId358" Type="http://schemas.openxmlformats.org/officeDocument/2006/relationships/hyperlink" Target="http://www.dailymail.co.uk/news/article-3358291/If-kill-father-Daughter-notorious-San-Ysidro-McDonald-s-gunman-James-Huberty-speaks-trauma-30-years-on.html" TargetMode="External"/><Relationship Id="rId565" Type="http://schemas.openxmlformats.org/officeDocument/2006/relationships/hyperlink" Target="http://www.nytimes.com/1991/11/15/us/ex-postal-worker-kills-3-and-wounds-6-in-michigan.html" TargetMode="External"/><Relationship Id="rId772" Type="http://schemas.openxmlformats.org/officeDocument/2006/relationships/hyperlink" Target="https://www.concordmonitor.com/Somber-memories-20-years-after-small-town-shootings-11846765" TargetMode="External"/><Relationship Id="rId1195" Type="http://schemas.openxmlformats.org/officeDocument/2006/relationships/hyperlink" Target="https://www.myplainview.com/news/article/Gunman-kills-self-after-shooting-four-at-rural-8725414.php" TargetMode="External"/><Relationship Id="rId2039" Type="http://schemas.openxmlformats.org/officeDocument/2006/relationships/hyperlink" Target="https://www.upi.com/Archives/1983/10/12/Multiple-charges-filed-in-murder-kidnapping-spree/9012434779200/" TargetMode="External"/><Relationship Id="rId2246" Type="http://schemas.openxmlformats.org/officeDocument/2006/relationships/hyperlink" Target="https://www.seattletimes.com/seattle-news/witnesses-among-5-dead-in-federal-way/" TargetMode="External"/><Relationship Id="rId2453" Type="http://schemas.openxmlformats.org/officeDocument/2006/relationships/hyperlink" Target="https://www.courant.com/community/manchester/hc-ap-omar-thornton-racism-0808-20100808-story.html" TargetMode="External"/><Relationship Id="rId2660" Type="http://schemas.openxmlformats.org/officeDocument/2006/relationships/hyperlink" Target="http://content.time.com/time/magazine/article/0,9171,138219,00.html" TargetMode="External"/><Relationship Id="rId218" Type="http://schemas.openxmlformats.org/officeDocument/2006/relationships/hyperlink" Target="https://www.upi.com/Archives/1981/10/16/A-gunman-burst-into-an-auto-parts-store-Friday/9402372052800/" TargetMode="External"/><Relationship Id="rId425" Type="http://schemas.openxmlformats.org/officeDocument/2006/relationships/hyperlink" Target="https://books.google.com/books?id=cmTxCQAAQBAJ&amp;pg=PA160&amp;lpg=PA160&amp;dq=richard+farley+shooting+trial+not+guilty&amp;source=bl&amp;ots=eXVELWeQuC&amp;sig=ACfU3U0k_SqyWDzNiMqUfvoFxX96GSMB-g&amp;hl=en&amp;sa=X&amp;ved=2ahUKEwjw0tW1iJLkAhVBRa0KHbw8BOs4ChDoATADegQICRAB" TargetMode="External"/><Relationship Id="rId632" Type="http://schemas.openxmlformats.org/officeDocument/2006/relationships/hyperlink" Target="http://www.nytimes.com/1993/07/03/us/the-broker-who-killed-8-gunman-s-motives-a-puzzle.html" TargetMode="External"/><Relationship Id="rId1055" Type="http://schemas.openxmlformats.org/officeDocument/2006/relationships/hyperlink" Target="http://www.sfgate.com/news/article/Sacramento-rampage-5-shot-dead-Slayer-kills-2881164.php" TargetMode="External"/><Relationship Id="rId1262" Type="http://schemas.openxmlformats.org/officeDocument/2006/relationships/hyperlink" Target="https://www.latimes.com/archives/la-xpm-2007-dec-11-na-shoot11-story.html" TargetMode="External"/><Relationship Id="rId2106" Type="http://schemas.openxmlformats.org/officeDocument/2006/relationships/hyperlink" Target="https://www.wlbt.com/story/18995724/new-book-details-shooting-rampage-at-jackson-fire-station/" TargetMode="External"/><Relationship Id="rId2313" Type="http://schemas.openxmlformats.org/officeDocument/2006/relationships/hyperlink" Target="https://www.nytimes.com/2019/06/02/us/virginia-beach-dewayne-craddock.html?module=inline" TargetMode="External"/><Relationship Id="rId2520"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937" Type="http://schemas.openxmlformats.org/officeDocument/2006/relationships/hyperlink" Target="https://books.google.com/books?id=b54xcYkbSlcC&amp;lpg=PA67&amp;ots=mlvGRSb_k6&amp;dq=mark%20barton%20biography&amp;pg=PA67" TargetMode="External"/><Relationship Id="rId1122" Type="http://schemas.openxmlformats.org/officeDocument/2006/relationships/hyperlink" Target="https://www.rollingstone.com/music/music-news/behind-the-murder-of-dimebag-darrell-233541/" TargetMode="External"/><Relationship Id="rId1567" Type="http://schemas.openxmlformats.org/officeDocument/2006/relationships/hyperlink" Target="https://www.cbsnews.com/news/upstate-new-york-shooting-update-kurt-myers-suspected-gunman-killed-by-police-in-shootout/" TargetMode="External"/><Relationship Id="rId1774" Type="http://schemas.openxmlformats.org/officeDocument/2006/relationships/hyperlink" Target="https://www.wausaudailyherald.com/story/news/2017/05/08/wife-details-troubles-before-her-husband-gunned-down-4-people/100164526/" TargetMode="External"/><Relationship Id="rId1981" Type="http://schemas.openxmlformats.org/officeDocument/2006/relationships/hyperlink" Target="https://books.google.com/books?id=UEVWCHCuckMC&amp;pg=PA188&amp;lpg=PA188&amp;dq=kip+kinkel+shooting+video+games+doom&amp;source=bl&amp;ots=L7UppAZQyP&amp;sig=ACfU3U1Jwz6hA7arzD-cuQip9nhGOeCl1g&amp;hl=en&amp;sa=X&amp;ved=2ahUKEwiS96W3vMfoAhUPOs0KHTWZBegQ6AEwA3oECAkQKA" TargetMode="External"/><Relationship Id="rId2618" Type="http://schemas.openxmlformats.org/officeDocument/2006/relationships/hyperlink" Target="https://pendoreillerivervalley.com/four-killed-in-oldtown-shooting-p111-119.htm" TargetMode="External"/><Relationship Id="rId66" Type="http://schemas.openxmlformats.org/officeDocument/2006/relationships/hyperlink" Target="https://cdnc.ucr.edu/cgi-bin/cdnc?a=d&amp;d=DS19690407.2.35" TargetMode="External"/><Relationship Id="rId1427" Type="http://schemas.openxmlformats.org/officeDocument/2006/relationships/hyperlink" Target="https://www.sun-sentinel.com/news/fl-xpm-2010-06-13-sfl-hialeah-massacre-romance-06132010-story.html" TargetMode="External"/><Relationship Id="rId1634" Type="http://schemas.openxmlformats.org/officeDocument/2006/relationships/hyperlink" Target="http://www.kiro7.com/news/survivor-marysville-school-shooting-told-police-gi/27079664" TargetMode="External"/><Relationship Id="rId1841" Type="http://schemas.openxmlformats.org/officeDocument/2006/relationships/hyperlink" Target="https://www.cbsnews.com/news/pennsylvania-car-wash-shooting-suspect-jealousy-relatives-say/" TargetMode="External"/><Relationship Id="rId1939" Type="http://schemas.openxmlformats.org/officeDocument/2006/relationships/hyperlink" Target="https://www.vbgov.com/government/departments/city-auditors-office/Documents/Hillard%20Heintze%20Final%20Report%20for%20Virginia%20Beach%2011-13-2019.pdf" TargetMode="External"/><Relationship Id="rId1701" Type="http://schemas.openxmlformats.org/officeDocument/2006/relationships/hyperlink" Target="http://www.al.com/news/index.ssf/2016/02/who_is_jason_dalton_man_accuse.html" TargetMode="External"/><Relationship Id="rId282" Type="http://schemas.openxmlformats.org/officeDocument/2006/relationships/hyperlink" Target="https://www.upi.com/Archives/1983/03/03/Survivor-describes-random-shootings-that-killed-six/9561415515600/" TargetMode="External"/><Relationship Id="rId587" Type="http://schemas.openxmlformats.org/officeDocument/2006/relationships/hyperlink" Target="https://www.sacbee.com/news/local/crime/article203031444.html" TargetMode="External"/><Relationship Id="rId2170" Type="http://schemas.openxmlformats.org/officeDocument/2006/relationships/hyperlink" Target="https://www.newyorker.com/magazine/2008/02/04/death-in-georgia" TargetMode="External"/><Relationship Id="rId2268" Type="http://schemas.openxmlformats.org/officeDocument/2006/relationships/hyperlink" Target="https://www.washingtonpost.com/news/post-nation/wp/2016/12/02/one-year-after-san-bernardino-police-offer-a-possible-motive-as-questions-still-linger/" TargetMode="External"/><Relationship Id="rId8" Type="http://schemas.openxmlformats.org/officeDocument/2006/relationships/hyperlink" Target="https://www.washingtonpost.com/sf/local/2016/07/31/the-loaded-legacy-of-the-ut-tower-shooting/?hpid=hp_rhp-top-table-main_uttower-0840pm%3Ahomepage%2Fstory&amp;tid=a_inl&amp;utm_term=.6ab077235c7d" TargetMode="External"/><Relationship Id="rId142" Type="http://schemas.openxmlformats.org/officeDocument/2006/relationships/hyperlink" Target="https://books.google.com/books?id=sdd3ihupC_AC&amp;pg=PA102&amp;lpg=PA102&amp;dq=dewitt+henry+Oregon&amp;source=bl&amp;ots=z5RZDR5AY0&amp;sig=fkhOTQ4bBGZ_KfVqm4tp6TfvhBU&amp;hl=en&amp;sa=X&amp;ved=0ahUKEwj05J7qyZvZAhVKIqwKHRZADU44ChDoAQhZMA8" TargetMode="External"/><Relationship Id="rId447" Type="http://schemas.openxmlformats.org/officeDocument/2006/relationships/hyperlink" Target="https://www.wral.com/news/local/story/7609273/" TargetMode="External"/><Relationship Id="rId794" Type="http://schemas.openxmlformats.org/officeDocument/2006/relationships/hyperlink" Target="https://www.latimes.com/archives/la-xpm-1997-dec-20-mn-431-story.html" TargetMode="External"/><Relationship Id="rId1077" Type="http://schemas.openxmlformats.org/officeDocument/2006/relationships/hyperlink" Target="https://www.nwitimes.com/uncategorized/south-bend-factory-worker-kills-then-himself/article_f9510908-20ec-5629-8891-42c83bb776f3.html" TargetMode="External"/><Relationship Id="rId2030"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2128" Type="http://schemas.openxmlformats.org/officeDocument/2006/relationships/hyperlink" Target="https://www.theguardian.com/world/2009/apr/17/columbine-massacre-gun-crime-us" TargetMode="External"/><Relationship Id="rId2475" Type="http://schemas.openxmlformats.org/officeDocument/2006/relationships/hyperlink" Target="https://www.washingtonpost.com/world/national-security/police-in-dallas-he-wanted-to-kill-white-people-especially-white-officers/2016/07/08/fe66fe52-4553-11e6-88d0-6adee48be8bc_story.html" TargetMode="External"/><Relationship Id="rId2682" Type="http://schemas.openxmlformats.org/officeDocument/2006/relationships/hyperlink" Target="https://www.baltimoresun.com/news/crime/bs-md-ramos-search-20180628-story.html" TargetMode="External"/><Relationship Id="rId654" Type="http://schemas.openxmlformats.org/officeDocument/2006/relationships/hyperlink" Target="http://www.nytimes.com/1993/08/08/us/soldier-kills-4-people-and-hurts-6-in-a-restaurant-in-north-carolina.html" TargetMode="External"/><Relationship Id="rId861" Type="http://schemas.openxmlformats.org/officeDocument/2006/relationships/hyperlink" Target="http://www.pbs.org/wgbh/pages/frontline/shows/kinkel/kip/cron.html" TargetMode="External"/><Relationship Id="rId959" Type="http://schemas.openxmlformats.org/officeDocument/2006/relationships/hyperlink" Target="https://www.chicagotribune.com/news/ct-xpm-1999-09-17-9909170136-story.html" TargetMode="External"/><Relationship Id="rId1284" Type="http://schemas.openxmlformats.org/officeDocument/2006/relationships/hyperlink" Target="https://www.stltoday.com/news/local/metro/kirkwood-city-hall-shooting-years-after-tragedy-a-community-reflects/article_895f3748-b575-59bb-b02a-719dc551a4d4.html" TargetMode="External"/><Relationship Id="rId1491" Type="http://schemas.openxmlformats.org/officeDocument/2006/relationships/hyperlink" Target="https://www.seattletimes.com/seattle-news/gunman-a-life-full-of-rage-a-shocking-final-act/" TargetMode="External"/><Relationship Id="rId1589" Type="http://schemas.openxmlformats.org/officeDocument/2006/relationships/hyperlink" Target="https://www.businessinsider.com/santa-monica-college-shooting-rampage-dead-obama-fundraiser-2013-6" TargetMode="External"/><Relationship Id="rId2335" Type="http://schemas.openxmlformats.org/officeDocument/2006/relationships/hyperlink" Target="https://www.ksl.com/article/6521661" TargetMode="External"/><Relationship Id="rId2542" Type="http://schemas.openxmlformats.org/officeDocument/2006/relationships/hyperlink" Target="https://www.leagle.com/decision/1985350349pasuper11350" TargetMode="External"/><Relationship Id="rId307"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514" Type="http://schemas.openxmlformats.org/officeDocument/2006/relationships/hyperlink" Target="http://www.nytimes.com/1991/10/11/nyregion/4-slain-in-2-new-jersey-attacks-and-former-postal-clerk-is-held.html?pagewanted=all" TargetMode="External"/><Relationship Id="rId721" Type="http://schemas.openxmlformats.org/officeDocument/2006/relationships/hyperlink" Target="https://www.nytimes.com/1995/07/20/us/9-fatally-shot-in-california-in-2-incidents-over-2-days.html" TargetMode="External"/><Relationship Id="rId1144" Type="http://schemas.openxmlformats.org/officeDocument/2006/relationships/hyperlink" Target="http://www.foxnews.com/story/2005/03/16/nichols-wanted-to-be-with-his-baby-boy.html" TargetMode="External"/><Relationship Id="rId1351" Type="http://schemas.openxmlformats.org/officeDocument/2006/relationships/hyperlink" Target="https://www.seattletimes.com/seattle-news/shooting-rampage-suspect-described-as-deeply-troubled-1/" TargetMode="External"/><Relationship Id="rId1449" Type="http://schemas.openxmlformats.org/officeDocument/2006/relationships/hyperlink" Target="https://www.cbsnews.com/news/jared-loughner-who-shot-gabrielle-giffords-in-tucson-ranted-online/" TargetMode="External"/><Relationship Id="rId1796" Type="http://schemas.openxmlformats.org/officeDocument/2006/relationships/hyperlink" Target="https://www.aljazeera.com/news/2017/11/texas-church-shooting-devin-patrick-kelley-171106181800494.html" TargetMode="External"/><Relationship Id="rId2402" Type="http://schemas.openxmlformats.org/officeDocument/2006/relationships/hyperlink" Target="https://www.leagle.com/decision/incaco20090702055" TargetMode="External"/><Relationship Id="rId88" Type="http://schemas.openxmlformats.org/officeDocument/2006/relationships/hyperlink" Target="https://news.google.com/newspapers?id=Ve1OAAAAIBAJ&amp;sjid=xwEEAAAAIBAJ&amp;pg=4643,3113670&amp;dq=albany+ny+department+of+labor+employees+shot+murdered&amp;hl=en" TargetMode="External"/><Relationship Id="rId819" Type="http://schemas.openxmlformats.org/officeDocument/2006/relationships/hyperlink" Target="https://books.google.com/books?id=3ewAoOHQQzcC&amp;pg=PA158&amp;lpg=PA158&amp;dq=matthew+beck+shooting+march+6+1998&amp;source=bl&amp;ots=FyjXTPh7sz&amp;sig=qN7NzBuWHk2XbdHNZgZAMYsS6YY&amp;hl=en&amp;sa=X&amp;ved=0ahUKEwj_7cuqhufYAhUJ7awKHU7JAa0Q6AEIOTAD" TargetMode="External"/><Relationship Id="rId1004" Type="http://schemas.openxmlformats.org/officeDocument/2006/relationships/hyperlink" Target="https://web.archive.org/web/20070831085028/http:/the-duke.duq-duke.duq.edu/justice/Taylor/Baumhamm.htm" TargetMode="External"/><Relationship Id="rId1211" Type="http://schemas.openxmlformats.org/officeDocument/2006/relationships/hyperlink" Target="http://www.nytimes.com/2006/03/28/us/seattle-police-and-partygoers-still-puzzle-over-attack.html" TargetMode="External"/><Relationship Id="rId1656" Type="http://schemas.openxmlformats.org/officeDocument/2006/relationships/hyperlink" Target="https://www.timesfreepress.com/news/local/story/2016/jul/01/fbi-people-knew-july-16-shooter-wradicalized/373894/" TargetMode="External"/><Relationship Id="rId1863" Type="http://schemas.openxmlformats.org/officeDocument/2006/relationships/hyperlink" Target="https://www.sun-sentinel.com/local/broward/parkland/florida-school-shooting/fl-ne-henderson-liability-question-nikolas-cruz-20190423-story.html" TargetMode="External"/><Relationship Id="rId2707" Type="http://schemas.openxmlformats.org/officeDocument/2006/relationships/hyperlink" Target="https://www.newyorker.com/culture/cultural-comment/the-rage-of-the-incels" TargetMode="External"/><Relationship Id="rId1309" Type="http://schemas.openxmlformats.org/officeDocument/2006/relationships/hyperlink" Target="http://web.archive.org/web/20161018033626/https:/mustangnews.net/policedoubtlinkbetweensantamariakillingssanluisobispomurder/" TargetMode="External"/><Relationship Id="rId1516" Type="http://schemas.openxmlformats.org/officeDocument/2006/relationships/hyperlink" Target="http://www.cnn.com/2015/08/02/us/13th-juror-james-holmes-aurora-shooting/index.html" TargetMode="External"/><Relationship Id="rId1723" Type="http://schemas.openxmlformats.org/officeDocument/2006/relationships/hyperlink" Target="https://www.washingtonpost.com/news/morning-mix/wp/2016/07/08/like-a-little-war-snipers-shoot-11-police-officers-during-dallas-protest-march-killing-five/?utm_term=.ccb434f573d5" TargetMode="External"/><Relationship Id="rId1930" Type="http://schemas.openxmlformats.org/officeDocument/2006/relationships/hyperlink" Target="https://www.baltimoresun.com/news/maryland/crime/bs-md-ramos-search-20180628-story.html" TargetMode="External"/><Relationship Id="rId15" Type="http://schemas.openxmlformats.org/officeDocument/2006/relationships/hyperlink" Target="https://archive.nytimes.com/www.nytimes.com/library/national/080366tx-shoot.html" TargetMode="External"/><Relationship Id="rId2192" Type="http://schemas.openxmlformats.org/officeDocument/2006/relationships/hyperlink" Target="https://www.latimes.com/archives/la-xpm-2007-dec-11-na-shoot11-story.html" TargetMode="External"/><Relationship Id="rId164"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371" Type="http://schemas.openxmlformats.org/officeDocument/2006/relationships/hyperlink" Target="https://www.upi.com/Archives/1984/07/25/A-gunman-who-killed-four-people-and-wounded-another/3627459576000/" TargetMode="External"/><Relationship Id="rId2052" Type="http://schemas.openxmlformats.org/officeDocument/2006/relationships/hyperlink" Target="https://www.latimes.com/archives/la-xpm-1987-04-25-mn-990-story.html" TargetMode="External"/><Relationship Id="rId2497" Type="http://schemas.openxmlformats.org/officeDocument/2006/relationships/hyperlink" Target="http://content.time.com/time/magazine/article/0,9171,138219,00.html" TargetMode="External"/><Relationship Id="rId469" Type="http://schemas.openxmlformats.org/officeDocument/2006/relationships/hyperlink" Target="https://www.upi.com/Archives/1989/01/20/Schoolyard-gunman-laid-to-rest/9720601275600/" TargetMode="External"/><Relationship Id="rId676" Type="http://schemas.openxmlformats.org/officeDocument/2006/relationships/hyperlink" Target="https://www.wired.com/1994/06/rage/" TargetMode="External"/><Relationship Id="rId883" Type="http://schemas.openxmlformats.org/officeDocument/2006/relationships/hyperlink" Target="https://www.cnn.com/2013/09/18/us/columbine-high-school-shootings-fast-facts/index.html" TargetMode="External"/><Relationship Id="rId1099" Type="http://schemas.openxmlformats.org/officeDocument/2006/relationships/hyperlink" Target="https://www.chicagotribune.com/news/ct-xpm-2003-08-28-0308280412-story.html" TargetMode="External"/><Relationship Id="rId2357" Type="http://schemas.openxmlformats.org/officeDocument/2006/relationships/hyperlink" Target="https://spectrumlocalnews.com/nys/central-ny/news/2019/04/03/aca-shooting-jiverly-wong-letter" TargetMode="External"/><Relationship Id="rId2564" Type="http://schemas.openxmlformats.org/officeDocument/2006/relationships/hyperlink" Target="https://www.latimes.com/archives/la-xpm-1993-10-15-mn-45964-story.html" TargetMode="External"/><Relationship Id="rId231" Type="http://schemas.openxmlformats.org/officeDocument/2006/relationships/hyperlink" Target="https://www.upi.com/Archives/1981/10/16/A-gunman-burst-into-an-auto-parts-store-Friday/9402372052800/" TargetMode="External"/><Relationship Id="rId329"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536" Type="http://schemas.openxmlformats.org/officeDocument/2006/relationships/hyperlink" Target="http://www.crimemagazine.com/lubys-cafeteria-massacre-1991" TargetMode="External"/><Relationship Id="rId1166" Type="http://schemas.openxmlformats.org/officeDocument/2006/relationships/hyperlink" Target="https://www.nytimes.com/2005/03/13/us/gunman-kills-7-in-church-group-near-milwaukee.html" TargetMode="External"/><Relationship Id="rId1373" Type="http://schemas.openxmlformats.org/officeDocument/2006/relationships/hyperlink" Target="https://www.nytimes.com/2009/04/12/nyregion/12binghamton.html" TargetMode="External"/><Relationship Id="rId2217" Type="http://schemas.openxmlformats.org/officeDocument/2006/relationships/hyperlink" Target="https://www.nytimes.com/2010/08/04/nyregion/04shooting.html?mtrref=www.google.com" TargetMode="External"/><Relationship Id="rId743" Type="http://schemas.openxmlformats.org/officeDocument/2006/relationships/hyperlink" Target="https://www.chicagotribune.com/news/ct-xpm-1995-12-20-9512200177-story.html" TargetMode="External"/><Relationship Id="rId950" Type="http://schemas.openxmlformats.org/officeDocument/2006/relationships/hyperlink" Target="http://www.washingtonpost.com/wp-srv/national/daily/sept99/texas16.htm" TargetMode="External"/><Relationship Id="rId1026" Type="http://schemas.openxmlformats.org/officeDocument/2006/relationships/hyperlink" Target="https://www.deseretnews.com/article/817652/Massacre-suspect-suffered-a-breakdown-in-80s.html" TargetMode="External"/><Relationship Id="rId1580" Type="http://schemas.openxmlformats.org/officeDocument/2006/relationships/hyperlink" Target="https://www.usatoday.com/story/news/2013/03/14/upstate-new-york-herkimer-mohawk-suspect-surrounded/1986913/" TargetMode="External"/><Relationship Id="rId1678" Type="http://schemas.openxmlformats.org/officeDocument/2006/relationships/hyperlink" Target="https://www.usatoday.com/story/news/nation-now/2015/11/16/family-confirms-6-killed-texas-campsite/75893806/" TargetMode="External"/><Relationship Id="rId1885" Type="http://schemas.openxmlformats.org/officeDocument/2006/relationships/hyperlink" Target="https://www.usatoday.com/story/opinion/2018/04/27/red-flags-before-waffle-house-shooting-editorials-debates/547346002/" TargetMode="External"/><Relationship Id="rId2424" Type="http://schemas.openxmlformats.org/officeDocument/2006/relationships/hyperlink" Target="https://www.latimes.com/archives/la-xpm-1997-dec-20-mn-431-story.html" TargetMode="External"/><Relationship Id="rId2631" Type="http://schemas.openxmlformats.org/officeDocument/2006/relationships/hyperlink" Target="http://web.archive.org/web/20161018033626/https:/mustangnews.net/policedoubtlinkbetweensantamariakillingssanluisobispomurder/" TargetMode="External"/><Relationship Id="rId2729" Type="http://schemas.openxmlformats.org/officeDocument/2006/relationships/hyperlink" Target="http://www.crimemagazine.com/sniper-mark-essex" TargetMode="External"/><Relationship Id="rId603" Type="http://schemas.openxmlformats.org/officeDocument/2006/relationships/hyperlink" Target="http://www.nytimes.com/1992/10/16/nyregion/gunman-kills-4-who-collected-child-payments.html" TargetMode="External"/><Relationship Id="rId810" Type="http://schemas.openxmlformats.org/officeDocument/2006/relationships/hyperlink" Target="https://books.google.com/books?id=7WVGDgAAQBAJ&amp;pg=PT285&amp;dq=matthew+beck+unceremoniously&amp;hl=en&amp;sa=X&amp;ved=0ahUKEwiqwvXa78jhAhUR1qwKHSMbAyEQ6AEIKDAA" TargetMode="External"/><Relationship Id="rId908" Type="http://schemas.openxmlformats.org/officeDocument/2006/relationships/hyperlink" Target="http://articles.latimes.com/1999/jun/05/news/mn-44403" TargetMode="External"/><Relationship Id="rId1233" Type="http://schemas.openxmlformats.org/officeDocument/2006/relationships/hyperlink" Target="http://www.washingtonpost.com/wp-dyn/content/article/2006/05/22/AR2006052200226.html" TargetMode="External"/><Relationship Id="rId1440" Type="http://schemas.openxmlformats.org/officeDocument/2006/relationships/hyperlink" Target="https://www.courant.com/community/manchester/hc-ap-omar-thornton-racism-0808-20100808-story.html" TargetMode="External"/><Relationship Id="rId1538" Type="http://schemas.openxmlformats.org/officeDocument/2006/relationships/hyperlink" Target="https://www.splcenter.org/fighting-hate/intelligence-report/2012/sikh-temple-killer-wade-michael-page-radicalized-army" TargetMode="External"/><Relationship Id="rId1300" Type="http://schemas.openxmlformats.org/officeDocument/2006/relationships/hyperlink" Target="http://www.nbcnews.com/id/23699429/ns/us_news-crime_and_courts/t/suspect-held-after-killed-junk-yard-rampage/" TargetMode="External"/><Relationship Id="rId1745" Type="http://schemas.openxmlformats.org/officeDocument/2006/relationships/hyperlink" Target="https://www.washingtonpost.com/news/post-nation/wp/2016/09/25/after-day-long-manhunt-police-arrest-20-year-old-in-washington-state-mall-killings/?utm_term=.335996c4ae24" TargetMode="External"/><Relationship Id="rId1952" Type="http://schemas.openxmlformats.org/officeDocument/2006/relationships/hyperlink" Target="https://books.google.com/books?id=sdd3ihupC_AC&amp;pg=PA102&amp;lpg=PA102&amp;dq=%22dewitt+henry%22+shooting+trial&amp;source=bl&amp;ots=z5WTHLavSU&amp;sig=ACfU3U1yjhiRr73qN-uKnI8E7DlWHHW9vg&amp;hl=en&amp;sa=X&amp;ved=2ahUKEwiekMfblabjAhWTPM0KHWmfD6MQ6AEwA3oECAkQAQ" TargetMode="External"/><Relationship Id="rId37" Type="http://schemas.openxmlformats.org/officeDocument/2006/relationships/hyperlink" Target="http://www.nydailynews.com/news/crime/experts-clueless-man-fatally-shot-50-years-article-1.3548519" TargetMode="External"/><Relationship Id="rId1605" Type="http://schemas.openxmlformats.org/officeDocument/2006/relationships/hyperlink" Target="https://www.miamiherald.com/news/special-reports/hialeah-mass-shooting/article1953794.html" TargetMode="External"/><Relationship Id="rId1812" Type="http://schemas.openxmlformats.org/officeDocument/2006/relationships/hyperlink" Target="https://www.cnn.com/2017/11/06/us/devin-kelley-texas-church-shooting-suspect/index.html" TargetMode="External"/><Relationship Id="rId186" Type="http://schemas.openxmlformats.org/officeDocument/2006/relationships/hyperlink" Target="https://www.leagle.com/decision/1985350349pasuper11350" TargetMode="External"/><Relationship Id="rId393" Type="http://schemas.openxmlformats.org/officeDocument/2006/relationships/hyperlink" Target="https://www.okhistory.org/publications/enc/entry.php?entry=ED003" TargetMode="External"/><Relationship Id="rId2074" Type="http://schemas.openxmlformats.org/officeDocument/2006/relationships/hyperlink" Target="https://www.nytimes.com/1991/11/15/us/ex-postal-worker-kills-3-and-wounds-6-in-michigan.html" TargetMode="External"/><Relationship Id="rId2281" Type="http://schemas.openxmlformats.org/officeDocument/2006/relationships/hyperlink" Target="https://www.doj.state.wi.us/sites/default/files/oid-reports/17-1860/AAG%20Decision%20Regarding%20Marathon%20Co%20OID%20-%20Nengmy%20Vang%281%29.pdf" TargetMode="External"/><Relationship Id="rId253"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460" Type="http://schemas.openxmlformats.org/officeDocument/2006/relationships/hyperlink" Target="https://www.nytimes.com/1989/01/18/us/five-children-killed-as-gunman-attacks-a-california-school.html" TargetMode="External"/><Relationship Id="rId698" Type="http://schemas.openxmlformats.org/officeDocument/2006/relationships/hyperlink" Target="https://web.archive.org/web/20150421030616/http:/www.cofpd.org/docs-dun/final-clemency-petition-5-6.pdf" TargetMode="External"/><Relationship Id="rId1090" Type="http://schemas.openxmlformats.org/officeDocument/2006/relationships/hyperlink" Target="https://www.nytimes.com/2003/02/26/us/gunman-kills-four-at-alabama-job-agency.html" TargetMode="External"/><Relationship Id="rId2141" Type="http://schemas.openxmlformats.org/officeDocument/2006/relationships/hyperlink" Target="https://www.dallasnews.com/news/news/2012/09/20/texas-executes-man-who-murdered-5-at-irving-car-wash-12-years-ago" TargetMode="External"/><Relationship Id="rId2379" Type="http://schemas.openxmlformats.org/officeDocument/2006/relationships/hyperlink" Target="http://www.crimemagazine.com/sniper-mark-essex" TargetMode="External"/><Relationship Id="rId2586" Type="http://schemas.openxmlformats.org/officeDocument/2006/relationships/hyperlink" Target="https://www.telegraph.co.uk/news/2016/07/08/dallas-shooting-who-is-micah-johnson/" TargetMode="External"/><Relationship Id="rId113" Type="http://schemas.openxmlformats.org/officeDocument/2006/relationships/hyperlink" Target="https://news.google.com/newspapers?id=CJRPAAAAIBAJ&amp;sjid=RVIDAAAAIBAJ&amp;pg=3521,4360795&amp;hl=en" TargetMode="External"/><Relationship Id="rId320" Type="http://schemas.openxmlformats.org/officeDocument/2006/relationships/hyperlink" Target="https://www.nytimes.com/1984/05/21/us/bodies-of-seven-sought-after-shootout-in-alaska.html" TargetMode="External"/><Relationship Id="rId558" Type="http://schemas.openxmlformats.org/officeDocument/2006/relationships/hyperlink" Target="https://www.newspapers.com/clip/45307702/obituary-for-robert-daigneau-aged-45/" TargetMode="External"/><Relationship Id="rId765" Type="http://schemas.openxmlformats.org/officeDocument/2006/relationships/hyperlink" Target="https://www.deseret.com/1996/4/25/19238561/fireman-was-time-bomb-waiting" TargetMode="External"/><Relationship Id="rId972" Type="http://schemas.openxmlformats.org/officeDocument/2006/relationships/hyperlink" Target="https://www.chicagotribune.com/news/ct-xpm-1999-09-18-9909180043-story.html" TargetMode="External"/><Relationship Id="rId1188" Type="http://schemas.openxmlformats.org/officeDocument/2006/relationships/hyperlink" Target="http://articles.chicagotribune.com/2005-08-30/news/0508300294_1_gunman-killed-four-people-small-town-church-witnesses" TargetMode="External"/><Relationship Id="rId1395" Type="http://schemas.openxmlformats.org/officeDocument/2006/relationships/hyperlink" Target="https://web.archive.org/web/20101021234307/http:/seattletimes.nwsource.com/html/localnews/2013170137_otherside21.html" TargetMode="External"/><Relationship Id="rId2001" Type="http://schemas.openxmlformats.org/officeDocument/2006/relationships/hyperlink" Target="https://newspaperarchive.com/hillsdale-daily-news-apr-07-1969-p-1/" TargetMode="External"/><Relationship Id="rId2239" Type="http://schemas.openxmlformats.org/officeDocument/2006/relationships/hyperlink" Target="http://www.startribune.com/andrew-engeldinger-lost-his-job-then-opened-fire-killing-5/171774461/" TargetMode="External"/><Relationship Id="rId2446" Type="http://schemas.openxmlformats.org/officeDocument/2006/relationships/hyperlink" Target="https://www.nytimes.com/2007/12/08/us/08gunman.html" TargetMode="External"/><Relationship Id="rId2653" Type="http://schemas.openxmlformats.org/officeDocument/2006/relationships/hyperlink" Target="https://www.leagle.com/decision/incaco20090702055" TargetMode="External"/><Relationship Id="rId418" Type="http://schemas.openxmlformats.org/officeDocument/2006/relationships/hyperlink" Target="https://www.leagle.com/decision/incaco20090702055" TargetMode="External"/><Relationship Id="rId625"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832" Type="http://schemas.openxmlformats.org/officeDocument/2006/relationships/hyperlink" Target="https://www.nytimes.com/1998/03/29/us/from-wild-talk-and-friendship-to-five-deaths-in-a-schoolyard.html?mcubz=0" TargetMode="External"/><Relationship Id="rId1048" Type="http://schemas.openxmlformats.org/officeDocument/2006/relationships/hyperlink" Target="http://www.cnn.com/2001/US/02/07/plant.shootings/" TargetMode="External"/><Relationship Id="rId1255" Type="http://schemas.openxmlformats.org/officeDocument/2006/relationships/hyperlink" Target="https://www.nytimes.com/2007/04/16/us/16cnd-shooting.html?rref=collection%2Ftimestopic%2FVirginia%20Polytechnic%20Institute%20and%20State%20University&amp;action=click&amp;contentCollection=timestopics&amp;region=stream&amp;module=stream_unit&amp;version=search&amp;contentPlacem%22&amp;%22ent=1&amp;pgtype=collection" TargetMode="External"/><Relationship Id="rId1462" Type="http://schemas.openxmlformats.org/officeDocument/2006/relationships/hyperlink" Target="https://www.cbsnews.com/news/jared-loughner-who-shot-gabrielle-giffords-in-tucson-ranted-online/" TargetMode="External"/><Relationship Id="rId2306" Type="http://schemas.openxmlformats.org/officeDocument/2006/relationships/hyperlink" Target="https://www.washingtonpost.com/nation/2018/11/27/investigators-still-seeking-motive-thousand-oaks-shooting/?noredirect=on&amp;utm_term=.889384b0c0b7" TargetMode="External"/><Relationship Id="rId2513" Type="http://schemas.openxmlformats.org/officeDocument/2006/relationships/hyperlink" Target="https://www.upi.com/Archives/1981/10/16/Man-convicted-for-wild-nightclub-shootings/6579372052800/" TargetMode="External"/><Relationship Id="rId1115" Type="http://schemas.openxmlformats.org/officeDocument/2006/relationships/hyperlink" Target="https://www.chicagotribune.com/news/watchdog/chi-0509070252sep07-story.html" TargetMode="External"/><Relationship Id="rId1322" Type="http://schemas.openxmlformats.org/officeDocument/2006/relationships/hyperlink" Target="https://www.wkyt.com/home/headlines/25559494.html" TargetMode="External"/><Relationship Id="rId1767" Type="http://schemas.openxmlformats.org/officeDocument/2006/relationships/hyperlink" Target="https://www.miamiherald.com/news/nation-world/article126025249.html" TargetMode="External"/><Relationship Id="rId1974"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2720" Type="http://schemas.openxmlformats.org/officeDocument/2006/relationships/hyperlink" Target="https://www.theguardian.com/us-news/2018/oct/30/pittsburgh-synagogue-shooter-was-fringe-figure-in-online-world-of-white-supremacist-rage" TargetMode="External"/><Relationship Id="rId59" Type="http://schemas.openxmlformats.org/officeDocument/2006/relationships/hyperlink" Target="https://cdnc.ucr.edu/cgi-bin/cdnc?a=d&amp;d=MT19680319.2.34" TargetMode="External"/><Relationship Id="rId1627" Type="http://schemas.openxmlformats.org/officeDocument/2006/relationships/hyperlink" Target="http://www.nbcnews.com/news/us-news/father-marysville-school-shooting-suspect-charged-gun-buy-n333416" TargetMode="External"/><Relationship Id="rId1834" Type="http://schemas.openxmlformats.org/officeDocument/2006/relationships/hyperlink" Target="https://www.latimes.com/local/lanow/la-me-ln-tehama-shooting-neighbor-20171130-story.html" TargetMode="External"/><Relationship Id="rId2096" Type="http://schemas.openxmlformats.org/officeDocument/2006/relationships/hyperlink" Target="https://www.nytimes.com/1994/06/22/us/an-airman-s-revenge-5-minutes-of-terror.html?mtrref=undefined" TargetMode="External"/><Relationship Id="rId1901" Type="http://schemas.openxmlformats.org/officeDocument/2006/relationships/hyperlink" Target="https://www.reuters.com/article/us-texas-shooting-greece-village/greek-village-lost-for-words-over-news-of-texan-teen-gunman-idUSKCN1IK0F7" TargetMode="External"/><Relationship Id="rId275" Type="http://schemas.openxmlformats.org/officeDocument/2006/relationships/hyperlink" Target="https://www.nytimes.com/1982/08/21/us/gunman-in-miami-kills-8-in-rampage.html" TargetMode="External"/><Relationship Id="rId482" Type="http://schemas.openxmlformats.org/officeDocument/2006/relationships/hyperlink" Target="https://www.nytimes.com/1989/09/16/us/disturbed-past-of-killer-of-7-is-unraveled.html" TargetMode="External"/><Relationship Id="rId2163" Type="http://schemas.openxmlformats.org/officeDocument/2006/relationships/hyperlink" Target="http://pendoreillerivervalley.com/four-killed-in-oldtown-shooting-p111-119.htm" TargetMode="External"/><Relationship Id="rId2370"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135" Type="http://schemas.openxmlformats.org/officeDocument/2006/relationships/hyperlink" Target="https://www.nytimes.com/1977/02/15/archives/nazi-admirer-also-wounds-5-in-wild-attack-followed-by-a-siege-at.html" TargetMode="External"/><Relationship Id="rId342" Type="http://schemas.openxmlformats.org/officeDocument/2006/relationships/hyperlink" Target="https://www.nytimes.com/1984/05/21/us/bodies-of-seven-sought-after-shootout-in-alaska.html" TargetMode="External"/><Relationship Id="rId787" Type="http://schemas.openxmlformats.org/officeDocument/2006/relationships/hyperlink" Target="http://www.vpc.org/studies/wgun970915.htm" TargetMode="External"/><Relationship Id="rId994" Type="http://schemas.openxmlformats.org/officeDocument/2006/relationships/hyperlink" Target="https://www.nytimes.com/2000/04/30/us/shootings-leave-pittsburgh-suburbs-stunned.html" TargetMode="External"/><Relationship Id="rId2023" Type="http://schemas.openxmlformats.org/officeDocument/2006/relationships/hyperlink" Target="https://news.google.com/newspapers?id=xtNWAAAAIBAJ&amp;sjid=O_kDAAAAIBAJ&amp;pg=5283%2C2408948" TargetMode="External"/><Relationship Id="rId2230" Type="http://schemas.openxmlformats.org/officeDocument/2006/relationships/hyperlink" Target="https://www.latimes.com/archives/la-xpm-2011-oct-12-la-me-1013-seal-beach-shooting-20111013-story.html" TargetMode="External"/><Relationship Id="rId2468" Type="http://schemas.openxmlformats.org/officeDocument/2006/relationships/hyperlink" Target="https://www.gq.com/story/dylann-roof-making-of-an-american-terrorist" TargetMode="External"/><Relationship Id="rId2675" Type="http://schemas.openxmlformats.org/officeDocument/2006/relationships/hyperlink" Target="https://www.seattletimes.com/seattle-news/federal-way-gunman-charged-at-17-in-bb-gun-attack-on-an-ex/" TargetMode="External"/><Relationship Id="rId202" Type="http://schemas.openxmlformats.org/officeDocument/2006/relationships/hyperlink" Target="https://www.nytimes.com/1981/05/09/us/four-slain-and-20-wounded-in-bar-as-oregon-man-shoots-into-crowd.html" TargetMode="External"/><Relationship Id="rId647" Type="http://schemas.openxmlformats.org/officeDocument/2006/relationships/hyperlink" Target="https://deathpenaltycurriculum.org/node/87" TargetMode="External"/><Relationship Id="rId854" Type="http://schemas.openxmlformats.org/officeDocument/2006/relationships/hyperlink" Target="https://www.pbs.org/wgbh/frontline/article/fourteen-years-later-looking-back-at-a-school-shooting/" TargetMode="External"/><Relationship Id="rId1277" Type="http://schemas.openxmlformats.org/officeDocument/2006/relationships/hyperlink" Target="https://www.denverpost.com/2008/03/27/arvada-shooting-report-offers-new-insights-into-killer/" TargetMode="External"/><Relationship Id="rId1484" Type="http://schemas.openxmlformats.org/officeDocument/2006/relationships/hyperlink" Target="https://latimesblogs.latimes.com/lanow/2012/04/oakland-college-shooting-troubling-portrait-of-suspect-emerges.html" TargetMode="External"/><Relationship Id="rId1691" Type="http://schemas.openxmlformats.org/officeDocument/2006/relationships/hyperlink" Target="https://www.usatoday.com/story/news/nation-now/2015/11/16/family-confirms-6-killed-texas-campsite/75893806/" TargetMode="External"/><Relationship Id="rId2328" Type="http://schemas.openxmlformats.org/officeDocument/2006/relationships/hyperlink" Target="https://www.latimes.com/archives/la-xpm-1986-07-06-me-23088-story.html" TargetMode="External"/><Relationship Id="rId2535" Type="http://schemas.openxmlformats.org/officeDocument/2006/relationships/hyperlink" Target="http://www.crimemagazine.com/sniper-mark-essex" TargetMode="External"/><Relationship Id="rId507" Type="http://schemas.openxmlformats.org/officeDocument/2006/relationships/hyperlink" Target="http://www.nytimes.com/1991/10/11/nyregion/4-slain-in-2-new-jersey-attacks-and-former-postal-clerk-is-held.html?pagewanted=all" TargetMode="External"/><Relationship Id="rId714" Type="http://schemas.openxmlformats.org/officeDocument/2006/relationships/hyperlink" Target="https://books.google.com/books?id=_UHFAgAAQBAJ&amp;pg=PT47&amp;lpg=PT47&amp;dq=james+simpson+shooting&amp;source=bl&amp;ots=uixNRwZ2cp&amp;sig=ACfU3U345Z7wx7M7pp8_j6lBbNoeBuQpjw&amp;hl=en&amp;sa=X&amp;ved=2ahUKEwjQpMOxpb_jAhVDHc0KHZOJANc4ChDoATAHegQICRAB" TargetMode="External"/><Relationship Id="rId921" Type="http://schemas.openxmlformats.org/officeDocument/2006/relationships/hyperlink" Target="https://www.nytimes.com/1999/07/31/us/shootings-in-atlanta-the-overview-killer-confessed-in-a-letter-spiked-with-rage.html" TargetMode="External"/><Relationship Id="rId1137" Type="http://schemas.openxmlformats.org/officeDocument/2006/relationships/hyperlink" Target="http://www.nbcnews.com/id/7161961/ns/us_news-crime_and_courts/t/suspect-generated-fearconcern-killings/" TargetMode="External"/><Relationship Id="rId1344" Type="http://schemas.openxmlformats.org/officeDocument/2006/relationships/hyperlink" Target="https://www.nytimes.com/2008/09/04/us/04spree.html" TargetMode="External"/><Relationship Id="rId1551" Type="http://schemas.openxmlformats.org/officeDocument/2006/relationships/hyperlink" Target="https://abcnews.go.com/US/twenty-children-died-newtown-connecticut-school-shooting/story?id=17973836" TargetMode="External"/><Relationship Id="rId1789" Type="http://schemas.openxmlformats.org/officeDocument/2006/relationships/hyperlink" Target="https://www.latimes.com/business/la-fi-las-vegas-campaign-20180102-story.html" TargetMode="External"/><Relationship Id="rId1996" Type="http://schemas.openxmlformats.org/officeDocument/2006/relationships/hyperlink" Target="https://www.nydailynews.com/news/crime/experts-clueless-man-fatally-shot-50-years-article-1.3548519" TargetMode="External"/><Relationship Id="rId2602" Type="http://schemas.openxmlformats.org/officeDocument/2006/relationships/hyperlink" Target="http://archive.courierpress.com/news/rampage-at-atlantis-plastics-ends-with-six-dead-ep-448401177-325078951.html/" TargetMode="External"/><Relationship Id="rId50" Type="http://schemas.openxmlformats.org/officeDocument/2006/relationships/hyperlink" Target="https://books.google.com/books?id=LEgSiLnmgYoC&amp;pg=PA88&amp;lpg=PA88&amp;dq=%22leo+held%22+paranoid&amp;source=bl&amp;ots=lYSrqNF9p4&amp;sig=ACfU3U2hB3e3SFcOZwjkD8GJFWzEnNrU4Q&amp;hl=en&amp;sa=X&amp;ved=2ahUKEwjj-MHt4cPhAhUh8YMKHR3WBToQ6AEwAXoECAgQAQ" TargetMode="External"/><Relationship Id="rId1204" Type="http://schemas.openxmlformats.org/officeDocument/2006/relationships/hyperlink" Target="https://www.cbsnews.com/news/postal-shooters-bizarre-behavior/" TargetMode="External"/><Relationship Id="rId1411" Type="http://schemas.openxmlformats.org/officeDocument/2006/relationships/hyperlink" Target="https://www.seattletimes.com/seattle-news/a-path-to-murder-the-story-of-maurice-clemmons/" TargetMode="External"/><Relationship Id="rId1649" Type="http://schemas.openxmlformats.org/officeDocument/2006/relationships/hyperlink" Target="https://www.courthousenews.com/wp-content/uploads/2017/05/ROOF-MENTAL-HEALTH-RECORDS.pdf" TargetMode="External"/><Relationship Id="rId1856" Type="http://schemas.openxmlformats.org/officeDocument/2006/relationships/hyperlink" Target="https://www.sun-sentinel.com/local/broward/parkland/florida-school-shooting/fl-florida-school-shooting-nikolas-cruz-life-20180220-story.html" TargetMode="External"/><Relationship Id="rId1509" Type="http://schemas.openxmlformats.org/officeDocument/2006/relationships/hyperlink" Target="http://www.nytimes.com/2012/08/27/us/before-gunfire-in-colorado-theater-hints-of-bad-news-about-james-holmes.html" TargetMode="External"/><Relationship Id="rId1716" Type="http://schemas.openxmlformats.org/officeDocument/2006/relationships/hyperlink" Target="https://www.washingtonpost.com/news/morning-mix/wp/2016/07/08/like-a-little-war-snipers-shoot-11-police-officers-during-dallas-protest-march-killing-five/?utm_term=.ee535b655b3e" TargetMode="External"/><Relationship Id="rId1923" Type="http://schemas.openxmlformats.org/officeDocument/2006/relationships/hyperlink" Target="https://www.cbsnews.com/news/jarrod-ramos-annapolis-shooting-suspect-identified-maryland-shooting-capital-gazette-today-2018-06-28/" TargetMode="External"/><Relationship Id="rId297"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2185" Type="http://schemas.openxmlformats.org/officeDocument/2006/relationships/hyperlink" Target="https://www.deseret.com/2007/2/19/20002722/police-da-give-further-details-in-trolley-shooting" TargetMode="External"/><Relationship Id="rId2392" Type="http://schemas.openxmlformats.org/officeDocument/2006/relationships/hyperlink" Target="https://www.nytimes.com/1983/02/04/nyregion/gunman-kills-four-and-wounds-a-fifth-at-a-west-side-hotel.html" TargetMode="External"/><Relationship Id="rId157"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364" Type="http://schemas.openxmlformats.org/officeDocument/2006/relationships/hyperlink" Target="https://www.washingtonpost.com/archive/politics/1984/07/21/to-father-of-mass-murderer-sons-violence-is-inexplicable/377d77bd-97ff-4f22-b2a3-15c747f70ea3/?utm_term=.2439cdd644fc" TargetMode="External"/><Relationship Id="rId2045" Type="http://schemas.openxmlformats.org/officeDocument/2006/relationships/hyperlink" Target="https://www.nytimes.com/1984/07/19/us/coast-man-kills-20-in-rampage-at-a-restaurant.html" TargetMode="External"/><Relationship Id="rId2697" Type="http://schemas.openxmlformats.org/officeDocument/2006/relationships/hyperlink" Target="https://www.nytimes.com/2011/01/16/us/16loughner.html" TargetMode="External"/><Relationship Id="rId571" Type="http://schemas.openxmlformats.org/officeDocument/2006/relationships/hyperlink" Target="http://articles.latimes.com/1991-11-15/news/mn-1435_1_post-office" TargetMode="External"/><Relationship Id="rId669" Type="http://schemas.openxmlformats.org/officeDocument/2006/relationships/hyperlink" Target="http://articles.latimes.com/1993-10-15/news/mn-45964_1_fitness-club" TargetMode="External"/><Relationship Id="rId876" Type="http://schemas.openxmlformats.org/officeDocument/2006/relationships/hyperlink" Target="https://www.theguardian.com/world/2009/apr/25/dave-cullen-columbine" TargetMode="External"/><Relationship Id="rId1299" Type="http://schemas.openxmlformats.org/officeDocument/2006/relationships/hyperlink" Target="http://www.nbcnews.com/id/23699429/ns/us_news-crime_and_courts/t/suspect-held-after-killed-junk-yard-rampage/" TargetMode="External"/><Relationship Id="rId2252" Type="http://schemas.openxmlformats.org/officeDocument/2006/relationships/hyperlink" Target="https://www.theguardian.com/world/2013/sep/20/aaron-alexis-washington-navy-yard-shooter" TargetMode="External"/><Relationship Id="rId2557" Type="http://schemas.openxmlformats.org/officeDocument/2006/relationships/hyperlink" Target="https://archive.seattletimes.com/archive/?date=19911115&amp;slug=1317398" TargetMode="External"/><Relationship Id="rId224" Type="http://schemas.openxmlformats.org/officeDocument/2006/relationships/hyperlink" Target="https://www.upi.com/Archives/1981/10/16/A-gunman-burst-into-an-auto-parts-store-Friday/9402372052800/" TargetMode="External"/><Relationship Id="rId431" Type="http://schemas.openxmlformats.org/officeDocument/2006/relationships/hyperlink" Target="https://www.nytimes.com/1988/07/19/us/four-motorists-are-shot-to-death-gunman-wounded-in-12-minutes.html" TargetMode="External"/><Relationship Id="rId529" Type="http://schemas.openxmlformats.org/officeDocument/2006/relationships/hyperlink" Target="http://www.nytimes.com/1991/10/18/us/portrait-of-texas-killer-impatient-and-troubled.html?pagewanted=all" TargetMode="External"/><Relationship Id="rId736" Type="http://schemas.openxmlformats.org/officeDocument/2006/relationships/hyperlink" Target="https://www.chicagotribune.com/news/ct-xpm-1995-12-20-9512200177-story.html" TargetMode="External"/><Relationship Id="rId1061" Type="http://schemas.openxmlformats.org/officeDocument/2006/relationships/hyperlink" Target="https://www.latimes.com/archives/la-xpm-2001-sep-11-mn-44550-story.html" TargetMode="External"/><Relationship Id="rId1159" Type="http://schemas.openxmlformats.org/officeDocument/2006/relationships/hyperlink" Target="https://www.cbsnews.com/news/church-police-probe-7-murders/" TargetMode="External"/><Relationship Id="rId1366" Type="http://schemas.openxmlformats.org/officeDocument/2006/relationships/hyperlink" Target="https://www.nytimes.com/2009/04/12/nyregion/12binghamton.html" TargetMode="External"/><Relationship Id="rId2112" Type="http://schemas.openxmlformats.org/officeDocument/2006/relationships/hyperlink" Target="https://caselaw.findlaw.com/fl-supreme-court/1559835.html" TargetMode="External"/><Relationship Id="rId2417" Type="http://schemas.openxmlformats.org/officeDocument/2006/relationships/hyperlink" Target="https://www.nytimes.com/1993/12/12/nyregion/tormented-life-special-report-long-slide-privilege-ends-slaughter-train.html" TargetMode="External"/><Relationship Id="rId943" Type="http://schemas.openxmlformats.org/officeDocument/2006/relationships/hyperlink" Target="https://www.nytimes.com/1999/07/31/us/shootings-in-atlanta-the-overview-killer-confessed-in-a-letter-spiked-with-rage.html" TargetMode="External"/><Relationship Id="rId1019" Type="http://schemas.openxmlformats.org/officeDocument/2006/relationships/hyperlink" Target="https://www.nytimes.com/2000/12/27/us/7-die-in-rampage-at-company-co-worker-of-victims-arrested.html" TargetMode="External"/><Relationship Id="rId1573" Type="http://schemas.openxmlformats.org/officeDocument/2006/relationships/hyperlink" Target="https://www.uticaod.com/x930813837/2-people-reportedly-shot-at-Herkimer-car-wash" TargetMode="External"/><Relationship Id="rId1780" Type="http://schemas.openxmlformats.org/officeDocument/2006/relationships/hyperlink" Target="http://www.cnn.com/2017/06/05/us/orlando-fatalities/index.html" TargetMode="External"/><Relationship Id="rId1878" Type="http://schemas.openxmlformats.org/officeDocument/2006/relationships/hyperlink" Target="https://www.chicagotribune.com/news/breaking/ct-met-waffle-house-shooting-suspect-morton-20180423-story.html" TargetMode="External"/><Relationship Id="rId2624" Type="http://schemas.openxmlformats.org/officeDocument/2006/relationships/hyperlink" Target="https://www.chron.com/news/houston-texas/article/Gunman-kills-himself-after-deadly-rampage-1916640.php" TargetMode="External"/><Relationship Id="rId72" Type="http://schemas.openxmlformats.org/officeDocument/2006/relationships/hyperlink" Target="https://books.google.com/books?id=m8MACMLdgjwC&amp;pg=PA114&amp;lpg=PA114&amp;dq=donald+lambright+1969+shooting&amp;source=bl&amp;ots=gisF5bRVbb&amp;sig=ACfU3U2anm87LZk41hCn-OvD67-0y0dY2w&amp;hl=en&amp;sa=X&amp;ved=2ahUKEwjOgrrtuIjjAhWMbs0KHfwyBCs4ChDoATAAegQICBAB" TargetMode="External"/><Relationship Id="rId803" Type="http://schemas.openxmlformats.org/officeDocument/2006/relationships/hyperlink" Target="https://www.nytimes.com/1998/03/07/nyregion/rampage-connecticut-overview-connecticut-lottery-worker-kills-4-bosses-then.html" TargetMode="External"/><Relationship Id="rId1226" Type="http://schemas.openxmlformats.org/officeDocument/2006/relationships/hyperlink" Target="https://www.thestranger.com/seattle/dead-quiet/Content?oid=31361" TargetMode="External"/><Relationship Id="rId1433" Type="http://schemas.openxmlformats.org/officeDocument/2006/relationships/hyperlink" Target="http://articles.sun-sentinel.com/2010-06-08/sports/fl-hialeah-restaurant-shootings-20100607_1_shooting-spree-estranged-hialeah" TargetMode="External"/><Relationship Id="rId1640" Type="http://schemas.openxmlformats.org/officeDocument/2006/relationships/hyperlink" Target="http://www.newsweek.com/2015/09/25/jaylen-ray-fryberg-marysville-pilchuck-high-school-shooting-372669.html" TargetMode="External"/><Relationship Id="rId1738" Type="http://schemas.openxmlformats.org/officeDocument/2006/relationships/hyperlink" Target="https://www.washingtonpost.com/news/morning-mix/wp/2016/07/09/dallas-shooter-was-a-good-kid-says-neighbor-i-believe-he-just-snapped/?utm_term=.4fb3cd5314c8" TargetMode="External"/><Relationship Id="rId1500" Type="http://schemas.openxmlformats.org/officeDocument/2006/relationships/hyperlink" Target="http://www.cnn.com/2013/07/19/us/colorado-theater-shooting-fast-facts/index.html" TargetMode="External"/><Relationship Id="rId1945" Type="http://schemas.openxmlformats.org/officeDocument/2006/relationships/hyperlink" Target="https://www.jsonline.com/story/news/politics/2020/02/28/milwaukee-molson-coors-shooting-gwen-moore-says-victim-old-friend/4902693002/" TargetMode="External"/><Relationship Id="rId1805" Type="http://schemas.openxmlformats.org/officeDocument/2006/relationships/hyperlink" Target="https://www.aljazeera.com/news/2017/11/texas-church-shooting-devin-patrick-kelley-171106181800494.html" TargetMode="External"/><Relationship Id="rId179" Type="http://schemas.openxmlformats.org/officeDocument/2006/relationships/hyperlink" Target="https://books.google.com/books?id=zSwEAAAAMBAJ&amp;pg=PA140" TargetMode="External"/><Relationship Id="rId386" Type="http://schemas.openxmlformats.org/officeDocument/2006/relationships/hyperlink" Target="https://www.washingtonpost.com/archive/politics/1985/04/05/in-factory-town-fear-of-a-killing-pace/795719f4-fac5-45ee-a5ea-908b039750a8/?noredirect=on&amp;utm_term=.363d4155431a" TargetMode="External"/><Relationship Id="rId593" Type="http://schemas.openxmlformats.org/officeDocument/2006/relationships/hyperlink" Target="https://casetext.com/brief/s035190-people-v-houston-eric-c-respondents-brief" TargetMode="External"/><Relationship Id="rId2067" Type="http://schemas.openxmlformats.org/officeDocument/2006/relationships/hyperlink" Target="https://www.nytimes.com/1991/10/11/nyregion/4-slain-in-2-new-jersey-attacks-and-former-postal-clerk-is-held.html?pagewanted=all" TargetMode="External"/><Relationship Id="rId2274" Type="http://schemas.openxmlformats.org/officeDocument/2006/relationships/hyperlink" Target="https://www.cnn.com/2018/03/06/us/pulse-shooting-mateen-scouted-other-sites/index.html" TargetMode="External"/><Relationship Id="rId2481" Type="http://schemas.openxmlformats.org/officeDocument/2006/relationships/hyperlink" Target="https://www.jsonline.com/story/news/2020/02/27/milwaukee-miller-coors-shooting-anthony-ferrill-identified-molsoncoors-gunman-shooter/4891164002/" TargetMode="External"/><Relationship Id="rId246"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453" Type="http://schemas.openxmlformats.org/officeDocument/2006/relationships/hyperlink" Target="https://www.nytimes.com/1988/09/23/us/chicago-man-kills-4-and-wounds-2-before-dying-in-a-shootout.html" TargetMode="External"/><Relationship Id="rId660" Type="http://schemas.openxmlformats.org/officeDocument/2006/relationships/hyperlink" Target="http://articles.latimes.com/1993-10-15/news/mn-45964_1_fitness-club" TargetMode="External"/><Relationship Id="rId898" Type="http://schemas.openxmlformats.org/officeDocument/2006/relationships/hyperlink" Target="http://www.acolumbinesite.com/eric.php" TargetMode="External"/><Relationship Id="rId1083" Type="http://schemas.openxmlformats.org/officeDocument/2006/relationships/hyperlink" Target="https://www.chicagotribune.com/news/ct-xpm-2002-03-23-0203230127-story.html" TargetMode="External"/><Relationship Id="rId1290" Type="http://schemas.openxmlformats.org/officeDocument/2006/relationships/hyperlink" Target="https://www.niu.edu/forward/_pdfs/archives/feb14report.pdf" TargetMode="External"/><Relationship Id="rId2134" Type="http://schemas.openxmlformats.org/officeDocument/2006/relationships/hyperlink" Target="http://www.washingtonpost.com/wp-srv/national/daily/sept99/texas16.htm" TargetMode="External"/><Relationship Id="rId2341" Type="http://schemas.openxmlformats.org/officeDocument/2006/relationships/hyperlink" Target="https://www.upi.com/Archives/1981/10/16/Man-convicted-for-wild-nightclub-shootings/6579372052800/" TargetMode="External"/><Relationship Id="rId2579" Type="http://schemas.openxmlformats.org/officeDocument/2006/relationships/hyperlink" Target="https://www.cnn.com/2018/02/25/us/nikolas-cruz-warning-signs/index.html" TargetMode="External"/><Relationship Id="rId106" Type="http://schemas.openxmlformats.org/officeDocument/2006/relationships/hyperlink" Target="https://news.google.com/newspapers?nid=2002&amp;dat=19720622&amp;id=CbAiAAAAIBAJ&amp;sjid=FLMFAAAAIBAJ&amp;pg=5232,1749134&amp;hl=en" TargetMode="External"/><Relationship Id="rId313"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758" Type="http://schemas.openxmlformats.org/officeDocument/2006/relationships/hyperlink" Target="http://www.wlbt.com/story/18995724/new-book-details-shooting-rampage-at-jackson-fire-station/" TargetMode="External"/><Relationship Id="rId965" Type="http://schemas.openxmlformats.org/officeDocument/2006/relationships/hyperlink" Target="https://www.cnn.com/US/9909/18/texas.shooter.profile/" TargetMode="External"/><Relationship Id="rId1150" Type="http://schemas.openxmlformats.org/officeDocument/2006/relationships/hyperlink" Target="https://www.chicagotribune.com/news/ct-xpm-2005-03-13-0503130385-story.html" TargetMode="External"/><Relationship Id="rId1388" Type="http://schemas.openxmlformats.org/officeDocument/2006/relationships/hyperlink" Target="https://web.archive.org/web/20101021234307/http:/seattletimes.nwsource.com/html/localnews/2013170137_otherside21.html" TargetMode="External"/><Relationship Id="rId1595" Type="http://schemas.openxmlformats.org/officeDocument/2006/relationships/hyperlink" Target="https://www.nbclosangeles.com/news/local/Santa-Monica-Shooting-Police-News-Conference-Watch-Live-211492801.html" TargetMode="External"/><Relationship Id="rId2439" Type="http://schemas.openxmlformats.org/officeDocument/2006/relationships/hyperlink" Target="https://www2.ljworld.com/news/2004/jul/04/chaos_reigned_at/" TargetMode="External"/><Relationship Id="rId2646" Type="http://schemas.openxmlformats.org/officeDocument/2006/relationships/hyperlink" Target="https://www.chicagotribune.com/news/ct-xpm-1999-09-17-9909170136-story.html" TargetMode="External"/><Relationship Id="rId94" Type="http://schemas.openxmlformats.org/officeDocument/2006/relationships/hyperlink" Target="https://www.nytimes.com/1972/05/30/archives/gunman-slays-3-in-shopping-mall-wounds-8-and-then-kills-himself.html" TargetMode="External"/><Relationship Id="rId520" Type="http://schemas.openxmlformats.org/officeDocument/2006/relationships/hyperlink" Target="https://www.nytimes.com/1991/10/11/nyregion/4-slain-in-2-new-jersey-attacks-and-former-postal-clerk-is-held.html?pagewanted=all" TargetMode="External"/><Relationship Id="rId618"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825" Type="http://schemas.openxmlformats.org/officeDocument/2006/relationships/hyperlink" Target="https://books.google.com/books?id=3ewAoOHQQzcC&amp;pg=PA158&amp;lpg=PA158&amp;dq=matthew+beck+shooting+march+6+1998&amp;source=bl&amp;ots=FyjXTPh7sz&amp;sig=qN7NzBuWHk2XbdHNZgZAMYsS6YY&amp;hl=en&amp;sa=X&amp;ved=0ahUKEwj_7cuqhufYAhUJ7awKHU7JAa0Q6AEIOTAD" TargetMode="External"/><Relationship Id="rId1248" Type="http://schemas.openxmlformats.org/officeDocument/2006/relationships/hyperlink" Target="https://www.deseret.com/2007/2/16/20001904/more-details-emerging-on-trolley-square-gunman-and-victims" TargetMode="External"/><Relationship Id="rId1455" Type="http://schemas.openxmlformats.org/officeDocument/2006/relationships/hyperlink" Target="https://www.nytimes.com/2011/01/16/us/16loughner.html" TargetMode="External"/><Relationship Id="rId1662" Type="http://schemas.openxmlformats.org/officeDocument/2006/relationships/hyperlink" Target="https://www.latimes.com/nation/la-na-school-shootings-2017-story.html" TargetMode="External"/><Relationship Id="rId2201" Type="http://schemas.openxmlformats.org/officeDocument/2006/relationships/hyperlink" Target="https://www.seattlepi.com/local/article/Isaac-Zamora-10781621.php" TargetMode="External"/><Relationship Id="rId2506" Type="http://schemas.openxmlformats.org/officeDocument/2006/relationships/hyperlink" Target="https://newspaperarchive.com/daily-review-oct-23-1970-p-20/" TargetMode="External"/><Relationship Id="rId1010" Type="http://schemas.openxmlformats.org/officeDocument/2006/relationships/hyperlink" Target="http://www.nytimes.com/2000/12/27/us/7-die-in-rampage-at-company-co-worker-of-victims-arrested.html" TargetMode="External"/><Relationship Id="rId1108" Type="http://schemas.openxmlformats.org/officeDocument/2006/relationships/hyperlink" Target="https://www.cbsnews.com/news/sixth-death-in-kc-rampage/" TargetMode="External"/><Relationship Id="rId1315" Type="http://schemas.openxmlformats.org/officeDocument/2006/relationships/hyperlink" Target="https://lompocrecord.com/news/local/crime-and-courts/lee-leeds-to-spend-life-in-prison/article_d92f8400-d22b-11e1-907f-001a4bcf887a.html" TargetMode="External"/><Relationship Id="rId1967"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2713" Type="http://schemas.openxmlformats.org/officeDocument/2006/relationships/hyperlink" Target="https://www.seattletimes.com/seattle-news/crime/suspected-cascade-mall-gunman-charged-with-5-counts-of-premeditated-murder/" TargetMode="External"/><Relationship Id="rId1522" Type="http://schemas.openxmlformats.org/officeDocument/2006/relationships/hyperlink" Target="https://www.splcenter.org/fighting-hate/intelligence-report/2012/sikh-temple-killer-wade-michael-page-radicalized-army" TargetMode="External"/><Relationship Id="rId21" Type="http://schemas.openxmlformats.org/officeDocument/2006/relationships/hyperlink" Target="https://www.theguardian.com/us-news/2017/oct/02/las-vegas-shooting-university-of-texas-tower" TargetMode="External"/><Relationship Id="rId2089" Type="http://schemas.openxmlformats.org/officeDocument/2006/relationships/hyperlink" Target="https://www.latimes.com/archives/la-xpm-1993-10-15-mn-45964-story.html" TargetMode="External"/><Relationship Id="rId2296" Type="http://schemas.openxmlformats.org/officeDocument/2006/relationships/hyperlink" Target="https://www.tennessean.com/story/news/2018/04/22/antioch-tn-waffle-house-shooting-naked-suspect/540033002/" TargetMode="External"/><Relationship Id="rId268" Type="http://schemas.openxmlformats.org/officeDocument/2006/relationships/hyperlink" Target="http://www.nytimes.com/1982/08/10/us/digruntled-driver-slays-six-in-texas-dying-in-shootout.html" TargetMode="External"/><Relationship Id="rId475" Type="http://schemas.openxmlformats.org/officeDocument/2006/relationships/hyperlink" Target="https://www.nytimes.com/1989/09/16/us/disturbed-past-of-killer-of-7-is-unraveled.html" TargetMode="External"/><Relationship Id="rId682" Type="http://schemas.openxmlformats.org/officeDocument/2006/relationships/hyperlink" Target="https://www.nytimes.com/1993/12/10/nyregion/death-on-the-lirr-police-look-for-the-spark-that-led-to-the-shootings.html" TargetMode="External"/><Relationship Id="rId2156" Type="http://schemas.openxmlformats.org/officeDocument/2006/relationships/hyperlink" Target="https://www.gainesville.com/news/20030226/four-dead-in-ala-shooting-at-job-agency" TargetMode="External"/><Relationship Id="rId2363" Type="http://schemas.openxmlformats.org/officeDocument/2006/relationships/hyperlink" Target="https://www.local10.com/news/police-may-have-motive-in-hialeah-massacre" TargetMode="External"/><Relationship Id="rId2570" Type="http://schemas.openxmlformats.org/officeDocument/2006/relationships/hyperlink" Target="https://www.newsweek.com/2015/09/25/jaylen-ray-fryberg-marysville-pilchuck-high-school-shooting-372669.html" TargetMode="External"/><Relationship Id="rId128" Type="http://schemas.openxmlformats.org/officeDocument/2006/relationships/hyperlink" Target="https://www.nytimes.com/1977/02/15/archives/cowan-was-nice-man-to-some-in-new-rochelle-but-to-others-real.html" TargetMode="External"/><Relationship Id="rId335"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542" Type="http://schemas.openxmlformats.org/officeDocument/2006/relationships/hyperlink" Target="http://www.crimemagazine.com/lubys-cafeteria-massacre-1991" TargetMode="External"/><Relationship Id="rId1172" Type="http://schemas.openxmlformats.org/officeDocument/2006/relationships/hyperlink" Target="http://news.minnesota.publicradio.org/features/2005/03/22_ap_redlakesuspect/" TargetMode="External"/><Relationship Id="rId2016" Type="http://schemas.openxmlformats.org/officeDocument/2006/relationships/hyperlink" Target="https://www.nytimes.com/1977/08/28/archives/police-feel-sniper-killed-6-at-random-authorities-at-loss-for-a.html" TargetMode="External"/><Relationship Id="rId2223" Type="http://schemas.openxmlformats.org/officeDocument/2006/relationships/hyperlink" Target="https://www.nytimes.com/2011/01/09/us/politics/09giffords.html" TargetMode="External"/><Relationship Id="rId2430" Type="http://schemas.openxmlformats.org/officeDocument/2006/relationships/hyperlink" Target="https://www.latimes.com/archives/la-xpm-2001-jan-10-mn-10586-story.html" TargetMode="External"/><Relationship Id="rId402" Type="http://schemas.openxmlformats.org/officeDocument/2006/relationships/hyperlink" Target="http://articles.latimes.com/1987-04-25/news/mn-990_1_palm-bay-police" TargetMode="External"/><Relationship Id="rId1032" Type="http://schemas.openxmlformats.org/officeDocument/2006/relationships/hyperlink" Target="http://www.cnn.com/2001/US/02/07/plant.shootings/" TargetMode="External"/><Relationship Id="rId1989" Type="http://schemas.openxmlformats.org/officeDocument/2006/relationships/hyperlink" Target="https://books.google.com/books?id=SMexDwAAQBAJ&amp;pg=PA296&amp;lpg=PA296&amp;dq=one+goh+older+brothers&amp;source=bl&amp;ots=-4-pHOiO6V&amp;sig=ACfU3U2540CY121ivQRTH01uHVG-FRUazQ&amp;hl=en&amp;sa=X&amp;ved=2ahUKEwikr4Lznf_nAhVVnp4KHQh4DM0Q6AEwAnoECAkQAQ" TargetMode="External"/><Relationship Id="rId1849" Type="http://schemas.openxmlformats.org/officeDocument/2006/relationships/hyperlink" Target="https://www.washingtonpost.com/news/post-nation/wp/2018/01/29/jealousy-and-obsession-may-have-led-carwash-shooting-suspect-to-kill-four-relatives-say/?utm_term=.d7cd9d707838" TargetMode="External"/><Relationship Id="rId192" Type="http://schemas.openxmlformats.org/officeDocument/2006/relationships/hyperlink" Target="https://news.google.com/newspapers?nid=2002&amp;dat=19870812&amp;id=P1QuAAAAIBAJ&amp;sjid=LdoFAAAAIBAJ&amp;pg=966,2114218" TargetMode="External"/><Relationship Id="rId1709" Type="http://schemas.openxmlformats.org/officeDocument/2006/relationships/hyperlink" Target="https://www.freep.com/story/news/local/michigan/2016/02/21/neighbors-kalamazoo-suspect-good-family-man-liked-guns/80702198/" TargetMode="External"/><Relationship Id="rId1916" Type="http://schemas.openxmlformats.org/officeDocument/2006/relationships/hyperlink" Target="https://www.baltimoresun.com/news/maryland/crime/bs-md-ramos-search-20180628-story.html" TargetMode="External"/><Relationship Id="rId2080" Type="http://schemas.openxmlformats.org/officeDocument/2006/relationships/hyperlink" Target="https://www.nytimes.com/1992/10/16/nyregion/gunman-kills-4-who-collected-child-payments.html" TargetMode="External"/><Relationship Id="rId869" Type="http://schemas.openxmlformats.org/officeDocument/2006/relationships/hyperlink" Target="https://www.nytimes.com/1999/03/12/us/louisiana-shooting-kills-3-at-church-and-one-at-home.html" TargetMode="External"/><Relationship Id="rId1499" Type="http://schemas.openxmlformats.org/officeDocument/2006/relationships/hyperlink" Target="https://www.seattletimes.com/seattle-news/gunman-a-life-full-of-rage-a-shocking-final-act/" TargetMode="External"/><Relationship Id="rId729" Type="http://schemas.openxmlformats.org/officeDocument/2006/relationships/hyperlink" Target="http://articles.latimes.com/1996-11-06/local/me-61893_1_city-electrician" TargetMode="External"/><Relationship Id="rId1359" Type="http://schemas.openxmlformats.org/officeDocument/2006/relationships/hyperlink" Target="https://www.cbsnews.com/news/nc-man-convicted-of-killing-8-at-nursing-home/" TargetMode="External"/><Relationship Id="rId936" Type="http://schemas.openxmlformats.org/officeDocument/2006/relationships/hyperlink" Target="https://books.google.com/books?id=b54xcYkbSlcC&amp;lpg=PA67&amp;ots=mlvGRSb_k6&amp;dq=mark%20barton%20biography&amp;pg=PA67" TargetMode="External"/><Relationship Id="rId1219" Type="http://schemas.openxmlformats.org/officeDocument/2006/relationships/hyperlink" Target="http://www.thestranger.com/seattle/dead-quiet/Content?oid=31361" TargetMode="External"/><Relationship Id="rId1566" Type="http://schemas.openxmlformats.org/officeDocument/2006/relationships/hyperlink" Target="http://www.uticaod.com/article/20140313/NEWS/140319690" TargetMode="External"/><Relationship Id="rId1773" Type="http://schemas.openxmlformats.org/officeDocument/2006/relationships/hyperlink" Target="https://www.clarionledger.com/story/news/local/2017/02/06/4-killed-yazoo-city-nightclub-shooting/97541814/" TargetMode="External"/><Relationship Id="rId1980" Type="http://schemas.openxmlformats.org/officeDocument/2006/relationships/hyperlink" Target="https://books.google.com/books?id=3ewAoOHQQzcC&amp;pg=PA158&amp;lpg=PA158&amp;dq=matthew+beck+shooting+march+6+1998&amp;source=bl&amp;ots=FyjXTPh7sz&amp;sig=qN7NzBuWHk2XbdHNZgZAMYsS6YY&amp;hl=en&amp;sa=X&amp;ved=0ahUKEwj_7cuqhufYAhUJ7awKHU7JAa0Q6AEIOTAD" TargetMode="External"/><Relationship Id="rId2617" Type="http://schemas.openxmlformats.org/officeDocument/2006/relationships/hyperlink" Target="https://www.latimes.com/archives/la-xpm-2003-aug-28-na-shoot28-story.html" TargetMode="External"/><Relationship Id="rId65"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1426" Type="http://schemas.openxmlformats.org/officeDocument/2006/relationships/hyperlink" Target="https://www.cbsnews.com/news/florida-man-kills-four-women-in-restaurant-shooting-police-say/" TargetMode="External"/><Relationship Id="rId1633" Type="http://schemas.openxmlformats.org/officeDocument/2006/relationships/hyperlink" Target="https://www.seattletimes.com/seattle-news/they-survived-a-school-shooting-as-freshmen-four-years-later-a-diploma-doesnt-erase-the-pain/" TargetMode="External"/><Relationship Id="rId1840" Type="http://schemas.openxmlformats.org/officeDocument/2006/relationships/hyperlink" Target="https://www.cbsnews.com/news/pennsylvania-car-wash-shooting-suspect-jealousy-relatives-say/" TargetMode="External"/><Relationship Id="rId1700" Type="http://schemas.openxmlformats.org/officeDocument/2006/relationships/hyperlink" Target="http://www.al.com/news/index.ssf/2016/02/who_is_jason_dalton_man_accuse.html" TargetMode="External"/><Relationship Id="rId379" Type="http://schemas.openxmlformats.org/officeDocument/2006/relationships/hyperlink" Target="http://www.nytimes.com/1984/07/26/us/officers-tracing-gunman-s-history.html" TargetMode="External"/><Relationship Id="rId586" Type="http://schemas.openxmlformats.org/officeDocument/2006/relationships/hyperlink" Target="http://sacramento.cbslocal.com/2012/08/02/state-supreme-court-upholds-death-penalty-for-houston-in-lindhurst-high-rampage/" TargetMode="External"/><Relationship Id="rId793" Type="http://schemas.openxmlformats.org/officeDocument/2006/relationships/hyperlink" Target="http://articles.latimes.com/1997/dec/20/news/mn-431" TargetMode="External"/><Relationship Id="rId2267" Type="http://schemas.openxmlformats.org/officeDocument/2006/relationships/hyperlink" Target="https://www.washingtonpost.com/news/post-nation/wp/2016/12/02/one-year-after-san-bernardino-police-offer-a-possible-motive-as-questions-still-linger/" TargetMode="External"/><Relationship Id="rId2474" Type="http://schemas.openxmlformats.org/officeDocument/2006/relationships/hyperlink" Target="https://www.cnn.com/2016/07/08/us/philando-castile-alton-sterling-protests/index.html" TargetMode="External"/><Relationship Id="rId2681" Type="http://schemas.openxmlformats.org/officeDocument/2006/relationships/hyperlink" Target="https://www.tennessean.com/story/news/crime/2018/12/17/waffle-house-shooting-travis-reinking-father-lawsuit/2339094002/" TargetMode="External"/><Relationship Id="rId239" Type="http://schemas.openxmlformats.org/officeDocument/2006/relationships/hyperlink" Target="https://www.nytimes.com/1982/06/22/us/new-law-on-insanity-plea-stirs-dispute-in-alaska.html" TargetMode="External"/><Relationship Id="rId446" Type="http://schemas.openxmlformats.org/officeDocument/2006/relationships/hyperlink" Target="https://www.upi.com/Archives/1988/07/19/Hospital-denies-commitment-sought-for-gunman/1978585288000/" TargetMode="External"/><Relationship Id="rId653" Type="http://schemas.openxmlformats.org/officeDocument/2006/relationships/hyperlink" Target="http://www.nytimes.com/1993/08/08/us/soldier-kills-4-people-and-hurts-6-in-a-restaurant-in-north-carolina.html" TargetMode="External"/><Relationship Id="rId1076" Type="http://schemas.openxmlformats.org/officeDocument/2006/relationships/hyperlink" Target="https://www.nwitimes.com/uncategorized/south-bend-factory-worker-kills-then-himself/article_f9510908-20ec-5629-8891-42c83bb776f3.html" TargetMode="External"/><Relationship Id="rId1283" Type="http://schemas.openxmlformats.org/officeDocument/2006/relationships/hyperlink" Target="https://www.stltoday.com/news/local/metro/kirkwood-city-hall-shooting-years-after-tragedy-a-community-reflects/article_895f3748-b575-59bb-b02a-719dc551a4d4.html" TargetMode="External"/><Relationship Id="rId1490" Type="http://schemas.openxmlformats.org/officeDocument/2006/relationships/hyperlink" Target="https://www.seattletimes.com/seattle-news/gunman-a-life-full-of-rage-a-shocking-final-act/" TargetMode="External"/><Relationship Id="rId2127" Type="http://schemas.openxmlformats.org/officeDocument/2006/relationships/hyperlink" Target="https://www.theguardian.com/world/2009/apr/17/columbine-massacre-gun-crime-us" TargetMode="External"/><Relationship Id="rId2334" Type="http://schemas.openxmlformats.org/officeDocument/2006/relationships/hyperlink" Target="https://schoolshooters.info/sites/default/files/Jeffrey%20Weise%20Online.pdf" TargetMode="External"/><Relationship Id="rId306" Type="http://schemas.openxmlformats.org/officeDocument/2006/relationships/hyperlink" Target="https://www.washingtonpost.com/archive/politics/1983/12/15/after-murder-rampage-a-test-of-survival/08bb8578-7f36-4dde-b3ce-076fbcb61aff/?utm_term=.a6fb1a8bb707" TargetMode="External"/><Relationship Id="rId860" Type="http://schemas.openxmlformats.org/officeDocument/2006/relationships/hyperlink" Target="https://www.pbs.org/wgbh/pages/frontline/shows/kinkel/kip/cron.html" TargetMode="External"/><Relationship Id="rId1143" Type="http://schemas.openxmlformats.org/officeDocument/2006/relationships/hyperlink" Target="http://articles.latimes.com/2005/mar/13/nation/na-nichols13" TargetMode="External"/><Relationship Id="rId2541" Type="http://schemas.openxmlformats.org/officeDocument/2006/relationships/hyperlink" Target="https://books.google.com/books?id=zSwEAAAAMBAJ&amp;pg=PA140" TargetMode="External"/><Relationship Id="rId513" Type="http://schemas.openxmlformats.org/officeDocument/2006/relationships/hyperlink" Target="http://www.nytimes.com/1991/10/11/nyregion/4-slain-in-2-new-jersey-attacks-and-former-postal-clerk-is-held.html?pagewanted=all" TargetMode="External"/><Relationship Id="rId720" Type="http://schemas.openxmlformats.org/officeDocument/2006/relationships/hyperlink" Target="https://www.nytimes.com/1995/07/20/us/9-fatally-shot-in-california-in-2-incidents-over-2-days.html" TargetMode="External"/><Relationship Id="rId1350" Type="http://schemas.openxmlformats.org/officeDocument/2006/relationships/hyperlink" Target="https://caselaw.findlaw.com/wa-court-of-appeals/1693199.html" TargetMode="External"/><Relationship Id="rId2401"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1003" Type="http://schemas.openxmlformats.org/officeDocument/2006/relationships/hyperlink" Target="http://old.post-gazette.com/regionstate/20000429profile4.asp" TargetMode="External"/><Relationship Id="rId1210" Type="http://schemas.openxmlformats.org/officeDocument/2006/relationships/hyperlink" Target="https://www.independent.com/news/2013/jan/31/goleta-postal-murders/" TargetMode="External"/><Relationship Id="rId2191" Type="http://schemas.openxmlformats.org/officeDocument/2006/relationships/hyperlink" Target="https://www.latimes.com/archives/la-xpm-2007-dec-11-na-shoot11-story.html" TargetMode="External"/><Relationship Id="rId163"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370" Type="http://schemas.openxmlformats.org/officeDocument/2006/relationships/hyperlink" Target="https://www.upi.com/Archives/1984/07/25/A-gunman-who-killed-four-people-and-wounded-another/3627459576000/" TargetMode="External"/><Relationship Id="rId2051" Type="http://schemas.openxmlformats.org/officeDocument/2006/relationships/hyperlink" Target="https://www.latimes.com/archives/la-xpm-1986-08-21-mn-17529-story.html" TargetMode="External"/><Relationship Id="rId230" Type="http://schemas.openxmlformats.org/officeDocument/2006/relationships/hyperlink" Target="https://www.upi.com/Archives/1981/10/16/A-gunman-burst-into-an-auto-parts-store-Friday/9402372052800/" TargetMode="External"/><Relationship Id="rId1677" Type="http://schemas.openxmlformats.org/officeDocument/2006/relationships/hyperlink" Target="https://www.usatoday.com/story/news/nation-now/2015/11/16/family-confirms-6-killed-texas-campsite/75893806/" TargetMode="External"/><Relationship Id="rId1884" Type="http://schemas.openxmlformats.org/officeDocument/2006/relationships/hyperlink" Target="https://www.tennessean.com/story/news/crime/2018/12/17/waffle-house-shooting-travis-reinking-father-lawsuit/2339094002/" TargetMode="External"/><Relationship Id="rId2728" Type="http://schemas.openxmlformats.org/officeDocument/2006/relationships/hyperlink" Target="https://www.nytimes.com/2019/12/15/nyregion/jersey-city-shooting-terrorism.html" TargetMode="External"/><Relationship Id="rId907" Type="http://schemas.openxmlformats.org/officeDocument/2006/relationships/hyperlink" Target="http://articles.latimes.com/1999/jun/05/news/mn-44403" TargetMode="External"/><Relationship Id="rId1537" Type="http://schemas.openxmlformats.org/officeDocument/2006/relationships/hyperlink" Target="https://www.bbc.com/news/world-us-canada-19167324" TargetMode="External"/><Relationship Id="rId1744" Type="http://schemas.openxmlformats.org/officeDocument/2006/relationships/hyperlink" Target="https://www.washingtonpost.com/news/morning-mix/wp/2016/07/08/like-a-little-war-snipers-shoot-11-police-officers-during-dallas-protest-march-killing-five/?utm_term=.9661f2cd4d78" TargetMode="External"/><Relationship Id="rId1951" Type="http://schemas.openxmlformats.org/officeDocument/2006/relationships/hyperlink" Target="https://books.google.com/books?id=V7IluPG0GJ8C&amp;pg=PA111&amp;lpg=PA111&amp;dq=mark+essex+siblings&amp;source=bl&amp;ots=bcqfSfwZNX&amp;sig=ACfU3U3l8i0aE1ncTi8_Xwu_idbD_kDVjA&amp;hl=en&amp;sa=X&amp;ved=2ahUKEwjtjoWcmoboAhXTaM0KHR9DDT04ChDoATAFegQIBxAB" TargetMode="External"/><Relationship Id="rId36" Type="http://schemas.openxmlformats.org/officeDocument/2006/relationships/hyperlink" Target="http://www.nydailynews.com/news/crime/experts-clueless-man-fatally-shot-50-years-article-1.3548519" TargetMode="External"/><Relationship Id="rId1604" Type="http://schemas.openxmlformats.org/officeDocument/2006/relationships/hyperlink" Target="https://www.miamiherald.com/news/special-reports/hialeah-mass-shooting/article1953794.html" TargetMode="External"/><Relationship Id="rId1811" Type="http://schemas.openxmlformats.org/officeDocument/2006/relationships/hyperlink" Target="https://media.defense.gov/2018/Dec/07/2002070069/-1/-1/1/DODIG-2019-030_REDACTED.PDF" TargetMode="External"/><Relationship Id="rId697" Type="http://schemas.openxmlformats.org/officeDocument/2006/relationships/hyperlink" Target="https://web.archive.org/web/20150421030616/http:/www.cofpd.org/docs-dun/final-clemency-petition-5-6.pdf" TargetMode="External"/><Relationship Id="rId2378" Type="http://schemas.openxmlformats.org/officeDocument/2006/relationships/hyperlink" Target="http://web.archive.org/web/20160820143545/http:/www.ghe101library.com/non-fiction-articles/fishers-burkean-analysis-of-a-multiple-murder" TargetMode="External"/><Relationship Id="rId1187" Type="http://schemas.openxmlformats.org/officeDocument/2006/relationships/hyperlink" Target="http://articles.chicagotribune.com/2005-08-30/news/0508300294_1_gunman-killed-four-people-small-town-church-witnesses" TargetMode="External"/><Relationship Id="rId2585" Type="http://schemas.openxmlformats.org/officeDocument/2006/relationships/hyperlink" Target="https://www.usatoday.com/story/news/nation/2017/01/07/family-fla-shooting-suspect-says-he-dealt-mental-health-problems/96287294/" TargetMode="External"/><Relationship Id="rId557" Type="http://schemas.openxmlformats.org/officeDocument/2006/relationships/hyperlink" Target="https://www.apnews.com/2ef3eeb1eb4f91024720120a176329c8" TargetMode="External"/><Relationship Id="rId764" Type="http://schemas.openxmlformats.org/officeDocument/2006/relationships/hyperlink" Target="https://www.deseret.com/1996/4/25/19238561/fireman-was-time-bomb-waiting" TargetMode="External"/><Relationship Id="rId971" Type="http://schemas.openxmlformats.org/officeDocument/2006/relationships/hyperlink" Target="http://www.nytimes.com/1999/09/17/us/deaths-in-a-church-the-overview-an-angry-mystery-man-who-brought-death.html" TargetMode="External"/><Relationship Id="rId1394" Type="http://schemas.openxmlformats.org/officeDocument/2006/relationships/hyperlink" Target="https://www.latimes.com/archives/la-xpm-2009-dec-02-la-na-police-shooting2-2009dec02-story.html" TargetMode="External"/><Relationship Id="rId2238" Type="http://schemas.openxmlformats.org/officeDocument/2006/relationships/hyperlink" Target="https://www.cnn.com/2012/08/09/justice/wisconsin-temple-shooting/index.html" TargetMode="External"/><Relationship Id="rId2445" Type="http://schemas.openxmlformats.org/officeDocument/2006/relationships/hyperlink" Target="https://archive.seattletimes.com/archive/?date=20060718&amp;slug=huff18m" TargetMode="External"/><Relationship Id="rId2652" Type="http://schemas.openxmlformats.org/officeDocument/2006/relationships/hyperlink" Target="https://www.chicagotribune.com/news/ct-xpm-1987-04-26-8701310840-story.html" TargetMode="External"/><Relationship Id="rId417" Type="http://schemas.openxmlformats.org/officeDocument/2006/relationships/hyperlink" Target="https://www.latimes.com/archives/la-xpm-1988-02-18-mn-43514-story.html" TargetMode="External"/><Relationship Id="rId624" Type="http://schemas.openxmlformats.org/officeDocument/2006/relationships/hyperlink" Target="https://news.google.com/newspapers?id=_SdZAAAAIBAJ&amp;sjid=C0cNAAAAIBAJ&amp;pg=6601,992534&amp;dq=" TargetMode="External"/><Relationship Id="rId831" Type="http://schemas.openxmlformats.org/officeDocument/2006/relationships/hyperlink" Target="https://www.nytimes.com/1998/03/29/us/from-wild-talk-and-friendship-to-five-deaths-in-a-schoolyard.html?mcubz=0" TargetMode="External"/><Relationship Id="rId1047" Type="http://schemas.openxmlformats.org/officeDocument/2006/relationships/hyperlink" Target="http://articles.chicagotribune.com/2001-02-06/news/0102060231_1_wound-engines-gunshot" TargetMode="External"/><Relationship Id="rId1254" Type="http://schemas.openxmlformats.org/officeDocument/2006/relationships/hyperlink" Target="https://www.nytimes.com/2007/04/16/us/16cnd-shooting.html?rref=collection%2Ftimestopic%2FVirginia%20Polytechnic%20Institute%20and%20State%20University&amp;action=click&amp;contentCollection=timestopics&amp;region=stream&amp;module=stream_unit&amp;version=search&amp;contentPlacem%22&amp;%22ent=1&amp;pgtype=collection" TargetMode="External"/><Relationship Id="rId1461" Type="http://schemas.openxmlformats.org/officeDocument/2006/relationships/hyperlink" Target="https://www.nytimes.com/2011/01/16/us/16loughner.html" TargetMode="External"/><Relationship Id="rId2305" Type="http://schemas.openxmlformats.org/officeDocument/2006/relationships/hyperlink" Target="https://www.cnn.com/2018/10/27/politics/trump-jba-death-penalty-pittsburgh/index.html" TargetMode="External"/><Relationship Id="rId2512" Type="http://schemas.openxmlformats.org/officeDocument/2006/relationships/hyperlink" Target="https://books.google.com/books?id=zSwEAAAAMBAJ&amp;pg=PA140" TargetMode="External"/><Relationship Id="rId1114" Type="http://schemas.openxmlformats.org/officeDocument/2006/relationships/hyperlink" Target="https://www.chicagotribune.com/news/watchdog/chi-0509070252sep07-story.html" TargetMode="External"/><Relationship Id="rId1321" Type="http://schemas.openxmlformats.org/officeDocument/2006/relationships/hyperlink" Target="https://www.wkyt.com/home/headlines/25559494.html" TargetMode="External"/><Relationship Id="rId2095" Type="http://schemas.openxmlformats.org/officeDocument/2006/relationships/hyperlink" Target="https://www.nytimes.com/1993/12/16/us/gunman-kills-4-workers-at-colorado-restaurant.html" TargetMode="External"/><Relationship Id="rId274" Type="http://schemas.openxmlformats.org/officeDocument/2006/relationships/hyperlink" Target="http://www.nytimes.com/1982/08/10/us/digruntled-driver-slays-six-in-texas-dying-in-shootout.html" TargetMode="External"/><Relationship Id="rId481" Type="http://schemas.openxmlformats.org/officeDocument/2006/relationships/hyperlink" Target="https://www.nytimes.com/1989/09/17/us/survivors-of-shooting-and-gunman-s-relatives-ponder-sad-riddles.html" TargetMode="External"/><Relationship Id="rId2162" Type="http://schemas.openxmlformats.org/officeDocument/2006/relationships/hyperlink" Target="http://pendoreillerivervalley.com/four-killed-in-oldtown-shooting-p111-119.htm" TargetMode="External"/><Relationship Id="rId134" Type="http://schemas.openxmlformats.org/officeDocument/2006/relationships/hyperlink" Target="https://www.nytimes.com/1977/02/15/archives/cowan-was-nice-man-to-some-in-new-rochelle-but-to-others-real.html" TargetMode="External"/><Relationship Id="rId341"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2022" Type="http://schemas.openxmlformats.org/officeDocument/2006/relationships/hyperlink" Target="https://news.google.com/newspapers?id=xtNWAAAAIBAJ&amp;sjid=O_kDAAAAIBAJ&amp;pg=5283%2C2408948" TargetMode="External"/><Relationship Id="rId201" Type="http://schemas.openxmlformats.org/officeDocument/2006/relationships/hyperlink" Target="https://www.nytimes.com/1981/05/09/us/four-slain-and-20-wounded-in-bar-as-oregon-man-shoots-into-crowd.html" TargetMode="External"/><Relationship Id="rId1788" Type="http://schemas.openxmlformats.org/officeDocument/2006/relationships/hyperlink" Target="http://www.chicagotribune.com/news/nationworld/ct-orlando-workplace-shooting-20170605-story.html" TargetMode="External"/><Relationship Id="rId1995" Type="http://schemas.openxmlformats.org/officeDocument/2006/relationships/hyperlink" Target="https://www.nydailynews.com/news/crime/beauty-salon-massacre-article-1.273663" TargetMode="External"/><Relationship Id="rId1648" Type="http://schemas.openxmlformats.org/officeDocument/2006/relationships/hyperlink" Target="https://www.nytimes.com/2015/07/17/us/charleston-shooting-dylann-roof-troubled-past.html" TargetMode="External"/><Relationship Id="rId1508" Type="http://schemas.openxmlformats.org/officeDocument/2006/relationships/hyperlink" Target="http://www.nytimes.com/2012/08/27/us/before-gunfire-in-colorado-theater-hints-of-bad-news-about-james-holmes.html" TargetMode="External"/><Relationship Id="rId1855" Type="http://schemas.openxmlformats.org/officeDocument/2006/relationships/hyperlink" Target="https://www.cnn.com/2018/02/25/us/nikolas-cruz-warning-signs/index.html" TargetMode="External"/><Relationship Id="rId1715" Type="http://schemas.openxmlformats.org/officeDocument/2006/relationships/hyperlink" Target="https://www.washingtonpost.com/national/troubled-quiet-macho-angry-the-volatile-life-of-omar-mateen/2016/06/17/15229250-34a6-11e6-8758-d58e76e11b12_story.html?utm_term=.54fe6438e576" TargetMode="External"/><Relationship Id="rId1922" Type="http://schemas.openxmlformats.org/officeDocument/2006/relationships/hyperlink" Target="http://time.com/5326090/capital-gazette-maryland-shooting-victims/" TargetMode="External"/><Relationship Id="rId2489" Type="http://schemas.openxmlformats.org/officeDocument/2006/relationships/hyperlink" Target="https://law.justia.com/cases/texas/court-of-criminal-appeals/1986/69268-4.html" TargetMode="External"/><Relationship Id="rId2696" Type="http://schemas.openxmlformats.org/officeDocument/2006/relationships/hyperlink" Target="https://www.sun-sentinel.com/news/fl-xpm-2010-06-13-sfl-hialeah-massacre-romance-06132010-story.html" TargetMode="External"/><Relationship Id="rId668" Type="http://schemas.openxmlformats.org/officeDocument/2006/relationships/hyperlink" Target="http://articles.latimes.com/1993-10-15/news/mn-45964_1_fitness-club" TargetMode="External"/><Relationship Id="rId875" Type="http://schemas.openxmlformats.org/officeDocument/2006/relationships/hyperlink" Target="https://www.cnn.com/2013/09/18/us/columbine-high-school-shootings-fast-facts/index.html" TargetMode="External"/><Relationship Id="rId1298" Type="http://schemas.openxmlformats.org/officeDocument/2006/relationships/hyperlink" Target="http://www.nbcnews.com/id/23699429/ns/us_news-crime_and_courts/t/suspect-held-after-killed-junk-yard-rampage/" TargetMode="External"/><Relationship Id="rId2349" Type="http://schemas.openxmlformats.org/officeDocument/2006/relationships/hyperlink" Target="https://www.chicagotribune.com/news/ct-xpm-1999-08-05-9908050109-story.html" TargetMode="External"/><Relationship Id="rId2556" Type="http://schemas.openxmlformats.org/officeDocument/2006/relationships/hyperlink" Target="https://www.nytimes.com/1991/11/15/us/ex-postal-worker-kills-3-and-wounds-6-in-michigan.html" TargetMode="External"/><Relationship Id="rId528" Type="http://schemas.openxmlformats.org/officeDocument/2006/relationships/hyperlink" Target="http://www.nytimes.com/1991/10/18/us/portrait-of-texas-killer-impatient-and-troubled.html?pagewanted=all" TargetMode="External"/><Relationship Id="rId735" Type="http://schemas.openxmlformats.org/officeDocument/2006/relationships/hyperlink" Target="https://www.nytimes.com/1995/12/20/us/5-are-killed-by-gunman-in-bronx-shoe-store.html" TargetMode="External"/><Relationship Id="rId942" Type="http://schemas.openxmlformats.org/officeDocument/2006/relationships/hyperlink" Target="https://www.washingtonpost.com/archive/politics/1999/07/31/killer-wrote-of-fear-hopelessness/af33786a-de37-45cd-9d5f-1098379892dd/?noredirect=on&amp;utm_term=.df0baa182fdc" TargetMode="External"/><Relationship Id="rId1158" Type="http://schemas.openxmlformats.org/officeDocument/2006/relationships/hyperlink" Target="https://www.cbsnews.com/news/church-police-probe-7-murders/" TargetMode="External"/><Relationship Id="rId1365" Type="http://schemas.openxmlformats.org/officeDocument/2006/relationships/hyperlink" Target="https://www.nytimes.com/2009/04/12/nyregion/12binghamton.html" TargetMode="External"/><Relationship Id="rId1572" Type="http://schemas.openxmlformats.org/officeDocument/2006/relationships/hyperlink" Target="https://www.uticaod.com/article/20140313/NEWS/140319690" TargetMode="External"/><Relationship Id="rId2209" Type="http://schemas.openxmlformats.org/officeDocument/2006/relationships/hyperlink" Target="https://www.theguardian.com/world/2013/jun/03/fort-hood-nidal-hasan-trial?guni=Network%20front:network-front%20main-3%20Main%20trailblock:Network%20front%20-%20main%20trailblock:Position6" TargetMode="External"/><Relationship Id="rId2416" Type="http://schemas.openxmlformats.org/officeDocument/2006/relationships/hyperlink" Target="https://www.nytimes.com/1993/12/12/nyregion/tormented-life-special-report-long-slide-privilege-ends-slaughter-train.html" TargetMode="External"/><Relationship Id="rId2623" Type="http://schemas.openxmlformats.org/officeDocument/2006/relationships/hyperlink" Target="https://www.nytimes.com/2005/03/24/us/signs-of-danger-were-missed-in-a-troubled-teenagers-life.html" TargetMode="External"/><Relationship Id="rId1018" Type="http://schemas.openxmlformats.org/officeDocument/2006/relationships/hyperlink" Target="https://www.deseretnews.com/article/817652/Massacre-suspect-suffered-a-breakdown-in-80s.html" TargetMode="External"/><Relationship Id="rId1225" Type="http://schemas.openxmlformats.org/officeDocument/2006/relationships/hyperlink" Target="https://www.thestranger.com/seattle/dead-quiet/Content?oid=31361" TargetMode="External"/><Relationship Id="rId1432" Type="http://schemas.openxmlformats.org/officeDocument/2006/relationships/hyperlink" Target="https://www.sun-sentinel.com/news/fl-xpm-2010-06-13-sfl-hialeah-massacre-romance-06132010-story.html" TargetMode="External"/><Relationship Id="rId71"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802" Type="http://schemas.openxmlformats.org/officeDocument/2006/relationships/hyperlink" Target="https://www.nytimes.com/1998/03/07/nyregion/rampage-connecticut-overview-connecticut-lottery-worker-kills-4-bosses-then.html" TargetMode="External"/><Relationship Id="rId178" Type="http://schemas.openxmlformats.org/officeDocument/2006/relationships/hyperlink" Target="https://news.google.com/newspapers?id=xtNWAAAAIBAJ&amp;sjid=O_kDAAAAIBAJ&amp;pg=5283%2C2408948" TargetMode="External"/><Relationship Id="rId385" Type="http://schemas.openxmlformats.org/officeDocument/2006/relationships/hyperlink" Target="https://www.washingtonpost.com/archive/politics/1985/04/05/in-factory-town-fear-of-a-killing-pace/795719f4-fac5-45ee-a5ea-908b039750a8/?noredirect=on&amp;utm_term=.363d4155431a" TargetMode="External"/><Relationship Id="rId592" Type="http://schemas.openxmlformats.org/officeDocument/2006/relationships/hyperlink" Target="https://www.sacbee.com/news/local/crime/article203031444.html" TargetMode="External"/><Relationship Id="rId2066" Type="http://schemas.openxmlformats.org/officeDocument/2006/relationships/hyperlink" Target="https://www.nytimes.com/1991/10/11/nyregion/4-slain-in-2-new-jersey-attacks-and-former-postal-clerk-is-held.html?pagewanted=all" TargetMode="External"/><Relationship Id="rId2273" Type="http://schemas.openxmlformats.org/officeDocument/2006/relationships/hyperlink" Target="https://www.cnn.com/2018/03/06/us/pulse-shooting-mateen-scouted-other-sites/index.html" TargetMode="External"/><Relationship Id="rId2480" Type="http://schemas.openxmlformats.org/officeDocument/2006/relationships/hyperlink" Target="https://www.usatoday.com/story/news/nation/2018/11/10/thousand-oaks-shooting-gunman-posted-instagram-during-bar-massacre/1958013002/" TargetMode="External"/><Relationship Id="rId245"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452" Type="http://schemas.openxmlformats.org/officeDocument/2006/relationships/hyperlink" Target="https://www.chicagotribune.com/news/ct-xpm-1988-09-23-8802010552-story.html" TargetMode="External"/><Relationship Id="rId1082" Type="http://schemas.openxmlformats.org/officeDocument/2006/relationships/hyperlink" Target="https://www.southbendtribune.com/news/local/archive-police-recall-s-incident-with-lockey/article_aa36b908-ee30-11e2-8e04-0019bb30f31a.html" TargetMode="External"/><Relationship Id="rId2133" Type="http://schemas.openxmlformats.org/officeDocument/2006/relationships/hyperlink" Target="https://www.nytimes.com/1999/07/31/us/shootings-in-atlanta-the-overview-killer-confessed-in-a-letter-spiked-with-rage.html" TargetMode="External"/><Relationship Id="rId2340" Type="http://schemas.openxmlformats.org/officeDocument/2006/relationships/hyperlink" Target="https://books.google.com.au/books?id=8TgDAAAAMBAJ&amp;pg=PA46&amp;lpg=PA46&amp;dq=donald+lambright+%2B+shooting&amp;source=bl&amp;ots=Aato8f0Juy&amp;sig=HU7GC0ZCYmFZI1jtR93xfr2pDk0&amp;hl=en&amp;sa=X&amp;redir_esc=y" TargetMode="External"/><Relationship Id="rId105" Type="http://schemas.openxmlformats.org/officeDocument/2006/relationships/hyperlink" Target="https://www.nytimes.com/1972/06/23/archives/anger-with-employment-agency-is-cited-as-gunmans-motivation-for.html?url=http%3A%2F%2Ftimesmachine.nytimes.com%2Ftimesmachine%2F1972%2F06%2F23%2F83448005.html%3Faction%3Dclick&amp;region=ArchiveBody&amp;module=LedeAsset" TargetMode="External"/><Relationship Id="rId312"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2200" Type="http://schemas.openxmlformats.org/officeDocument/2006/relationships/hyperlink" Target="https://www.nytimes.com/2008/06/25/us/26kentuckycnd.html" TargetMode="External"/><Relationship Id="rId1899" Type="http://schemas.openxmlformats.org/officeDocument/2006/relationships/hyperlink" Target="https://abc13.com/no-federal-charges-for-santa-fe-high-shooting-suspect/5211138/" TargetMode="External"/><Relationship Id="rId1759" Type="http://schemas.openxmlformats.org/officeDocument/2006/relationships/hyperlink" Target="http://www.sun-sentinel.com/news/fort-lauderdale-hollywood-airport-shooting/fl-airport-shooting-esteban-santiago-indicted-20170126-story.html" TargetMode="External"/><Relationship Id="rId1966"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1619" Type="http://schemas.openxmlformats.org/officeDocument/2006/relationships/hyperlink" Target="https://www.cbsnews.com/news/woman-allegedly-kills-4-at-american-indian-hq-in-california/" TargetMode="External"/><Relationship Id="rId1826" Type="http://schemas.openxmlformats.org/officeDocument/2006/relationships/hyperlink" Target="https://www.cbsnews.com/news/california-shooting-gunman-kevin-janson-neal-threatened-victim-son-neighbor/" TargetMode="External"/><Relationship Id="rId779" Type="http://schemas.openxmlformats.org/officeDocument/2006/relationships/hyperlink" Target="https://www.aikenstandard.com/news/aiken-celebrated-all-america-city-win-years-ago/article_2e7d7440-4b98-11e7-8c30-43349bce4396.html" TargetMode="External"/><Relationship Id="rId986" Type="http://schemas.openxmlformats.org/officeDocument/2006/relationships/hyperlink" Target="https://books.google.com/books?id=_UHFAgAAQBAJ&amp;pg=PT73&amp;lpg=PT73&amp;dq=silvio+izquierdo-leyva&amp;source=bl&amp;ots=uixROp_2jx&amp;sig=ACfU3U3nszsWy_Mbw-rHb-Irn7AxeAoXjg&amp;hl=en&amp;sa=X&amp;ved=2ahUKEwjmtuaa_KjkAhUQ5awKHfaeDe4Q6AEwD3oECAkQAQ" TargetMode="External"/><Relationship Id="rId2667" Type="http://schemas.openxmlformats.org/officeDocument/2006/relationships/hyperlink" Target="https://caselaw.findlaw.com/la-supreme-court/1546275.html" TargetMode="External"/><Relationship Id="rId639" Type="http://schemas.openxmlformats.org/officeDocument/2006/relationships/hyperlink" Target="http://articles.orlandosentinel.com/1994-04-16/news/9404160483_1_shotgun-restaurant-french" TargetMode="External"/><Relationship Id="rId1269" Type="http://schemas.openxmlformats.org/officeDocument/2006/relationships/hyperlink" Target="https://www.foxnews.com/story/colorado-church-gunman-had-grudge-against-christian-group-cops-say" TargetMode="External"/><Relationship Id="rId1476" Type="http://schemas.openxmlformats.org/officeDocument/2006/relationships/hyperlink" Target="https://www.nbclosangeles.com/news/local/seal-beach-shooting-suspect-suffered-from-pstd/1910334/" TargetMode="External"/><Relationship Id="rId846" Type="http://schemas.openxmlformats.org/officeDocument/2006/relationships/hyperlink" Target="https://www.pbs.org/wgbh/frontline/article/fourteen-years-later-looking-back-at-a-school-shooting/" TargetMode="External"/><Relationship Id="rId1129" Type="http://schemas.openxmlformats.org/officeDocument/2006/relationships/hyperlink" Target="https://www.nytimes.com/2004/12/10/us/after-a-concert-shooting-a-who-but-not-a-why.html" TargetMode="External"/><Relationship Id="rId1683" Type="http://schemas.openxmlformats.org/officeDocument/2006/relationships/hyperlink" Target="https://www.theeagle.com/news/crime/ex-wife-testifies-about-abuse-in-punishment-phase-of-hudson-capital-murder-trial/article_1ec79c32-c4b6-11e7-8e5d-cb2285514a7a.html" TargetMode="External"/><Relationship Id="rId1890" Type="http://schemas.openxmlformats.org/officeDocument/2006/relationships/hyperlink" Target="https://www.nytimes.com/2018/04/23/us/waffle-house-shooting-nashville.htmlhttps:/www.nytimes.com/2018/04/23/us/waffle-house-shooting-nashville.html" TargetMode="External"/><Relationship Id="rId2527" Type="http://schemas.openxmlformats.org/officeDocument/2006/relationships/hyperlink" Target="https://schoolshooters.info/sites/default/files/harris_influences_ideology_1.2.pdf" TargetMode="External"/><Relationship Id="rId2734" Type="http://schemas.openxmlformats.org/officeDocument/2006/relationships/hyperlink" Target="https://www.wtae.com/article/two-men-charged-with-homicide-in-connection-with-wilkinsburg-backyard-ambush/7480821" TargetMode="External"/><Relationship Id="rId706" Type="http://schemas.openxmlformats.org/officeDocument/2006/relationships/hyperlink" Target="https://www.apnews.com/d0126666cf574fca9f1e9c109cb4c923" TargetMode="External"/><Relationship Id="rId913" Type="http://schemas.openxmlformats.org/officeDocument/2006/relationships/hyperlink" Target="https://web.archive.org/web/20030708025827/http:/www.reviewjournal.com/lvrj_home/2000/Jul-22-Sat-2000/news/14017426.html" TargetMode="External"/><Relationship Id="rId1336" Type="http://schemas.openxmlformats.org/officeDocument/2006/relationships/hyperlink" Target="http://www.seattlepi.com/local/article/Isaac-Zamora-10781621.php" TargetMode="External"/><Relationship Id="rId1543" Type="http://schemas.openxmlformats.org/officeDocument/2006/relationships/hyperlink" Target="https://www.mprnews.org/story/2013/09/27/news/accent-signage-shooting-one-year" TargetMode="External"/><Relationship Id="rId1750" Type="http://schemas.openxmlformats.org/officeDocument/2006/relationships/hyperlink" Target="https://www.king5.com/article/news/local/ex-girlfriend-describes-macys-shooting-suspects-rage-and-abuse/281-353593808" TargetMode="External"/><Relationship Id="rId42" Type="http://schemas.openxmlformats.org/officeDocument/2006/relationships/hyperlink" Target="http://www.lockhaven.com/news/community/2017/10/the-fury-of-leo-held/" TargetMode="External"/><Relationship Id="rId1403" Type="http://schemas.openxmlformats.org/officeDocument/2006/relationships/hyperlink" Target="https://www.seattletimes.com/seattle-news/a-path-to-murder-the-story-of-maurice-clemmons/" TargetMode="External"/><Relationship Id="rId1610" Type="http://schemas.openxmlformats.org/officeDocument/2006/relationships/hyperlink" Target="https://www.theguardian.com/world/2013/sep/16/aaron-alexis-washington-navy-yard-shooting" TargetMode="External"/><Relationship Id="rId289" Type="http://schemas.openxmlformats.org/officeDocument/2006/relationships/hyperlink" Target="https://www.washingtonpost.com/archive/politics/1983/12/15/after-murder-rampage-a-test-of-survival/08bb8578-7f36-4dde-b3ce-076fbcb61aff/?utm_term=.a6fb1a8bb707" TargetMode="External"/><Relationship Id="rId496" Type="http://schemas.openxmlformats.org/officeDocument/2006/relationships/hyperlink" Target="http://www.nytimes.com/1990/06/19/us/florida-gunman-kills-8-and-wounds-6-in-office.html" TargetMode="External"/><Relationship Id="rId2177" Type="http://schemas.openxmlformats.org/officeDocument/2006/relationships/hyperlink" Target="https://www.foxnews.com/story/six-dead-in-calif-post-office-shooting" TargetMode="External"/><Relationship Id="rId2384" Type="http://schemas.openxmlformats.org/officeDocument/2006/relationships/hyperlink" Target="https://kobi5.com/news/regional-news/roseburg-shootings-trigger-mass-murder-memories-in-klamath-falls-2417/" TargetMode="External"/><Relationship Id="rId2591" Type="http://schemas.openxmlformats.org/officeDocument/2006/relationships/hyperlink" Target="https://www.nytimes.com/2012/08/27/us/before-gunfire-in-colorado-theater-hints-of-bad-news-about-james-holmes.html" TargetMode="External"/><Relationship Id="rId149" Type="http://schemas.openxmlformats.org/officeDocument/2006/relationships/hyperlink" Target="https://www.nytimes.com/1977/08/27/archives/sniper-slays-6-in-jersey-and-then-takes-own-life-6areswinihjersey.html" TargetMode="External"/><Relationship Id="rId356" Type="http://schemas.openxmlformats.org/officeDocument/2006/relationships/hyperlink" Target="http://articles.latimes.com/1994-07-17/local/me-16553_1_san-ysidro" TargetMode="External"/><Relationship Id="rId563" Type="http://schemas.openxmlformats.org/officeDocument/2006/relationships/hyperlink" Target="https://www.deseretnews.com/article/194120/FIRED-POSTAL-WORKER-WHO-SHOT-9-PEOPLE-DIES-OF-HIS-INJURIES.html" TargetMode="External"/><Relationship Id="rId770" Type="http://schemas.openxmlformats.org/officeDocument/2006/relationships/hyperlink" Target="https://www.concordmonitor.com/Somber-memories-20-years-after-small-town-shootings-11846765" TargetMode="External"/><Relationship Id="rId1193" Type="http://schemas.openxmlformats.org/officeDocument/2006/relationships/hyperlink" Target="https://www.denverpost.com/2005/08/29/4-slain-near-texas-church/" TargetMode="External"/><Relationship Id="rId2037" Type="http://schemas.openxmlformats.org/officeDocument/2006/relationships/hyperlink" Target="https://www.nytimes.com/1983/02/04/nyregion/gunman-kills-four-and-wounds-a-fifth-at-a-west-side-hotel.html" TargetMode="External"/><Relationship Id="rId2244" Type="http://schemas.openxmlformats.org/officeDocument/2006/relationships/hyperlink" Target="https://www.cbsnews.com/news/upstate-new-york-shooting-update-kurt-myers-suspected-gunman-killed-by-police-in-shootout/" TargetMode="External"/><Relationship Id="rId2451" Type="http://schemas.openxmlformats.org/officeDocument/2006/relationships/hyperlink" Target="https://spectrumlocalnews.com/nys/central-ny/news/2019/04/03/aca-shooting-jiverly-wong-letter" TargetMode="External"/><Relationship Id="rId216" Type="http://schemas.openxmlformats.org/officeDocument/2006/relationships/hyperlink" Target="https://www.upi.com/Archives/1981/10/16/A-gunman-burst-into-an-auto-parts-store-Friday/9402372052800/" TargetMode="External"/><Relationship Id="rId423" Type="http://schemas.openxmlformats.org/officeDocument/2006/relationships/hyperlink" Target="https://www.latimes.com/archives/la-xpm-1988-02-18-mn-43514-story.html" TargetMode="External"/><Relationship Id="rId1053" Type="http://schemas.openxmlformats.org/officeDocument/2006/relationships/hyperlink" Target="https://www.denverpost.com/2015/04/02/gunman-kills-3-wounds-4-in-rifle-rampage-mental-patient-is-arrested/" TargetMode="External"/><Relationship Id="rId1260" Type="http://schemas.openxmlformats.org/officeDocument/2006/relationships/hyperlink" Target="https://www.nytimes.com/2007/12/08/us/08gunman.html" TargetMode="External"/><Relationship Id="rId2104" Type="http://schemas.openxmlformats.org/officeDocument/2006/relationships/hyperlink" Target="https://www.washingtonpost.com/archive/politics/1996/02/10/fired-worker-shoots-5-dead-kills-himself/fe3750b6-0748-4f95-a3b6-bb8948705e80/?noredirect=on&amp;utm_term=.cb3ee21d275f" TargetMode="External"/><Relationship Id="rId630" Type="http://schemas.openxmlformats.org/officeDocument/2006/relationships/hyperlink" Target="http://articles.latimes.com/1993-07-03/news/mn-10731_1_mortgage-business" TargetMode="External"/><Relationship Id="rId2311" Type="http://schemas.openxmlformats.org/officeDocument/2006/relationships/hyperlink" Target="https://chicago.cbslocal.com/2019/04/29/gary-martin-henry-pratt-shooting-report-police-justified/" TargetMode="External"/><Relationship Id="rId1120" Type="http://schemas.openxmlformats.org/officeDocument/2006/relationships/hyperlink" Target="https://www.chicagotribune.com/investigations/chi-0509070252sep07-story.html" TargetMode="External"/><Relationship Id="rId1937" Type="http://schemas.openxmlformats.org/officeDocument/2006/relationships/hyperlink" Target="https://www.chicagotribune.com/news/breaking/ct-met-gary-martin-aurora-shooter-20190216-story.html" TargetMode="External"/><Relationship Id="rId280" Type="http://schemas.openxmlformats.org/officeDocument/2006/relationships/hyperlink" Target="https://www.nytimes.com/1983/03/03/us/6-killed-in-alaska-in-shooting-spree.html" TargetMode="External"/><Relationship Id="rId140" Type="http://schemas.openxmlformats.org/officeDocument/2006/relationships/hyperlink" Target="https://newspaperarchive.com/murder-clipping-jul-25-1977-175277/" TargetMode="External"/><Relationship Id="rId6" Type="http://schemas.openxmlformats.org/officeDocument/2006/relationships/hyperlink" Target="https://www.npr.org/sections/health-shots/2016/07/29/487767127/gun-violence-and-mental-health-laws-50-years-after-texas-tower-sniper" TargetMode="External"/><Relationship Id="rId957" Type="http://schemas.openxmlformats.org/officeDocument/2006/relationships/hyperlink" Target="http://www.washingtonpost.com/wp-srv/national/daily/sept99/texas16.htm" TargetMode="External"/><Relationship Id="rId1587" Type="http://schemas.openxmlformats.org/officeDocument/2006/relationships/hyperlink" Target="https://www.seattletimes.com/seattle-news/witnesses-among-5-dead-in-federal-way/" TargetMode="External"/><Relationship Id="rId1794" Type="http://schemas.openxmlformats.org/officeDocument/2006/relationships/hyperlink" Target="https://www.nbcnews.com/storyline/texas-church-shooting/who-devin-kelley-alleged-texas-church-shooter-n817806" TargetMode="External"/><Relationship Id="rId2638" Type="http://schemas.openxmlformats.org/officeDocument/2006/relationships/hyperlink" Target="https://www.npr.org/templates/story/story.php?storyId=130636272" TargetMode="External"/><Relationship Id="rId86" Type="http://schemas.openxmlformats.org/officeDocument/2006/relationships/hyperlink" Target="https://news.google.com/newspapers?id=Ve1OAAAAIBAJ&amp;sjid=xwEEAAAAIBAJ&amp;pg=4643,3113670&amp;dq=albany+ny+department+of+labor+employees+shot+murdered&amp;hl=en" TargetMode="External"/><Relationship Id="rId817" Type="http://schemas.openxmlformats.org/officeDocument/2006/relationships/hyperlink" Target="https://www.nytimes.com/1998/03/08/nyregion/in-a-province-of-winners-worker-who-lost-out-takes-revenge.html" TargetMode="External"/><Relationship Id="rId1447" Type="http://schemas.openxmlformats.org/officeDocument/2006/relationships/hyperlink" Target="https://www.sandiegouniontribune.com/sdut-gang-member-gets-life-for-upstate-ny-mass-shooting-2011jun02-story.html" TargetMode="External"/><Relationship Id="rId1654" Type="http://schemas.openxmlformats.org/officeDocument/2006/relationships/hyperlink" Target="https://www.washingtonpost.com/politics/chattanooga-shooter-an-aimless-young-man-who-smoked-dope-and-shot-guns/2015/07/18/c213f6a6-2d7d-11e5-a5ea-cf74396e59ec_story.html?utm_term=.045ed5c9dce6" TargetMode="External"/><Relationship Id="rId1861" Type="http://schemas.openxmlformats.org/officeDocument/2006/relationships/hyperlink" Target="https://www.cnn.com/2018/02/14/us/nikolas-cruz-florida-shooting-suspect/index.html" TargetMode="External"/><Relationship Id="rId2705" Type="http://schemas.openxmlformats.org/officeDocument/2006/relationships/hyperlink" Target="https://www.nytimes.com/interactive/2016/12/10/us/dylann-roof-exhibit2.html" TargetMode="External"/><Relationship Id="rId1307" Type="http://schemas.openxmlformats.org/officeDocument/2006/relationships/hyperlink" Target="https://syvnews.com/news/local/crime-and-courts/leeds-believed-victims-were-mexican-mafia-defense-says/article_2182f8c2-8916-11e1-8bbd-0019bb2963f4.html" TargetMode="External"/><Relationship Id="rId1514" Type="http://schemas.openxmlformats.org/officeDocument/2006/relationships/hyperlink" Target="https://www.cbsnews.com/news/james-holmes-trial-colorado-shooter-ex-girlfriend-describes-him-as-shy/" TargetMode="External"/><Relationship Id="rId1721" Type="http://schemas.openxmlformats.org/officeDocument/2006/relationships/hyperlink" Target="http://www.cnn.com/2016/07/08/us/philando-castile-alton-sterling-protests/index.html" TargetMode="External"/><Relationship Id="rId13" Type="http://schemas.openxmlformats.org/officeDocument/2006/relationships/hyperlink" Target="http://www.rarenewspapers.com/view/568497" TargetMode="External"/><Relationship Id="rId2288" Type="http://schemas.openxmlformats.org/officeDocument/2006/relationships/hyperlink" Target="https://www.cnn.com/2017/11/05/us/texas-church-shooting-resident-action/index.html" TargetMode="External"/><Relationship Id="rId2495" Type="http://schemas.openxmlformats.org/officeDocument/2006/relationships/hyperlink" Target="https://www.upi.com/Archives/1983/03/03/Survivor-describes-random-shootings-that-killed-six/9561415515600/" TargetMode="External"/><Relationship Id="rId467" Type="http://schemas.openxmlformats.org/officeDocument/2006/relationships/hyperlink" Target="https://books.google.com/books?id=aaLTDwAAQBAJ&amp;pg=PA538&amp;lpg=PA538&amp;dq=patrick+purdy+hit+his+mother&amp;source=bl&amp;ots=aruea2Bwq5&amp;sig=ACfU3U1mXAuXFIvioUnEboXXLDFw0bmrNQ&amp;hl=en&amp;sa=X&amp;ved=2ahUKEwi6s4fVgL7pAhWGWM0KHdXqAUAQ6AEwBHoECAoQAQ" TargetMode="External"/><Relationship Id="rId1097" Type="http://schemas.openxmlformats.org/officeDocument/2006/relationships/hyperlink" Target="https://www.chicagotribune.com/news/ct-xpm-2003-08-28-0308280412-story.html" TargetMode="External"/><Relationship Id="rId2148" Type="http://schemas.openxmlformats.org/officeDocument/2006/relationships/hyperlink" Target="https://www.holmesreport.com/latest/article/navistar-respons-to-workplace-shooting" TargetMode="External"/><Relationship Id="rId674" Type="http://schemas.openxmlformats.org/officeDocument/2006/relationships/hyperlink" Target="https://www.wired.com/1994/06/rage/" TargetMode="External"/><Relationship Id="rId881" Type="http://schemas.openxmlformats.org/officeDocument/2006/relationships/hyperlink" Target="https://slate.com/news-and-politics/2004/04/at-last-we-know-why-the-columbine-killers-did-it.html" TargetMode="External"/><Relationship Id="rId2355" Type="http://schemas.openxmlformats.org/officeDocument/2006/relationships/hyperlink" Target="https://schoolshooters.info/sites/default/files/Northern%20Illinois%20University%20Official%20Report.pdf" TargetMode="External"/><Relationship Id="rId2562" Type="http://schemas.openxmlformats.org/officeDocument/2006/relationships/hyperlink" Target="https://www.chicagotribune.com/news/ct-xpm-1993-07-04-9307040062-story.html" TargetMode="External"/><Relationship Id="rId327" Type="http://schemas.openxmlformats.org/officeDocument/2006/relationships/hyperlink" Target="https://www.nytimes.com/1984/11/11/us/memories-of-springtime-murders-chill-small-alaskan-town.html" TargetMode="External"/><Relationship Id="rId534" Type="http://schemas.openxmlformats.org/officeDocument/2006/relationships/hyperlink" Target="http://www.crimemagazine.com/lubys-cafeteria-massacre-1991" TargetMode="External"/><Relationship Id="rId741" Type="http://schemas.openxmlformats.org/officeDocument/2006/relationships/hyperlink" Target="https://www.nytimes.com/1995/12/21/nyregion/bronx-gunman-was-under-treatment-for-schizophrenia.html" TargetMode="External"/><Relationship Id="rId1164" Type="http://schemas.openxmlformats.org/officeDocument/2006/relationships/hyperlink" Target="https://books.google.com/books?id=cmTxCQAAQBAJ&amp;pg=PA483&amp;lpg=PA483&amp;dq=terry+ratzmann+autopsy&amp;source=bl&amp;ots=eXUyJ-eUsC&amp;sig=ACfU3U0AnH0CEJQNTyozFGri7z8JmECjwg&amp;hl=en&amp;sa=X&amp;ved=2ahUKEwjfy9SyhrzgAhUYCDQIHdimD1s4ChDoATAAegQICRAB" TargetMode="External"/><Relationship Id="rId1371" Type="http://schemas.openxmlformats.org/officeDocument/2006/relationships/hyperlink" Target="https://www.nytimes.com/2009/04/12/nyregion/12binghamton.html" TargetMode="External"/><Relationship Id="rId2008" Type="http://schemas.openxmlformats.org/officeDocument/2006/relationships/hyperlink" Target="http://www.crimemagazine.com/sniper-mark-essex" TargetMode="External"/><Relationship Id="rId2215" Type="http://schemas.openxmlformats.org/officeDocument/2006/relationships/hyperlink" Target="https://www.sun-sentinel.com/news/fl-xpm-2010-06-13-sfl-hialeah-massacre-romance-06132010-story.html" TargetMode="External"/><Relationship Id="rId2422" Type="http://schemas.openxmlformats.org/officeDocument/2006/relationships/hyperlink" Target="https://apnews.com/cec11122f0b4c232725599b3ae3d7bcf" TargetMode="External"/><Relationship Id="rId601" Type="http://schemas.openxmlformats.org/officeDocument/2006/relationships/hyperlink" Target="http://www.nytimes.com/1992/10/16/nyregion/gunman-kills-4-who-collected-child-payments.html" TargetMode="External"/><Relationship Id="rId1024" Type="http://schemas.openxmlformats.org/officeDocument/2006/relationships/hyperlink" Target="https://www.deseretnews.com/article/817652/Massacre-suspect-suffered-a-breakdown-in-80s.html" TargetMode="External"/><Relationship Id="rId1231" Type="http://schemas.openxmlformats.org/officeDocument/2006/relationships/hyperlink" Target="http://www.nbcnews.com/id/12035924/ns/us_news-crime_and_courts/t/police-seattle-shooter-said-plenty-everyone/" TargetMode="External"/><Relationship Id="rId184" Type="http://schemas.openxmlformats.org/officeDocument/2006/relationships/hyperlink" Target="https://www.leagle.com/decision/1985350349pasuper11350" TargetMode="External"/><Relationship Id="rId391" Type="http://schemas.openxmlformats.org/officeDocument/2006/relationships/hyperlink" Target="https://www.nbcphiladelphia.com/news/local/Memories-of-1985-Pa-Factory-Slayings-Revived-224724192.html" TargetMode="External"/><Relationship Id="rId1908" Type="http://schemas.openxmlformats.org/officeDocument/2006/relationships/hyperlink" Target="https://www.newyorker.com/news/news-desk/this-is-a-dream-i-cant-wake-up-from" TargetMode="External"/><Relationship Id="rId2072" Type="http://schemas.openxmlformats.org/officeDocument/2006/relationships/hyperlink" Target="https://www.apnews.com/2ef3eeb1eb4f91024720120a176329c8" TargetMode="External"/><Relationship Id="rId251"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111" Type="http://schemas.openxmlformats.org/officeDocument/2006/relationships/hyperlink" Target="https://cdnc.ucr.edu/cgi-bin/cdnc?a=d&amp;d=DS19750303.2.21&amp;e=-------en--20--1--txt-txIN--------1" TargetMode="External"/><Relationship Id="rId1698" Type="http://schemas.openxmlformats.org/officeDocument/2006/relationships/hyperlink" Target="https://www.washingtonpost.com/news/post-nation/wp/2015/12/05/fbi-investigating-san-bernardino-shooting-as-an-act-of-terrorism/?utm_term=.26778606e72e" TargetMode="External"/><Relationship Id="rId928" Type="http://schemas.openxmlformats.org/officeDocument/2006/relationships/hyperlink" Target="https://www.ajc.com/news/local-govt--politics/atlanta-rewind-mark-barton-1999-buckhead-rampage/nKrh2xInFnAcGFCW7CrFGL/" TargetMode="External"/><Relationship Id="rId1558" Type="http://schemas.openxmlformats.org/officeDocument/2006/relationships/hyperlink" Target="https://www.nytimes.com/2017/10/26/us/adam-lanza-sandy-hook.html" TargetMode="External"/><Relationship Id="rId1765" Type="http://schemas.openxmlformats.org/officeDocument/2006/relationships/hyperlink" Target="https://www.sun-sentinel.com/news/fort-lauderdale-hollywood-airport-shooting/fl-esteban-santiago-brother-talks-20170109-story.html" TargetMode="External"/><Relationship Id="rId2609" Type="http://schemas.openxmlformats.org/officeDocument/2006/relationships/hyperlink" Target="https://www.nytimes.com/1999/06/29/us/shattered-lives-special-report-caring-parents-no-answers-columbine-killers-pasts.html" TargetMode="External"/><Relationship Id="rId57" Type="http://schemas.openxmlformats.org/officeDocument/2006/relationships/hyperlink" Target="http://www.nydailynews.com/news/crime/experts-clueless-man-fatally-shot-50-years-article-1.3548519" TargetMode="External"/><Relationship Id="rId1418" Type="http://schemas.openxmlformats.org/officeDocument/2006/relationships/hyperlink" Target="https://www.latimes.com/archives/la-xpm-2010-apr-22-la-me-0423-valley-massacre-20100423-story.html" TargetMode="External"/><Relationship Id="rId1972"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1625" Type="http://schemas.openxmlformats.org/officeDocument/2006/relationships/hyperlink" Target="http://www.cnn.com/2014/10/24/us/washington-school-shooter/index.html" TargetMode="External"/><Relationship Id="rId1832" Type="http://schemas.openxmlformats.org/officeDocument/2006/relationships/hyperlink" Target="https://www.nbcnews.com/news/us-news/gunman-california-shooting-spree-needed-mental-help-sister-says-n821216" TargetMode="External"/><Relationship Id="rId2399" Type="http://schemas.openxmlformats.org/officeDocument/2006/relationships/hyperlink" Target="https://www.washingtonpost.com/archive/politics/1985/04/05/in-factory-town-fear-of-a-killing-pace/795719f4-fac5-45ee-a5ea-908b039750a8/?noredirect=on" TargetMode="External"/><Relationship Id="rId578" Type="http://schemas.openxmlformats.org/officeDocument/2006/relationships/hyperlink" Target="https://sacramento.cbslocal.com/2012/08/02/state-supreme-court-upholds-death-penalty-for-houston-in-lindhurst-high-rampage/" TargetMode="External"/><Relationship Id="rId785" Type="http://schemas.openxmlformats.org/officeDocument/2006/relationships/hyperlink" Target="http://www.clarkprosecutor.org/html/death/US/wise992.htm" TargetMode="External"/><Relationship Id="rId992" Type="http://schemas.openxmlformats.org/officeDocument/2006/relationships/hyperlink" Target="https://www.nytimes.com/2000/04/30/us/shootings-leave-pittsburgh-suburbs-stunned.html" TargetMode="External"/><Relationship Id="rId2259" Type="http://schemas.openxmlformats.org/officeDocument/2006/relationships/hyperlink" Target="https://www.nytimes.com/2017/01/10/us/dylann-roof-trial-charleston.html" TargetMode="External"/><Relationship Id="rId2466" Type="http://schemas.openxmlformats.org/officeDocument/2006/relationships/hyperlink" Target="https://www.cbsnews.com/news/cherie-lash-rhoades-woman-arrested-for-tribal-shooting-known-as-bully/" TargetMode="External"/><Relationship Id="rId2673" Type="http://schemas.openxmlformats.org/officeDocument/2006/relationships/hyperlink" Target="https://www.uticaod.com/x930813837/2-people-reportedly-shot-at-Herkimer-car-wash" TargetMode="External"/><Relationship Id="rId438" Type="http://schemas.openxmlformats.org/officeDocument/2006/relationships/hyperlink" Target="http://www.the-dispatch.com/news/20130712/emotions-run-high-25-years-after-hayes-shootings" TargetMode="External"/><Relationship Id="rId645" Type="http://schemas.openxmlformats.org/officeDocument/2006/relationships/hyperlink" Target="http://www.nytimes.com/1993/08/08/us/soldier-kills-4-people-and-hurts-6-in-a-restaurant-in-north-carolina.html" TargetMode="External"/><Relationship Id="rId852" Type="http://schemas.openxmlformats.org/officeDocument/2006/relationships/hyperlink" Target="https://www.pbs.org/wgbh/frontline/article/fourteen-years-later-looking-back-at-a-school-shooting/" TargetMode="External"/><Relationship Id="rId1068" Type="http://schemas.openxmlformats.org/officeDocument/2006/relationships/hyperlink" Target="https://www.latimes.com/archives/la-xpm-2001-sep-11-mn-44550-story.html" TargetMode="External"/><Relationship Id="rId1275" Type="http://schemas.openxmlformats.org/officeDocument/2006/relationships/hyperlink" Target="https://www.denverpost.com/2008/03/27/report-reveals-clues-to-killers-mind/" TargetMode="External"/><Relationship Id="rId1482" Type="http://schemas.openxmlformats.org/officeDocument/2006/relationships/hyperlink" Target="https://www.mercurynews.com/2012/04/02/oakland-university-shooting-accused-oikos-university-shooter-one-goh-was-troubled-angry-said-those-who-knew-him/" TargetMode="External"/><Relationship Id="rId2119" Type="http://schemas.openxmlformats.org/officeDocument/2006/relationships/hyperlink" Target="https://www.nytimes.com/1998/03/29/us/from-wild-talk-and-friendship-to-five-deaths-in-a-schoolyard.html?mcubz=0" TargetMode="External"/><Relationship Id="rId2326" Type="http://schemas.openxmlformats.org/officeDocument/2006/relationships/hyperlink" Target="https://www.nbcnews.com/storyline/texas-church-shooting/texas-church-shooter-may-have-been-targeting-his-mother-law-n817961" TargetMode="External"/><Relationship Id="rId2533" Type="http://schemas.openxmlformats.org/officeDocument/2006/relationships/hyperlink" Target="https://books.google.com/books?id=LEgSiLnmgYoC&amp;pg=PA88&amp;lpg=PA88&amp;dq=%22leo+held%22+paranoid&amp;source=bl&amp;ots=lYSrqNF9p4&amp;sig=ACfU3U2hB3e3SFcOZwjkD8GJFWzEnNrU4Q&amp;hl=en&amp;sa=X&amp;ved=2ahUKEwjj-MHt4cPhAhUh8YMKHR3WBToQ6AEwAXoECAgQAQ" TargetMode="External"/><Relationship Id="rId505" Type="http://schemas.openxmlformats.org/officeDocument/2006/relationships/hyperlink" Target="http://www.nytimes.com/1991/10/11/nyregion/4-slain-in-2-new-jersey-attacks-and-former-postal-clerk-is-held.html?pagewanted=all" TargetMode="External"/><Relationship Id="rId712" Type="http://schemas.openxmlformats.org/officeDocument/2006/relationships/hyperlink" Target="https://www.deseretnews.com/article/413430/GUNMANS-WORKPLACE-MASSACRE-HEAPS-MORE-GRIEF-ON-TEXAS-CITY.html" TargetMode="External"/><Relationship Id="rId1135" Type="http://schemas.openxmlformats.org/officeDocument/2006/relationships/hyperlink" Target="http://www.nbcnews.com/id/7161961/ns/us_news-crime_and_courts/t/suspect-generated-fearconcern-killings/" TargetMode="External"/><Relationship Id="rId1342" Type="http://schemas.openxmlformats.org/officeDocument/2006/relationships/hyperlink" Target="http://www.nytimes.com/2008/09/04/us/04spree.html" TargetMode="External"/><Relationship Id="rId1202" Type="http://schemas.openxmlformats.org/officeDocument/2006/relationships/hyperlink" Target="https://www.nytimes.com/2006/02/03/us/woman-in-california-postal-shootings-had-history-of-bizarre-behavior.html?mtrref=search.yahoo.com" TargetMode="External"/><Relationship Id="rId2600" Type="http://schemas.openxmlformats.org/officeDocument/2006/relationships/hyperlink" Target="https://www.syracuse.com/news/2009/04/jiverly_wongs_father_our_son_w.html" TargetMode="External"/><Relationship Id="rId295"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2183" Type="http://schemas.openxmlformats.org/officeDocument/2006/relationships/hyperlink" Target="https://lancasterpa.com/amish/amish-school-shooting/" TargetMode="External"/><Relationship Id="rId2390" Type="http://schemas.openxmlformats.org/officeDocument/2006/relationships/hyperlink" Target="https://www.upi.com/Archives/1981/10/16/Man-convicted-for-wild-nightclub-shootings/6579372052800/" TargetMode="External"/><Relationship Id="rId155" Type="http://schemas.openxmlformats.org/officeDocument/2006/relationships/hyperlink" Target="http://www.nytimes.com/1978/06/19/archives/new-jersey-pages-rhode-island-cook-is-arraigned-in-4-shooting.html" TargetMode="External"/><Relationship Id="rId362" Type="http://schemas.openxmlformats.org/officeDocument/2006/relationships/hyperlink" Target="https://books.google.com/books?id=AqAtjVMGnLIC&amp;q=huberty+family+farm" TargetMode="External"/><Relationship Id="rId2043" Type="http://schemas.openxmlformats.org/officeDocument/2006/relationships/hyperlink" Target="https://www.nytimes.com/1984/06/30/us/6-die-in-dallas-club-as-enraged-man-fires-wildly.html?mcubz=0" TargetMode="External"/><Relationship Id="rId2250" Type="http://schemas.openxmlformats.org/officeDocument/2006/relationships/hyperlink" Target="https://www.miamiherald.com/news/special-reports/hialeah-mass-shooting/article1953794.html" TargetMode="External"/><Relationship Id="rId222" Type="http://schemas.openxmlformats.org/officeDocument/2006/relationships/hyperlink" Target="https://www.upi.com/Archives/1981/10/16/A-gunman-burst-into-an-auto-parts-store-Friday/9402372052800/" TargetMode="External"/><Relationship Id="rId2110" Type="http://schemas.openxmlformats.org/officeDocument/2006/relationships/hyperlink" Target="https://www.wrdw.com/home/headlines/Survivors-of-Aiken-Phelon-shooting-reflect-15-years-later-169856506.html" TargetMode="External"/><Relationship Id="rId1669" Type="http://schemas.openxmlformats.org/officeDocument/2006/relationships/hyperlink" Target="https://www.latimes.com/nation/nationnow/la-na-nn-chris-harper-mercer-oregon-shooting-20151002-htmlstory.html" TargetMode="External"/><Relationship Id="rId1876" Type="http://schemas.openxmlformats.org/officeDocument/2006/relationships/hyperlink" Target="https://www.abc.net.au/news/2018-04-24/waffle-house-shooting-suspect-travis-reinking-arrested/9690348" TargetMode="External"/><Relationship Id="rId1529" Type="http://schemas.openxmlformats.org/officeDocument/2006/relationships/hyperlink" Target="https://www.splcenter.org/fighting-hate/intelligence-report/2012/sikh-temple-killer-wade-michael-page-radicalized-army" TargetMode="External"/><Relationship Id="rId1736" Type="http://schemas.openxmlformats.org/officeDocument/2006/relationships/hyperlink" Target="https://www.cnn.com/2016/07/08/us/philando-castile-alton-sterling-protests/index.html" TargetMode="External"/><Relationship Id="rId1943" Type="http://schemas.openxmlformats.org/officeDocument/2006/relationships/hyperlink" Target="https://www.cnn.com/2019/09/29/us/seth-ator-previous-police-encounter-invs/index.html" TargetMode="External"/><Relationship Id="rId28" Type="http://schemas.openxmlformats.org/officeDocument/2006/relationships/hyperlink" Target="http://www.lockhaven.com/news/community/2017/10/the-fury-of-leo-held/" TargetMode="External"/><Relationship Id="rId1803" Type="http://schemas.openxmlformats.org/officeDocument/2006/relationships/hyperlink" Target="https://www.nytimes.com/2017/11/07/us/texas-shooting-church.html" TargetMode="External"/><Relationship Id="rId689" Type="http://schemas.openxmlformats.org/officeDocument/2006/relationships/hyperlink" Target="https://caselaw.findlaw.com/co-supreme-court/1386758.html" TargetMode="External"/><Relationship Id="rId896" Type="http://schemas.openxmlformats.org/officeDocument/2006/relationships/hyperlink" Target="https://www.nytimes.com/1999/06/29/us/shattered-lives-special-report-caring-parents-no-answers-columbine-killers-pasts.html" TargetMode="External"/><Relationship Id="rId2577" Type="http://schemas.openxmlformats.org/officeDocument/2006/relationships/hyperlink" Target="https://www.cbsnews.com/news/sutherland-springs-texas-church-gunman-devin-kelley-wife-speaks-out/" TargetMode="External"/><Relationship Id="rId549" Type="http://schemas.openxmlformats.org/officeDocument/2006/relationships/hyperlink" Target="https://schoolshooters.info/sites/default/files/lu_sister_letter_1.0.pdf" TargetMode="External"/><Relationship Id="rId756" Type="http://schemas.openxmlformats.org/officeDocument/2006/relationships/hyperlink" Target="https://www.deseretnews.com/article/485460/FIREMAN-WAS-TIME-BOMB-WAITING.html" TargetMode="External"/><Relationship Id="rId1179" Type="http://schemas.openxmlformats.org/officeDocument/2006/relationships/hyperlink" Target="http://www.nytimes.com/2005/03/24/us/signs-of-danger-were-missed-in-a-troubled-teenagers-life.html" TargetMode="External"/><Relationship Id="rId1386" Type="http://schemas.openxmlformats.org/officeDocument/2006/relationships/hyperlink" Target="https://www.nytimes.com/2009/11/09/us/09reconstruct.html?pagewanted=all" TargetMode="External"/><Relationship Id="rId1593" Type="http://schemas.openxmlformats.org/officeDocument/2006/relationships/hyperlink" Target="https://www.nbclosangeles.com/news/local/Santa-Monica-Shooting-Police-News-Conference-Watch-Live-211492801.html" TargetMode="External"/><Relationship Id="rId2437" Type="http://schemas.openxmlformats.org/officeDocument/2006/relationships/hyperlink" Target="https://www.nytimes.com/2003/07/09/us/man-kills-5-co-workers-at-plant-and-himself.html?mcubz=0" TargetMode="External"/><Relationship Id="rId409" Type="http://schemas.openxmlformats.org/officeDocument/2006/relationships/hyperlink" Target="http://articles.latimes.com/1987-04-25/news/mn-990_1_palm-bay-police" TargetMode="External"/><Relationship Id="rId963" Type="http://schemas.openxmlformats.org/officeDocument/2006/relationships/hyperlink" Target="https://www.chicagotribune.com/news/ct-xpm-1999-09-17-9909170136-story.html" TargetMode="External"/><Relationship Id="rId1039" Type="http://schemas.openxmlformats.org/officeDocument/2006/relationships/hyperlink" Target="http://edition.cnn.com/2001/US/02/07/plant.shootings/" TargetMode="External"/><Relationship Id="rId1246" Type="http://schemas.openxmlformats.org/officeDocument/2006/relationships/hyperlink" Target="https://abcnews.go.com/US/amish-school-shooters-widow-marie-monville-remembers-tragedy/story?id=20417790" TargetMode="External"/><Relationship Id="rId2644" Type="http://schemas.openxmlformats.org/officeDocument/2006/relationships/hyperlink" Target="https://www.jstor.org/stable/j.ctt1bw1ktw.9?seq=4" TargetMode="External"/><Relationship Id="rId92" Type="http://schemas.openxmlformats.org/officeDocument/2006/relationships/hyperlink" Target="https://www.nytimes.com/1972/05/30/archives/gunman-slays-3-in-shopping-mall-wounds-8-and-then-kills-himself.html" TargetMode="External"/><Relationship Id="rId616"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823" Type="http://schemas.openxmlformats.org/officeDocument/2006/relationships/hyperlink" Target="https://books.google.com/books?id=3ewAoOHQQzcC&amp;pg=PA158&amp;lpg=PA158&amp;dq=matthew+beck+shooting+march+6+1998&amp;source=bl&amp;ots=FyjXTPh7sz&amp;sig=qN7NzBuWHk2XbdHNZgZAMYsS6YY&amp;hl=en&amp;sa=X&amp;ved=0ahUKEwj_7cuqhufYAhUJ7awKHU7JAa0Q6AEIOTAD" TargetMode="External"/><Relationship Id="rId1453" Type="http://schemas.openxmlformats.org/officeDocument/2006/relationships/hyperlink" Target="https://www.nytimes.com/2011/01/16/us/16loughner.html" TargetMode="External"/><Relationship Id="rId1660" Type="http://schemas.openxmlformats.org/officeDocument/2006/relationships/hyperlink" Target="https://www.washingtonpost.com/politics/chattanooga-shooter-an-aimless-young-man-who-smoked-dope-and-shot-guns/2015/07/18/c213f6a6-2d7d-11e5-a5ea-cf74396e59ec_story.html?utm_term=.045ed5c9dce6" TargetMode="External"/><Relationship Id="rId2504" Type="http://schemas.openxmlformats.org/officeDocument/2006/relationships/hyperlink" Target="https://www.seattletimes.com/seattle-news/gunman-a-life-full-of-rage-a-shocking-final-act/" TargetMode="External"/><Relationship Id="rId2711" Type="http://schemas.openxmlformats.org/officeDocument/2006/relationships/hyperlink" Target="https://www.miamiherald.com/news/nation-world/national/article84370692.html" TargetMode="External"/><Relationship Id="rId1106" Type="http://schemas.openxmlformats.org/officeDocument/2006/relationships/hyperlink" Target="https://tdn.com/business%20/local/police-idaho-man-guns-down-four-in-bar-before-killing/article_e145b36b-be1e-5cd3-a099-5d8dca560b49.html" TargetMode="External"/><Relationship Id="rId1313" Type="http://schemas.openxmlformats.org/officeDocument/2006/relationships/hyperlink" Target="http://web.archive.org/web/20161018033626/https:/mustangnews.net/policedoubtlinkbetweensantamariakillingssanluisobispomurder/" TargetMode="External"/><Relationship Id="rId1520" Type="http://schemas.openxmlformats.org/officeDocument/2006/relationships/hyperlink" Target="http://www.nytimes.com/2012/08/27/us/before-gunfire-in-colorado-theater-hints-of-bad-news-about-james-holmes.html" TargetMode="External"/><Relationship Id="rId199" Type="http://schemas.openxmlformats.org/officeDocument/2006/relationships/hyperlink" Target="https://www.nytimes.com/1981/05/09/us/four-slain-and-20-wounded-in-bar-as-oregon-man-shoots-into-crowd.html" TargetMode="External"/><Relationship Id="rId2087" Type="http://schemas.openxmlformats.org/officeDocument/2006/relationships/hyperlink" Target="https://www.nytimes.com/1993/08/08/us/soldier-kills-4-people-and-hurts-6-in-a-restaurant-in-north-carolina.html" TargetMode="External"/><Relationship Id="rId2294" Type="http://schemas.openxmlformats.org/officeDocument/2006/relationships/hyperlink" Target="https://www.mlive.com/news/detroit/2018/02/manhunt_for_quadruple_homicide.html" TargetMode="External"/><Relationship Id="rId266" Type="http://schemas.openxmlformats.org/officeDocument/2006/relationships/hyperlink" Target="http://www.nytimes.com/1982/08/10/us/digruntled-driver-slays-six-in-texas-dying-in-shootout.html" TargetMode="External"/><Relationship Id="rId473" Type="http://schemas.openxmlformats.org/officeDocument/2006/relationships/hyperlink" Target="https://www.apnews.com/fcc5d4beb0b9b29a6e2353939bad33bc" TargetMode="External"/><Relationship Id="rId680" Type="http://schemas.openxmlformats.org/officeDocument/2006/relationships/hyperlink" Target="https://www.nytimes.com/1993/12/09/nyregion/death-lirr-suspect-notes-past-accused-portrait-boiling-resentment.html" TargetMode="External"/><Relationship Id="rId2154" Type="http://schemas.openxmlformats.org/officeDocument/2006/relationships/hyperlink" Target="https://www.latimes.com/archives/la-xpm-2002-mar-23-mn-34383-story.html" TargetMode="External"/><Relationship Id="rId2361" Type="http://schemas.openxmlformats.org/officeDocument/2006/relationships/hyperlink" Target="https://www.seattletimes.com/seattle-news/gunman-a-life-full-of-rage-a-shocking-final-act/" TargetMode="External"/><Relationship Id="rId126" Type="http://schemas.openxmlformats.org/officeDocument/2006/relationships/hyperlink" Target="http://www.nytimes.com/1977/02/15/archives/nazi-admirer-also-wounds-5-in-wild-attack-followed-by-a-siege-at.html" TargetMode="External"/><Relationship Id="rId333" Type="http://schemas.openxmlformats.org/officeDocument/2006/relationships/hyperlink" Target="https://www.nytimes.com/1984/11/11/us/memories-of-springtime-murders-chill-small-alaskan-town.html" TargetMode="External"/><Relationship Id="rId540" Type="http://schemas.openxmlformats.org/officeDocument/2006/relationships/hyperlink" Target="https://www.nytimes.com/1991/10/18/us/portrait-of-texas-killer-impatient-and-troubled.html?pagewanted=all" TargetMode="External"/><Relationship Id="rId1170" Type="http://schemas.openxmlformats.org/officeDocument/2006/relationships/hyperlink" Target="http://news.minnesota.publicradio.org/features/2005/03/22_ap_redlakesuspect/" TargetMode="External"/><Relationship Id="rId2014" Type="http://schemas.openxmlformats.org/officeDocument/2006/relationships/hyperlink" Target="https://books.google.com/books?id=sdd3ihupC_AC&amp;pg=PA102&amp;lpg=PA102&amp;dq=dewitt+henry+Oregon&amp;source=bl&amp;ots=z5RZDR5AY0&amp;sig=fkhOTQ4bBGZ_KfVqm4tp6TfvhBU&amp;hl=en&amp;sa=X&amp;ved=0ahUKEwj05J7qyZvZAhVKIqwKHRZADU44ChDoAQhZMA8" TargetMode="External"/><Relationship Id="rId2221" Type="http://schemas.openxmlformats.org/officeDocument/2006/relationships/hyperlink" Target="https://www.nytimes.com/2010/09/12/us/12kentucky.html" TargetMode="External"/><Relationship Id="rId1030" Type="http://schemas.openxmlformats.org/officeDocument/2006/relationships/hyperlink" Target="https://www.cbsnews.com/news/murder-charges-in-workplace-shooting/" TargetMode="External"/><Relationship Id="rId400" Type="http://schemas.openxmlformats.org/officeDocument/2006/relationships/hyperlink" Target="https://newsok.com/article/2177416/sherrill-feared-mental-illness-rejected" TargetMode="External"/><Relationship Id="rId1987" Type="http://schemas.openxmlformats.org/officeDocument/2006/relationships/hyperlink" Target="https://books.google.com/books?id=ms5s4g_e6zEC&amp;pg=PA191&amp;lpg=PA191&amp;dq=maurice+clemmons+childhood&amp;source=bl&amp;ots=xZXMNp_4yR&amp;sig=ACfU3U1yCsYo7senIGlVGcQJBbEmmHBi8w&amp;hl=en&amp;sa=X&amp;ved=2ahUKEwi2nobf7f7nAhWoIjQIHaJEBe8Q6AEwCXoECA0QAQ" TargetMode="External"/><Relationship Id="rId1847" Type="http://schemas.openxmlformats.org/officeDocument/2006/relationships/hyperlink" Target="https://www.foxnews.com/us/pennsylvania-car-wash-alleged-gunman-had-run-in-with-target-before-deadly-shooting-family-says" TargetMode="External"/><Relationship Id="rId1707" Type="http://schemas.openxmlformats.org/officeDocument/2006/relationships/hyperlink" Target="https://www.freep.com/story/news/local/michigan/2016/02/21/neighbors-kalamazoo-suspect-good-family-man-liked-guns/80702198/" TargetMode="External"/><Relationship Id="rId190" Type="http://schemas.openxmlformats.org/officeDocument/2006/relationships/hyperlink" Target="https://www.leagle.com/decision/1985350349pasuper11350" TargetMode="External"/><Relationship Id="rId1914" Type="http://schemas.openxmlformats.org/officeDocument/2006/relationships/hyperlink" Target="https://www.nytimes.com/2018/05/18/us/dimitrios-pagourtzis-gunman-texas-shooting.html" TargetMode="External"/><Relationship Id="rId2688" Type="http://schemas.openxmlformats.org/officeDocument/2006/relationships/hyperlink" Target="https://www.cbsnews.com/news/girlfriend-plant-shooter-a-victim/" TargetMode="External"/><Relationship Id="rId867" Type="http://schemas.openxmlformats.org/officeDocument/2006/relationships/hyperlink" Target="https://products.kitsapsun.com/archive/1999/03-12/0008_in_the_headlines__louisiana__chur.html" TargetMode="External"/><Relationship Id="rId1497" Type="http://schemas.openxmlformats.org/officeDocument/2006/relationships/hyperlink" Target="https://www.seattletimes.com/seattle-news/gunman-a-life-full-of-rage-a-shocking-final-act/" TargetMode="External"/><Relationship Id="rId2548" Type="http://schemas.openxmlformats.org/officeDocument/2006/relationships/hyperlink" Target="https://www.upi.com/Archives/1988/07/19/Hospital-denies-commitment-sought-for-gunman/1978585288000/" TargetMode="External"/><Relationship Id="rId727" Type="http://schemas.openxmlformats.org/officeDocument/2006/relationships/hyperlink" Target="https://books.google.com/books?id=dw6vDwAAQBAJ&amp;pg=PT120&amp;lpg=PT120&amp;dq=willie+woods+gun+obtained&amp;source=bl&amp;ots=vuLlcouRXL&amp;sig=ACfU3U0XOR-WR_Ch3uBudRTLM3RGN_Kq4A&amp;hl=en&amp;sa=X&amp;ved=2ahUKEwjfwfSqk4nqAhWQRTABHal-AAoQ6AEwB3oECAoQAQ" TargetMode="External"/><Relationship Id="rId934" Type="http://schemas.openxmlformats.org/officeDocument/2006/relationships/hyperlink" Target="https://www.nytimes.com/1999/07/31/us/shootings-in-atlanta-the-overview-killer-confessed-in-a-letter-spiked-with-rage.html" TargetMode="External"/><Relationship Id="rId1357" Type="http://schemas.openxmlformats.org/officeDocument/2006/relationships/hyperlink" Target="https://www.wral.com/news/local/story/9936931/" TargetMode="External"/><Relationship Id="rId1564" Type="http://schemas.openxmlformats.org/officeDocument/2006/relationships/hyperlink" Target="https://www.huffpost.com/entry/kurt-myers-killed_n_2874981" TargetMode="External"/><Relationship Id="rId1771" Type="http://schemas.openxmlformats.org/officeDocument/2006/relationships/hyperlink" Target="https://www.nbcnewyork.com/news/local/NJ-Shooter-Esteban-Santiago-who-was-fort-lauderdale-409914655.html" TargetMode="External"/><Relationship Id="rId2408" Type="http://schemas.openxmlformats.org/officeDocument/2006/relationships/hyperlink" Target="https://www.desmoinesregister.com/story/news/2018/11/01/gang-lu-shooting-university-iowa-campus-iowa-city-guns-handgun-jessup-hall-van-allen-jessup-hall/1847462002/" TargetMode="External"/><Relationship Id="rId2615" Type="http://schemas.openxmlformats.org/officeDocument/2006/relationships/hyperlink" Target="https://www.chron.com/news/article/Gunman-s-wife-accused-him-of-assault-in-1998-1997336.php" TargetMode="External"/><Relationship Id="rId63" Type="http://schemas.openxmlformats.org/officeDocument/2006/relationships/hyperlink" Target="https://www.mlive.com/news/index.ssf/2016/09/love_of_guns_a_key_factor_in_n.html" TargetMode="External"/><Relationship Id="rId1217" Type="http://schemas.openxmlformats.org/officeDocument/2006/relationships/hyperlink" Target="http://www.nytimes.com/2006/03/28/us/seattle-police-and-partygoers-still-puzzle-over-attack.html" TargetMode="External"/><Relationship Id="rId1424" Type="http://schemas.openxmlformats.org/officeDocument/2006/relationships/hyperlink" Target="https://www.cbsnews.com/news/florida-man-kills-four-women-in-restaurant-shooting-police-say/" TargetMode="External"/><Relationship Id="rId1631" Type="http://schemas.openxmlformats.org/officeDocument/2006/relationships/hyperlink" Target="http://www.cnn.com/2014/10/24/us/washington-school-shooter/index.html" TargetMode="External"/><Relationship Id="rId2198" Type="http://schemas.openxmlformats.org/officeDocument/2006/relationships/hyperlink" Target="http://www.nbcnews.com/id/23699429/ns/us_news-crime_and_courts/t/suspect-held-after-killed-junk-yard-rampage/" TargetMode="External"/><Relationship Id="rId377" Type="http://schemas.openxmlformats.org/officeDocument/2006/relationships/hyperlink" Target="https://www.upi.com/Archives/1984/07/27/Companion-baffled-by-shooting-spree/1652459748800/" TargetMode="External"/><Relationship Id="rId584" Type="http://schemas.openxmlformats.org/officeDocument/2006/relationships/hyperlink" Target="http://sacramento.cbslocal.com/2012/08/02/state-supreme-court-upholds-death-penalty-for-houston-in-lindhurst-high-rampage/" TargetMode="External"/><Relationship Id="rId2058" Type="http://schemas.openxmlformats.org/officeDocument/2006/relationships/hyperlink" Target="https://www.chicagotribune.com/news/ct-xpm-1988-09-23-8802010552-story.html" TargetMode="External"/><Relationship Id="rId2265" Type="http://schemas.openxmlformats.org/officeDocument/2006/relationships/hyperlink" Target="https://www.theeagle.com/news/local/a-night-of-terror-lawyer-describes-killings-to-brazos-county/article_adda0cbb-e386-5bea-9806-cf4b2b2e80a5.html" TargetMode="External"/><Relationship Id="rId237" Type="http://schemas.openxmlformats.org/officeDocument/2006/relationships/hyperlink" Target="https://books.google.com.au/books?id=cmTxCQAAQBAJ&amp;pg=PA416&amp;lpg=PA416&amp;dq=Charles+Meach+shooting&amp;source=bl&amp;ots=eXTzQ-eWnB&amp;sig=UKVOhJB2yAPxdrhmIAY7kpUl3uo&amp;hl=en&amp;sa=X&amp;redir_esc=y" TargetMode="External"/><Relationship Id="rId791" Type="http://schemas.openxmlformats.org/officeDocument/2006/relationships/hyperlink" Target="http://articles.latimes.com/1997/dec/20/news/mn-431" TargetMode="External"/><Relationship Id="rId1074" Type="http://schemas.openxmlformats.org/officeDocument/2006/relationships/hyperlink" Target="https://www.nwitimes.com/uncategorized/south-bend-factory-worker-kills-then-himself/article_f9510908-20ec-5629-8891-42c83bb776f3.html" TargetMode="External"/><Relationship Id="rId2472" Type="http://schemas.openxmlformats.org/officeDocument/2006/relationships/hyperlink" Target="https://www.cnn.com/2018/03/06/us/pulse-shooting-mateen-scouted-other-sites/index.html" TargetMode="External"/><Relationship Id="rId444" Type="http://schemas.openxmlformats.org/officeDocument/2006/relationships/hyperlink" Target="http://www.journalnow.com/news/local/for-first-time-in-years-michael-hayes-is-free-of/article_d5514c21-a980-5bf3-934e-53b3e76e8c05.html" TargetMode="External"/><Relationship Id="rId651" Type="http://schemas.openxmlformats.org/officeDocument/2006/relationships/hyperlink" Target="https://www.chicagotribune.com/news/ct-xpm-1993-08-09-9308090199-story.html" TargetMode="External"/><Relationship Id="rId1281" Type="http://schemas.openxmlformats.org/officeDocument/2006/relationships/hyperlink" Target="https://www.cbsnews.com/news/six-dead-in-missouri-city-council-shooting/" TargetMode="External"/><Relationship Id="rId2125" Type="http://schemas.openxmlformats.org/officeDocument/2006/relationships/hyperlink" Target="https://www.weeklycitizen.com/article/20080610/NEWS/306109986" TargetMode="External"/><Relationship Id="rId2332" Type="http://schemas.openxmlformats.org/officeDocument/2006/relationships/hyperlink" Target="https://www.nytimes.com/2001/09/11/national/slaying-suspect-commits-suicide.html" TargetMode="External"/><Relationship Id="rId304" Type="http://schemas.openxmlformats.org/officeDocument/2006/relationships/hyperlink" Target="https://www.nytimes.com/1983/03/03/us/6-killed-in-alaska-in-shooting-spree.htmlhttp:/amok.wikia.com/wiki/Louis_Hastings" TargetMode="External"/><Relationship Id="rId511" Type="http://schemas.openxmlformats.org/officeDocument/2006/relationships/hyperlink" Target="http://www.nytimes.com/1991/10/11/nyregion/4-slain-in-2-new-jersey-attacks-and-former-postal-clerk-is-held.html?pagewanted=all" TargetMode="External"/><Relationship Id="rId1141" Type="http://schemas.openxmlformats.org/officeDocument/2006/relationships/hyperlink" Target="https://www.baltimoresun.com/bal-te.to.nichols18mar18-story.html" TargetMode="External"/><Relationship Id="rId1001" Type="http://schemas.openxmlformats.org/officeDocument/2006/relationships/hyperlink" Target="https://web.archive.org/web/20070831085028/http:/the-duke.duq-duke.duq.edu/justice/Taylor/Baumhamm.htm" TargetMode="External"/><Relationship Id="rId1958"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818" Type="http://schemas.openxmlformats.org/officeDocument/2006/relationships/hyperlink" Target="https://www.wfmynews2.com/article/news/nation-now/autopsy-for-texas-church-gunman-confirms-death-by-suicide/465-e911222a-e949-4a4a-92b4-a176c65e1184" TargetMode="External"/><Relationship Id="rId161" Type="http://schemas.openxmlformats.org/officeDocument/2006/relationships/hyperlink" Target="https://www.upi.com/Archives/1987/09/02/Former-cook-convicted-in-restaurant-massacre/2502557553600/" TargetMode="External"/><Relationship Id="rId978" Type="http://schemas.openxmlformats.org/officeDocument/2006/relationships/hyperlink" Target="https://www.mirror.co.uk/news/real-life-stories/workers-who-kill-colleagues-university-11231926" TargetMode="External"/><Relationship Id="rId2659" Type="http://schemas.openxmlformats.org/officeDocument/2006/relationships/hyperlink" Target="https://www.nytimes.com/1995/12/21/nyregion/bronx-gunman-was-under-treatment-for-schizophrenia.html" TargetMode="External"/><Relationship Id="rId838" Type="http://schemas.openxmlformats.org/officeDocument/2006/relationships/hyperlink" Target="https://www.nytimes.com/1998/03/29/us/from-wild-talk-and-friendship-to-five-deaths-in-a-schoolyard.html?mcubz=0" TargetMode="External"/><Relationship Id="rId1468" Type="http://schemas.openxmlformats.org/officeDocument/2006/relationships/hyperlink" Target="https://www.nj.com/news/index.ssf/2011/09/ihop_shooting_rampage_in_nevad.html" TargetMode="External"/><Relationship Id="rId1675" Type="http://schemas.openxmlformats.org/officeDocument/2006/relationships/hyperlink" Target="https://www.nydailynews.com/news/crime/man-accused-killing-campsite-guilty-capital-murder-article-1.3619755" TargetMode="External"/><Relationship Id="rId1882" Type="http://schemas.openxmlformats.org/officeDocument/2006/relationships/hyperlink" Target="https://www.tennessean.com/story/news/crime/2018/12/17/waffle-house-shooting-travis-reinking-father-lawsuit/2339094002/" TargetMode="External"/><Relationship Id="rId2519"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2726" Type="http://schemas.openxmlformats.org/officeDocument/2006/relationships/hyperlink" Target="https://www.nytimes.com/2019/12/15/nyregion/jersey-city-shooting-terrorism.html" TargetMode="External"/><Relationship Id="rId1328" Type="http://schemas.openxmlformats.org/officeDocument/2006/relationships/hyperlink" Target="https://www.wkyt.com/home/headlines/25559494.html" TargetMode="External"/><Relationship Id="rId1535" Type="http://schemas.openxmlformats.org/officeDocument/2006/relationships/hyperlink" Target="https://www.cnn.com/2012/08/06/us/wisconsin-temple-shooting/index.html" TargetMode="External"/><Relationship Id="rId905" Type="http://schemas.openxmlformats.org/officeDocument/2006/relationships/hyperlink" Target="https://www.rollingstone.com/culture/culture-features/how-they-got-the-guns-175676/" TargetMode="External"/><Relationship Id="rId1742" Type="http://schemas.openxmlformats.org/officeDocument/2006/relationships/hyperlink" Target="https://www.telegraph.co.uk/news/2016/07/08/dallas-shooting-who-is-micah-johnson/" TargetMode="External"/><Relationship Id="rId34" Type="http://schemas.openxmlformats.org/officeDocument/2006/relationships/hyperlink" Target="https://www.apnews.com/90117a56d5b861313b6721c3c25d42a5" TargetMode="External"/><Relationship Id="rId1602" Type="http://schemas.openxmlformats.org/officeDocument/2006/relationships/hyperlink" Target="https://www.miamiherald.com/news/special-reports/hialeah-mass-shooting/article1953794.html" TargetMode="External"/><Relationship Id="rId488" Type="http://schemas.openxmlformats.org/officeDocument/2006/relationships/hyperlink" Target="https://www.nytimes.com/1989/09/16/us/disturbed-past-of-killer-of-7-is-unraveled.html" TargetMode="External"/><Relationship Id="rId695" Type="http://schemas.openxmlformats.org/officeDocument/2006/relationships/hyperlink" Target="https://web.archive.org/web/20150421030616/http:/www.cofpd.org/docs-dun/final-clemency-petition-5-6.pdf" TargetMode="External"/><Relationship Id="rId2169" Type="http://schemas.openxmlformats.org/officeDocument/2006/relationships/hyperlink" Target="https://www.newyorker.com/magazine/2008/02/04/death-in-georgia" TargetMode="External"/><Relationship Id="rId2376" Type="http://schemas.openxmlformats.org/officeDocument/2006/relationships/hyperlink" Target="https://www.washingtonpost.com/sf/local/2016/07/31/the-loaded-legacy-of-the-ut-tower-shooting/" TargetMode="External"/><Relationship Id="rId2583" Type="http://schemas.openxmlformats.org/officeDocument/2006/relationships/hyperlink" Target="https://www.usatoday.com/story/news/nation/2018/11/08/ian-long-gunman-thousand-oaks-california-borderline-bar-grill/1928231002/" TargetMode="External"/><Relationship Id="rId348" Type="http://schemas.openxmlformats.org/officeDocument/2006/relationships/hyperlink" Target="https://www.upi.com/Archives/1984/11/08/The-estranged-wife-of-accused-murderer-Abdelkrim-Belachheb-testified/3858468738000/" TargetMode="External"/><Relationship Id="rId555" Type="http://schemas.openxmlformats.org/officeDocument/2006/relationships/hyperlink" Target="https://www.washingtonpost.com/archive/politics/1991/11/11/gunman-kills-four-and-self-in-kentucky/c3111990-c0ec-48f8-9200-4fa837a1dba4/?utm_term=.c035ec2ccc5f" TargetMode="External"/><Relationship Id="rId762" Type="http://schemas.openxmlformats.org/officeDocument/2006/relationships/hyperlink" Target="https://www.deseretnews.com/article/485460/FIREMAN-WAS-TIME-BOMB-WAITING.html" TargetMode="External"/><Relationship Id="rId1185" Type="http://schemas.openxmlformats.org/officeDocument/2006/relationships/hyperlink" Target="https://www.theguardian.com/world/2005/mar/22/usgunviolence.usa" TargetMode="External"/><Relationship Id="rId1392" Type="http://schemas.openxmlformats.org/officeDocument/2006/relationships/hyperlink" Target="http://www.washingtonpost.com/wp-dyn/content/article/2009/12/07/AR2009120702333.html" TargetMode="External"/><Relationship Id="rId2029" Type="http://schemas.openxmlformats.org/officeDocument/2006/relationships/hyperlink" Target="https://www.upi.com/Archives/1981/10/16/A-gunman-burst-into-an-auto-parts-store-Friday/9402372052800/" TargetMode="External"/><Relationship Id="rId2236" Type="http://schemas.openxmlformats.org/officeDocument/2006/relationships/hyperlink" Target="https://www.cnn.com/2013/07/19/us/colorado-theater-shooting-fast-facts/index.html" TargetMode="External"/><Relationship Id="rId2443" Type="http://schemas.openxmlformats.org/officeDocument/2006/relationships/hyperlink" Target="https://www.myplainview.com/news/article/Gunman-kills-self-after-shooting-four-at-rural-8725414.php" TargetMode="External"/><Relationship Id="rId2650" Type="http://schemas.openxmlformats.org/officeDocument/2006/relationships/hyperlink" Target="https://www.upi.com/Archives/1984/02/16/Parents-say-death-row-son-insane-during-murder-spree/9447445755600/" TargetMode="External"/><Relationship Id="rId208" Type="http://schemas.openxmlformats.org/officeDocument/2006/relationships/hyperlink" Target="http://www.oregonlive.com/politics/index.ssf/2015/10/mass_shootings_in_oregon_a_lis.html" TargetMode="External"/><Relationship Id="rId415"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622" Type="http://schemas.openxmlformats.org/officeDocument/2006/relationships/hyperlink" Target="https://news.google.com/newspapers?id=_SdZAAAAIBAJ&amp;sjid=C0cNAAAAIBAJ&amp;pg=6601,992534&amp;dq=" TargetMode="External"/><Relationship Id="rId1045" Type="http://schemas.openxmlformats.org/officeDocument/2006/relationships/hyperlink" Target="https://thesouthern.com/news/shooting-spree-lasted-minutes-gunman-kills-self-four-others/article_4c85727a-0b1a-5f24-8863-3a36e669ecc4.html" TargetMode="External"/><Relationship Id="rId1252" Type="http://schemas.openxmlformats.org/officeDocument/2006/relationships/hyperlink" Target="https://www.deseret.com/2007/2/16/20001904/more-details-emerging-on-trolley-square-gunman-and-victims" TargetMode="External"/><Relationship Id="rId2303" Type="http://schemas.openxmlformats.org/officeDocument/2006/relationships/hyperlink" Target="https://www.upi.com/Top_News/US/2018/09/14/California-gunman-who-killed-5-divorced-wife-last-year-police-say/1441536924815/" TargetMode="External"/><Relationship Id="rId2510" Type="http://schemas.openxmlformats.org/officeDocument/2006/relationships/hyperlink" Target="https://www.nytimes.com/1977/08/30/archives/suspect-in-jersey-sniper-killings-had-extensive-psychiatric-record.html" TargetMode="External"/><Relationship Id="rId1112" Type="http://schemas.openxmlformats.org/officeDocument/2006/relationships/hyperlink" Target="http://news.minnesota.publicradio.org/features/2004/11/22_kelleherb_huntershooting/" TargetMode="External"/><Relationship Id="rId1929" Type="http://schemas.openxmlformats.org/officeDocument/2006/relationships/hyperlink" Target="https://www.wbaltv.com/article/health-department-report-jarrod-ramos-criminally-responsible/29538682" TargetMode="External"/><Relationship Id="rId2093" Type="http://schemas.openxmlformats.org/officeDocument/2006/relationships/hyperlink" Target="https://www.nydailynews.com/new-york/lirr-bloodbath-remembered-20-years-article-1.1539603" TargetMode="External"/><Relationship Id="rId272" Type="http://schemas.openxmlformats.org/officeDocument/2006/relationships/hyperlink" Target="https://www.upi.com/Archives/1982/08/09/Yes-I-know-hes-killing-people/2899397713600/" TargetMode="External"/><Relationship Id="rId2160" Type="http://schemas.openxmlformats.org/officeDocument/2006/relationships/hyperlink" Target="https://www.chicagotribune.com/news/ct-xpm-2003-08-29-0308290321-story.html" TargetMode="External"/><Relationship Id="rId132" Type="http://schemas.openxmlformats.org/officeDocument/2006/relationships/hyperlink" Target="https://timesmachine.nytimes.com/timesmachine/1977/02/16/284705402.html?pageNumber=27" TargetMode="External"/><Relationship Id="rId2020" Type="http://schemas.openxmlformats.org/officeDocument/2006/relationships/hyperlink" Target="http://fultonhistory.com/Newspaper%2011/Geneva%20NY%20Finger%20Lake%20Times/Geneva%20NY%20Finger%20Lake%20Times%201980%20Feb%201980/Geneva%20NY%20Finger%20Lake%20Times%201980%20Feb%201980%20-%200064.pdf" TargetMode="External"/><Relationship Id="rId1579" Type="http://schemas.openxmlformats.org/officeDocument/2006/relationships/hyperlink" Target="https://www.cbsnews.com/news/upstate-new-york-shooting-update-kurt-myers-suspected-gunman-killed-by-police-in-shootout/" TargetMode="External"/><Relationship Id="rId949" Type="http://schemas.openxmlformats.org/officeDocument/2006/relationships/hyperlink" Target="http://www.washingtonpost.com/wp-srv/national/daily/sept99/texas16.htm" TargetMode="External"/><Relationship Id="rId1786" Type="http://schemas.openxmlformats.org/officeDocument/2006/relationships/hyperlink" Target="http://www.cnn.com/2017/06/05/us/orlando-fatalities/index.html" TargetMode="External"/><Relationship Id="rId1993" Type="http://schemas.openxmlformats.org/officeDocument/2006/relationships/hyperlink" Target="https://www.washingtonpost.com/sf/local/2016/07/31/the-loaded-legacy-of-the-ut-tower-shooting/" TargetMode="External"/><Relationship Id="rId78" Type="http://schemas.openxmlformats.org/officeDocument/2006/relationships/hyperlink" Target="https://ricochet.com/288503/archives/sidebars-of-history-death-stalks-the-turnpike/" TargetMode="External"/><Relationship Id="rId809" Type="http://schemas.openxmlformats.org/officeDocument/2006/relationships/hyperlink" Target="https://www.nytimes.com/1998/03/07/nyregion/rampage-connecticut-overview-connecticut-lottery-worker-kills-4-bosses-then.html" TargetMode="External"/><Relationship Id="rId1439" Type="http://schemas.openxmlformats.org/officeDocument/2006/relationships/hyperlink" Target="https://www.chicagotribune.com/hc-omar-thornton-story-0804-20100803-story.html" TargetMode="External"/><Relationship Id="rId1646" Type="http://schemas.openxmlformats.org/officeDocument/2006/relationships/hyperlink" Target="https://www.nytimes.com/2015/06/19/us/charleston-church-shooting.html" TargetMode="External"/><Relationship Id="rId1853" Type="http://schemas.openxmlformats.org/officeDocument/2006/relationships/hyperlink" Target="https://www.cnn.com/2018/02/25/us/nikolas-cruz-warning-signs/index.html" TargetMode="External"/><Relationship Id="rId1506" Type="http://schemas.openxmlformats.org/officeDocument/2006/relationships/hyperlink" Target="https://www.cnn.com/2013/07/19/us/colorado-theater-shooting-fast-facts/index.html" TargetMode="External"/><Relationship Id="rId1713" Type="http://schemas.openxmlformats.org/officeDocument/2006/relationships/hyperlink" Target="https://www.nytimes.com/2016/06/14/us/politics/orlando-shooting-omar-mateen.html" TargetMode="External"/><Relationship Id="rId1920" Type="http://schemas.openxmlformats.org/officeDocument/2006/relationships/hyperlink" Target="https://www.cbsnews.com/news/jarrod-ramos-annapolis-shooting-suspect-identified-maryland-shooting-capital-gazette-today-2018-06-28/" TargetMode="External"/><Relationship Id="rId599" Type="http://schemas.openxmlformats.org/officeDocument/2006/relationships/hyperlink" Target="https://www.upi.com/Archives/1992/10/15/Gunman-kills-four-self-at-state-welfare-office/9825719121600/" TargetMode="External"/><Relationship Id="rId2487" Type="http://schemas.openxmlformats.org/officeDocument/2006/relationships/hyperlink" Target="https://news.google.com/newspapers?id=KEslAAAAIBAJ&amp;sjid=B-QFAAAAIBAJ&amp;pg=5809,8230898" TargetMode="External"/><Relationship Id="rId2694" Type="http://schemas.openxmlformats.org/officeDocument/2006/relationships/hyperlink" Target="http://www.nbcnews.com/id/33868368/ns/us_news-tragedy_at_fort_hood/t/doctors-questioned-hasans-behavior/" TargetMode="External"/><Relationship Id="rId459" Type="http://schemas.openxmlformats.org/officeDocument/2006/relationships/hyperlink" Target="https://www.nytimes.com/1989/01/18/us/five-children-killed-as-gunman-attacks-a-california-school.html" TargetMode="External"/><Relationship Id="rId666" Type="http://schemas.openxmlformats.org/officeDocument/2006/relationships/hyperlink" Target="https://www.nytimes.com/1993/10/16/us/motive-is-sought-in-killings-at-club.html" TargetMode="External"/><Relationship Id="rId873" Type="http://schemas.openxmlformats.org/officeDocument/2006/relationships/hyperlink" Target="https://www.theguardian.com/world/2009/apr/12/columbine-massacre-ten-year-anniversary" TargetMode="External"/><Relationship Id="rId1089" Type="http://schemas.openxmlformats.org/officeDocument/2006/relationships/hyperlink" Target="http://worldpopulationreview.com/us-cities/huntsville-population/" TargetMode="External"/><Relationship Id="rId1296" Type="http://schemas.openxmlformats.org/officeDocument/2006/relationships/hyperlink" Target="http://www.nbcnews.com/id/23699429/ns/us_news-crime_and_courts/t/suspect-held-after-killed-junk-yard-rampage/" TargetMode="External"/><Relationship Id="rId2347" Type="http://schemas.openxmlformats.org/officeDocument/2006/relationships/hyperlink" Target="https://www.nytimes.com/1997/09/23/nyregion/trial-opens-in-fatal-shootings-at-bronx-shoe-store-in-1995.html" TargetMode="External"/><Relationship Id="rId2554" Type="http://schemas.openxmlformats.org/officeDocument/2006/relationships/hyperlink" Target="https://archive.bangordailynews.com/1991/11/12/gunman-in-kentucky-received-treatment-at-togus-for-stress" TargetMode="External"/><Relationship Id="rId319" Type="http://schemas.openxmlformats.org/officeDocument/2006/relationships/hyperlink" Target="https://en.wikipedia.org/wiki/Manley_Hot_Springs,_Alaska" TargetMode="External"/><Relationship Id="rId526" Type="http://schemas.openxmlformats.org/officeDocument/2006/relationships/hyperlink" Target="http://www.nytimes.com/1991/10/18/us/portrait-of-texas-killer-impatient-and-troubled.html?pagewanted=all" TargetMode="External"/><Relationship Id="rId1156" Type="http://schemas.openxmlformats.org/officeDocument/2006/relationships/hyperlink" Target="https://www.chicagotribune.com/news/ct-xpm-2005-03-29-0503290160-story.html" TargetMode="External"/><Relationship Id="rId1363" Type="http://schemas.openxmlformats.org/officeDocument/2006/relationships/hyperlink" Target="https://www.thepilot.com/news/pinelake-at-a-decade-in-the-shadow-of-north-carolina/article_33d2be06-522a-11e9-b3d5-230b8a7f488f.html" TargetMode="External"/><Relationship Id="rId2207" Type="http://schemas.openxmlformats.org/officeDocument/2006/relationships/hyperlink" Target="https://www.mtairynews.com/archive/18387/view-full_story-12350459-article-murderer_gets_three_life_terms" TargetMode="External"/><Relationship Id="rId733" Type="http://schemas.openxmlformats.org/officeDocument/2006/relationships/hyperlink" Target="http://articles.latimes.com/1996-11-06/local/me-61893_1_city-electrician" TargetMode="External"/><Relationship Id="rId940" Type="http://schemas.openxmlformats.org/officeDocument/2006/relationships/hyperlink" Target="https://books.google.com/books?id=b54xcYkbSlcC&amp;lpg=PA67&amp;ots=mlvGRSb_k6&amp;dq=mark%20barton%20biography&amp;pg=PA67" TargetMode="External"/><Relationship Id="rId1016" Type="http://schemas.openxmlformats.org/officeDocument/2006/relationships/hyperlink" Target="https://www.cbsnews.com/news/murder-charges-in-workplace-shooting/" TargetMode="External"/><Relationship Id="rId1570" Type="http://schemas.openxmlformats.org/officeDocument/2006/relationships/hyperlink" Target="https://www.cbsnews.com/news/upstate-new-york-shooting-update-kurt-myers-suspected-gunman-killed-by-police-in-shootout/" TargetMode="External"/><Relationship Id="rId2414" Type="http://schemas.openxmlformats.org/officeDocument/2006/relationships/hyperlink" Target="https://www.nytimes.com/1993/12/12/nyregion/tormented-life-special-report-long-slide-privilege-ends-slaughter-train.html" TargetMode="External"/><Relationship Id="rId2621" Type="http://schemas.openxmlformats.org/officeDocument/2006/relationships/hyperlink" Target="https://www.cbsnews.com/news/inside-the-mind-of-a-killer/" TargetMode="External"/><Relationship Id="rId800" Type="http://schemas.openxmlformats.org/officeDocument/2006/relationships/hyperlink" Target="https://www.nytimes.com/1998/03/07/nyregion/rampage-connecticut-overview-connecticut-lottery-worker-kills-4-bosses-then.html" TargetMode="External"/><Relationship Id="rId1223" Type="http://schemas.openxmlformats.org/officeDocument/2006/relationships/hyperlink" Target="https://www.thestranger.com/seattle/dead-quiet/Content?oid=31361" TargetMode="External"/><Relationship Id="rId1430" Type="http://schemas.openxmlformats.org/officeDocument/2006/relationships/hyperlink" Target="https://www.sun-sentinel.com/news/fl-xpm-2010-06-13-sfl-hialeah-massacre-romance-06132010-story.html" TargetMode="External"/><Relationship Id="rId176" Type="http://schemas.openxmlformats.org/officeDocument/2006/relationships/hyperlink" Target="http://www.texarkanagazette.com/news/texarkana/story/2009/oct/29/arempens-book-about-1980-church-shooting-dain/133575/" TargetMode="External"/><Relationship Id="rId383" Type="http://schemas.openxmlformats.org/officeDocument/2006/relationships/hyperlink" Target="https://www.upi.com/Archives/1985/03/16/A-factory-worker-who-had-just-been-suspended-from/4288479797200/" TargetMode="External"/><Relationship Id="rId590" Type="http://schemas.openxmlformats.org/officeDocument/2006/relationships/hyperlink" Target="https://schoolshooters.info/sites/default/files/California-v-Houston-2007.pdf" TargetMode="External"/><Relationship Id="rId2064" Type="http://schemas.openxmlformats.org/officeDocument/2006/relationships/hyperlink" Target="https://www.deseretnews.com/article/107923/911-TAPE-TELLS-HORROR-OF-FLORIDA-MASSACRE.html" TargetMode="External"/><Relationship Id="rId2271" Type="http://schemas.openxmlformats.org/officeDocument/2006/relationships/hyperlink" Target="https://heavy.com/news/2016/02/jason-dalton-kalamazoo-shooting-spree-suspect-gunman-shooter-name-photos-pictures-facebook-motive-age/" TargetMode="External"/><Relationship Id="rId243"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450" Type="http://schemas.openxmlformats.org/officeDocument/2006/relationships/hyperlink" Target="https://caselaw.findlaw.com/nc-court-of-appeals/1209558.html" TargetMode="External"/><Relationship Id="rId1080" Type="http://schemas.openxmlformats.org/officeDocument/2006/relationships/hyperlink" Target="https://www.nwitimes.com/uncategorized/south-bend-factory-worker-kills-then-himself/article_f9510908-20ec-5629-8891-42c83bb776f3.html" TargetMode="External"/><Relationship Id="rId2131" Type="http://schemas.openxmlformats.org/officeDocument/2006/relationships/hyperlink" Target="https://lasvegassun.com/news/1999/jun/03/four-killed-in-shooting-at-grocery-store/" TargetMode="External"/><Relationship Id="rId103" Type="http://schemas.openxmlformats.org/officeDocument/2006/relationships/hyperlink" Target="https://legeros.com/history/stories/north-hills/" TargetMode="External"/><Relationship Id="rId310"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897" Type="http://schemas.openxmlformats.org/officeDocument/2006/relationships/hyperlink" Target="https://www.nytimes.com/2018/05/18/us/dimitrios-pagourtzis-gunman-texas-shooting.html" TargetMode="External"/><Relationship Id="rId1757" Type="http://schemas.openxmlformats.org/officeDocument/2006/relationships/hyperlink" Target="http://www.seattleweekly.com/news/the-bitter-life-and-sudden-death-of-arcan-cetin/" TargetMode="External"/><Relationship Id="rId1964"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s>
</file>

<file path=xl/worksheets/_rels/sheet7.xml.rels><?xml version="1.0" encoding="UTF-8" standalone="yes"?>
<Relationships xmlns="http://schemas.openxmlformats.org/package/2006/relationships"><Relationship Id="rId21" Type="http://schemas.openxmlformats.org/officeDocument/2006/relationships/hyperlink" Target="https://timesmachine.nytimes.com/timesmachine/1967/10/25/issue.html" TargetMode="External"/><Relationship Id="rId170" Type="http://schemas.openxmlformats.org/officeDocument/2006/relationships/hyperlink" Target="https://www.nytimes.com/1989/09/16/us/disturbed-past-of-killer-of-7-is-unraveled.html" TargetMode="External"/><Relationship Id="rId268" Type="http://schemas.openxmlformats.org/officeDocument/2006/relationships/hyperlink" Target="https://www.latimes.com/archives/la-xpm-1993-12-08-me-65133-story.html" TargetMode="External"/><Relationship Id="rId475" Type="http://schemas.openxmlformats.org/officeDocument/2006/relationships/hyperlink" Target="https://www.csgv.org/mass-shootings-by-good-guys/" TargetMode="External"/><Relationship Id="rId682" Type="http://schemas.openxmlformats.org/officeDocument/2006/relationships/hyperlink" Target="https://www.presstelegram.com/2012/10/11/seal-beach-shooting-anniversary-searching-for-solace-fighting-for-gun-law-change/" TargetMode="External"/><Relationship Id="rId128" Type="http://schemas.openxmlformats.org/officeDocument/2006/relationships/hyperlink" Target="https://www.washingtonpost.com/archive/politics/1988/02/18/sudden-death-in-sunnyvale/4f50e5d7-0804-4a56-a2af-ced693c3b577/" TargetMode="External"/><Relationship Id="rId335" Type="http://schemas.openxmlformats.org/officeDocument/2006/relationships/hyperlink" Target="https://www.nytimes.com/1998/03/29/us/from-wild-talk-and-friendship-to-five-deaths-in-a-schoolyard.html?mcubz=0" TargetMode="External"/><Relationship Id="rId542" Type="http://schemas.openxmlformats.org/officeDocument/2006/relationships/hyperlink" Target="https://www.nytimes.com/2007/04/20/us/20cnd-guns.html" TargetMode="External"/><Relationship Id="rId987" Type="http://schemas.openxmlformats.org/officeDocument/2006/relationships/hyperlink" Target="https://www.lvmpd.com/en-us/Documents/1-October-FIT-Criminal-Investigative-Report-FINAL_080318.pdf" TargetMode="External"/><Relationship Id="rId402" Type="http://schemas.openxmlformats.org/officeDocument/2006/relationships/hyperlink" Target="https://www.nytimes.com/1999/09/17/us/deaths-in-a-church-the-overview-an-angry-mystery-man-who-brought-death.html" TargetMode="External"/><Relationship Id="rId847" Type="http://schemas.openxmlformats.org/officeDocument/2006/relationships/hyperlink" Target="https://time.com/4367592/orlando-shooting-gun-store-owner/" TargetMode="External"/><Relationship Id="rId1032" Type="http://schemas.openxmlformats.org/officeDocument/2006/relationships/hyperlink" Target="https://www.washingtonpost.com/news/post-nation/wp/2018/01/29/jealousy-and-obsession-may-have-led-carwash-shooting-suspect-to-kill-four-relatives-say/" TargetMode="External"/><Relationship Id="rId707" Type="http://schemas.openxmlformats.org/officeDocument/2006/relationships/hyperlink" Target="https://www.nytimes.com/2012/07/24/us/aurora-gunmans-lethal-arsenal.html" TargetMode="External"/><Relationship Id="rId914" Type="http://schemas.openxmlformats.org/officeDocument/2006/relationships/hyperlink" Target="https://www.lvmpd.com/en-us/Documents/1-October-FIT-Criminal-Investigative-Report-FINAL_080318.pdf" TargetMode="External"/><Relationship Id="rId43" Type="http://schemas.openxmlformats.org/officeDocument/2006/relationships/hyperlink" Target="https://www.washingtonpost.com/archive/politics/1977/02/15/vengeful-nazi-follower-kills-5-commits-suicide/3ff6cfb8-81bf-4620-b90b-20962fb17232/" TargetMode="External"/><Relationship Id="rId192" Type="http://schemas.openxmlformats.org/officeDocument/2006/relationships/hyperlink" Target="https://journaltimes.com/news/national/texas-killer-hated-women-officials-say/article_6280aabc-4369-59d3-950e-0d5519021dcf.html" TargetMode="External"/><Relationship Id="rId497" Type="http://schemas.openxmlformats.org/officeDocument/2006/relationships/hyperlink" Target="https://www.mprnews.org/story/2015/03/18/red-lake-shooting-explained" TargetMode="External"/><Relationship Id="rId357" Type="http://schemas.openxmlformats.org/officeDocument/2006/relationships/hyperlink" Target="https://www.pbs.org/wgbh/pages/frontline/shows/kinkel/kip/cron.html" TargetMode="External"/><Relationship Id="rId217" Type="http://schemas.openxmlformats.org/officeDocument/2006/relationships/hyperlink" Target="https://schoolshooters.info/sites/default/files/California-v-Houston-2007.pdf" TargetMode="External"/><Relationship Id="rId564" Type="http://schemas.openxmlformats.org/officeDocument/2006/relationships/hyperlink" Target="https://commonreader.wustl.edu/c/tragic-convergence-race-mental-health-violence/" TargetMode="External"/><Relationship Id="rId771" Type="http://schemas.openxmlformats.org/officeDocument/2006/relationships/hyperlink" Target="https://abcnews.go.com/US/chattanooga-shooting-fbi-reveals-details/story?id=32619426" TargetMode="External"/><Relationship Id="rId869" Type="http://schemas.openxmlformats.org/officeDocument/2006/relationships/hyperlink" Target="https://www.lvmpd.com/en-us/Documents/1-October-FIT-Criminal-Investigative-Report-FINAL_080318.pdf" TargetMode="External"/><Relationship Id="rId424" Type="http://schemas.openxmlformats.org/officeDocument/2006/relationships/hyperlink" Target="https://caselaw.findlaw.com/ma-supreme-judicial-court/1448833.html" TargetMode="External"/><Relationship Id="rId631" Type="http://schemas.openxmlformats.org/officeDocument/2006/relationships/hyperlink" Target="https://www.usatoday.com/story/news/nation/2013/08/06/fort-hood-trial/2622503/" TargetMode="External"/><Relationship Id="rId729" Type="http://schemas.openxmlformats.org/officeDocument/2006/relationships/hyperlink" Target="https://newyork.cbslocal.com/2012/12/16/friends-newtown-gunmans-mother-home-schooled-son-kept-arsenal-of-guns/" TargetMode="External"/><Relationship Id="rId1054" Type="http://schemas.openxmlformats.org/officeDocument/2006/relationships/hyperlink" Target="https://www.newyorker.com/news/news-desk/this-is-a-dream-i-cant-wake-up-from" TargetMode="External"/><Relationship Id="rId936" Type="http://schemas.openxmlformats.org/officeDocument/2006/relationships/hyperlink" Target="https://www.lvmpd.com/en-us/Documents/1-October-FIT-Criminal-Investigative-Report-FINAL_080318.pdf" TargetMode="External"/><Relationship Id="rId1121" Type="http://schemas.openxmlformats.org/officeDocument/2006/relationships/hyperlink" Target="https://books.google.com/books?id=MzhVs1852I0C&amp;pg=PR8&amp;lpg=PR8&amp;dq=Martyrdom+in+Milwaukee:+A+Treatise+on+the+Brookfield,+Wisconsin,+Shooting&amp;source=bl&amp;ots=uwljAtL8hN&amp;sig=ACfU3U1OOxROz_uIz_otvThL01Khem8tIw&amp;hl=en&amp;sa=X&amp;ved=2ahUKEwjD-5uv4-_oAhVYVs0KHQjgBT8Q6AEw%22&amp;%22BHoECBcQKA" TargetMode="External"/><Relationship Id="rId65" Type="http://schemas.openxmlformats.org/officeDocument/2006/relationships/hyperlink" Target="https://www.upi.com/Archives/1982/08/09/Yes-I-know-hes-killing-people/2899397713600/" TargetMode="External"/><Relationship Id="rId281" Type="http://schemas.openxmlformats.org/officeDocument/2006/relationships/hyperlink" Target="https://www.upi.com/Archives/1995/07/19/Four-LA-city-workers-shot-to-death/3373806126400/" TargetMode="External"/><Relationship Id="rId141" Type="http://schemas.openxmlformats.org/officeDocument/2006/relationships/hyperlink" Target="https://www.leagle.com/decision/incaco20090702055" TargetMode="External"/><Relationship Id="rId379" Type="http://schemas.openxmlformats.org/officeDocument/2006/relationships/hyperlink" Target="https://www.denverpost.com/1999/04/27/columbine-high-school-shooting-guns/" TargetMode="External"/><Relationship Id="rId586" Type="http://schemas.openxmlformats.org/officeDocument/2006/relationships/hyperlink" Target="https://caselaw.findlaw.com/ca-court-of-appeal/1714165.html" TargetMode="External"/><Relationship Id="rId793" Type="http://schemas.openxmlformats.org/officeDocument/2006/relationships/hyperlink" Target="https://www.nytimes.com/2015/10/06/us/mother-of-oregon-gunman-wrote-of-keeping-firearms.html" TargetMode="External"/><Relationship Id="rId7" Type="http://schemas.openxmlformats.org/officeDocument/2006/relationships/hyperlink" Target="https://upload.wikimedia.org/wikipedia/commons/c/cc/Very-long-police-report.jpg" TargetMode="External"/><Relationship Id="rId239" Type="http://schemas.openxmlformats.org/officeDocument/2006/relationships/hyperlink" Target="https://www.washingtonpost.com/archive/opinions/1993/07/27/death-over-the-counter/5432f0dc-40a2-42a1-aaa3-f7488996c779/" TargetMode="External"/><Relationship Id="rId446" Type="http://schemas.openxmlformats.org/officeDocument/2006/relationships/hyperlink" Target="https://www.cnn.com/2001/US/02/07/plant.shootings/" TargetMode="External"/><Relationship Id="rId653" Type="http://schemas.openxmlformats.org/officeDocument/2006/relationships/hyperlink" Target="https://abcnews.go.com/US/connecticut-shooter-omar-thornton-chased-victims-beer-distributor/story?id=11322281" TargetMode="External"/><Relationship Id="rId1076" Type="http://schemas.openxmlformats.org/officeDocument/2006/relationships/hyperlink" Target="https://www.washingtonpost.com/nation/2019/02/16/man-kills-five-warehouse-shooting-spree-shortly-after-being-fired-illinois-police-say/" TargetMode="External"/><Relationship Id="rId306" Type="http://schemas.openxmlformats.org/officeDocument/2006/relationships/hyperlink" Target="https://caselaw.findlaw.com/fl-supreme-court/1559835.html" TargetMode="External"/><Relationship Id="rId860" Type="http://schemas.openxmlformats.org/officeDocument/2006/relationships/hyperlink" Target="https://www.washingtonpost.com/news/post-nation/wp/2016/09/25/after-day-long-manhunt-police-arrest-20-year-old-in-washington-state-mall-killings/" TargetMode="External"/><Relationship Id="rId958" Type="http://schemas.openxmlformats.org/officeDocument/2006/relationships/hyperlink" Target="https://www.lvmpd.com/en-us/Documents/1-October-FIT-Criminal-Investigative-Report-FINAL_080318.pdf" TargetMode="External"/><Relationship Id="rId87" Type="http://schemas.openxmlformats.org/officeDocument/2006/relationships/hyperlink" Target="https://law.justia.com/cases/texas/court-of-criminal-appeals/1986/69268-4.html" TargetMode="External"/><Relationship Id="rId513" Type="http://schemas.openxmlformats.org/officeDocument/2006/relationships/hyperlink" Target="https://web.archive.org/web/20060329185249/seattlepi.nwsource.com/local/264597_huffarsenal28.html" TargetMode="External"/><Relationship Id="rId720" Type="http://schemas.openxmlformats.org/officeDocument/2006/relationships/hyperlink" Target="https://newyork.cbslocal.com/2012/12/16/friends-newtown-gunmans-mother-home-schooled-son-kept-arsenal-of-guns/" TargetMode="External"/><Relationship Id="rId818" Type="http://schemas.openxmlformats.org/officeDocument/2006/relationships/hyperlink" Target="https://www.cnn.com/2015/12/03/us/syed-farook-tashfeen-malik-mass-shooting-profile/index.html" TargetMode="External"/><Relationship Id="rId1003" Type="http://schemas.openxmlformats.org/officeDocument/2006/relationships/hyperlink" Target="https://www.statesman.com/news/20171107/hundreds-of-shell-casings-15-empty-magazines-found-at-church" TargetMode="External"/><Relationship Id="rId14" Type="http://schemas.openxmlformats.org/officeDocument/2006/relationships/hyperlink" Target="https://upload.wikimedia.org/wikipedia/commons/c/cc/Very-long-police-report.jpg" TargetMode="External"/><Relationship Id="rId163" Type="http://schemas.openxmlformats.org/officeDocument/2006/relationships/hyperlink" Target="https://www.chicagotribune.com/news/ct-xpm-1989-09-16-8901130452-story.html" TargetMode="External"/><Relationship Id="rId370" Type="http://schemas.openxmlformats.org/officeDocument/2006/relationships/hyperlink" Target="https://www.latimes.com/archives/la-xpm-1999-aug-19-mn-1611-story.html" TargetMode="External"/><Relationship Id="rId230" Type="http://schemas.openxmlformats.org/officeDocument/2006/relationships/hyperlink" Target="https://www.sanluisobispo.com/news/local/news-columns-blogs/photos-from-the-vault/article217891420.html" TargetMode="External"/><Relationship Id="rId468" Type="http://schemas.openxmlformats.org/officeDocument/2006/relationships/hyperlink" Target="https://www.ourmidland.com/news/article/Gunman-had-history-of-mental-illness-7103532.php" TargetMode="External"/><Relationship Id="rId675" Type="http://schemas.openxmlformats.org/officeDocument/2006/relationships/hyperlink" Target="https://www.leg.state.nv.us/App/NELIS/REL/77th2013/ExhibitDocument/OpenExhibitDocument?exhibitId=2560&amp;fileDownloadName=Power%20Point-Ken%20Furlong.pdf" TargetMode="External"/><Relationship Id="rId882" Type="http://schemas.openxmlformats.org/officeDocument/2006/relationships/hyperlink" Target="https://www.lvmpd.com/en-us/Documents/1-October-FIT-Criminal-Investigative-Report-FINAL_080318.pdf" TargetMode="External"/><Relationship Id="rId1098" Type="http://schemas.openxmlformats.org/officeDocument/2006/relationships/hyperlink" Target="http://newjersey.news12.com/story/41444962/nj-attorney-general-jersey-city-shooters-had-tremendous-amount-of-firepower-could-have-continued-rampage" TargetMode="External"/><Relationship Id="rId25" Type="http://schemas.openxmlformats.org/officeDocument/2006/relationships/hyperlink" Target="https://books.google.com/books?id=LEgSiLnmgYoC&amp;pg=PA12&amp;lpg=PA12&amp;dq=leo+held+guns&amp;source=bl&amp;ots=lYWojMB3hZ&amp;sig=ACfU3U3QcP6YU2TfjX8MqJ_S-Tk3S0T6eg&amp;hl=en&amp;sa=X&amp;ved=2ahUKEwjLnbCX5-PpAhXpoFsKHWx2CRwQ6AEwAnoECAcQAQ" TargetMode="External"/><Relationship Id="rId328" Type="http://schemas.openxmlformats.org/officeDocument/2006/relationships/hyperlink" Target="https://www.arkansasonline.com/news/2017/aug/16/school-shooters-swapped-blame-20170816/" TargetMode="External"/><Relationship Id="rId535" Type="http://schemas.openxmlformats.org/officeDocument/2006/relationships/hyperlink" Target="https://web.archive.org/web/20141006080559/http:/extras.mnginteractive.com/live/media/site297/2008/0129/20080129_023518_trolleyreport.pdf" TargetMode="External"/><Relationship Id="rId742" Type="http://schemas.openxmlformats.org/officeDocument/2006/relationships/hyperlink" Target="https://www.miamiherald.com/news/special-reports/hialeah-mass-shooting/article1953653.html" TargetMode="External"/><Relationship Id="rId174" Type="http://schemas.openxmlformats.org/officeDocument/2006/relationships/hyperlink" Target="https://www.vpc.org/studies/wgun900618.htm" TargetMode="External"/><Relationship Id="rId381" Type="http://schemas.openxmlformats.org/officeDocument/2006/relationships/hyperlink" Target="http://www.cnn.com/SPECIALS/2000/columbine.cd/Pages/EQUIPMENT_TEXT.htm" TargetMode="External"/><Relationship Id="rId602" Type="http://schemas.openxmlformats.org/officeDocument/2006/relationships/hyperlink" Target="https://www.thepilot.com/news/pinelake-at-a-decade-in-the-shadow-of-north-carolina/article_33d2be06-522a-11e9-b3d5-230b8a7f488f.html" TargetMode="External"/><Relationship Id="rId1025" Type="http://schemas.openxmlformats.org/officeDocument/2006/relationships/hyperlink" Target="https://www.aol.com/article/news/2017/11/17/california-mass-shooter-made-his-own-rifles/23280600/" TargetMode="External"/><Relationship Id="rId241" Type="http://schemas.openxmlformats.org/officeDocument/2006/relationships/hyperlink" Target="https://law.justia.com/cases/california/supreme-court/4th/26/465.html" TargetMode="External"/><Relationship Id="rId479" Type="http://schemas.openxmlformats.org/officeDocument/2006/relationships/hyperlink" Target="https://www.csgv.org/mass-shootings-by-good-guys/" TargetMode="External"/><Relationship Id="rId686" Type="http://schemas.openxmlformats.org/officeDocument/2006/relationships/hyperlink" Target="https://www.nytimes.com/interactive/2015/10/03/us/how-mass-shooters-got-their-guns.html" TargetMode="External"/><Relationship Id="rId893" Type="http://schemas.openxmlformats.org/officeDocument/2006/relationships/hyperlink" Target="https://www.lvmpd.com/en-us/Documents/1-October-FIT-Criminal-Investigative-Report-FINAL_080318.pdf" TargetMode="External"/><Relationship Id="rId907" Type="http://schemas.openxmlformats.org/officeDocument/2006/relationships/hyperlink" Target="https://www.lvmpd.com/en-us/Documents/1-October-FIT-Criminal-Investigative-Report-FINAL_080318.pdf" TargetMode="External"/><Relationship Id="rId36" Type="http://schemas.openxmlformats.org/officeDocument/2006/relationships/hyperlink" Target="http://www.nydailynews.com/news/crime/rochelle-sniper-kills-1977-article-1.2973348" TargetMode="External"/><Relationship Id="rId339" Type="http://schemas.openxmlformats.org/officeDocument/2006/relationships/hyperlink" Target="https://www.nytimes.com/1998/03/29/us/from-wild-talk-and-friendship-to-five-deaths-in-a-schoolyard.html?mcubz=0" TargetMode="External"/><Relationship Id="rId546" Type="http://schemas.openxmlformats.org/officeDocument/2006/relationships/hyperlink" Target="https://www.nytimes.com/2007/04/20/us/20cnd-guns.html" TargetMode="External"/><Relationship Id="rId753" Type="http://schemas.openxmlformats.org/officeDocument/2006/relationships/hyperlink" Target="https://documents.latimes.com/isla-vista-investigative-summary/" TargetMode="External"/><Relationship Id="rId101" Type="http://schemas.openxmlformats.org/officeDocument/2006/relationships/hyperlink" Target="https://casetext.com/case/travelers-indem-co-v-olives-spt-goods-inc" TargetMode="External"/><Relationship Id="rId185" Type="http://schemas.openxmlformats.org/officeDocument/2006/relationships/hyperlink" Target="https://www.nytimes.com/1990/06/20/us/hazy-records-helped-florida-gunman-buy-arms.html" TargetMode="External"/><Relationship Id="rId406" Type="http://schemas.openxmlformats.org/officeDocument/2006/relationships/hyperlink" Target="http://archives.starbulletin.com/1999/11/11/news/story3.html" TargetMode="External"/><Relationship Id="rId960" Type="http://schemas.openxmlformats.org/officeDocument/2006/relationships/hyperlink" Target="https://www.lvmpd.com/en-us/Documents/1-October-FIT-Criminal-Investigative-Report-FINAL_080318.pdf" TargetMode="External"/><Relationship Id="rId1036" Type="http://schemas.openxmlformats.org/officeDocument/2006/relationships/hyperlink" Target="https://www.washingtonpost.com/news/post-nation/wp/2018/01/29/jealousy-and-obsession-may-have-led-carwash-shooting-suspect-to-kill-four-relatives-say/" TargetMode="External"/><Relationship Id="rId392" Type="http://schemas.openxmlformats.org/officeDocument/2006/relationships/hyperlink" Target="https://www.washingtonpost.com/archive/politics/1999/07/31/killer-wrote-of-fear-hopelessness/af33786a-de37-45cd-9d5f-1098379892dd/?noredirect=on" TargetMode="External"/><Relationship Id="rId613" Type="http://schemas.openxmlformats.org/officeDocument/2006/relationships/hyperlink" Target="https://schoolshooters.info/sites/default/files/Al-Salihi_v_Gander_Mountain.pdf" TargetMode="External"/><Relationship Id="rId697" Type="http://schemas.openxmlformats.org/officeDocument/2006/relationships/hyperlink" Target="https://web.archive.org/web/20120722041017/http:/abcnews.go.com/US/wireStory/police-colo-shooting-suspect-bought-guns-legally-16826588" TargetMode="External"/><Relationship Id="rId820" Type="http://schemas.openxmlformats.org/officeDocument/2006/relationships/hyperlink" Target="https://www.nbcsandiego.com/news/local/2-guns-from-san-bernardino-shooting-came-from-turners-outdoorsman-store/61594/" TargetMode="External"/><Relationship Id="rId918" Type="http://schemas.openxmlformats.org/officeDocument/2006/relationships/hyperlink" Target="https://www.lvmpd.com/en-us/Documents/1-October-FIT-Criminal-Investigative-Report-FINAL_080318.pdf" TargetMode="External"/><Relationship Id="rId252" Type="http://schemas.openxmlformats.org/officeDocument/2006/relationships/hyperlink" Target="https://www.latimes.com/archives/la-xpm-1993-10-17-mn-46854-story.html" TargetMode="External"/><Relationship Id="rId1103" Type="http://schemas.openxmlformats.org/officeDocument/2006/relationships/hyperlink" Target="http://newjersey.news12.com/story/41444962/nj-attorney-general-jersey-city-shooters-had-tremendous-amount-of-firepower-could-have-continued-rampage" TargetMode="External"/><Relationship Id="rId47" Type="http://schemas.openxmlformats.org/officeDocument/2006/relationships/hyperlink" Target="https://www.nytimes.com/1977/02/16/archives/cowan-had-4-pistols-but-not-one-permit.html" TargetMode="External"/><Relationship Id="rId112" Type="http://schemas.openxmlformats.org/officeDocument/2006/relationships/hyperlink" Target="https://www.nytimes.com/1986/08/23/us/carier-got-guns-as-guard-member.html" TargetMode="External"/><Relationship Id="rId557" Type="http://schemas.openxmlformats.org/officeDocument/2006/relationships/hyperlink" Target="https://www.denverpost.com/2007/12/12/gunman-legally-amassed-weaponry-in-years-time/" TargetMode="External"/><Relationship Id="rId764" Type="http://schemas.openxmlformats.org/officeDocument/2006/relationships/hyperlink" Target="https://www.theguardian.com/world/2014/may/25/elliot-rodger-suspect-california-mass-murder-shooting-stabbing" TargetMode="External"/><Relationship Id="rId971" Type="http://schemas.openxmlformats.org/officeDocument/2006/relationships/hyperlink" Target="https://www.lvmpd.com/en-us/Documents/1-October-FIT-Criminal-Investigative-Report-FINAL_080318.pdf" TargetMode="External"/><Relationship Id="rId196" Type="http://schemas.openxmlformats.org/officeDocument/2006/relationships/hyperlink" Target="https://journaltimes.com/news/national/texas-killer-hated-women-officials-say/article_6280aabc-4369-59d3-950e-0d5519021dcf.html" TargetMode="External"/><Relationship Id="rId417" Type="http://schemas.openxmlformats.org/officeDocument/2006/relationships/hyperlink" Target="https://old.post-gazette.com/regionstate/20000502gun2.asp" TargetMode="External"/><Relationship Id="rId624" Type="http://schemas.openxmlformats.org/officeDocument/2006/relationships/hyperlink" Target="https://abcnews.go.com/Blotter/cop-killer-gun-thought-ft-hood-shooting/story?id=9019521" TargetMode="External"/><Relationship Id="rId831" Type="http://schemas.openxmlformats.org/officeDocument/2006/relationships/hyperlink" Target="https://www.mlive.com/news/kalamazoo/2016/03/police_believe_jason_dalton_us.html" TargetMode="External"/><Relationship Id="rId1047" Type="http://schemas.openxmlformats.org/officeDocument/2006/relationships/hyperlink" Target="https://chicago.cbslocal.com/2019/03/14/waffle-house-shooting-father-charged-reinking/" TargetMode="External"/><Relationship Id="rId263" Type="http://schemas.openxmlformats.org/officeDocument/2006/relationships/hyperlink" Target="https://www.wired.com/1994/06/rage/" TargetMode="External"/><Relationship Id="rId470" Type="http://schemas.openxmlformats.org/officeDocument/2006/relationships/hyperlink" Target="https://www.nwitimes.com/uncategorized/south-bend-factory-worker-kills-then-himself/article_f9510908-20ec-5629-8891-42c83bb776f3.html" TargetMode="External"/><Relationship Id="rId929" Type="http://schemas.openxmlformats.org/officeDocument/2006/relationships/hyperlink" Target="https://www.lvmpd.com/en-us/Documents/1-October-FIT-Criminal-Investigative-Report-FINAL_080318.pdf" TargetMode="External"/><Relationship Id="rId1114"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58" Type="http://schemas.openxmlformats.org/officeDocument/2006/relationships/hyperlink" Target="https://books.google.com/books?id=zSwEAAAAMBAJ&amp;pg=PA140" TargetMode="External"/><Relationship Id="rId123" Type="http://schemas.openxmlformats.org/officeDocument/2006/relationships/hyperlink" Target="https://www.orlandosentinel.com/news/os-xpm-1987-04-28-0120380197-story.html" TargetMode="External"/><Relationship Id="rId330" Type="http://schemas.openxmlformats.org/officeDocument/2006/relationships/hyperlink" Target="https://www.nytimes.com/1998/03/29/us/from-wild-talk-and-friendship-to-five-deaths-in-a-schoolyard.html?mcubz=0" TargetMode="External"/><Relationship Id="rId568" Type="http://schemas.openxmlformats.org/officeDocument/2006/relationships/hyperlink" Target="https://www.lakeexpo.com/news/top_stories/thornton-used-stolen-gun-in-kirkwood-killings/article_59696954-4d4c-5052-91c6-ac18d02a2e27.html" TargetMode="External"/><Relationship Id="rId775" Type="http://schemas.openxmlformats.org/officeDocument/2006/relationships/hyperlink" Target="https://www.washingtonpost.com/politics/chattanooga-shooter-an-aimless-young-man-who-smoked-dope-and-shot-guns/2015/07/18/c213f6a6-2d7d-11e5-a5ea-cf74396e59ec_story.html" TargetMode="External"/><Relationship Id="rId982" Type="http://schemas.openxmlformats.org/officeDocument/2006/relationships/hyperlink" Target="https://www.lvmpd.com/en-us/Documents/1-October-FIT-Criminal-Investigative-Report-FINAL_080318.pdf" TargetMode="External"/><Relationship Id="rId428" Type="http://schemas.openxmlformats.org/officeDocument/2006/relationships/hyperlink" Target="https://caselaw.findlaw.com/ma-supreme-judicial-court/1448833.html" TargetMode="External"/><Relationship Id="rId635" Type="http://schemas.openxmlformats.org/officeDocument/2006/relationships/hyperlink" Target="https://www.courts.wa.gov/content/petitions/89448-5%20Answer%20to%20Petition%20for%20Review%20Cross%20Petition%20for%20Review.pdf" TargetMode="External"/><Relationship Id="rId842" Type="http://schemas.openxmlformats.org/officeDocument/2006/relationships/hyperlink" Target="https://abcnews.go.com/US/orlando-shooter-bought-weapons-nearby-gun-shop/story?id=39817471" TargetMode="External"/><Relationship Id="rId1058" Type="http://schemas.openxmlformats.org/officeDocument/2006/relationships/hyperlink" Target="https://www.bakersfield.com/ex-wife-in-mass-shooting-had-just-filed-for-child/article_8d7510c2-bc38-11e8-bc73-c3793e2ec681.html" TargetMode="External"/><Relationship Id="rId274" Type="http://schemas.openxmlformats.org/officeDocument/2006/relationships/hyperlink" Target="https://www.nytimes.com/1994/06/22/us/an-airman-s-revenge-5-minutes-of-terror.html?mtrref=undefined" TargetMode="External"/><Relationship Id="rId481" Type="http://schemas.openxmlformats.org/officeDocument/2006/relationships/hyperlink" Target="https://www.nytimes.com/2003/07/09/us/man-kills-5-co-workers-at-plant-and-himself.html" TargetMode="External"/><Relationship Id="rId702" Type="http://schemas.openxmlformats.org/officeDocument/2006/relationships/hyperlink" Target="https://www.cbsnews.com/news/colo-shooter-purchased-guns-legally-from-3-different-stores/" TargetMode="External"/><Relationship Id="rId1125" Type="http://schemas.openxmlformats.org/officeDocument/2006/relationships/printerSettings" Target="../printerSettings/printerSettings7.bin"/><Relationship Id="rId69" Type="http://schemas.openxmlformats.org/officeDocument/2006/relationships/hyperlink" Target="https://www.nytimes.com/1982/08/22/us/around-the-nation-police-say-killer-of-8-had-just-purchased-gun.html" TargetMode="External"/><Relationship Id="rId134" Type="http://schemas.openxmlformats.org/officeDocument/2006/relationships/hyperlink" Target="https://www.leagle.com/decision/incaco20090702055" TargetMode="External"/><Relationship Id="rId579" Type="http://schemas.openxmlformats.org/officeDocument/2006/relationships/hyperlink" Target="https://www.niu.edu/forward/_pdfs/archives/feb14report.pdf" TargetMode="External"/><Relationship Id="rId786" Type="http://schemas.openxmlformats.org/officeDocument/2006/relationships/hyperlink" Target="https://www.oregonlive.com/pacific-northwest-news/2017/09/umpqua_community_college_inves.html" TargetMode="External"/><Relationship Id="rId993" Type="http://schemas.openxmlformats.org/officeDocument/2006/relationships/hyperlink" Target="https://www.lvmpd.com/en-us/Documents/1-October-FIT-Criminal-Investigative-Report-FINAL_080318.pdf" TargetMode="External"/><Relationship Id="rId341" Type="http://schemas.openxmlformats.org/officeDocument/2006/relationships/hyperlink" Target="https://www.nytimes.com/1998/03/29/us/from-wild-talk-and-friendship-to-five-deaths-in-a-schoolyard.html?mcubz=0" TargetMode="External"/><Relationship Id="rId439" Type="http://schemas.openxmlformats.org/officeDocument/2006/relationships/hyperlink" Target="https://www.chicagotribune.com/news/ct-xpm-2001-02-07-0102070122-story.html" TargetMode="External"/><Relationship Id="rId646" Type="http://schemas.openxmlformats.org/officeDocument/2006/relationships/hyperlink" Target="https://www.courant.com/community/manchester/hc-connecticut-shooting-heroes-0805-20100804-story.html" TargetMode="External"/><Relationship Id="rId1069" Type="http://schemas.openxmlformats.org/officeDocument/2006/relationships/hyperlink" Target="https://www.nytimes.com/2018/10/30/us/ar15-gun-pittsburgh-shooting.html" TargetMode="External"/><Relationship Id="rId201" Type="http://schemas.openxmlformats.org/officeDocument/2006/relationships/hyperlink" Target="https://www.desmoinesregister.com/story/news/2016/10/28/nov-1-1991-day-university-shooting-rampage-shocked-iowa/92053548/" TargetMode="External"/><Relationship Id="rId285" Type="http://schemas.openxmlformats.org/officeDocument/2006/relationships/hyperlink" Target="https://www.nydailynews.com/new-york/bronx/day-mass-killer-struck-boro-article-1.213350" TargetMode="External"/><Relationship Id="rId506" Type="http://schemas.openxmlformats.org/officeDocument/2006/relationships/hyperlink" Target="https://www.chron.com/news/houston-texas/article/Gunman-kills-himself-after-deadly-rampage-1916640.php" TargetMode="External"/><Relationship Id="rId853" Type="http://schemas.openxmlformats.org/officeDocument/2006/relationships/hyperlink" Target="https://www.wsj.com/articles/dallas-chief-david-brown-urges-protesters-to-join-police-force-1468273328" TargetMode="External"/><Relationship Id="rId492" Type="http://schemas.openxmlformats.org/officeDocument/2006/relationships/hyperlink" Target="https://www.latimes.com/archives/la-xpm-2005-mar-13-na-atlanta13-story.html" TargetMode="External"/><Relationship Id="rId713" Type="http://schemas.openxmlformats.org/officeDocument/2006/relationships/hyperlink" Target="https://www.mprnews.org/story/2013/09/27/a-year-after-accent-signage-shootings-debate-shifts-from-gun-control-to-mental-health" TargetMode="External"/><Relationship Id="rId797" Type="http://schemas.openxmlformats.org/officeDocument/2006/relationships/hyperlink" Target="https://www.oregonlive.com/pacific-northwest-news/2017/09/umpqua_community_college_inves.html" TargetMode="External"/><Relationship Id="rId920" Type="http://schemas.openxmlformats.org/officeDocument/2006/relationships/hyperlink" Target="https://www.lvmpd.com/en-us/Documents/1-October-FIT-Criminal-Investigative-Report-FINAL_080318.pdf" TargetMode="External"/><Relationship Id="rId145" Type="http://schemas.openxmlformats.org/officeDocument/2006/relationships/hyperlink" Target="https://www.leagle.com/decision/incaco20090702055" TargetMode="External"/><Relationship Id="rId352" Type="http://schemas.openxmlformats.org/officeDocument/2006/relationships/hyperlink" Target="https://www.nytimes.com/1998/03/29/us/from-wild-talk-and-friendship-to-five-deaths-in-a-schoolyard.html?mcubz=0" TargetMode="External"/><Relationship Id="rId212" Type="http://schemas.openxmlformats.org/officeDocument/2006/relationships/hyperlink" Target="https://www.latimes.com/archives/la-xpm-1991-11-15-mn-1435-story.html" TargetMode="External"/><Relationship Id="rId657" Type="http://schemas.openxmlformats.org/officeDocument/2006/relationships/hyperlink" Target="https://www.washingtonpost.com/national/reno-era-policy-kept-jared-loughner-off-fbi-gun-list/2011/01/18/ABo9tRR_story.html" TargetMode="External"/><Relationship Id="rId864" Type="http://schemas.openxmlformats.org/officeDocument/2006/relationships/hyperlink" Target="https://fox11online.com/news/state/suspect-identified-in-quadruple-wisconsin-shooting" TargetMode="External"/><Relationship Id="rId296" Type="http://schemas.openxmlformats.org/officeDocument/2006/relationships/hyperlink" Target="https://apnews.com/cec11122f0b4c232725599b3ae3d7bcf" TargetMode="External"/><Relationship Id="rId517" Type="http://schemas.openxmlformats.org/officeDocument/2006/relationships/hyperlink" Target="https://web.archive.org/web/20141203154553/http:/seattletimes.com/html/localnews/2002893027_webshooter27.html" TargetMode="External"/><Relationship Id="rId724" Type="http://schemas.openxmlformats.org/officeDocument/2006/relationships/hyperlink" Target="https://web.archive.org/web/20131223225701/http:/www.ct.gov/csao/lib/csao/Sandy_Hook_Final_Report.pdf" TargetMode="External"/><Relationship Id="rId931" Type="http://schemas.openxmlformats.org/officeDocument/2006/relationships/hyperlink" Target="https://www.lvmpd.com/en-us/Documents/1-October-FIT-Criminal-Investigative-Report-FINAL_080318.pdf" TargetMode="External"/><Relationship Id="rId60" Type="http://schemas.openxmlformats.org/officeDocument/2006/relationships/hyperlink" Target="https://books.google.com/books?id=zSwEAAAAMBAJ&amp;pg=PA140" TargetMode="External"/><Relationship Id="rId156" Type="http://schemas.openxmlformats.org/officeDocument/2006/relationships/hyperlink" Target="https://schoolshooters.info/sites/default/files/Purdy%20-%20official%20report.pdf" TargetMode="External"/><Relationship Id="rId363" Type="http://schemas.openxmlformats.org/officeDocument/2006/relationships/hyperlink" Target="https://www.pbs.org/wgbh/pages/frontline/shows/kinkel/kip/cron.html" TargetMode="External"/><Relationship Id="rId570" Type="http://schemas.openxmlformats.org/officeDocument/2006/relationships/hyperlink" Target="https://www.niu.edu/forward/_pdfs/archives/feb14report.pdf" TargetMode="External"/><Relationship Id="rId1007" Type="http://schemas.openxmlformats.org/officeDocument/2006/relationships/hyperlink" Target="https://media.defense.gov/2018/Dec/07/2002070069/-1/-1/1/DODIG-2019-030_REDACTED.PDF" TargetMode="External"/><Relationship Id="rId223" Type="http://schemas.openxmlformats.org/officeDocument/2006/relationships/hyperlink" Target="https://www.nytimes.com/1992/10/24/nyregion/watkins-glen-killings-called-planned.html" TargetMode="External"/><Relationship Id="rId430" Type="http://schemas.openxmlformats.org/officeDocument/2006/relationships/hyperlink" Target="https://caselaw.findlaw.com/ma-supreme-judicial-court/1448833.html" TargetMode="External"/><Relationship Id="rId668" Type="http://schemas.openxmlformats.org/officeDocument/2006/relationships/hyperlink" Target="https://sacramento.cbslocal.com/2011/10/05/rifle-in-ihop-shooting-was-illegally-altered/" TargetMode="External"/><Relationship Id="rId875" Type="http://schemas.openxmlformats.org/officeDocument/2006/relationships/hyperlink" Target="https://www.lvmpd.com/en-us/Documents/1-October-FIT-Criminal-Investigative-Report-FINAL_080318.pdf" TargetMode="External"/><Relationship Id="rId1060" Type="http://schemas.openxmlformats.org/officeDocument/2006/relationships/hyperlink" Target="https://www.nytimes.com/2018/10/27/us/robert-bowers-pittsburgh-synagogue-shooter.html" TargetMode="External"/><Relationship Id="rId18" Type="http://schemas.openxmlformats.org/officeDocument/2006/relationships/hyperlink" Target="https://www.theguardian.com/us-news/2017/oct/02/las-vegas-shooting-university-of-texas-tower" TargetMode="External"/><Relationship Id="rId528" Type="http://schemas.openxmlformats.org/officeDocument/2006/relationships/hyperlink" Target="https://www.nytimes.com/2006/10/03/us/03amish.html" TargetMode="External"/><Relationship Id="rId735" Type="http://schemas.openxmlformats.org/officeDocument/2006/relationships/hyperlink" Target="https://www.nydailynews.com/news/national/short-article-1.1372515" TargetMode="External"/><Relationship Id="rId942" Type="http://schemas.openxmlformats.org/officeDocument/2006/relationships/hyperlink" Target="https://www.lvmpd.com/en-us/Documents/1-October-FIT-Criminal-Investigative-Report-FINAL_080318.pdf" TargetMode="External"/><Relationship Id="rId167" Type="http://schemas.openxmlformats.org/officeDocument/2006/relationships/hyperlink" Target="https://www.nytimes.com/1989/09/16/us/disturbed-past-of-killer-of-7-is-unraveled.html" TargetMode="External"/><Relationship Id="rId374" Type="http://schemas.openxmlformats.org/officeDocument/2006/relationships/hyperlink" Target="https://www.latimes.com/archives/la-xpm-1999-aug-19-mn-1611-story.html" TargetMode="External"/><Relationship Id="rId581" Type="http://schemas.openxmlformats.org/officeDocument/2006/relationships/hyperlink" Target="https://www.niu.edu/forward/_pdfs/archives/feb14report.pdf" TargetMode="External"/><Relationship Id="rId1018" Type="http://schemas.openxmlformats.org/officeDocument/2006/relationships/hyperlink" Target="https://www.latimes.com/local/lanow/la-me-ln-tehama-shooter-guns-20171121-story.html" TargetMode="External"/><Relationship Id="rId71"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234" Type="http://schemas.openxmlformats.org/officeDocument/2006/relationships/hyperlink" Target="https://www.nytimes.com/1993/07/03/us/the-broker-who-killed-8-gunman-s-motives-a-puzzle.html" TargetMode="External"/><Relationship Id="rId679" Type="http://schemas.openxmlformats.org/officeDocument/2006/relationships/hyperlink" Target="https://www.nbclosangeles.com/news/local/murder-charges-seal-beach-killer-shooting-scott-evans-dekraii-2/2105027/" TargetMode="External"/><Relationship Id="rId802" Type="http://schemas.openxmlformats.org/officeDocument/2006/relationships/hyperlink" Target="https://www.oregonlive.com/pacific-northwest-news/2017/09/umpqua_community_college_inves.html" TargetMode="External"/><Relationship Id="rId886" Type="http://schemas.openxmlformats.org/officeDocument/2006/relationships/hyperlink" Target="https://www.lvmpd.com/en-us/Documents/1-October-FIT-Criminal-Investigative-Report-FINAL_080318.pdf" TargetMode="External"/><Relationship Id="rId2" Type="http://schemas.openxmlformats.org/officeDocument/2006/relationships/hyperlink" Target="https://www.statesman.com/NEWS/20160903/Victim-tries-to-buy-gun-sniper-used" TargetMode="External"/><Relationship Id="rId29" Type="http://schemas.openxmlformats.org/officeDocument/2006/relationships/hyperlink" Target="https://cdnc.ucr.edu/cgi-bin/cdnc?a=d&amp;d=DS19690407.2.35&amp;e=-------en--20--1--txt-txIN--------1" TargetMode="External"/><Relationship Id="rId441" Type="http://schemas.openxmlformats.org/officeDocument/2006/relationships/hyperlink" Target="https://www.cnn.com/2001/US/02/07/plant.shootings/" TargetMode="External"/><Relationship Id="rId539" Type="http://schemas.openxmlformats.org/officeDocument/2006/relationships/hyperlink" Target="https://scholar.lib.vt.edu/prevail/docs/VTReviewPanelReport.pdf" TargetMode="External"/><Relationship Id="rId746" Type="http://schemas.openxmlformats.org/officeDocument/2006/relationships/hyperlink" Target="https://www.washingtonpost.com/wp-srv/special/local/navy-yard-shooting/scene-at-building-197/" TargetMode="External"/><Relationship Id="rId1071" Type="http://schemas.openxmlformats.org/officeDocument/2006/relationships/hyperlink" Target="https://apnews.com/d1beacd8581b426e8555954f70c4c783" TargetMode="External"/><Relationship Id="rId178" Type="http://schemas.openxmlformats.org/officeDocument/2006/relationships/hyperlink" Target="https://news.google.com/newspapers?id=EPMRAAAAIBAJ&amp;sjid=PuoDAAAAIBAJ&amp;pg=6902,6441532&amp;dq=pough" TargetMode="External"/><Relationship Id="rId301" Type="http://schemas.openxmlformats.org/officeDocument/2006/relationships/hyperlink" Target="https://www.concordmonitor.com/Archive/2015/09/dregabook-cmforum-091315" TargetMode="External"/><Relationship Id="rId953" Type="http://schemas.openxmlformats.org/officeDocument/2006/relationships/hyperlink" Target="https://www.lvmpd.com/en-us/Documents/1-October-FIT-Criminal-Investigative-Report-FINAL_080318.pdf" TargetMode="External"/><Relationship Id="rId1029" Type="http://schemas.openxmlformats.org/officeDocument/2006/relationships/hyperlink" Target="https://www.aol.com/article/news/2017/11/17/california-mass-shooter-made-his-own-rifles/23280600/" TargetMode="External"/><Relationship Id="rId82" Type="http://schemas.openxmlformats.org/officeDocument/2006/relationships/hyperlink" Target="https://law.justia.com/cases/texas/court-of-criminal-appeals/1986/69268-4.html" TargetMode="External"/><Relationship Id="rId385" Type="http://schemas.openxmlformats.org/officeDocument/2006/relationships/hyperlink" Target="https://www.nytimes.com/1999/07/31/us/shootings-in-atlanta-the-overview-killer-confessed-in-a-letter-spiked-with-rage.html" TargetMode="External"/><Relationship Id="rId592" Type="http://schemas.openxmlformats.org/officeDocument/2006/relationships/hyperlink" Target="https://www.oregonlive.com/news/2008/09/court_documents_detail_washing.html" TargetMode="External"/><Relationship Id="rId606" Type="http://schemas.openxmlformats.org/officeDocument/2006/relationships/hyperlink" Target="https://www.thepilot.com/news/pinelake-at-a-decade-in-the-shadow-of-north-carolina/article_33d2be06-522a-11e9-b3d5-230b8a7f488f.html" TargetMode="External"/><Relationship Id="rId813" Type="http://schemas.openxmlformats.org/officeDocument/2006/relationships/hyperlink" Target="https://www.cnn.com/2015/12/03/us/syed-farook-tashfeen-malik-mass-shooting-profile/index.html" TargetMode="External"/><Relationship Id="rId245" Type="http://schemas.openxmlformats.org/officeDocument/2006/relationships/hyperlink" Target="https://www.washingtonpost.com/archive/opinions/1993/07/27/death-over-the-counter/5432f0dc-40a2-42a1-aaa3-f7488996c779/" TargetMode="External"/><Relationship Id="rId452" Type="http://schemas.openxmlformats.org/officeDocument/2006/relationships/hyperlink" Target="https://www.sfgate.com/news/article/Sacramento-rampage-5-shot-dead-Slayer-kills-2881164.php" TargetMode="External"/><Relationship Id="rId897" Type="http://schemas.openxmlformats.org/officeDocument/2006/relationships/hyperlink" Target="https://www.lvmpd.com/en-us/Documents/1-October-FIT-Criminal-Investigative-Report-FINAL_080318.pdf" TargetMode="External"/><Relationship Id="rId1082" Type="http://schemas.openxmlformats.org/officeDocument/2006/relationships/hyperlink" Target="https://www.vbgov.com/government/departments/city-auditors-office/Documents/Hillard%20Heintze%20Final%20Report%20for%20Virginia%20Beach%2011-13-2019.pdf" TargetMode="External"/><Relationship Id="rId105" Type="http://schemas.openxmlformats.org/officeDocument/2006/relationships/hyperlink" Target="https://www.chicagotribune.com/news/ct-xpm-1986-08-22-8603020853-story.html" TargetMode="External"/><Relationship Id="rId312" Type="http://schemas.openxmlformats.org/officeDocument/2006/relationships/hyperlink" Target="https://www.latimes.com/archives/la-xpm-1998-jan-25-mn-12112-story.html" TargetMode="External"/><Relationship Id="rId757" Type="http://schemas.openxmlformats.org/officeDocument/2006/relationships/hyperlink" Target="https://documents.latimes.com/isla-vista-investigative-summary/" TargetMode="External"/><Relationship Id="rId964" Type="http://schemas.openxmlformats.org/officeDocument/2006/relationships/hyperlink" Target="https://www.lvmpd.com/en-us/Documents/1-October-FIT-Criminal-Investigative-Report-FINAL_080318.pdf" TargetMode="External"/><Relationship Id="rId93" Type="http://schemas.openxmlformats.org/officeDocument/2006/relationships/hyperlink" Target="https://books.google.com/books?id=Hr3OBwP-lbUC&amp;pg=PA232&amp;dq=abdelkrim+belachheb+no+formal+education&amp;hl=en&amp;sa=X&amp;ved=0ahUKEwjgtZ_68vXfAhXDpYMKHdLHAzYQ6AEIKDAA" TargetMode="External"/><Relationship Id="rId189" Type="http://schemas.openxmlformats.org/officeDocument/2006/relationships/hyperlink" Target="https://www.nytimes.com/1991/10/11/nyregion/4-slain-in-2-new-jersey-attacks-and-former-postal-clerk-is-held.html?pagewanted=all" TargetMode="External"/><Relationship Id="rId396" Type="http://schemas.openxmlformats.org/officeDocument/2006/relationships/hyperlink" Target="https://www.washingtonpost.com/archive/politics/1999/09/18/on-tape-a-methodical-massacre/1b53e0f8-cf9f-455c-9398-a10ab3c4e04d/" TargetMode="External"/><Relationship Id="rId617" Type="http://schemas.openxmlformats.org/officeDocument/2006/relationships/hyperlink" Target="https://schoolshooters.info/sites/default/files/Al-Salihi_v_Gander_Mountain.pdf" TargetMode="External"/><Relationship Id="rId824" Type="http://schemas.openxmlformats.org/officeDocument/2006/relationships/hyperlink" Target="https://www.cnn.com/2015/12/03/us/syed-farook-tashfeen-malik-mass-shooting-profile/index.html" TargetMode="External"/><Relationship Id="rId256" Type="http://schemas.openxmlformats.org/officeDocument/2006/relationships/hyperlink" Target="https://www.latimes.com/archives/la-xpm-1993-12-08-me-65133-story.html" TargetMode="External"/><Relationship Id="rId463" Type="http://schemas.openxmlformats.org/officeDocument/2006/relationships/hyperlink" Target="https://www.sfgate.com/news/article/Sacramento-rampage-5-shot-dead-Slayer-kills-2881164.php" TargetMode="External"/><Relationship Id="rId670" Type="http://schemas.openxmlformats.org/officeDocument/2006/relationships/hyperlink" Target="https://www.leg.state.nv.us/App/NELIS/REL/77th2013/ExhibitDocument/OpenExhibitDocument?exhibitId=2560&amp;fileDownloadName=Power%20Point-Ken%20Furlong.pdf" TargetMode="External"/><Relationship Id="rId1093" Type="http://schemas.openxmlformats.org/officeDocument/2006/relationships/hyperlink" Target="https://www.nbcnews.com/news/us-news/dayton-shooter-s-gun-called-orchestra-metal-hellfire-n1039476" TargetMode="External"/><Relationship Id="rId1107" Type="http://schemas.openxmlformats.org/officeDocument/2006/relationships/hyperlink" Target="https://www.usatoday.com/story/news/nation/2020/03/02/milwaukee-molson-coors-shooting-miller-brewery-anthony-ferrill/4928061002/" TargetMode="External"/><Relationship Id="rId116" Type="http://schemas.openxmlformats.org/officeDocument/2006/relationships/hyperlink" Target="https://www.orlandosentinel.com/news/os-xpm-1987-05-18-0130120064-story.html" TargetMode="External"/><Relationship Id="rId323" Type="http://schemas.openxmlformats.org/officeDocument/2006/relationships/hyperlink" Target="https://www.vpc.org/studies/wgun980324.htm" TargetMode="External"/><Relationship Id="rId530" Type="http://schemas.openxmlformats.org/officeDocument/2006/relationships/hyperlink" Target="https://www.ksl.com/article/2086836/man-accused-of-lying-about-weapon-reaches-plea-deal" TargetMode="External"/><Relationship Id="rId768" Type="http://schemas.openxmlformats.org/officeDocument/2006/relationships/hyperlink" Target="https://www.postandcourier.com/church_shooting/fbi-had-resources-to-halt-dylann-roofs-gun-buy-but-it-didnt-use-them-and/article_452b95ea-0705-11e8-8bc9-8723f84ce9dd.html" TargetMode="External"/><Relationship Id="rId975" Type="http://schemas.openxmlformats.org/officeDocument/2006/relationships/hyperlink" Target="https://www.lvmpd.com/en-us/Documents/1-October-FIT-Criminal-Investigative-Report-FINAL_080318.pdf" TargetMode="External"/><Relationship Id="rId20" Type="http://schemas.openxmlformats.org/officeDocument/2006/relationships/hyperlink" Target="https://www.nydailynews.com/news/crime/beauty-salon-massacre-article-1.273663" TargetMode="External"/><Relationship Id="rId628" Type="http://schemas.openxmlformats.org/officeDocument/2006/relationships/hyperlink" Target="https://extremism.gwu.edu/sites/g/files/zaxdzs2191/f/Nidal%20Hasan.pdf" TargetMode="External"/><Relationship Id="rId835" Type="http://schemas.openxmlformats.org/officeDocument/2006/relationships/hyperlink" Target="https://www.mlive.com/news/kalamazoo/2016/03/police_believe_jason_dalton_us.html" TargetMode="External"/><Relationship Id="rId267" Type="http://schemas.openxmlformats.org/officeDocument/2006/relationships/hyperlink" Target="https://www.wired.com/1994/06/rage/" TargetMode="External"/><Relationship Id="rId474" Type="http://schemas.openxmlformats.org/officeDocument/2006/relationships/hyperlink" Target="https://www.nytimes.com/2003/07/09/us/man-kills-5-co-workers-at-plant-and-himself.html" TargetMode="External"/><Relationship Id="rId1020" Type="http://schemas.openxmlformats.org/officeDocument/2006/relationships/hyperlink" Target="https://www.aol.com/article/news/2017/11/17/california-mass-shooter-made-his-own-rifles/23280600/" TargetMode="External"/><Relationship Id="rId1118"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27" Type="http://schemas.openxmlformats.org/officeDocument/2006/relationships/hyperlink" Target="https://www.orlandosentinel.com/news/os-xpm-1987-04-28-0120380197-story.html" TargetMode="External"/><Relationship Id="rId681" Type="http://schemas.openxmlformats.org/officeDocument/2006/relationships/hyperlink" Target="https://www.nbclosangeles.com/news/local/murder-charges-seal-beach-killer-shooting-scott-evans-dekraii-2/2105027/" TargetMode="External"/><Relationship Id="rId779" Type="http://schemas.openxmlformats.org/officeDocument/2006/relationships/hyperlink" Target="https://www.cnn.com/2015/07/18/us/tennessee-naval-reserve-shooting/index.html" TargetMode="External"/><Relationship Id="rId902" Type="http://schemas.openxmlformats.org/officeDocument/2006/relationships/hyperlink" Target="https://www.lvmpd.com/en-us/Documents/1-October-FIT-Criminal-Investigative-Report-FINAL_080318.pdf" TargetMode="External"/><Relationship Id="rId986" Type="http://schemas.openxmlformats.org/officeDocument/2006/relationships/hyperlink" Target="https://www.lvmpd.com/en-us/Documents/1-October-FIT-Criminal-Investigative-Report-FINAL_080318.pdf" TargetMode="External"/><Relationship Id="rId31" Type="http://schemas.openxmlformats.org/officeDocument/2006/relationships/hyperlink" Target="https://newspaperarchive.com/daily-review-oct-23-1970-p-20/" TargetMode="External"/><Relationship Id="rId334" Type="http://schemas.openxmlformats.org/officeDocument/2006/relationships/hyperlink" Target="https://www.vpc.org/studies/wgun980324.htm" TargetMode="External"/><Relationship Id="rId541" Type="http://schemas.openxmlformats.org/officeDocument/2006/relationships/hyperlink" Target="https://www.nytimes.com/2007/04/20/us/20cnd-guns.html" TargetMode="External"/><Relationship Id="rId639" Type="http://schemas.openxmlformats.org/officeDocument/2006/relationships/hyperlink" Target="https://www.courts.wa.gov/content/petitions/89448-5%20Answer%20to%20Petition%20for%20Review%20Cross%20Petition%20for%20Review.pdf" TargetMode="External"/><Relationship Id="rId180" Type="http://schemas.openxmlformats.org/officeDocument/2006/relationships/hyperlink" Target="https://news.google.com/newspapers?id=EPMRAAAAIBAJ&amp;sjid=PuoDAAAAIBAJ&amp;pg=6902,6441532&amp;dq=pough" TargetMode="External"/><Relationship Id="rId278" Type="http://schemas.openxmlformats.org/officeDocument/2006/relationships/hyperlink" Target="https://www.nytimes.com/1995/04/04/us/6-die-in-texas-office-shooting.html" TargetMode="External"/><Relationship Id="rId401" Type="http://schemas.openxmlformats.org/officeDocument/2006/relationships/hyperlink" Target="https://www.nytimes.com/1999/09/17/us/deaths-in-a-church-the-overview-an-angry-mystery-man-who-brought-death.html" TargetMode="External"/><Relationship Id="rId846" Type="http://schemas.openxmlformats.org/officeDocument/2006/relationships/hyperlink" Target="https://time.com/4367592/orlando-shooting-gun-store-owner/" TargetMode="External"/><Relationship Id="rId1031" Type="http://schemas.openxmlformats.org/officeDocument/2006/relationships/hyperlink" Target="https://www.washingtonpost.com/news/post-nation/wp/2018/01/29/jealousy-and-obsession-may-have-led-carwash-shooting-suspect-to-kill-four-relatives-say/" TargetMode="External"/><Relationship Id="rId485" Type="http://schemas.openxmlformats.org/officeDocument/2006/relationships/hyperlink" Target="https://www2.ljworld.com/news/2004/jul/04/chaos_reigned_at/" TargetMode="External"/><Relationship Id="rId692" Type="http://schemas.openxmlformats.org/officeDocument/2006/relationships/hyperlink" Target="https://www.seattlepi.com/local/article/Seattle-shooting-two-killed-three-wounded-3595992.php" TargetMode="External"/><Relationship Id="rId706" Type="http://schemas.openxmlformats.org/officeDocument/2006/relationships/hyperlink" Target="https://www.cbsnews.com/news/colo-shooter-purchased-guns-legally-from-3-different-stores/" TargetMode="External"/><Relationship Id="rId913" Type="http://schemas.openxmlformats.org/officeDocument/2006/relationships/hyperlink" Target="https://www.lvmpd.com/en-us/Documents/1-October-FIT-Criminal-Investigative-Report-FINAL_080318.pdf" TargetMode="External"/><Relationship Id="rId42" Type="http://schemas.openxmlformats.org/officeDocument/2006/relationships/hyperlink" Target="http://www.nydailynews.com/news/crime/rochelle-sniper-kills-1977-article-1.2973348" TargetMode="External"/><Relationship Id="rId138" Type="http://schemas.openxmlformats.org/officeDocument/2006/relationships/hyperlink" Target="https://www.washingtonpost.com/archive/politics/1988/02/18/sudden-death-in-sunnyvale/4f50e5d7-0804-4a56-a2af-ced693c3b577/" TargetMode="External"/><Relationship Id="rId345" Type="http://schemas.openxmlformats.org/officeDocument/2006/relationships/hyperlink" Target="https://www.nytimes.com/1998/03/29/us/from-wild-talk-and-friendship-to-five-deaths-in-a-schoolyard.html?mcubz=0" TargetMode="External"/><Relationship Id="rId552" Type="http://schemas.openxmlformats.org/officeDocument/2006/relationships/hyperlink" Target="https://www.denverpost.com/2007/12/12/gunman-legally-amassed-weaponry-in-years-time/" TargetMode="External"/><Relationship Id="rId997" Type="http://schemas.openxmlformats.org/officeDocument/2006/relationships/hyperlink" Target="https://www.lvmpd.com/en-us/Documents/1-October-FIT-Criminal-Investigative-Report-FINAL_080318.pdf" TargetMode="External"/><Relationship Id="rId191" Type="http://schemas.openxmlformats.org/officeDocument/2006/relationships/hyperlink" Target="https://www.orlandosentinel.com/news/os-xpm-1991-10-18-9110181036-story.html" TargetMode="External"/><Relationship Id="rId205" Type="http://schemas.openxmlformats.org/officeDocument/2006/relationships/hyperlink" Target="https://www.nytimes.com/1991/11/03/us/gunman-in-iowa-wrote-of-plans-in-five-letters.html" TargetMode="External"/><Relationship Id="rId412" Type="http://schemas.openxmlformats.org/officeDocument/2006/relationships/hyperlink" Target="https://archive.seattletimes.com/archive/?date=19991231&amp;slug=A20000102010146" TargetMode="External"/><Relationship Id="rId857" Type="http://schemas.openxmlformats.org/officeDocument/2006/relationships/hyperlink" Target="https://www.cbsnews.com/news/dallas-guman-shooting-micah-johnson-sks-rifle/" TargetMode="External"/><Relationship Id="rId1042" Type="http://schemas.openxmlformats.org/officeDocument/2006/relationships/hyperlink" Target="https://chicago.cbslocal.com/2019/03/14/waffle-house-shooting-father-charged-reinking/" TargetMode="External"/><Relationship Id="rId289" Type="http://schemas.openxmlformats.org/officeDocument/2006/relationships/hyperlink" Target="https://www.nydailynews.com/new-york/bronx/day-mass-killer-struck-boro-article-1.213350" TargetMode="External"/><Relationship Id="rId496" Type="http://schemas.openxmlformats.org/officeDocument/2006/relationships/hyperlink" Target="https://www.mprnews.org/story/2015/03/18/red-lake-shooting-explained" TargetMode="External"/><Relationship Id="rId717" Type="http://schemas.openxmlformats.org/officeDocument/2006/relationships/hyperlink" Target="https://newyork.cbslocal.com/2012/12/16/friends-newtown-gunmans-mother-home-schooled-son-kept-arsenal-of-guns/" TargetMode="External"/><Relationship Id="rId924" Type="http://schemas.openxmlformats.org/officeDocument/2006/relationships/hyperlink" Target="https://www.lvmpd.com/en-us/Documents/1-October-FIT-Criminal-Investigative-Report-FINAL_080318.pdf" TargetMode="External"/><Relationship Id="rId53" Type="http://schemas.openxmlformats.org/officeDocument/2006/relationships/hyperlink" Target="https://www.nytimes.com/1977/08/29/archives/quarrels-at-home-cited-as-cause-in-jersey-shootings.html" TargetMode="External"/><Relationship Id="rId149" Type="http://schemas.openxmlformats.org/officeDocument/2006/relationships/hyperlink" Target="https://www.chicagotribune.com/news/ct-xpm-1988-09-23-8802010552-story.html" TargetMode="External"/><Relationship Id="rId356" Type="http://schemas.openxmlformats.org/officeDocument/2006/relationships/hyperlink" Target="https://www.pbs.org/wgbh/pages/frontline/shows/kinkel/kip/cron.html" TargetMode="External"/><Relationship Id="rId563" Type="http://schemas.openxmlformats.org/officeDocument/2006/relationships/hyperlink" Target="https://www.denverpost.com/2007/12/12/gunman-legally-amassed-weaponry-in-years-time/" TargetMode="External"/><Relationship Id="rId770" Type="http://schemas.openxmlformats.org/officeDocument/2006/relationships/hyperlink" Target="https://www.nbcnews.com/storyline/chattanooga-shooting/chattanooga-shooting-attacker-had-least-three-guns-authorities-say-n394046" TargetMode="External"/><Relationship Id="rId216" Type="http://schemas.openxmlformats.org/officeDocument/2006/relationships/hyperlink" Target="https://schoolshooters.info/sites/default/files/California-v-Houston-2007.pdf" TargetMode="External"/><Relationship Id="rId423" Type="http://schemas.openxmlformats.org/officeDocument/2006/relationships/hyperlink" Target="http://content.time.com/time/magazine/article/0,9171,93313-1,00.html" TargetMode="External"/><Relationship Id="rId868" Type="http://schemas.openxmlformats.org/officeDocument/2006/relationships/hyperlink" Target="https://www.lvmpd.com/en-us/Documents/1-October-FIT-Criminal-Investigative-Report-FINAL_080318.pdf" TargetMode="External"/><Relationship Id="rId1053" Type="http://schemas.openxmlformats.org/officeDocument/2006/relationships/hyperlink" Target="https://www.usatoday.com/story/news/2018/05/18/gun-used-texas-shooting-explosives/623202002/" TargetMode="External"/><Relationship Id="rId630" Type="http://schemas.openxmlformats.org/officeDocument/2006/relationships/hyperlink" Target="https://abcnews.go.com/Blotter/cop-killer-gun-thought-ft-hood-shooting/story?id=9019521" TargetMode="External"/><Relationship Id="rId728" Type="http://schemas.openxmlformats.org/officeDocument/2006/relationships/hyperlink" Target="https://newyork.cbslocal.com/2012/12/16/friends-newtown-gunmans-mother-home-schooled-son-kept-arsenal-of-guns/" TargetMode="External"/><Relationship Id="rId935" Type="http://schemas.openxmlformats.org/officeDocument/2006/relationships/hyperlink" Target="https://www.lvmpd.com/en-us/Documents/1-October-FIT-Criminal-Investigative-Report-FINAL_080318.pdf" TargetMode="External"/><Relationship Id="rId64" Type="http://schemas.openxmlformats.org/officeDocument/2006/relationships/hyperlink" Target="https://www.upi.com/Archives/1982/08/09/Yes-I-know-hes-killing-people/2899397713600/" TargetMode="External"/><Relationship Id="rId367" Type="http://schemas.openxmlformats.org/officeDocument/2006/relationships/hyperlink" Target="https://www.nytimes.com/1999/03/12/us/louisiana-shooting-kills-3-at-church-and-one-at-home.html" TargetMode="External"/><Relationship Id="rId574" Type="http://schemas.openxmlformats.org/officeDocument/2006/relationships/hyperlink" Target="http://content.time.com/time/nation/article/0,8599,1714069,00.html" TargetMode="External"/><Relationship Id="rId1120"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227"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781" Type="http://schemas.openxmlformats.org/officeDocument/2006/relationships/hyperlink" Target="https://abcnews.go.com/US/chattanooga-shooting-fbi-reveals-details/story?id=32619426" TargetMode="External"/><Relationship Id="rId879" Type="http://schemas.openxmlformats.org/officeDocument/2006/relationships/hyperlink" Target="https://www.lvmpd.com/en-us/Documents/1-October-FIT-Criminal-Investigative-Report-FINAL_080318.pdf" TargetMode="External"/><Relationship Id="rId434" Type="http://schemas.openxmlformats.org/officeDocument/2006/relationships/hyperlink" Target="https://www.latimes.com/archives/la-xpm-2001-jan-10-mn-10586-story.html" TargetMode="External"/><Relationship Id="rId641" Type="http://schemas.openxmlformats.org/officeDocument/2006/relationships/hyperlink" Target="https://www.latimes.com/archives/la-xpm-2009-dec-02-la-na-police-shooting2-2009dec02-story.html" TargetMode="External"/><Relationship Id="rId739" Type="http://schemas.openxmlformats.org/officeDocument/2006/relationships/hyperlink" Target="https://www.nydailynews.com/news/national/short-article-1.1372515" TargetMode="External"/><Relationship Id="rId1064" Type="http://schemas.openxmlformats.org/officeDocument/2006/relationships/hyperlink" Target="https://www.nytimes.com/2018/10/27/us/robert-bowers-pittsburgh-synagogue-shooter.html" TargetMode="External"/><Relationship Id="rId280" Type="http://schemas.openxmlformats.org/officeDocument/2006/relationships/hyperlink" Target="https://www.upi.com/Archives/1995/07/19/Four-LA-city-workers-shot-to-death/3373806126400/" TargetMode="External"/><Relationship Id="rId501" Type="http://schemas.openxmlformats.org/officeDocument/2006/relationships/hyperlink" Target="https://www.mprnews.org/story/2015/03/18/red-lake-shooting-explained" TargetMode="External"/><Relationship Id="rId946" Type="http://schemas.openxmlformats.org/officeDocument/2006/relationships/hyperlink" Target="https://www.lvmpd.com/en-us/Documents/1-October-FIT-Criminal-Investigative-Report-FINAL_080318.pdf" TargetMode="External"/><Relationship Id="rId75" Type="http://schemas.openxmlformats.org/officeDocument/2006/relationships/hyperlink" Target="https://law.justia.com/cases/texas/court-of-criminal-appeals/1986/69268-4.html" TargetMode="External"/><Relationship Id="rId140" Type="http://schemas.openxmlformats.org/officeDocument/2006/relationships/hyperlink" Target="https://www.leagle.com/decision/incaco20090702055" TargetMode="External"/><Relationship Id="rId378" Type="http://schemas.openxmlformats.org/officeDocument/2006/relationships/hyperlink" Target="https://www.latimes.com/archives/la-xpm-1999-aug-19-mn-1611-story.html" TargetMode="External"/><Relationship Id="rId585" Type="http://schemas.openxmlformats.org/officeDocument/2006/relationships/hyperlink" Target="https://www.niu.edu/forward/_pdfs/archives/feb14report.pdf" TargetMode="External"/><Relationship Id="rId792" Type="http://schemas.openxmlformats.org/officeDocument/2006/relationships/hyperlink" Target="https://www.oregonlive.com/pacific-northwest-news/2017/09/umpqua_community_college_inves.html" TargetMode="External"/><Relationship Id="rId806" Type="http://schemas.openxmlformats.org/officeDocument/2006/relationships/hyperlink" Target="https://www.theeagle.com/news/crime/jurors-in-hudson-capital-murder-trial-watch-video-of-interrogation/article_c26c9a38-c0c7-11e7-888c-07336468f0dc.html" TargetMode="External"/><Relationship Id="rId6" Type="http://schemas.openxmlformats.org/officeDocument/2006/relationships/hyperlink" Target="https://www.theguardian.com/us-news/2017/oct/02/las-vegas-shooting-university-of-texas-tower" TargetMode="External"/><Relationship Id="rId238" Type="http://schemas.openxmlformats.org/officeDocument/2006/relationships/hyperlink" Target="https://www.nytimes.com/1993/07/03/us/the-broker-who-killed-8-gunman-s-motives-a-puzzle.html" TargetMode="External"/><Relationship Id="rId445" Type="http://schemas.openxmlformats.org/officeDocument/2006/relationships/hyperlink" Target="https://www.chicagotribune.com/news/ct-xpm-2001-02-07-0102070122-story.html" TargetMode="External"/><Relationship Id="rId652" Type="http://schemas.openxmlformats.org/officeDocument/2006/relationships/hyperlink" Target="https://abcnews.go.com/US/connecticut-shooter-omar-thornton-chased-victims-beer-distributor/story?id=11322281" TargetMode="External"/><Relationship Id="rId1075" Type="http://schemas.openxmlformats.org/officeDocument/2006/relationships/hyperlink" Target="https://chicago.cbslocal.com/2019/04/29/gary-martin-henry-pratt-shooting-report-police-justified/" TargetMode="External"/><Relationship Id="rId291" Type="http://schemas.openxmlformats.org/officeDocument/2006/relationships/hyperlink" Target="https://www.upi.com/Archives/1996/02/09/Several-dead-in-Florida-shooting/3712823842000/" TargetMode="External"/><Relationship Id="rId305" Type="http://schemas.openxmlformats.org/officeDocument/2006/relationships/hyperlink" Target="https://www.vpc.org/studies/wgun970915.htm" TargetMode="External"/><Relationship Id="rId512" Type="http://schemas.openxmlformats.org/officeDocument/2006/relationships/hyperlink" Target="https://web.archive.org/web/20060329185249/seattlepi.nwsource.com/local/264597_huffarsenal28.html" TargetMode="External"/><Relationship Id="rId957" Type="http://schemas.openxmlformats.org/officeDocument/2006/relationships/hyperlink" Target="https://www.lvmpd.com/en-us/Documents/1-October-FIT-Criminal-Investigative-Report-FINAL_080318.pdf" TargetMode="External"/><Relationship Id="rId86" Type="http://schemas.openxmlformats.org/officeDocument/2006/relationships/hyperlink" Target="https://law.justia.com/cases/texas/court-of-criminal-appeals/1986/69268-4.html" TargetMode="External"/><Relationship Id="rId151" Type="http://schemas.openxmlformats.org/officeDocument/2006/relationships/hyperlink" Target="https://schoolshooters.info/sites/default/files/Purdy%20-%20official%20report.pdf" TargetMode="External"/><Relationship Id="rId389" Type="http://schemas.openxmlformats.org/officeDocument/2006/relationships/hyperlink" Target="https://www.washingtonpost.com/archive/politics/1999/07/31/killer-wrote-of-fear-hopelessness/af33786a-de37-45cd-9d5f-1098379892dd/?noredirect=on" TargetMode="External"/><Relationship Id="rId596" Type="http://schemas.openxmlformats.org/officeDocument/2006/relationships/hyperlink" Target="https://www.heraldnet.com/news/guns-used-in-skagit-county-shooting-rampage-were-stolen/" TargetMode="External"/><Relationship Id="rId817" Type="http://schemas.openxmlformats.org/officeDocument/2006/relationships/hyperlink" Target="https://www.latimes.com/local/lanow/la-me-san-bernardino-terror-attack-video-20161201-story.html" TargetMode="External"/><Relationship Id="rId1002" Type="http://schemas.openxmlformats.org/officeDocument/2006/relationships/hyperlink" Target="https://media.defense.gov/2018/Dec/07/2002070069/-1/-1/1/DODIG-2019-030_REDACTED.PDF" TargetMode="External"/><Relationship Id="rId249" Type="http://schemas.openxmlformats.org/officeDocument/2006/relationships/hyperlink" Target="https://apnews.com/2b512c3b87b4dd2f14cee792f510bb24" TargetMode="External"/><Relationship Id="rId456" Type="http://schemas.openxmlformats.org/officeDocument/2006/relationships/hyperlink" Target="https://www.latimes.com/archives/la-xpm-2001-sep-11-mn-44550-story.html" TargetMode="External"/><Relationship Id="rId663" Type="http://schemas.openxmlformats.org/officeDocument/2006/relationships/hyperlink" Target="http://edition.cnn.com/2011/CRIME/08/08/ohio.shooting/" TargetMode="External"/><Relationship Id="rId870" Type="http://schemas.openxmlformats.org/officeDocument/2006/relationships/hyperlink" Target="https://www.lvmpd.com/en-us/Documents/1-October-FIT-Criminal-Investigative-Report-FINAL_080318.pdf" TargetMode="External"/><Relationship Id="rId1086" Type="http://schemas.openxmlformats.org/officeDocument/2006/relationships/hyperlink" Target="https://www.washingtonpost.com/local/public-safety/dewayne-craddock-a-longtime-virginia-beach-employee-identified-as-shooter-who-killed-12-in-city-building/2019/06/01/0fe20766-840e-11e9-95a9-e2c830afe24f_story.html" TargetMode="External"/><Relationship Id="rId13" Type="http://schemas.openxmlformats.org/officeDocument/2006/relationships/hyperlink" Target="https://www.theguardian.com/us-news/2017/oct/02/las-vegas-shooting-university-of-texas-tower" TargetMode="External"/><Relationship Id="rId109" Type="http://schemas.openxmlformats.org/officeDocument/2006/relationships/hyperlink" Target="https://oklahoman.com/article/2157408/authorities-piece-together-tragedy-gunman-at-edmond-post-office-knew-where-to-shoot-people" TargetMode="External"/><Relationship Id="rId316" Type="http://schemas.openxmlformats.org/officeDocument/2006/relationships/hyperlink" Target="https://www.vpc.org/studies/wgun971218.htm" TargetMode="External"/><Relationship Id="rId523" Type="http://schemas.openxmlformats.org/officeDocument/2006/relationships/hyperlink" Target="https://www.nytimes.com/2006/10/03/us/03amish.html" TargetMode="External"/><Relationship Id="rId968" Type="http://schemas.openxmlformats.org/officeDocument/2006/relationships/hyperlink" Target="https://www.lvmpd.com/en-us/Documents/1-October-FIT-Criminal-Investigative-Report-FINAL_080318.pdf" TargetMode="External"/><Relationship Id="rId97" Type="http://schemas.openxmlformats.org/officeDocument/2006/relationships/hyperlink" Target="https://www.vpc.org/studies/wgun840718.htm" TargetMode="External"/><Relationship Id="rId730" Type="http://schemas.openxmlformats.org/officeDocument/2006/relationships/hyperlink" Target="https://www.seattletimes.com/seattle-news/witnesses-among-5-dead-in-federal-way/" TargetMode="External"/><Relationship Id="rId828" Type="http://schemas.openxmlformats.org/officeDocument/2006/relationships/hyperlink" Target="https://www.justice.gov/usao-cdca/file/891996/download" TargetMode="External"/><Relationship Id="rId1013" Type="http://schemas.openxmlformats.org/officeDocument/2006/relationships/hyperlink" Target="https://www.latimes.com/local/lanow/la-me-ln-tehama-shooter-guns-20171121-story.html" TargetMode="External"/><Relationship Id="rId162" Type="http://schemas.openxmlformats.org/officeDocument/2006/relationships/hyperlink" Target="https://www.nytimes.com/1989/09/16/us/disturbed-past-of-killer-of-7-is-unraveled.html" TargetMode="External"/><Relationship Id="rId467" Type="http://schemas.openxmlformats.org/officeDocument/2006/relationships/hyperlink" Target="https://www.nwitimes.com/uncategorized/south-bend-factory-worker-kills-then-himself/article_f9510908-20ec-5629-8891-42c83bb776f3.html" TargetMode="External"/><Relationship Id="rId1097" Type="http://schemas.openxmlformats.org/officeDocument/2006/relationships/hyperlink" Target="https://www.nytimes.com/2019/09/01/us/death-toll-texas-shooting.html" TargetMode="External"/><Relationship Id="rId674" Type="http://schemas.openxmlformats.org/officeDocument/2006/relationships/hyperlink" Target="https://www.leg.state.nv.us/App/NELIS/REL/77th2013/ExhibitDocument/OpenExhibitDocument?exhibitId=2560&amp;fileDownloadName=Power%20Point-Ken%20Furlong.pdf" TargetMode="External"/><Relationship Id="rId881" Type="http://schemas.openxmlformats.org/officeDocument/2006/relationships/hyperlink" Target="https://www.lvmpd.com/en-us/Documents/1-October-FIT-Criminal-Investigative-Report-FINAL_080318.pdf" TargetMode="External"/><Relationship Id="rId979" Type="http://schemas.openxmlformats.org/officeDocument/2006/relationships/hyperlink" Target="https://www.lvmpd.com/en-us/Documents/1-October-FIT-Criminal-Investigative-Report-FINAL_080318.pdf" TargetMode="External"/><Relationship Id="rId24" Type="http://schemas.openxmlformats.org/officeDocument/2006/relationships/hyperlink" Target="https://newspaperarchive.com/lock-haven-express-nov-04-1967-p-9/" TargetMode="External"/><Relationship Id="rId327" Type="http://schemas.openxmlformats.org/officeDocument/2006/relationships/hyperlink" Target="https://www.nytimes.com/1998/03/29/us/from-wild-talk-and-friendship-to-five-deaths-in-a-schoolyard.html?mcubz=0" TargetMode="External"/><Relationship Id="rId534" Type="http://schemas.openxmlformats.org/officeDocument/2006/relationships/hyperlink" Target="https://archive.sltrib.com/story.php?ref=/ci_5918823" TargetMode="External"/><Relationship Id="rId741" Type="http://schemas.openxmlformats.org/officeDocument/2006/relationships/hyperlink" Target="https://www.latimes.com/local/lanow/la-xpm-2013-jun-10-la-me-ln-santa-monica-shooting-fbi-probes-how-gunman-got-weapons-20130610-story.html" TargetMode="External"/><Relationship Id="rId839" Type="http://schemas.openxmlformats.org/officeDocument/2006/relationships/hyperlink" Target="https://abcnews.go.com/US/orlando-shooter-bought-weapons-nearby-gun-shop/story?id=39817471" TargetMode="External"/><Relationship Id="rId173" Type="http://schemas.openxmlformats.org/officeDocument/2006/relationships/hyperlink" Target="https://www.nytimes.com/1989/09/16/us/disturbed-past-of-killer-of-7-is-unraveled.html" TargetMode="External"/><Relationship Id="rId380" Type="http://schemas.openxmlformats.org/officeDocument/2006/relationships/hyperlink" Target="https://www.rollingstone.com/culture/culture-features/how-they-got-the-guns-175676/" TargetMode="External"/><Relationship Id="rId601" Type="http://schemas.openxmlformats.org/officeDocument/2006/relationships/hyperlink" Target="https://www.thepilot.com/news/pinelake-at-a-decade-in-the-shadow-of-north-carolina/article_33d2be06-522a-11e9-b3d5-230b8a7f488f.html" TargetMode="External"/><Relationship Id="rId1024" Type="http://schemas.openxmlformats.org/officeDocument/2006/relationships/hyperlink" Target="https://www.aol.com/article/news/2017/11/17/california-mass-shooter-made-his-own-rifles/23280600/" TargetMode="External"/><Relationship Id="rId240" Type="http://schemas.openxmlformats.org/officeDocument/2006/relationships/hyperlink" Target="https://www.nytimes.com/1993/07/03/us/the-broker-who-killed-8-gunman-s-motives-a-puzzle.html" TargetMode="External"/><Relationship Id="rId478" Type="http://schemas.openxmlformats.org/officeDocument/2006/relationships/hyperlink" Target="https://www.nytimes.com/2003/07/09/us/man-kills-5-co-workers-at-plant-and-himself.html" TargetMode="External"/><Relationship Id="rId685" Type="http://schemas.openxmlformats.org/officeDocument/2006/relationships/hyperlink" Target="https://www.sfgate.com/crime/article/Oakland-school-massacre-Jury-told-of-5-minutes-5760283.php" TargetMode="External"/><Relationship Id="rId892" Type="http://schemas.openxmlformats.org/officeDocument/2006/relationships/hyperlink" Target="https://www.lvmpd.com/en-us/Documents/1-October-FIT-Criminal-Investigative-Report-FINAL_080318.pdf" TargetMode="External"/><Relationship Id="rId906" Type="http://schemas.openxmlformats.org/officeDocument/2006/relationships/hyperlink" Target="https://www.lvmpd.com/en-us/Documents/1-October-FIT-Criminal-Investigative-Report-FINAL_080318.pdf" TargetMode="External"/><Relationship Id="rId35" Type="http://schemas.openxmlformats.org/officeDocument/2006/relationships/hyperlink" Target="https://www.washingtonpost.com/archive/politics/1977/02/15/vengeful-nazi-follower-kills-5-commits-suicide/3ff6cfb8-81bf-4620-b90b-20962fb17232/" TargetMode="External"/><Relationship Id="rId100" Type="http://schemas.openxmlformats.org/officeDocument/2006/relationships/hyperlink" Target="https://www.vpc.org/studies/wgun840718.htm" TargetMode="External"/><Relationship Id="rId338" Type="http://schemas.openxmlformats.org/officeDocument/2006/relationships/hyperlink" Target="https://www.nytimes.com/1998/03/29/us/from-wild-talk-and-friendship-to-five-deaths-in-a-schoolyard.html?mcubz=0" TargetMode="External"/><Relationship Id="rId545" Type="http://schemas.openxmlformats.org/officeDocument/2006/relationships/hyperlink" Target="https://scholar.lib.vt.edu/prevail/docs/VTReviewPanelReport.pdf" TargetMode="External"/><Relationship Id="rId752" Type="http://schemas.openxmlformats.org/officeDocument/2006/relationships/hyperlink" Target="https://documents.latimes.com/isla-vista-investigative-summary/" TargetMode="External"/><Relationship Id="rId184" Type="http://schemas.openxmlformats.org/officeDocument/2006/relationships/hyperlink" Target="https://news.google.com/newspapers?id=EPMRAAAAIBAJ&amp;sjid=PuoDAAAAIBAJ&amp;pg=6902,6441532&amp;dq=pough" TargetMode="External"/><Relationship Id="rId391" Type="http://schemas.openxmlformats.org/officeDocument/2006/relationships/hyperlink" Target="https://www.nytimes.com/1999/07/31/us/shootings-in-atlanta-the-overview-killer-confessed-in-a-letter-spiked-with-rage.html" TargetMode="External"/><Relationship Id="rId405" Type="http://schemas.openxmlformats.org/officeDocument/2006/relationships/hyperlink" Target="http://archives.starbulletin.com/1999/11/11/news/story3.html" TargetMode="External"/><Relationship Id="rId612" Type="http://schemas.openxmlformats.org/officeDocument/2006/relationships/hyperlink" Target="https://www.thepilot.com/news/pinelake-at-a-decade-in-the-shadow-of-north-carolina/article_33d2be06-522a-11e9-b3d5-230b8a7f488f.html" TargetMode="External"/><Relationship Id="rId1035" Type="http://schemas.openxmlformats.org/officeDocument/2006/relationships/hyperlink" Target="https://www.washingtonpost.com/news/post-nation/wp/2018/01/29/jealousy-and-obsession-may-have-led-carwash-shooting-suspect-to-kill-four-relatives-say/" TargetMode="External"/><Relationship Id="rId251" Type="http://schemas.openxmlformats.org/officeDocument/2006/relationships/hyperlink" Target="https://www.newspapers.com/clip/36644551/the-californian-salinas/" TargetMode="External"/><Relationship Id="rId489" Type="http://schemas.openxmlformats.org/officeDocument/2006/relationships/hyperlink" Target="https://www.cnn.com/2013/10/31/us/atlanta-courthouse-shootings-fast-facts/index.html" TargetMode="External"/><Relationship Id="rId696" Type="http://schemas.openxmlformats.org/officeDocument/2006/relationships/hyperlink" Target="https://www.nytimes.com/2012/07/24/us/aurora-gunmans-lethal-arsenal.html" TargetMode="External"/><Relationship Id="rId917" Type="http://schemas.openxmlformats.org/officeDocument/2006/relationships/hyperlink" Target="https://www.lvmpd.com/en-us/Documents/1-October-FIT-Criminal-Investigative-Report-FINAL_080318.pdf" TargetMode="External"/><Relationship Id="rId1102" Type="http://schemas.openxmlformats.org/officeDocument/2006/relationships/hyperlink" Target="http://newjersey.news12.com/story/41444962/nj-attorney-general-jersey-city-shooters-had-tremendous-amount-of-firepower-could-have-continued-rampage" TargetMode="External"/><Relationship Id="rId46" Type="http://schemas.openxmlformats.org/officeDocument/2006/relationships/hyperlink" Target="https://www.washingtonpost.com/archive/politics/1977/02/15/vengeful-nazi-follower-kills-5-commits-suicide/3ff6cfb8-81bf-4620-b90b-20962fb17232/" TargetMode="External"/><Relationship Id="rId349" Type="http://schemas.openxmlformats.org/officeDocument/2006/relationships/hyperlink" Target="https://www.nytimes.com/1998/03/29/us/from-wild-talk-and-friendship-to-five-deaths-in-a-schoolyard.html?mcubz=0" TargetMode="External"/><Relationship Id="rId556" Type="http://schemas.openxmlformats.org/officeDocument/2006/relationships/hyperlink" Target="https://www.denverpost.com/2007/12/12/gunman-legally-amassed-weaponry-in-years-time/" TargetMode="External"/><Relationship Id="rId763" Type="http://schemas.openxmlformats.org/officeDocument/2006/relationships/hyperlink" Target="https://documents.latimes.com/isla-vista-investigative-summary/" TargetMode="External"/><Relationship Id="rId111" Type="http://schemas.openxmlformats.org/officeDocument/2006/relationships/hyperlink" Target="https://oklahoman.com/article/2157408/authorities-piece-together-tragedy-gunman-at-edmond-post-office-knew-where-to-shoot-people" TargetMode="External"/><Relationship Id="rId195" Type="http://schemas.openxmlformats.org/officeDocument/2006/relationships/hyperlink" Target="https://www.nytimes.com/1991/10/18/us/portrait-of-texas-killer-impatient-and-troubled.html?pagewanted=all" TargetMode="External"/><Relationship Id="rId209" Type="http://schemas.openxmlformats.org/officeDocument/2006/relationships/hyperlink" Target="http://hrb.stparchive.com/Archive/HRB/HRB01032013p24.php" TargetMode="External"/><Relationship Id="rId416" Type="http://schemas.openxmlformats.org/officeDocument/2006/relationships/hyperlink" Target="http://www.txexecutions.org/reports/485.asp" TargetMode="External"/><Relationship Id="rId970" Type="http://schemas.openxmlformats.org/officeDocument/2006/relationships/hyperlink" Target="https://www.lvmpd.com/en-us/Documents/1-October-FIT-Criminal-Investigative-Report-FINAL_080318.pdf" TargetMode="External"/><Relationship Id="rId1046" Type="http://schemas.openxmlformats.org/officeDocument/2006/relationships/hyperlink" Target="https://www.tennessean.com/story/news/crime/2019/03/14/travis-reinking-father-jeffrey-waffle-house-shooting/3016158002/" TargetMode="External"/><Relationship Id="rId623" Type="http://schemas.openxmlformats.org/officeDocument/2006/relationships/hyperlink" Target="https://schoolshooters.info/sites/default/files/Civil_Action_Al-Salihi_v_Gander_Mountain.PDF" TargetMode="External"/><Relationship Id="rId830" Type="http://schemas.openxmlformats.org/officeDocument/2006/relationships/hyperlink" Target="https://www.cnn.com/2015/12/03/us/syed-farook-tashfeen-malik-mass-shooting-profile/index.html" TargetMode="External"/><Relationship Id="rId928" Type="http://schemas.openxmlformats.org/officeDocument/2006/relationships/hyperlink" Target="https://www.lvmpd.com/en-us/Documents/1-October-FIT-Criminal-Investigative-Report-FINAL_080318.pdf" TargetMode="External"/><Relationship Id="rId57" Type="http://schemas.openxmlformats.org/officeDocument/2006/relationships/hyperlink" Target="http://content.time.com/time/magazine/article/0,9171,952699,00.html" TargetMode="External"/><Relationship Id="rId262" Type="http://schemas.openxmlformats.org/officeDocument/2006/relationships/hyperlink" Target="https://www.latimes.com/archives/la-xpm-1993-12-08-me-65133-story.html" TargetMode="External"/><Relationship Id="rId567" Type="http://schemas.openxmlformats.org/officeDocument/2006/relationships/hyperlink" Target="https://www.lakeexpo.com/news/top_stories/thornton-used-stolen-gun-in-kirkwood-killings/article_59696954-4d4c-5052-91c6-ac18d02a2e27.html" TargetMode="External"/><Relationship Id="rId1113"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122" Type="http://schemas.openxmlformats.org/officeDocument/2006/relationships/hyperlink" Target="https://www.orlandosentinel.com/news/os-xpm-1987-04-28-0120380197-story.html" TargetMode="External"/><Relationship Id="rId774" Type="http://schemas.openxmlformats.org/officeDocument/2006/relationships/hyperlink" Target="https://www.cnn.com/2015/07/18/us/tennessee-naval-reserve-shooting/index.html" TargetMode="External"/><Relationship Id="rId981" Type="http://schemas.openxmlformats.org/officeDocument/2006/relationships/hyperlink" Target="https://www.lvmpd.com/en-us/Documents/1-October-FIT-Criminal-Investigative-Report-FINAL_080318.pdf" TargetMode="External"/><Relationship Id="rId1057" Type="http://schemas.openxmlformats.org/officeDocument/2006/relationships/hyperlink" Target="https://time.com/5326056/capital-gazette-shooter-jarrod-w-ramos/" TargetMode="External"/><Relationship Id="rId427" Type="http://schemas.openxmlformats.org/officeDocument/2006/relationships/hyperlink" Target="https://caselaw.findlaw.com/ma-supreme-judicial-court/1448833.html" TargetMode="External"/><Relationship Id="rId634" Type="http://schemas.openxmlformats.org/officeDocument/2006/relationships/hyperlink" Target="https://www.latimes.com/archives/la-xpm-2009-dec-02-la-na-police-shooting2-2009dec02-story.html" TargetMode="External"/><Relationship Id="rId841" Type="http://schemas.openxmlformats.org/officeDocument/2006/relationships/hyperlink" Target="https://time.com/4367592/orlando-shooting-gun-store-owner/" TargetMode="External"/><Relationship Id="rId273" Type="http://schemas.openxmlformats.org/officeDocument/2006/relationships/hyperlink" Target="https://archive.seattletimes.com/archive/?date=19940621&amp;slug=1916667" TargetMode="External"/><Relationship Id="rId480" Type="http://schemas.openxmlformats.org/officeDocument/2006/relationships/hyperlink" Target="https://www.chicagotribune.com/news/ct-xpm-2003-08-30-0308300258-story.html" TargetMode="External"/><Relationship Id="rId701" Type="http://schemas.openxmlformats.org/officeDocument/2006/relationships/hyperlink" Target="https://web.archive.org/web/20120722041017/http:/abcnews.go.com/US/wireStory/police-colo-shooting-suspect-bought-guns-legally-16826588" TargetMode="External"/><Relationship Id="rId939" Type="http://schemas.openxmlformats.org/officeDocument/2006/relationships/hyperlink" Target="https://www.lvmpd.com/en-us/Documents/1-October-FIT-Criminal-Investigative-Report-FINAL_080318.pdf" TargetMode="External"/><Relationship Id="rId1124" Type="http://schemas.openxmlformats.org/officeDocument/2006/relationships/hyperlink" Target="https://www.nytimes.com/1990/06/20/us/hazy-records-helped-florida-gunman-buy-arms.html" TargetMode="External"/><Relationship Id="rId68" Type="http://schemas.openxmlformats.org/officeDocument/2006/relationships/hyperlink" Target="https://www.nytimes.com/1982/08/22/us/around-the-nation-police-say-killer-of-8-had-just-purchased-gun.html" TargetMode="External"/><Relationship Id="rId133" Type="http://schemas.openxmlformats.org/officeDocument/2006/relationships/hyperlink" Target="https://www.washingtonpost.com/archive/politics/1988/02/18/sudden-death-in-sunnyvale/4f50e5d7-0804-4a56-a2af-ced693c3b577/" TargetMode="External"/><Relationship Id="rId340" Type="http://schemas.openxmlformats.org/officeDocument/2006/relationships/hyperlink" Target="https://www.vpc.org/studies/wgun980324.htm" TargetMode="External"/><Relationship Id="rId578" Type="http://schemas.openxmlformats.org/officeDocument/2006/relationships/hyperlink" Target="https://www.esquire.com/news-politics/a4863/steven-kazmierczak-0808/" TargetMode="External"/><Relationship Id="rId785" Type="http://schemas.openxmlformats.org/officeDocument/2006/relationships/hyperlink" Target="https://www.registerguard.com/rg/opinion/35940634-78/an-arsenal-at-ucc.html.csp" TargetMode="External"/><Relationship Id="rId992" Type="http://schemas.openxmlformats.org/officeDocument/2006/relationships/hyperlink" Target="https://www.lvmpd.com/en-us/Documents/1-October-FIT-Criminal-Investigative-Report-FINAL_080318.pdf" TargetMode="External"/><Relationship Id="rId200" Type="http://schemas.openxmlformats.org/officeDocument/2006/relationships/hyperlink" Target="https://www.nytimes.com/1991/10/18/us/portrait-of-texas-killer-impatient-and-troubled.html?pagewanted=all" TargetMode="External"/><Relationship Id="rId438" Type="http://schemas.openxmlformats.org/officeDocument/2006/relationships/hyperlink" Target="https://www.cnn.com/2001/US/02/07/plant.shootings/" TargetMode="External"/><Relationship Id="rId645" Type="http://schemas.openxmlformats.org/officeDocument/2006/relationships/hyperlink" Target="https://www.cbsnews.com/news/florida-man-kills-four-women-in-restaurant-shooting-police-say/" TargetMode="External"/><Relationship Id="rId852" Type="http://schemas.openxmlformats.org/officeDocument/2006/relationships/hyperlink" Target="https://www.wsj.com/articles/dallas-chief-david-brown-urges-protesters-to-join-police-force-1468273328" TargetMode="External"/><Relationship Id="rId1068" Type="http://schemas.openxmlformats.org/officeDocument/2006/relationships/hyperlink" Target="https://www.nytimes.com/2018/10/30/us/ar15-gun-pittsburgh-shooting.html" TargetMode="External"/><Relationship Id="rId284" Type="http://schemas.openxmlformats.org/officeDocument/2006/relationships/hyperlink" Target="https://books.google.com/books?id=dw6vDwAAQBAJ&amp;pg=PT120&amp;lpg=PT120&amp;dq=willie+woods+gun+obtained&amp;source=bl&amp;ots=vuLlcouRXL&amp;sig=ACfU3U0XOR-WR_Ch3uBudRTLM3RGN_Kq4A&amp;hl=en&amp;sa=X&amp;ved=2ahUKEwjfwfSqk4nqAhWQRTABHal-AAoQ6AEwB3oECAoQAQ" TargetMode="External"/><Relationship Id="rId491" Type="http://schemas.openxmlformats.org/officeDocument/2006/relationships/hyperlink" Target="https://www.cnn.com/2013/10/31/us/atlanta-courthouse-shootings-fast-facts/index.html" TargetMode="External"/><Relationship Id="rId505" Type="http://schemas.openxmlformats.org/officeDocument/2006/relationships/hyperlink" Target="https://books.google.com/books?id=ZW5vDwAAQBAJ&amp;pg=PA375&amp;lpg=PA375&amp;dq=jeff+weise+.22-caliber+gun&amp;source=bl&amp;ots=PhEi6phYAG&amp;sig=ACfU3U1MhVSS2MOjLmUMDsbMfmAdNSluSA&amp;hl=en&amp;sa=X&amp;ved=2ahUKEwjv9qGDroTqAhUpQzABHUzFDLs4ChDoATAAegQIChAB" TargetMode="External"/><Relationship Id="rId712" Type="http://schemas.openxmlformats.org/officeDocument/2006/relationships/hyperlink" Target="https://www.latimes.com/nation/la-xpm-2012-aug-08-la-na-nn-sikh-shooting-guns-20120807-story.html" TargetMode="External"/><Relationship Id="rId79" Type="http://schemas.openxmlformats.org/officeDocument/2006/relationships/hyperlink" Target="https://law.justia.com/cases/texas/court-of-criminal-appeals/1986/69268-4.html" TargetMode="External"/><Relationship Id="rId144" Type="http://schemas.openxmlformats.org/officeDocument/2006/relationships/hyperlink" Target="https://www.leagle.com/decision/incaco20090702055" TargetMode="External"/><Relationship Id="rId589" Type="http://schemas.openxmlformats.org/officeDocument/2006/relationships/hyperlink" Target="http://www.nbcnews.com/id/25361852/ns/us_news-crime_and_courts/t/dead-argument-boss-ends-rampage/" TargetMode="External"/><Relationship Id="rId796" Type="http://schemas.openxmlformats.org/officeDocument/2006/relationships/hyperlink" Target="https://www.registerguard.com/rg/opinion/35940634-78/an-arsenal-at-ucc.html.csp" TargetMode="External"/><Relationship Id="rId351" Type="http://schemas.openxmlformats.org/officeDocument/2006/relationships/hyperlink" Target="https://www.nytimes.com/1998/03/29/us/from-wild-talk-and-friendship-to-five-deaths-in-a-schoolyard.html?mcubz=0" TargetMode="External"/><Relationship Id="rId449" Type="http://schemas.openxmlformats.org/officeDocument/2006/relationships/hyperlink" Target="https://www.latimes.com/archives/la-xpm-2001-sep-11-mn-44550-story.html" TargetMode="External"/><Relationship Id="rId656" Type="http://schemas.openxmlformats.org/officeDocument/2006/relationships/hyperlink" Target="https://abcnews.go.com/Business/questions-remain-jared-loughner-paid-expensive-firearm/story?id=12585290" TargetMode="External"/><Relationship Id="rId863" Type="http://schemas.openxmlformats.org/officeDocument/2006/relationships/hyperlink" Target="https://www.wausaudailyherald.com/story/news/2017/08/29/report-mass-shooter-nengmy-vang-admitted-killings-demanded-tell-his-side/611830001/" TargetMode="External"/><Relationship Id="rId1079" Type="http://schemas.openxmlformats.org/officeDocument/2006/relationships/hyperlink" Target="https://www.nbcnews.com/news/us-news/four-hospital-three-critical-after-12-killed-virginia-beach-shooting-n1012801" TargetMode="External"/><Relationship Id="rId211" Type="http://schemas.openxmlformats.org/officeDocument/2006/relationships/hyperlink" Target="https://www.latimes.com/archives/la-xpm-1991-11-15-mn-1435-story.html" TargetMode="External"/><Relationship Id="rId295" Type="http://schemas.openxmlformats.org/officeDocument/2006/relationships/hyperlink" Target="https://www.upi.com/Archives/1996/02/09/Several-dead-in-Florida-shooting/3712823842000/" TargetMode="External"/><Relationship Id="rId309" Type="http://schemas.openxmlformats.org/officeDocument/2006/relationships/hyperlink" Target="https://www.latimes.com/archives/la-xpm-1998-jan-25-mn-12112-story.html" TargetMode="External"/><Relationship Id="rId516" Type="http://schemas.openxmlformats.org/officeDocument/2006/relationships/hyperlink" Target="https://pdfs.semanticscholar.org/3cc9/9a09b5e86ac095439ac15b0278c7ab45f2f9.pdf" TargetMode="External"/><Relationship Id="rId723" Type="http://schemas.openxmlformats.org/officeDocument/2006/relationships/hyperlink" Target="https://newyork.cbslocal.com/2012/12/16/friends-newtown-gunmans-mother-home-schooled-son-kept-arsenal-of-guns/" TargetMode="External"/><Relationship Id="rId930" Type="http://schemas.openxmlformats.org/officeDocument/2006/relationships/hyperlink" Target="https://www.lvmpd.com/en-us/Documents/1-October-FIT-Criminal-Investigative-Report-FINAL_080318.pdf" TargetMode="External"/><Relationship Id="rId1006" Type="http://schemas.openxmlformats.org/officeDocument/2006/relationships/hyperlink" Target="https://www.washingtonpost.com/news/checkpoint/wp/2017/11/06/the-air-force-says-it-failed-to-follow-procedures-allowing-texas-church-shooter-to-obtain-firearms/" TargetMode="External"/><Relationship Id="rId155" Type="http://schemas.openxmlformats.org/officeDocument/2006/relationships/hyperlink" Target="https://schoolshooters.info/sites/default/files/Purdy%20-%20official%20report.pdf" TargetMode="External"/><Relationship Id="rId362" Type="http://schemas.openxmlformats.org/officeDocument/2006/relationships/hyperlink" Target="https://www.pbs.org/wgbh/pages/frontline/shows/kinkel/kip/cron.html" TargetMode="External"/><Relationship Id="rId222" Type="http://schemas.openxmlformats.org/officeDocument/2006/relationships/hyperlink" Target="https://www.csgv.org/mass-shootings-by-good-guys/" TargetMode="External"/><Relationship Id="rId667" Type="http://schemas.openxmlformats.org/officeDocument/2006/relationships/hyperlink" Target="https://sacramento.cbslocal.com/2011/10/05/rifle-in-ihop-shooting-was-illegally-altered/" TargetMode="External"/><Relationship Id="rId874" Type="http://schemas.openxmlformats.org/officeDocument/2006/relationships/hyperlink" Target="https://www.lvmpd.com/en-us/Documents/1-October-FIT-Criminal-Investigative-Report-FINAL_080318.pdf" TargetMode="External"/><Relationship Id="rId17" Type="http://schemas.openxmlformats.org/officeDocument/2006/relationships/hyperlink" Target="https://www.statesman.com/NEWS/20160903/Victim-tries-to-buy-gun-sniper-used" TargetMode="External"/><Relationship Id="rId527" Type="http://schemas.openxmlformats.org/officeDocument/2006/relationships/hyperlink" Target="https://www.standard.co.uk/news/amish-school-assassin-told-wife-he-had-molested-children-before-7270928.html" TargetMode="External"/><Relationship Id="rId734" Type="http://schemas.openxmlformats.org/officeDocument/2006/relationships/hyperlink" Target="https://www.latimes.com/local/la-xpm-2013-jun-12-la-me-santa-monica-gun-20130613-story.html" TargetMode="External"/><Relationship Id="rId941" Type="http://schemas.openxmlformats.org/officeDocument/2006/relationships/hyperlink" Target="https://www.lvmpd.com/en-us/Documents/1-October-FIT-Criminal-Investigative-Report-FINAL_080318.pdf" TargetMode="External"/><Relationship Id="rId70" Type="http://schemas.openxmlformats.org/officeDocument/2006/relationships/hyperlink" Target="https://www.nytimes.com/1983/02/04/nyregion/gunman-kills-four-and-wounds-a-fifth-at-a-west-side-hotel.html" TargetMode="External"/><Relationship Id="rId166" Type="http://schemas.openxmlformats.org/officeDocument/2006/relationships/hyperlink" Target="https://www.chicagotribune.com/news/ct-xpm-1989-09-16-8901130452-story.html" TargetMode="External"/><Relationship Id="rId373" Type="http://schemas.openxmlformats.org/officeDocument/2006/relationships/hyperlink" Target="http://www.cnn.com/SPECIALS/2000/columbine.cd/Pages/EQUIPMENT_TEXT.htm" TargetMode="External"/><Relationship Id="rId580" Type="http://schemas.openxmlformats.org/officeDocument/2006/relationships/hyperlink" Target="http://content.time.com/time/nation/article/0,8599,1714069,00.html" TargetMode="External"/><Relationship Id="rId801" Type="http://schemas.openxmlformats.org/officeDocument/2006/relationships/hyperlink" Target="https://www.registerguard.com/rg/opinion/35940634-78/an-arsenal-at-ucc.html.csp" TargetMode="External"/><Relationship Id="rId1017" Type="http://schemas.openxmlformats.org/officeDocument/2006/relationships/hyperlink" Target="https://www.sacbee.com/news/local/crime/article188850419.html" TargetMode="External"/><Relationship Id="rId1" Type="http://schemas.openxmlformats.org/officeDocument/2006/relationships/hyperlink" Target="https://upload.wikimedia.org/wikipedia/commons/c/cc/Very-long-police-report.jpg" TargetMode="External"/><Relationship Id="rId233" Type="http://schemas.openxmlformats.org/officeDocument/2006/relationships/hyperlink" Target="https://www.vpc.org/studies/wgun930701.htm" TargetMode="External"/><Relationship Id="rId440" Type="http://schemas.openxmlformats.org/officeDocument/2006/relationships/hyperlink" Target="https://www.washingtonpost.com/archive/politics/2001/02/07/ill-shooter-had-gun-owner-id-was-a-felon/51353d19-8945-4702-8292-13859bab3d10/" TargetMode="External"/><Relationship Id="rId678" Type="http://schemas.openxmlformats.org/officeDocument/2006/relationships/hyperlink" Target="https://www.presstelegram.com/2012/10/11/seal-beach-shooting-anniversary-searching-for-solace-fighting-for-gun-law-change/" TargetMode="External"/><Relationship Id="rId885" Type="http://schemas.openxmlformats.org/officeDocument/2006/relationships/hyperlink" Target="https://www.lvmpd.com/en-us/Documents/1-October-FIT-Criminal-Investigative-Report-FINAL_080318.pdf" TargetMode="External"/><Relationship Id="rId1070" Type="http://schemas.openxmlformats.org/officeDocument/2006/relationships/hyperlink" Target="https://www.nytimes.com/2018/10/27/us/robert-bowers-pittsburgh-synagogue-shooter.html" TargetMode="External"/><Relationship Id="rId28" Type="http://schemas.openxmlformats.org/officeDocument/2006/relationships/hyperlink" Target="https://news.google.com/newspapers?id=G8daAAAAIBAJ&amp;sjid=z2wDAAAAIBAJ&amp;pg=6070,782221" TargetMode="External"/><Relationship Id="rId300" Type="http://schemas.openxmlformats.org/officeDocument/2006/relationships/hyperlink" Target="https://www.concordmonitor.com/Archive/2015/09/dregabook-cmforum-091315" TargetMode="External"/><Relationship Id="rId538" Type="http://schemas.openxmlformats.org/officeDocument/2006/relationships/hyperlink" Target="https://scholar.lib.vt.edu/prevail/docs/VTReviewPanelReport.pdf" TargetMode="External"/><Relationship Id="rId745" Type="http://schemas.openxmlformats.org/officeDocument/2006/relationships/hyperlink" Target="https://www.nytimes.com/2013/09/18/us/state-law-stopped-gunman-from-buying-rifle-officials-say.html" TargetMode="External"/><Relationship Id="rId952" Type="http://schemas.openxmlformats.org/officeDocument/2006/relationships/hyperlink" Target="https://www.lvmpd.com/en-us/Documents/1-October-FIT-Criminal-Investigative-Report-FINAL_080318.pdf" TargetMode="External"/><Relationship Id="rId81" Type="http://schemas.openxmlformats.org/officeDocument/2006/relationships/hyperlink" Target="https://law.justia.com/cases/texas/court-of-criminal-appeals/1986/69268-4.html" TargetMode="External"/><Relationship Id="rId177" Type="http://schemas.openxmlformats.org/officeDocument/2006/relationships/hyperlink" Target="https://www.jacksonville.com/photogallery/LK/20190410/NEWS/409009969/PH/1" TargetMode="External"/><Relationship Id="rId384" Type="http://schemas.openxmlformats.org/officeDocument/2006/relationships/hyperlink" Target="https://www.vpc.org/studies/wgun990729.htm" TargetMode="External"/><Relationship Id="rId591" Type="http://schemas.openxmlformats.org/officeDocument/2006/relationships/hyperlink" Target="https://www.seattlepi.com/local/article/Skagit-killing-spree-detailed-1284812.php" TargetMode="External"/><Relationship Id="rId605" Type="http://schemas.openxmlformats.org/officeDocument/2006/relationships/hyperlink" Target="https://www.thepilot.com/news/pinelake-at-a-decade-in-the-shadow-of-north-carolina/article_33d2be06-522a-11e9-b3d5-230b8a7f488f.html" TargetMode="External"/><Relationship Id="rId812" Type="http://schemas.openxmlformats.org/officeDocument/2006/relationships/hyperlink" Target="https://www.latimes.com/local/lanow/la-me-san-bernardino-terror-attack-video-20161201-story.html" TargetMode="External"/><Relationship Id="rId1028" Type="http://schemas.openxmlformats.org/officeDocument/2006/relationships/hyperlink" Target="https://www.latimes.com/local/lanow/la-me-ln-tehama-shooter-guns-20171121-story.html" TargetMode="External"/><Relationship Id="rId244" Type="http://schemas.openxmlformats.org/officeDocument/2006/relationships/hyperlink" Target="https://www.nytimes.com/1993/07/03/us/the-broker-who-killed-8-gunman-s-motives-a-puzzle.html" TargetMode="External"/><Relationship Id="rId689" Type="http://schemas.openxmlformats.org/officeDocument/2006/relationships/hyperlink" Target="https://www.seattletimes.com/seattle-news/gunman-a-life-full-of-rage-a-shocking-final-act/" TargetMode="External"/><Relationship Id="rId896" Type="http://schemas.openxmlformats.org/officeDocument/2006/relationships/hyperlink" Target="https://www.lvmpd.com/en-us/Documents/1-October-FIT-Criminal-Investigative-Report-FINAL_080318.pdf" TargetMode="External"/><Relationship Id="rId1081" Type="http://schemas.openxmlformats.org/officeDocument/2006/relationships/hyperlink" Target="https://www.washingtonpost.com/local/public-safety/dewayne-craddock-a-longtime-virginia-beach-employee-identified-as-shooter-who-killed-12-in-city-building/2019/06/01/0fe20766-840e-11e9-95a9-e2c830afe24f_story.html" TargetMode="External"/><Relationship Id="rId39" Type="http://schemas.openxmlformats.org/officeDocument/2006/relationships/hyperlink" Target="https://www.washingtonpost.com/archive/politics/1977/02/15/vengeful-nazi-follower-kills-5-commits-suicide/3ff6cfb8-81bf-4620-b90b-20962fb17232/" TargetMode="External"/><Relationship Id="rId451" Type="http://schemas.openxmlformats.org/officeDocument/2006/relationships/hyperlink" Target="https://www.latimes.com/archives/la-xpm-2001-sep-11-mn-44550-story.html" TargetMode="External"/><Relationship Id="rId549" Type="http://schemas.openxmlformats.org/officeDocument/2006/relationships/hyperlink" Target="https://www.denverpost.com/2007/12/07/images-suicide-note-released-in-mall-massacre/" TargetMode="External"/><Relationship Id="rId756" Type="http://schemas.openxmlformats.org/officeDocument/2006/relationships/hyperlink" Target="https://www.nbcnews.com/storyline/isla-vista-rampage/california-gunman-still-had-hundreds-rounds-sheriff-n113961" TargetMode="External"/><Relationship Id="rId104" Type="http://schemas.openxmlformats.org/officeDocument/2006/relationships/hyperlink" Target="https://oklahoman.com/article/2157408/authorities-piece-together-tragedy-gunman-at-edmond-post-office-knew-where-to-shoot-people" TargetMode="External"/><Relationship Id="rId188" Type="http://schemas.openxmlformats.org/officeDocument/2006/relationships/hyperlink" Target="http://www.crimemagazine.com/joseph-harris-goes-postal-new-jersey-october-10-1991" TargetMode="External"/><Relationship Id="rId311" Type="http://schemas.openxmlformats.org/officeDocument/2006/relationships/hyperlink" Target="https://www.latimes.com/archives/la-xpm-1998-jan-25-mn-12112-story.html" TargetMode="External"/><Relationship Id="rId395" Type="http://schemas.openxmlformats.org/officeDocument/2006/relationships/hyperlink" Target="https://www.nytimes.com/1999/07/31/us/shootings-in-atlanta-the-overview-killer-confessed-in-a-letter-spiked-with-rage.html" TargetMode="External"/><Relationship Id="rId409" Type="http://schemas.openxmlformats.org/officeDocument/2006/relationships/hyperlink" Target="https://www.upi.com/Archives/2000/06/09/Charges-dropped-against-Fla-gun-shop/3025960523200/" TargetMode="External"/><Relationship Id="rId963" Type="http://schemas.openxmlformats.org/officeDocument/2006/relationships/hyperlink" Target="https://www.lvmpd.com/en-us/Documents/1-October-FIT-Criminal-Investigative-Report-FINAL_080318.pdf" TargetMode="External"/><Relationship Id="rId1039" Type="http://schemas.openxmlformats.org/officeDocument/2006/relationships/hyperlink" Target="https://www.miamiherald.com/news/local/community/broward/article202486304.html" TargetMode="External"/><Relationship Id="rId92" Type="http://schemas.openxmlformats.org/officeDocument/2006/relationships/hyperlink" Target="https://www.newspapers.com/image/?clipping_id=36122038&amp;fcfToken=eyJhbGciOiJIUzI1NiIsInR5cCI6IkpXVCJ9.eyJmcmVlLXZpZXctaWQiOjQ4ODM3ODM0MSwiaWF0IjoxNTkyNTc2ODA3LCJleHAiOjE1OTI2NjMyMDd9.-j9Jnq3_5qxQTrA7SCwvPfsLbQ7ZozzrLF6DyWrmT2Y" TargetMode="External"/><Relationship Id="rId616" Type="http://schemas.openxmlformats.org/officeDocument/2006/relationships/hyperlink" Target="https://www.nytimes.com/2009/04/09/nyregion/09binghamton.html" TargetMode="External"/><Relationship Id="rId823" Type="http://schemas.openxmlformats.org/officeDocument/2006/relationships/hyperlink" Target="https://www.cnn.com/2015/12/03/us/syed-farook-tashfeen-malik-mass-shooting-profile/index.html" TargetMode="External"/><Relationship Id="rId255" Type="http://schemas.openxmlformats.org/officeDocument/2006/relationships/hyperlink" Target="https://www.latimes.com/archives/la-xpm-1993-12-08-me-65133-story.html" TargetMode="External"/><Relationship Id="rId462" Type="http://schemas.openxmlformats.org/officeDocument/2006/relationships/hyperlink" Target="https://www.latimes.com/archives/la-xpm-2001-sep-11-mn-44550-story.html" TargetMode="External"/><Relationship Id="rId1092" Type="http://schemas.openxmlformats.org/officeDocument/2006/relationships/hyperlink" Target="https://www.nbcnews.com/news/us-news/dayton-shooter-s-gun-called-orchestra-metal-hellfire-n1039476" TargetMode="External"/><Relationship Id="rId1106" Type="http://schemas.openxmlformats.org/officeDocument/2006/relationships/hyperlink" Target="http://newjersey.news12.com/story/41444962/nj-attorney-general-jersey-city-shooters-had-tremendous-amount-of-firepower-could-have-continued-rampage" TargetMode="External"/><Relationship Id="rId115" Type="http://schemas.openxmlformats.org/officeDocument/2006/relationships/hyperlink" Target="https://www.vpc.org/studies/wgun860820.htm" TargetMode="External"/><Relationship Id="rId322" Type="http://schemas.openxmlformats.org/officeDocument/2006/relationships/hyperlink" Target="https://www.vpc.org/studies/wgun980306.htm" TargetMode="External"/><Relationship Id="rId767" Type="http://schemas.openxmlformats.org/officeDocument/2006/relationships/hyperlink" Target="https://apnews.com/05b209441c3247389eb2af3790c3df41" TargetMode="External"/><Relationship Id="rId974" Type="http://schemas.openxmlformats.org/officeDocument/2006/relationships/hyperlink" Target="https://www.lvmpd.com/en-us/Documents/1-October-FIT-Criminal-Investigative-Report-FINAL_080318.pdf" TargetMode="External"/><Relationship Id="rId199" Type="http://schemas.openxmlformats.org/officeDocument/2006/relationships/hyperlink" Target="https://journaltimes.com/news/national/texas-killer-hated-women-officials-say/article_6280aabc-4369-59d3-950e-0d5519021dcf.html" TargetMode="External"/><Relationship Id="rId627" Type="http://schemas.openxmlformats.org/officeDocument/2006/relationships/hyperlink" Target="https://extremism.gwu.edu/sites/g/files/zaxdzs2191/f/Nidal%20Hasan.pdf" TargetMode="External"/><Relationship Id="rId834" Type="http://schemas.openxmlformats.org/officeDocument/2006/relationships/hyperlink" Target="https://www.mlive.com/news/kalamazoo/2016/03/police_believe_jason_dalton_us.html" TargetMode="External"/><Relationship Id="rId266" Type="http://schemas.openxmlformats.org/officeDocument/2006/relationships/hyperlink" Target="https://www.wired.com/1994/06/rage/" TargetMode="External"/><Relationship Id="rId473" Type="http://schemas.openxmlformats.org/officeDocument/2006/relationships/hyperlink" Target="https://www.csgv.org/mass-shootings-by-good-guys/" TargetMode="External"/><Relationship Id="rId680" Type="http://schemas.openxmlformats.org/officeDocument/2006/relationships/hyperlink" Target="https://www.presstelegram.com/2012/10/11/seal-beach-shooting-anniversary-searching-for-solace-fighting-for-gun-law-change/" TargetMode="External"/><Relationship Id="rId901" Type="http://schemas.openxmlformats.org/officeDocument/2006/relationships/hyperlink" Target="https://www.lvmpd.com/en-us/Documents/1-October-FIT-Criminal-Investigative-Report-FINAL_080318.pdf" TargetMode="External"/><Relationship Id="rId1117"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30" Type="http://schemas.openxmlformats.org/officeDocument/2006/relationships/hyperlink" Target="https://www.nytimes.com/1970/09/24/archives/state-employe-kills-4-coworkers-and-himself-in-albany-office.html" TargetMode="External"/><Relationship Id="rId126" Type="http://schemas.openxmlformats.org/officeDocument/2006/relationships/hyperlink" Target="https://www.orlandosentinel.com/news/os-xpm-1987-04-28-0120380197-story.html" TargetMode="External"/><Relationship Id="rId333" Type="http://schemas.openxmlformats.org/officeDocument/2006/relationships/hyperlink" Target="https://www.nytimes.com/1998/03/29/us/from-wild-talk-and-friendship-to-five-deaths-in-a-schoolyard.html?mcubz=0" TargetMode="External"/><Relationship Id="rId540" Type="http://schemas.openxmlformats.org/officeDocument/2006/relationships/hyperlink" Target="https://scholar.lib.vt.edu/prevail/docs/VTReviewPanelReport.pdf" TargetMode="External"/><Relationship Id="rId778" Type="http://schemas.openxmlformats.org/officeDocument/2006/relationships/hyperlink" Target="https://www.washingtonpost.com/politics/chattanooga-shooter-an-aimless-young-man-who-smoked-dope-and-shot-guns/2015/07/18/c213f6a6-2d7d-11e5-a5ea-cf74396e59ec_story.html" TargetMode="External"/><Relationship Id="rId985" Type="http://schemas.openxmlformats.org/officeDocument/2006/relationships/hyperlink" Target="https://www.lvmpd.com/en-us/Documents/1-October-FIT-Criminal-Investigative-Report-FINAL_080318.pdf" TargetMode="External"/><Relationship Id="rId638" Type="http://schemas.openxmlformats.org/officeDocument/2006/relationships/hyperlink" Target="https://www.courts.wa.gov/content/petitions/89448-5%20Answer%20to%20Petition%20for%20Review%20Cross%20Petition%20for%20Review.pdf" TargetMode="External"/><Relationship Id="rId845" Type="http://schemas.openxmlformats.org/officeDocument/2006/relationships/hyperlink" Target="https://www.bbc.com/news/world-us-canada-36511778" TargetMode="External"/><Relationship Id="rId1030" Type="http://schemas.openxmlformats.org/officeDocument/2006/relationships/hyperlink" Target="https://www.washingtonpost.com/news/post-nation/wp/2018/01/29/jealousy-and-obsession-may-have-led-carwash-shooting-suspect-to-kill-four-relatives-say/" TargetMode="External"/><Relationship Id="rId277" Type="http://schemas.openxmlformats.org/officeDocument/2006/relationships/hyperlink" Target="https://www.vpc.org/studies/wgun950403.htm" TargetMode="External"/><Relationship Id="rId400" Type="http://schemas.openxmlformats.org/officeDocument/2006/relationships/hyperlink" Target="https://www.washingtonpost.com/archive/politics/1999/09/18/on-tape-a-methodical-massacre/1b53e0f8-cf9f-455c-9398-a10ab3c4e04d/" TargetMode="External"/><Relationship Id="rId484" Type="http://schemas.openxmlformats.org/officeDocument/2006/relationships/hyperlink" Target="https://www.nytimes.com/2004/07/04/us/death-toll-rises-to-six-after-workplace-shooting.html" TargetMode="External"/><Relationship Id="rId705" Type="http://schemas.openxmlformats.org/officeDocument/2006/relationships/hyperlink" Target="https://web.archive.org/web/20120722041017/http:/abcnews.go.com/US/wireStory/police-colo-shooting-suspect-bought-guns-legally-16826588" TargetMode="External"/><Relationship Id="rId137" Type="http://schemas.openxmlformats.org/officeDocument/2006/relationships/hyperlink" Target="https://www.leagle.com/decision/incaco20090702055" TargetMode="External"/><Relationship Id="rId344" Type="http://schemas.openxmlformats.org/officeDocument/2006/relationships/hyperlink" Target="https://www.vpc.org/studies/wgun980324.htm" TargetMode="External"/><Relationship Id="rId691" Type="http://schemas.openxmlformats.org/officeDocument/2006/relationships/hyperlink" Target="https://www.seattlepi.com/local/article/Police-Seattle-shootings-were-like-an-execution-3599900.php" TargetMode="External"/><Relationship Id="rId789" Type="http://schemas.openxmlformats.org/officeDocument/2006/relationships/hyperlink" Target="https://www.oregonlive.com/pacific-northwest-news/2017/09/umpqua_community_college_inves.html" TargetMode="External"/><Relationship Id="rId912" Type="http://schemas.openxmlformats.org/officeDocument/2006/relationships/hyperlink" Target="https://www.lvmpd.com/en-us/Documents/1-October-FIT-Criminal-Investigative-Report-FINAL_080318.pdf" TargetMode="External"/><Relationship Id="rId996" Type="http://schemas.openxmlformats.org/officeDocument/2006/relationships/hyperlink" Target="https://www.lvmpd.com/en-us/Documents/1-October-FIT-Criminal-Investigative-Report-FINAL_080318.pdf" TargetMode="External"/><Relationship Id="rId41" Type="http://schemas.openxmlformats.org/officeDocument/2006/relationships/hyperlink" Target="https://www.nydailynews.com/news/crime/rochelle-sniper-kills-1977-article-1.2973348" TargetMode="External"/><Relationship Id="rId551" Type="http://schemas.openxmlformats.org/officeDocument/2006/relationships/hyperlink" Target="https://web.archive.org/web/20071214043017/http:/hosted.ap.org/dynamic/stories/C/CHURCH_SHOOTINGS?SITE=TXBEA&amp;SECTION=HOME&amp;TEMPLATE=DEFAULT&amp;CTIME=2007-12-09-23-11-41%3A" TargetMode="External"/><Relationship Id="rId649" Type="http://schemas.openxmlformats.org/officeDocument/2006/relationships/hyperlink" Target="https://abcnews.go.com/US/connecticut-shooter-omar-thornton-chased-victims-beer-distributor/story?id=11322281" TargetMode="External"/><Relationship Id="rId856" Type="http://schemas.openxmlformats.org/officeDocument/2006/relationships/hyperlink" Target="https://www.wsj.com/articles/dallas-chief-david-brown-urges-protesters-to-join-police-force-1468273328" TargetMode="External"/><Relationship Id="rId190" Type="http://schemas.openxmlformats.org/officeDocument/2006/relationships/hyperlink" Target="http://www.crimemagazine.com/joseph-harris-goes-postal-new-jersey-october-10-1991" TargetMode="External"/><Relationship Id="rId204" Type="http://schemas.openxmlformats.org/officeDocument/2006/relationships/hyperlink" Target="https://www.nytimes.com/1991/11/04/us/iowa-gunman-was-torn-by-academic-challenge.html?ref=michelmarriott" TargetMode="External"/><Relationship Id="rId288" Type="http://schemas.openxmlformats.org/officeDocument/2006/relationships/hyperlink" Target="https://www.nydailynews.com/new-york/bronx/day-mass-killer-struck-boro-article-1.213350" TargetMode="External"/><Relationship Id="rId411" Type="http://schemas.openxmlformats.org/officeDocument/2006/relationships/hyperlink" Target="https://www.tampabay.com/archive/2000/01/01/common-legal-weapons-used-in-hotel-slayings/" TargetMode="External"/><Relationship Id="rId509" Type="http://schemas.openxmlformats.org/officeDocument/2006/relationships/hyperlink" Target="https://pdfs.semanticscholar.org/3cc9/9a09b5e86ac095439ac15b0278c7ab45f2f9.pdf" TargetMode="External"/><Relationship Id="rId1041" Type="http://schemas.openxmlformats.org/officeDocument/2006/relationships/hyperlink" Target="https://www.wsj.com/articles/ar-15-style-rifles-popular-and-easily-customized-1518796536" TargetMode="External"/><Relationship Id="rId495" Type="http://schemas.openxmlformats.org/officeDocument/2006/relationships/hyperlink" Target="https://www.seattletimes.com/nation-world/slain-security-guard-prevented-more-red-lake-deaths-officials-say/" TargetMode="External"/><Relationship Id="rId716" Type="http://schemas.openxmlformats.org/officeDocument/2006/relationships/hyperlink" Target="https://newyork.cbslocal.com/2012/12/16/friends-newtown-gunmans-mother-home-schooled-son-kept-arsenal-of-guns/" TargetMode="External"/><Relationship Id="rId923" Type="http://schemas.openxmlformats.org/officeDocument/2006/relationships/hyperlink" Target="https://www.lvmpd.com/en-us/Documents/1-October-FIT-Criminal-Investigative-Report-FINAL_080318.pdf" TargetMode="External"/><Relationship Id="rId52" Type="http://schemas.openxmlformats.org/officeDocument/2006/relationships/hyperlink" Target="https://www.nytimes.com/1977/08/29/archives/quarrels-at-home-cited-as-cause-in-jersey-shootings.html" TargetMode="External"/><Relationship Id="rId148" Type="http://schemas.openxmlformats.org/officeDocument/2006/relationships/hyperlink" Target="http://www.journalnow.com/news/local/for-first-time-in-years-michael-hayes-is-free-of/article_d5514c21-a980-5bf3-934e-53b3e76e8c05.html" TargetMode="External"/><Relationship Id="rId355" Type="http://schemas.openxmlformats.org/officeDocument/2006/relationships/hyperlink" Target="https://www.nytimes.com/1998/03/29/us/from-wild-talk-and-friendship-to-five-deaths-in-a-schoolyard.html?mcubz=0" TargetMode="External"/><Relationship Id="rId562" Type="http://schemas.openxmlformats.org/officeDocument/2006/relationships/hyperlink" Target="https://www.denverpost.com/2007/12/12/gunman-legally-amassed-weaponry-in-years-time/" TargetMode="External"/><Relationship Id="rId215" Type="http://schemas.openxmlformats.org/officeDocument/2006/relationships/hyperlink" Target="https://scocal.stanford.edu/opinion/people-v-houston-34117" TargetMode="External"/><Relationship Id="rId422" Type="http://schemas.openxmlformats.org/officeDocument/2006/relationships/hyperlink" Target="https://caselaw.findlaw.com/ma-supreme-judicial-court/1448833.html" TargetMode="External"/><Relationship Id="rId867" Type="http://schemas.openxmlformats.org/officeDocument/2006/relationships/hyperlink" Target="https://www.lvmpd.com/en-us/Documents/1-October-FIT-Criminal-Investigative-Report-FINAL_080318.pdf" TargetMode="External"/><Relationship Id="rId1052" Type="http://schemas.openxmlformats.org/officeDocument/2006/relationships/hyperlink" Target="https://www.nbcnews.com/news/us-news/some-santa-fe-shooting-victims-may-have-been-caught-crossfire-n876171" TargetMode="External"/><Relationship Id="rId299" Type="http://schemas.openxmlformats.org/officeDocument/2006/relationships/hyperlink" Target="https://www.chicagotribune.com/news/ct-xpm-1997-08-21-9708210178-story.html" TargetMode="External"/><Relationship Id="rId727" Type="http://schemas.openxmlformats.org/officeDocument/2006/relationships/hyperlink" Target="https://web.archive.org/web/20131223225701/http:/www.ct.gov/csao/lib/csao/Sandy_Hook_Final_Report.pdf" TargetMode="External"/><Relationship Id="rId934" Type="http://schemas.openxmlformats.org/officeDocument/2006/relationships/hyperlink" Target="https://www.lvmpd.com/en-us/Documents/1-October-FIT-Criminal-Investigative-Report-FINAL_080318.pdf" TargetMode="External"/><Relationship Id="rId63" Type="http://schemas.openxmlformats.org/officeDocument/2006/relationships/hyperlink" Target="https://books.google.com/books?id=DIG_9oBssrAC&amp;pg=PA140&amp;lpg=PA62&amp;focus=viewport&amp;dq=charles+meach+murder+at+40+below" TargetMode="External"/><Relationship Id="rId159" Type="http://schemas.openxmlformats.org/officeDocument/2006/relationships/hyperlink" Target="https://www.nytimes.com/1989/09/16/us/disturbed-past-of-killer-of-7-is-unraveled.html" TargetMode="External"/><Relationship Id="rId366" Type="http://schemas.openxmlformats.org/officeDocument/2006/relationships/hyperlink" Target="https://www.weeklycitizen.com/article/20080610/NEWS/306109986" TargetMode="External"/><Relationship Id="rId573" Type="http://schemas.openxmlformats.org/officeDocument/2006/relationships/hyperlink" Target="https://www.niu.edu/forward/_pdfs/archives/feb14report.pdf" TargetMode="External"/><Relationship Id="rId780" Type="http://schemas.openxmlformats.org/officeDocument/2006/relationships/hyperlink" Target="https://www.washingtonpost.com/world/national-security/marine-in-chattanooga-shooting-might-have-been-armed-officials-say/2015/07/20/1787a027-bbc4-429b-a8cc-9730d73b96a4_story.html" TargetMode="External"/><Relationship Id="rId226" Type="http://schemas.openxmlformats.org/officeDocument/2006/relationships/hyperlink" Target="https://www.nytimes.com/1992/10/24/nyregion/watkins-glen-killings-called-planned.html" TargetMode="External"/><Relationship Id="rId433" Type="http://schemas.openxmlformats.org/officeDocument/2006/relationships/hyperlink" Target="https://www.latimes.com/archives/la-xpm-2001-jan-10-mn-10586-story.html" TargetMode="External"/><Relationship Id="rId878" Type="http://schemas.openxmlformats.org/officeDocument/2006/relationships/hyperlink" Target="https://www.lvmpd.com/en-us/Documents/1-October-FIT-Criminal-Investigative-Report-FINAL_080318.pdf" TargetMode="External"/><Relationship Id="rId1063" Type="http://schemas.openxmlformats.org/officeDocument/2006/relationships/hyperlink" Target="https://apnews.com/d1beacd8581b426e8555954f70c4c783" TargetMode="External"/><Relationship Id="rId640" Type="http://schemas.openxmlformats.org/officeDocument/2006/relationships/hyperlink" Target="https://www.latimes.com/archives/la-xpm-2009-dec-02-la-na-police-shooting2-2009dec02-story.html" TargetMode="External"/><Relationship Id="rId738" Type="http://schemas.openxmlformats.org/officeDocument/2006/relationships/hyperlink" Target="https://www.latimes.com/local/la-xpm-2013-jun-12-la-me-santa-monica-gun-20130613-story.html" TargetMode="External"/><Relationship Id="rId945" Type="http://schemas.openxmlformats.org/officeDocument/2006/relationships/hyperlink" Target="https://www.lvmpd.com/en-us/Documents/1-October-FIT-Criminal-Investigative-Report-FINAL_080318.pdf" TargetMode="External"/><Relationship Id="rId74"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377" Type="http://schemas.openxmlformats.org/officeDocument/2006/relationships/hyperlink" Target="http://www.cnn.com/SPECIALS/2000/columbine.cd/Pages/EQUIPMENT_TEXT.htm" TargetMode="External"/><Relationship Id="rId500" Type="http://schemas.openxmlformats.org/officeDocument/2006/relationships/hyperlink" Target="https://www.mprnews.org/story/2015/03/18/red-lake-shooting-explained" TargetMode="External"/><Relationship Id="rId584" Type="http://schemas.openxmlformats.org/officeDocument/2006/relationships/hyperlink" Target="http://content.time.com/time/nation/article/0,8599,1714069,00.html" TargetMode="External"/><Relationship Id="rId805" Type="http://schemas.openxmlformats.org/officeDocument/2006/relationships/hyperlink" Target="https://www.theeagle.com/news/crime/jurors-in-hudson-capital-murder-trial-watch-video-of-interrogation/article_c26c9a38-c0c7-11e7-888c-07336468f0dc.html" TargetMode="External"/><Relationship Id="rId5" Type="http://schemas.openxmlformats.org/officeDocument/2006/relationships/hyperlink" Target="https://upload.wikimedia.org/wikipedia/commons/c/cc/Very-long-police-report.jpg" TargetMode="External"/><Relationship Id="rId237" Type="http://schemas.openxmlformats.org/officeDocument/2006/relationships/hyperlink" Target="https://www.nytimes.com/1993/07/03/us/the-broker-who-killed-8-gunman-s-motives-a-puzzle.html" TargetMode="External"/><Relationship Id="rId791" Type="http://schemas.openxmlformats.org/officeDocument/2006/relationships/hyperlink" Target="https://www.registerguard.com/rg/opinion/35940634-78/an-arsenal-at-ucc.html.csp" TargetMode="External"/><Relationship Id="rId889" Type="http://schemas.openxmlformats.org/officeDocument/2006/relationships/hyperlink" Target="https://www.lvmpd.com/en-us/Documents/1-October-FIT-Criminal-Investigative-Report-FINAL_080318.pdf" TargetMode="External"/><Relationship Id="rId1074" Type="http://schemas.openxmlformats.org/officeDocument/2006/relationships/hyperlink" Target="https://www.wfla.com/news/local-news/sheriffs-office-police-zephen-xaver-bought-gun-days-before-sebring-bank-shooting/" TargetMode="External"/><Relationship Id="rId444" Type="http://schemas.openxmlformats.org/officeDocument/2006/relationships/hyperlink" Target="https://www.cnn.com/2001/US/02/07/plant.shootings/" TargetMode="External"/><Relationship Id="rId651" Type="http://schemas.openxmlformats.org/officeDocument/2006/relationships/hyperlink" Target="https://abcnews.go.com/US/connecticut-shooter-omar-thornton-chased-victims-beer-distributor/story?id=11322281" TargetMode="External"/><Relationship Id="rId749" Type="http://schemas.openxmlformats.org/officeDocument/2006/relationships/hyperlink" Target="https://www.latimes.com/local/la-xpm-2014-feb-21-la-me-tribal-slayings-20140222-story.html" TargetMode="External"/><Relationship Id="rId290" Type="http://schemas.openxmlformats.org/officeDocument/2006/relationships/hyperlink" Target="https://www.upi.com/Archives/1996/02/09/Several-dead-in-Florida-shooting/3712823842000/" TargetMode="External"/><Relationship Id="rId304" Type="http://schemas.openxmlformats.org/officeDocument/2006/relationships/hyperlink" Target="http://www.clarkprosecutor.org/html/death/US/wise992.htm" TargetMode="External"/><Relationship Id="rId388" Type="http://schemas.openxmlformats.org/officeDocument/2006/relationships/hyperlink" Target="https://www.washingtonpost.com/archive/politics/1999/07/31/killer-wrote-of-fear-hopelessness/af33786a-de37-45cd-9d5f-1098379892dd/?noredirect=on" TargetMode="External"/><Relationship Id="rId511" Type="http://schemas.openxmlformats.org/officeDocument/2006/relationships/hyperlink" Target="https://archive.seattletimes.com/archive/?date=20060327&amp;slug=webshooter27" TargetMode="External"/><Relationship Id="rId609" Type="http://schemas.openxmlformats.org/officeDocument/2006/relationships/hyperlink" Target="https://www.thepilot.com/news/pinelake-at-a-decade-in-the-shadow-of-north-carolina/article_33d2be06-522a-11e9-b3d5-230b8a7f488f.html" TargetMode="External"/><Relationship Id="rId956" Type="http://schemas.openxmlformats.org/officeDocument/2006/relationships/hyperlink" Target="https://www.lvmpd.com/en-us/Documents/1-October-FIT-Criminal-Investigative-Report-FINAL_080318.pdf" TargetMode="External"/><Relationship Id="rId85" Type="http://schemas.openxmlformats.org/officeDocument/2006/relationships/hyperlink" Target="https://law.justia.com/cases/texas/court-of-criminal-appeals/1986/69268-4.html" TargetMode="External"/><Relationship Id="rId150" Type="http://schemas.openxmlformats.org/officeDocument/2006/relationships/hyperlink" Target="https://www.chicagotribune.com/news/ct-xpm-1988-09-23-8802010546-story.html" TargetMode="External"/><Relationship Id="rId595" Type="http://schemas.openxmlformats.org/officeDocument/2006/relationships/hyperlink" Target="https://www.seattlepi.com/local/article/Skagit-killing-spree-detailed-1284812.php" TargetMode="External"/><Relationship Id="rId816" Type="http://schemas.openxmlformats.org/officeDocument/2006/relationships/hyperlink" Target="https://www.scpr.org/news/2015/12/04/56040/san-bernardino-shooting-update-rifles-used-in-atta/" TargetMode="External"/><Relationship Id="rId1001" Type="http://schemas.openxmlformats.org/officeDocument/2006/relationships/hyperlink" Target="https://www.star-telegram.com/news/state/article183055101.html" TargetMode="External"/><Relationship Id="rId248" Type="http://schemas.openxmlformats.org/officeDocument/2006/relationships/hyperlink" Target="https://www.fayobserver.com/news/20190806/from-archives-26-years-ago-today-tragedy-at-luigis" TargetMode="External"/><Relationship Id="rId455" Type="http://schemas.openxmlformats.org/officeDocument/2006/relationships/hyperlink" Target="https://www.sfgate.com/news/article/Sacramento-rampage-5-shot-dead-Slayer-kills-2881164.php" TargetMode="External"/><Relationship Id="rId662" Type="http://schemas.openxmlformats.org/officeDocument/2006/relationships/hyperlink" Target="https://everytownresearch.org/wp-content/uploads/2014/10/analysis-of-recent-mass-shootings.pdf" TargetMode="External"/><Relationship Id="rId1085" Type="http://schemas.openxmlformats.org/officeDocument/2006/relationships/hyperlink" Target="https://www.washingtonpost.com/local/public-safety/dewayne-craddock-a-longtime-virginia-beach-employee-identified-as-shooter-who-killed-12-in-city-building/2019/06/01/0fe20766-840e-11e9-95a9-e2c830afe24f_story.html" TargetMode="External"/><Relationship Id="rId12" Type="http://schemas.openxmlformats.org/officeDocument/2006/relationships/hyperlink" Target="https://upload.wikimedia.org/wikipedia/commons/c/cc/Very-long-police-report.jpg" TargetMode="External"/><Relationship Id="rId108" Type="http://schemas.openxmlformats.org/officeDocument/2006/relationships/hyperlink" Target="https://oklahoman.com/article/2157408/authorities-piece-together-tragedy-gunman-at-edmond-post-office-knew-where-to-shoot-people" TargetMode="External"/><Relationship Id="rId315" Type="http://schemas.openxmlformats.org/officeDocument/2006/relationships/hyperlink" Target="https://www.latimes.com/archives/la-xpm-1997-dec-20-mn-431-story.html" TargetMode="External"/><Relationship Id="rId522" Type="http://schemas.openxmlformats.org/officeDocument/2006/relationships/hyperlink" Target="https://www.standard.co.uk/news/amish-school-assassin-told-wife-he-had-molested-children-before-7270928.html" TargetMode="External"/><Relationship Id="rId967" Type="http://schemas.openxmlformats.org/officeDocument/2006/relationships/hyperlink" Target="https://www.lvmpd.com/en-us/Documents/1-October-FIT-Criminal-Investigative-Report-FINAL_080318.pdf" TargetMode="External"/><Relationship Id="rId96" Type="http://schemas.openxmlformats.org/officeDocument/2006/relationships/hyperlink" Target="https://www.vpc.org/studies/wgun840718.htm" TargetMode="External"/><Relationship Id="rId161" Type="http://schemas.openxmlformats.org/officeDocument/2006/relationships/hyperlink" Target="https://www.chicagotribune.com/news/ct-xpm-1989-09-16-8901130452-story.html" TargetMode="External"/><Relationship Id="rId399" Type="http://schemas.openxmlformats.org/officeDocument/2006/relationships/hyperlink" Target="https://www.washingtonpost.com/archive/politics/1999/09/18/on-tape-a-methodical-massacre/1b53e0f8-cf9f-455c-9398-a10ab3c4e04d/" TargetMode="External"/><Relationship Id="rId827" Type="http://schemas.openxmlformats.org/officeDocument/2006/relationships/hyperlink" Target="https://www.sbsun.com/2017/05/25/a-new-report-on-the-san-bernardino-terrorist-attack-details-the-shootout-with-police/" TargetMode="External"/><Relationship Id="rId1012" Type="http://schemas.openxmlformats.org/officeDocument/2006/relationships/hyperlink" Target="https://www.latimes.com/local/lanow/la-me-ln-tehama-shooter-guns-20171121-story.html" TargetMode="External"/><Relationship Id="rId259" Type="http://schemas.openxmlformats.org/officeDocument/2006/relationships/hyperlink" Target="https://www.wired.com/1994/06/rage/" TargetMode="External"/><Relationship Id="rId466" Type="http://schemas.openxmlformats.org/officeDocument/2006/relationships/hyperlink" Target="https://www.nwitimes.com/uncategorized/south-bend-factory-worker-kills-then-himself/article_f9510908-20ec-5629-8891-42c83bb776f3.html" TargetMode="External"/><Relationship Id="rId673" Type="http://schemas.openxmlformats.org/officeDocument/2006/relationships/hyperlink" Target="https://www.tahoedailytribune.com/news/warrant-receipt-details-items-removed-from-ihop-shooters-home-vehicle/" TargetMode="External"/><Relationship Id="rId880" Type="http://schemas.openxmlformats.org/officeDocument/2006/relationships/hyperlink" Target="https://www.lvmpd.com/en-us/Documents/1-October-FIT-Criminal-Investigative-Report-FINAL_080318.pdf" TargetMode="External"/><Relationship Id="rId1096" Type="http://schemas.openxmlformats.org/officeDocument/2006/relationships/hyperlink" Target="https://www.nbcnews.com/news/us-news/texas-gunman-purchased-weapon-private-sale-which-doesn-t-require-n1049351" TargetMode="External"/><Relationship Id="rId23" Type="http://schemas.openxmlformats.org/officeDocument/2006/relationships/hyperlink" Target="https://books.google.com/books?id=LEgSiLnmgYoC&amp;pg=PA12&amp;lpg=PA12&amp;dq=leo+held+guns&amp;source=bl&amp;ots=lYWojMB3hZ&amp;sig=ACfU3U3QcP6YU2TfjX8MqJ_S-Tk3S0T6eg&amp;hl=en&amp;sa=X&amp;ved=2ahUKEwjLnbCX5-PpAhXpoFsKHWx2CRwQ6AEwAnoECAcQAQ" TargetMode="External"/><Relationship Id="rId119" Type="http://schemas.openxmlformats.org/officeDocument/2006/relationships/hyperlink" Target="https://www.orlandosentinel.com/news/os-xpm-1987-05-18-0130120064-story.html" TargetMode="External"/><Relationship Id="rId326" Type="http://schemas.openxmlformats.org/officeDocument/2006/relationships/hyperlink" Target="https://www.vpc.org/studies/wgun980324.htm" TargetMode="External"/><Relationship Id="rId533" Type="http://schemas.openxmlformats.org/officeDocument/2006/relationships/hyperlink" Target="https://www.heraldextra.com/news/state-and-regional/lawyer-pawn-shop-sold-gun-used-in-shooting-spree-illegally/article_5d18cc65-f216-5fa1-a367-2fe34dc0dd54.html" TargetMode="External"/><Relationship Id="rId978" Type="http://schemas.openxmlformats.org/officeDocument/2006/relationships/hyperlink" Target="https://www.lvmpd.com/en-us/Documents/1-October-FIT-Criminal-Investigative-Report-FINAL_080318.pdf" TargetMode="External"/><Relationship Id="rId740" Type="http://schemas.openxmlformats.org/officeDocument/2006/relationships/hyperlink" Target="https://www.latimes.com/local/lanow/la-xpm-2013-jun-10-la-me-ln-santa-monica-shooting-fbi-probes-how-gunman-got-weapons-20130610-story.html" TargetMode="External"/><Relationship Id="rId838" Type="http://schemas.openxmlformats.org/officeDocument/2006/relationships/hyperlink" Target="https://abcnews.go.com/US/orlando-shooter-bought-weapons-nearby-gun-shop/story?id=39817471" TargetMode="External"/><Relationship Id="rId1023" Type="http://schemas.openxmlformats.org/officeDocument/2006/relationships/hyperlink" Target="https://www.latimes.com/local/lanow/la-me-ln-tehama-shooter-guns-20171121-story.html" TargetMode="External"/><Relationship Id="rId172" Type="http://schemas.openxmlformats.org/officeDocument/2006/relationships/hyperlink" Target="https://www.nytimes.com/1989/09/16/us/disturbed-past-of-killer-of-7-is-unraveled.html" TargetMode="External"/><Relationship Id="rId477" Type="http://schemas.openxmlformats.org/officeDocument/2006/relationships/hyperlink" Target="https://www.csgv.org/mass-shootings-by-good-guys/" TargetMode="External"/><Relationship Id="rId600" Type="http://schemas.openxmlformats.org/officeDocument/2006/relationships/hyperlink" Target="https://www.thepilot.com/news/pinelake-at-a-decade-in-the-shadow-of-north-carolina/article_33d2be06-522a-11e9-b3d5-230b8a7f488f.html" TargetMode="External"/><Relationship Id="rId684" Type="http://schemas.openxmlformats.org/officeDocument/2006/relationships/hyperlink" Target="https://www.theguardian.com/us-news/2015/dec/05/oakland-shooting-hearing-oikos-university-psychiatrist-one-goh" TargetMode="External"/><Relationship Id="rId337" Type="http://schemas.openxmlformats.org/officeDocument/2006/relationships/hyperlink" Target="https://www.vpc.org/studies/wgun980324.htm" TargetMode="External"/><Relationship Id="rId891" Type="http://schemas.openxmlformats.org/officeDocument/2006/relationships/hyperlink" Target="https://www.lvmpd.com/en-us/Documents/1-October-FIT-Criminal-Investigative-Report-FINAL_080318.pdf" TargetMode="External"/><Relationship Id="rId905" Type="http://schemas.openxmlformats.org/officeDocument/2006/relationships/hyperlink" Target="https://www.lvmpd.com/en-us/Documents/1-October-FIT-Criminal-Investigative-Report-FINAL_080318.pdf" TargetMode="External"/><Relationship Id="rId989" Type="http://schemas.openxmlformats.org/officeDocument/2006/relationships/hyperlink" Target="https://www.lvmpd.com/en-us/Documents/1-October-FIT-Criminal-Investigative-Report-FINAL_080318.pdf" TargetMode="External"/><Relationship Id="rId34" Type="http://schemas.openxmlformats.org/officeDocument/2006/relationships/hyperlink" Target="https://www.latimes.com/archives/la-xpm-1986-07-06-me-23088-story.html" TargetMode="External"/><Relationship Id="rId544" Type="http://schemas.openxmlformats.org/officeDocument/2006/relationships/hyperlink" Target="https://scholar.lib.vt.edu/prevail/docs/VTReviewPanelReport.pdf" TargetMode="External"/><Relationship Id="rId751" Type="http://schemas.openxmlformats.org/officeDocument/2006/relationships/hyperlink" Target="https://www.nbcnews.com/storyline/isla-vista-rampage/california-gunman-still-had-hundreds-rounds-sheriff-n113961" TargetMode="External"/><Relationship Id="rId849" Type="http://schemas.openxmlformats.org/officeDocument/2006/relationships/hyperlink" Target="https://www.nbcnews.com/storyline/dallas-police-ambush/dallas-gunman-micah-johnson-used-saiga-ak-74-assault-style-n608311" TargetMode="External"/><Relationship Id="rId183" Type="http://schemas.openxmlformats.org/officeDocument/2006/relationships/hyperlink" Target="https://www.nytimes.com/1990/06/19/us/florida-gunman-kills-8-and-wounds-6-in-office.html" TargetMode="External"/><Relationship Id="rId390" Type="http://schemas.openxmlformats.org/officeDocument/2006/relationships/hyperlink" Target="https://www.vpc.org/studies/wgun990729.htm" TargetMode="External"/><Relationship Id="rId404" Type="http://schemas.openxmlformats.org/officeDocument/2006/relationships/hyperlink" Target="https://casetext.com/case/state-v-uyesugi" TargetMode="External"/><Relationship Id="rId611" Type="http://schemas.openxmlformats.org/officeDocument/2006/relationships/hyperlink" Target="https://www.thepilot.com/news/pinelake-at-a-decade-in-the-shadow-of-north-carolina/article_33d2be06-522a-11e9-b3d5-230b8a7f488f.html" TargetMode="External"/><Relationship Id="rId1034" Type="http://schemas.openxmlformats.org/officeDocument/2006/relationships/hyperlink" Target="https://www.washingtonpost.com/news/post-nation/wp/2018/01/29/jealousy-and-obsession-may-have-led-carwash-shooting-suspect-to-kill-four-relatives-say/" TargetMode="External"/><Relationship Id="rId250" Type="http://schemas.openxmlformats.org/officeDocument/2006/relationships/hyperlink" Target="https://www.upi.com/Archives/1993/10/15/Five-dead-in-health-club-shootings/4365750657600/" TargetMode="External"/><Relationship Id="rId488" Type="http://schemas.openxmlformats.org/officeDocument/2006/relationships/hyperlink" Target="http://news.minnesota.publicradio.org/features/2004/11/22_kelleherb_huntershooting/" TargetMode="External"/><Relationship Id="rId695" Type="http://schemas.openxmlformats.org/officeDocument/2006/relationships/hyperlink" Target="https://www.nytimes.com/2012/07/24/us/aurora-gunmans-lethal-arsenal.html" TargetMode="External"/><Relationship Id="rId709" Type="http://schemas.openxmlformats.org/officeDocument/2006/relationships/hyperlink" Target="https://www.nytimes.com/2012/07/24/us/aurora-gunmans-lethal-arsenal.html" TargetMode="External"/><Relationship Id="rId916" Type="http://schemas.openxmlformats.org/officeDocument/2006/relationships/hyperlink" Target="https://www.lvmpd.com/en-us/Documents/1-October-FIT-Criminal-Investigative-Report-FINAL_080318.pdf" TargetMode="External"/><Relationship Id="rId1101" Type="http://schemas.openxmlformats.org/officeDocument/2006/relationships/hyperlink" Target="http://newjersey.news12.com/story/41444962/nj-attorney-general-jersey-city-shooters-had-tremendous-amount-of-firepower-could-have-continued-rampage" TargetMode="External"/><Relationship Id="rId45" Type="http://schemas.openxmlformats.org/officeDocument/2006/relationships/hyperlink" Target="http://www.nydailynews.com/news/crime/rochelle-sniper-kills-1977-article-1.2973348" TargetMode="External"/><Relationship Id="rId110" Type="http://schemas.openxmlformats.org/officeDocument/2006/relationships/hyperlink" Target="https://www.chicagotribune.com/news/ct-xpm-1986-08-22-8603020853-story.html" TargetMode="External"/><Relationship Id="rId348" Type="http://schemas.openxmlformats.org/officeDocument/2006/relationships/hyperlink" Target="https://www.nytimes.com/1998/03/29/us/from-wild-talk-and-friendship-to-five-deaths-in-a-schoolyard.html?mcubz=0" TargetMode="External"/><Relationship Id="rId555" Type="http://schemas.openxmlformats.org/officeDocument/2006/relationships/hyperlink" Target="https://web.archive.org/web/20071214043017/http:/hosted.ap.org/dynamic/stories/C/CHURCH_SHOOTINGS?SITE=TXBEA&amp;SECTION=HOME&amp;TEMPLATE=DEFAULT&amp;CTIME=2007-12-09-23-11-41%3A" TargetMode="External"/><Relationship Id="rId762" Type="http://schemas.openxmlformats.org/officeDocument/2006/relationships/hyperlink" Target="https://documents.latimes.com/isla-vista-investigative-summary/" TargetMode="External"/><Relationship Id="rId194" Type="http://schemas.openxmlformats.org/officeDocument/2006/relationships/hyperlink" Target="https://journaltimes.com/news/national/texas-killer-hated-women-officials-say/article_6280aabc-4369-59d3-950e-0d5519021dcf.html" TargetMode="External"/><Relationship Id="rId208" Type="http://schemas.openxmlformats.org/officeDocument/2006/relationships/hyperlink" Target="https://www.washingtonpost.com/archive/politics/1991/11/11/gunman-kills-four-and-self-in-kentucky/c3111990-c0ec-48f8-9200-4fa837a1dba4/" TargetMode="External"/><Relationship Id="rId415" Type="http://schemas.openxmlformats.org/officeDocument/2006/relationships/hyperlink" Target="https://abcnews.go.com/US/story?id=95636&amp;page=1" TargetMode="External"/><Relationship Id="rId622" Type="http://schemas.openxmlformats.org/officeDocument/2006/relationships/hyperlink" Target="https://schoolshooters.info/sites/default/files/Al-Salihi_v_Gander_Mountain.pdf" TargetMode="External"/><Relationship Id="rId1045" Type="http://schemas.openxmlformats.org/officeDocument/2006/relationships/hyperlink" Target="https://www.nytimes.com/2018/04/23/us/waffle-house-shooting-nashville.html" TargetMode="External"/><Relationship Id="rId261" Type="http://schemas.openxmlformats.org/officeDocument/2006/relationships/hyperlink" Target="https://www.wired.com/1994/06/rage/" TargetMode="External"/><Relationship Id="rId499" Type="http://schemas.openxmlformats.org/officeDocument/2006/relationships/hyperlink" Target="https://www.seattletimes.com/nation-world/slain-security-guard-prevented-more-red-lake-deaths-officials-say/" TargetMode="External"/><Relationship Id="rId927" Type="http://schemas.openxmlformats.org/officeDocument/2006/relationships/hyperlink" Target="https://www.lvmpd.com/en-us/Documents/1-October-FIT-Criminal-Investigative-Report-FINAL_080318.pdf" TargetMode="External"/><Relationship Id="rId1112"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56" Type="http://schemas.openxmlformats.org/officeDocument/2006/relationships/hyperlink" Target="https://books.google.com/books?id=zSwEAAAAMBAJ&amp;pg=PA140" TargetMode="External"/><Relationship Id="rId359" Type="http://schemas.openxmlformats.org/officeDocument/2006/relationships/hyperlink" Target="https://www.pbs.org/wgbh/pages/frontline/shows/kinkel/kip/cron.html" TargetMode="External"/><Relationship Id="rId566" Type="http://schemas.openxmlformats.org/officeDocument/2006/relationships/hyperlink" Target="https://www.timesnewspapers.com/webster-kirkwoodtimes/news/prosecutor-releases-report-on-kirkwood-city-hall-shootings/article_8afc118f-4d9e-5e87-bf71-5876da11eb2a.html" TargetMode="External"/><Relationship Id="rId773" Type="http://schemas.openxmlformats.org/officeDocument/2006/relationships/hyperlink" Target="https://www.washingtonpost.com/politics/chattanooga-shooter-an-aimless-young-man-who-smoked-dope-and-shot-guns/2015/07/18/c213f6a6-2d7d-11e5-a5ea-cf74396e59ec_story.html" TargetMode="External"/><Relationship Id="rId121" Type="http://schemas.openxmlformats.org/officeDocument/2006/relationships/hyperlink" Target="https://www.nytimes.com/1987/04/25/us/florida-gunman-charged-with-killing-6.html" TargetMode="External"/><Relationship Id="rId219" Type="http://schemas.openxmlformats.org/officeDocument/2006/relationships/hyperlink" Target="https://schoolshooters.info/sites/default/files/California-v-Houston-2007.pdf" TargetMode="External"/><Relationship Id="rId426" Type="http://schemas.openxmlformats.org/officeDocument/2006/relationships/hyperlink" Target="https://caselaw.findlaw.com/ma-supreme-judicial-court/1448833.html" TargetMode="External"/><Relationship Id="rId633" Type="http://schemas.openxmlformats.org/officeDocument/2006/relationships/hyperlink" Target="https://www.latimes.com/archives/la-xpm-2009-dec-02-la-na-police-shooting2-2009dec02-story.html" TargetMode="External"/><Relationship Id="rId980" Type="http://schemas.openxmlformats.org/officeDocument/2006/relationships/hyperlink" Target="https://www.lvmpd.com/en-us/Documents/1-October-FIT-Criminal-Investigative-Report-FINAL_080318.pdf" TargetMode="External"/><Relationship Id="rId1056" Type="http://schemas.openxmlformats.org/officeDocument/2006/relationships/hyperlink" Target="https://www.washingtonpost.com/local/public-safety/attorneys-for-capital-gazette-shooter-demand-more-case-details-as-they-consider-possible-insanity-defense/2019/02/28/e25e6a38-3b96-11e9-a2cd-307b06d0257b_story.html" TargetMode="External"/><Relationship Id="rId840" Type="http://schemas.openxmlformats.org/officeDocument/2006/relationships/hyperlink" Target="https://time.com/4367592/orlando-shooting-gun-store-owner/" TargetMode="External"/><Relationship Id="rId938" Type="http://schemas.openxmlformats.org/officeDocument/2006/relationships/hyperlink" Target="https://www.lvmpd.com/en-us/Documents/1-October-FIT-Criminal-Investigative-Report-FINAL_080318.pdf" TargetMode="External"/><Relationship Id="rId67" Type="http://schemas.openxmlformats.org/officeDocument/2006/relationships/hyperlink" Target="https://www.upi.com/Archives/1982/08/09/Yes-I-know-hes-killing-people/2899397713600/" TargetMode="External"/><Relationship Id="rId272" Type="http://schemas.openxmlformats.org/officeDocument/2006/relationships/hyperlink" Target="https://web.archive.org/web/20150421030616/http:/www.cofpd.org/docs-dun/final-clemency-petition-5-6.pdf" TargetMode="External"/><Relationship Id="rId577" Type="http://schemas.openxmlformats.org/officeDocument/2006/relationships/hyperlink" Target="https://www.niu.edu/forward/_pdfs/archives/feb14report.pdf" TargetMode="External"/><Relationship Id="rId700" Type="http://schemas.openxmlformats.org/officeDocument/2006/relationships/hyperlink" Target="https://www.nytimes.com/2012/07/24/us/aurora-gunmans-lethal-arsenal.html" TargetMode="External"/><Relationship Id="rId1123" Type="http://schemas.openxmlformats.org/officeDocument/2006/relationships/hyperlink" Target="https://www.denverpost.com/2008/03/27/report-reveals-clues-to-killers-mind/" TargetMode="External"/><Relationship Id="rId132" Type="http://schemas.openxmlformats.org/officeDocument/2006/relationships/hyperlink" Target="https://www.washingtonpost.com/archive/politics/1988/02/18/sudden-death-in-sunnyvale/4f50e5d7-0804-4a56-a2af-ced693c3b577/" TargetMode="External"/><Relationship Id="rId784" Type="http://schemas.openxmlformats.org/officeDocument/2006/relationships/hyperlink" Target="https://www.cnn.com/2015/07/18/us/tennessee-naval-reserve-shooting/index.html" TargetMode="External"/><Relationship Id="rId991" Type="http://schemas.openxmlformats.org/officeDocument/2006/relationships/hyperlink" Target="https://www.lvmpd.com/en-us/Documents/1-October-FIT-Criminal-Investigative-Report-FINAL_080318.pdf" TargetMode="External"/><Relationship Id="rId1067" Type="http://schemas.openxmlformats.org/officeDocument/2006/relationships/hyperlink" Target="https://apnews.com/d1beacd8581b426e8555954f70c4c783" TargetMode="External"/><Relationship Id="rId437" Type="http://schemas.openxmlformats.org/officeDocument/2006/relationships/hyperlink" Target="https://www.cnn.com/2001/US/02/07/plant.shootings/" TargetMode="External"/><Relationship Id="rId644" Type="http://schemas.openxmlformats.org/officeDocument/2006/relationships/hyperlink" Target="https://www.latimes.com/local/lanow/la-me-ln-valley-village-sentencing-20161220-story.html" TargetMode="External"/><Relationship Id="rId851" Type="http://schemas.openxmlformats.org/officeDocument/2006/relationships/hyperlink" Target="https://www.cbsnews.com/news/dallas-guman-shooting-micah-johnson-sks-rifle/" TargetMode="External"/><Relationship Id="rId283" Type="http://schemas.openxmlformats.org/officeDocument/2006/relationships/hyperlink" Target="https://books.google.com/books?id=dw6vDwAAQBAJ&amp;pg=PT120&amp;lpg=PT120&amp;dq=willie+woods+gun+obtained&amp;source=bl&amp;ots=vuLlcouRXL&amp;sig=ACfU3U0XOR-WR_Ch3uBudRTLM3RGN_Kq4A&amp;hl=en&amp;sa=X&amp;ved=2ahUKEwjfwfSqk4nqAhWQRTABHal-AAoQ6AEwB3oECAoQAQ" TargetMode="External"/><Relationship Id="rId490" Type="http://schemas.openxmlformats.org/officeDocument/2006/relationships/hyperlink" Target="https://www.cnn.com/2013/10/31/us/atlanta-courthouse-shootings-fast-facts/index.html" TargetMode="External"/><Relationship Id="rId504" Type="http://schemas.openxmlformats.org/officeDocument/2006/relationships/hyperlink" Target="https://books.google.com/books?id=ZW5vDwAAQBAJ&amp;pg=PA375&amp;lpg=PA375&amp;dq=jeff+weise+.22-caliber+gun&amp;source=bl&amp;ots=PhEi6phYAG&amp;sig=ACfU3U1MhVSS2MOjLmUMDsbMfmAdNSluSA&amp;hl=en&amp;sa=X&amp;ved=2ahUKEwjv9qGDroTqAhUpQzABHUzFDLs4ChDoATAAegQIChAB" TargetMode="External"/><Relationship Id="rId711" Type="http://schemas.openxmlformats.org/officeDocument/2006/relationships/hyperlink" Target="https://www.cbsnews.com/news/colo-shooter-purchased-guns-legally-from-3-different-stores/" TargetMode="External"/><Relationship Id="rId949" Type="http://schemas.openxmlformats.org/officeDocument/2006/relationships/hyperlink" Target="https://www.lvmpd.com/en-us/Documents/1-October-FIT-Criminal-Investigative-Report-FINAL_080318.pdf" TargetMode="External"/><Relationship Id="rId78" Type="http://schemas.openxmlformats.org/officeDocument/2006/relationships/hyperlink" Target="https://law.justia.com/cases/texas/court-of-criminal-appeals/1986/69268-4.html" TargetMode="External"/><Relationship Id="rId143" Type="http://schemas.openxmlformats.org/officeDocument/2006/relationships/hyperlink" Target="https://www.leagle.com/decision/incaco20090702055" TargetMode="External"/><Relationship Id="rId350" Type="http://schemas.openxmlformats.org/officeDocument/2006/relationships/hyperlink" Target="https://www.nytimes.com/1998/03/29/us/from-wild-talk-and-friendship-to-five-deaths-in-a-schoolyard.html?mcubz=0" TargetMode="External"/><Relationship Id="rId588" Type="http://schemas.openxmlformats.org/officeDocument/2006/relationships/hyperlink" Target="https://www.nytimes.com/2008/06/25/us/26kentuckycnd.html" TargetMode="External"/><Relationship Id="rId795" Type="http://schemas.openxmlformats.org/officeDocument/2006/relationships/hyperlink" Target="https://www.nytimes.com/2015/10/06/us/mother-of-oregon-gunman-wrote-of-keeping-firearms.html" TargetMode="External"/><Relationship Id="rId809" Type="http://schemas.openxmlformats.org/officeDocument/2006/relationships/hyperlink" Target="https://www.nytimes.com/2015/12/04/us/weapons-in-san-bernardino-shootings-were-legally-obtained.html" TargetMode="External"/><Relationship Id="rId9" Type="http://schemas.openxmlformats.org/officeDocument/2006/relationships/hyperlink" Target="https://www.theguardian.com/us-news/2017/oct/02/las-vegas-shooting-university-of-texas-tower" TargetMode="External"/><Relationship Id="rId210" Type="http://schemas.openxmlformats.org/officeDocument/2006/relationships/hyperlink" Target="https://www.latimes.com/archives/la-xpm-1991-11-15-mn-1435-story.html" TargetMode="External"/><Relationship Id="rId448" Type="http://schemas.openxmlformats.org/officeDocument/2006/relationships/hyperlink" Target="https://www.chicagotribune.com/news/ct-xpm-2001-02-07-0102070122-story.html" TargetMode="External"/><Relationship Id="rId655" Type="http://schemas.openxmlformats.org/officeDocument/2006/relationships/hyperlink" Target="https://www.theguardian.com/world/2010/sep/12/man-shot-wife-cooked-eggs" TargetMode="External"/><Relationship Id="rId862" Type="http://schemas.openxmlformats.org/officeDocument/2006/relationships/hyperlink" Target="https://www.nbcnews.com/news/us-news/gun-used-airport-shooting-suspect-was-once-taken-away-him-n704501" TargetMode="External"/><Relationship Id="rId1078" Type="http://schemas.openxmlformats.org/officeDocument/2006/relationships/hyperlink" Target="https://www.nbcnews.com/news/us-news/four-hospital-three-critical-after-12-killed-virginia-beach-shooting-n1012801" TargetMode="External"/><Relationship Id="rId294" Type="http://schemas.openxmlformats.org/officeDocument/2006/relationships/hyperlink" Target="https://www.sun-sentinel.com/news/fl-xpm-1996-02-10-9602090635-story.html" TargetMode="External"/><Relationship Id="rId308" Type="http://schemas.openxmlformats.org/officeDocument/2006/relationships/hyperlink" Target="https://caselaw.findlaw.com/fl-supreme-court/1559835.html" TargetMode="External"/><Relationship Id="rId515" Type="http://schemas.openxmlformats.org/officeDocument/2006/relationships/hyperlink" Target="https://web.archive.org/web/20060329185249/seattlepi.nwsource.com/local/264597_huffarsenal28.html" TargetMode="External"/><Relationship Id="rId722" Type="http://schemas.openxmlformats.org/officeDocument/2006/relationships/hyperlink" Target="https://newyork.cbslocal.com/2012/12/16/friends-newtown-gunmans-mother-home-schooled-son-kept-arsenal-of-guns/" TargetMode="External"/><Relationship Id="rId89" Type="http://schemas.openxmlformats.org/officeDocument/2006/relationships/hyperlink" Target="https://law.justia.com/cases/texas/court-of-criminal-appeals/1986/69268-4.html" TargetMode="External"/><Relationship Id="rId154" Type="http://schemas.openxmlformats.org/officeDocument/2006/relationships/hyperlink" Target="https://www.washingtonpost.com/archive/opinions/1989/01/19/patrick-purdys-gun/f0853587-d6de-42f4-9ba6-452f0e918262/" TargetMode="External"/><Relationship Id="rId361" Type="http://schemas.openxmlformats.org/officeDocument/2006/relationships/hyperlink" Target="https://www.pbs.org/wgbh/pages/frontline/shows/kinkel/kip/cron.html" TargetMode="External"/><Relationship Id="rId599" Type="http://schemas.openxmlformats.org/officeDocument/2006/relationships/hyperlink" Target="https://caselaw.findlaw.com/nc-court-of-appeals/1651398.html" TargetMode="External"/><Relationship Id="rId1005" Type="http://schemas.openxmlformats.org/officeDocument/2006/relationships/hyperlink" Target="https://apnews.com/ea643fecb4f9467caa59834354ca495f" TargetMode="External"/><Relationship Id="rId459" Type="http://schemas.openxmlformats.org/officeDocument/2006/relationships/hyperlink" Target="https://www.latimes.com/archives/la-xpm-2001-sep-11-mn-44550-story.html" TargetMode="External"/><Relationship Id="rId666" Type="http://schemas.openxmlformats.org/officeDocument/2006/relationships/hyperlink" Target="https://www.leg.state.nv.us/App/NELIS/REL/77th2013/ExhibitDocument/OpenExhibitDocument?exhibitId=2560&amp;fileDownloadName=Power%20Point-Ken%20Furlong.pdf" TargetMode="External"/><Relationship Id="rId873" Type="http://schemas.openxmlformats.org/officeDocument/2006/relationships/hyperlink" Target="https://www.lvmpd.com/en-us/Documents/1-October-FIT-Criminal-Investigative-Report-FINAL_080318.pdf" TargetMode="External"/><Relationship Id="rId1089" Type="http://schemas.openxmlformats.org/officeDocument/2006/relationships/hyperlink" Target="https://www.nytimes.com/2019/08/03/us/patrick-crusius-el-paso-shooter-manifesto.html" TargetMode="External"/><Relationship Id="rId16" Type="http://schemas.openxmlformats.org/officeDocument/2006/relationships/hyperlink" Target="https://upload.wikimedia.org/wikipedia/commons/c/cc/Very-long-police-report.jpg" TargetMode="External"/><Relationship Id="rId221" Type="http://schemas.openxmlformats.org/officeDocument/2006/relationships/hyperlink" Target="https://schoolshooters.info/sites/default/files/California-v-Houston-2007.pdf" TargetMode="External"/><Relationship Id="rId319" Type="http://schemas.openxmlformats.org/officeDocument/2006/relationships/hyperlink" Target="https://www.vpc.org/studies/wgun971218.htm" TargetMode="External"/><Relationship Id="rId526" Type="http://schemas.openxmlformats.org/officeDocument/2006/relationships/hyperlink" Target="https://lancasteronline.com/news/a-killer-s-life-an-in-depth-look-at-nickel/article_d302e19f-a0df-5c4f-8fe7-2fa6b31a0dbf.html" TargetMode="External"/><Relationship Id="rId733" Type="http://schemas.openxmlformats.org/officeDocument/2006/relationships/hyperlink" Target="https://www.federalwaymirror.com/news/names-of-victims-emerge-after-deadly-federal-way-shooting/" TargetMode="External"/><Relationship Id="rId940" Type="http://schemas.openxmlformats.org/officeDocument/2006/relationships/hyperlink" Target="https://www.lvmpd.com/en-us/Documents/1-October-FIT-Criminal-Investigative-Report-FINAL_080318.pdf" TargetMode="External"/><Relationship Id="rId1016" Type="http://schemas.openxmlformats.org/officeDocument/2006/relationships/hyperlink" Target="https://www.latimes.com/local/lanow/la-me-ln-tehama-shooter-guns-20171121-story.html" TargetMode="External"/><Relationship Id="rId165" Type="http://schemas.openxmlformats.org/officeDocument/2006/relationships/hyperlink" Target="https://www.nytimes.com/1989/09/16/us/disturbed-past-of-killer-of-7-is-unraveled.html" TargetMode="External"/><Relationship Id="rId372" Type="http://schemas.openxmlformats.org/officeDocument/2006/relationships/hyperlink" Target="http://www.cnn.com/SPECIALS/2000/columbine.cd/Pages/EQUIPMENT_TEXT.htm" TargetMode="External"/><Relationship Id="rId677" Type="http://schemas.openxmlformats.org/officeDocument/2006/relationships/hyperlink" Target="https://www.leg.state.nv.us/App/NELIS/REL/77th2013/ExhibitDocument/OpenExhibitDocument?exhibitId=2560&amp;fileDownloadName=Power%20Point-Ken%20Furlong.pdf" TargetMode="External"/><Relationship Id="rId800" Type="http://schemas.openxmlformats.org/officeDocument/2006/relationships/hyperlink" Target="https://www.thetrace.org/2015/10/oregon-college-shooter-guns/" TargetMode="External"/><Relationship Id="rId232" Type="http://schemas.openxmlformats.org/officeDocument/2006/relationships/hyperlink" Target="https://www.nytimes.com/1993/07/03/us/the-broker-who-killed-8-gunman-s-motives-a-puzzle.html" TargetMode="External"/><Relationship Id="rId884" Type="http://schemas.openxmlformats.org/officeDocument/2006/relationships/hyperlink" Target="https://www.lvmpd.com/en-us/Documents/1-October-FIT-Criminal-Investigative-Report-FINAL_080318.pdf" TargetMode="External"/><Relationship Id="rId27" Type="http://schemas.openxmlformats.org/officeDocument/2006/relationships/hyperlink" Target="https://news.google.com/newspapers?id=G8daAAAAIBAJ&amp;sjid=z2wDAAAAIBAJ&amp;pg=6070,782221" TargetMode="External"/><Relationship Id="rId537" Type="http://schemas.openxmlformats.org/officeDocument/2006/relationships/hyperlink" Target="https://www.deseret.com/2007/5/19/20019706/2-gun-suspects-appear-in-court" TargetMode="External"/><Relationship Id="rId744" Type="http://schemas.openxmlformats.org/officeDocument/2006/relationships/hyperlink" Target="https://www.nytimes.com/2013/09/18/us/state-law-stopped-gunman-from-buying-rifle-officials-say.html" TargetMode="External"/><Relationship Id="rId951" Type="http://schemas.openxmlformats.org/officeDocument/2006/relationships/hyperlink" Target="https://www.lvmpd.com/en-us/Documents/1-October-FIT-Criminal-Investigative-Report-FINAL_080318.pdf" TargetMode="External"/><Relationship Id="rId80" Type="http://schemas.openxmlformats.org/officeDocument/2006/relationships/hyperlink" Target="https://law.justia.com/cases/texas/court-of-criminal-appeals/1986/69268-4.html" TargetMode="External"/><Relationship Id="rId176" Type="http://schemas.openxmlformats.org/officeDocument/2006/relationships/hyperlink" Target="https://news.google.com/newspapers?id=EPMRAAAAIBAJ&amp;sjid=PuoDAAAAIBAJ&amp;pg=6902,6441532&amp;dq=pough" TargetMode="External"/><Relationship Id="rId383" Type="http://schemas.openxmlformats.org/officeDocument/2006/relationships/hyperlink" Target="https://www.latimes.com/archives/la-xpm-1999-aug-19-mn-1611-story.html" TargetMode="External"/><Relationship Id="rId590" Type="http://schemas.openxmlformats.org/officeDocument/2006/relationships/hyperlink" Target="https://www.csgv.org/guns-workplace/" TargetMode="External"/><Relationship Id="rId604" Type="http://schemas.openxmlformats.org/officeDocument/2006/relationships/hyperlink" Target="https://www.thepilot.com/news/pinelake-at-a-decade-in-the-shadow-of-north-carolina/article_33d2be06-522a-11e9-b3d5-230b8a7f488f.html" TargetMode="External"/><Relationship Id="rId811" Type="http://schemas.openxmlformats.org/officeDocument/2006/relationships/hyperlink" Target="https://www.scpr.org/news/2015/12/04/56040/san-bernardino-shooting-update-rifles-used-in-atta/" TargetMode="External"/><Relationship Id="rId1027" Type="http://schemas.openxmlformats.org/officeDocument/2006/relationships/hyperlink" Target="https://www.aol.com/article/news/2017/11/17/california-mass-shooter-made-his-own-rifles/23280600/" TargetMode="External"/><Relationship Id="rId243" Type="http://schemas.openxmlformats.org/officeDocument/2006/relationships/hyperlink" Target="https://www.nytimes.com/1993/07/03/us/the-broker-who-killed-8-gunman-s-motives-a-puzzle.html" TargetMode="External"/><Relationship Id="rId450" Type="http://schemas.openxmlformats.org/officeDocument/2006/relationships/hyperlink" Target="https://www.cnn.com/2001/US/09/10/sacramento.shooting/" TargetMode="External"/><Relationship Id="rId688" Type="http://schemas.openxmlformats.org/officeDocument/2006/relationships/hyperlink" Target="https://www.seattlepi.com/local/article/Seattle-shooting-two-killed-three-wounded-3595992.php" TargetMode="External"/><Relationship Id="rId895" Type="http://schemas.openxmlformats.org/officeDocument/2006/relationships/hyperlink" Target="https://www.lvmpd.com/en-us/Documents/1-October-FIT-Criminal-Investigative-Report-FINAL_080318.pdf" TargetMode="External"/><Relationship Id="rId909" Type="http://schemas.openxmlformats.org/officeDocument/2006/relationships/hyperlink" Target="https://www.lvmpd.com/en-us/Documents/1-October-FIT-Criminal-Investigative-Report-FINAL_080318.pdf" TargetMode="External"/><Relationship Id="rId1080" Type="http://schemas.openxmlformats.org/officeDocument/2006/relationships/hyperlink" Target="https://www.washingtonpost.com/local/public-safety/dewayne-craddock-a-longtime-virginia-beach-employee-identified-as-shooter-who-killed-12-in-city-building/2019/06/01/0fe20766-840e-11e9-95a9-e2c830afe24f_story.html" TargetMode="External"/><Relationship Id="rId38" Type="http://schemas.openxmlformats.org/officeDocument/2006/relationships/hyperlink" Target="https://www.nytimes.com/1977/02/15/archives/nazi-admirer-also-wounds-5-in-wild-attack-followed-by-a-siege-at.html" TargetMode="External"/><Relationship Id="rId103" Type="http://schemas.openxmlformats.org/officeDocument/2006/relationships/hyperlink" Target="https://www.newspapers.com/image/?clipping_id=13118445&amp;fcfToken=eyJhbGciOiJIUzI1NiIsInR5cCI6IkpXVCJ9.eyJmcmVlLXZpZXctaWQiOjE0NjU5NTc3NSwiaWF0IjoxNTkyNTA0MjcwLCJleHAiOjE1OTI1OTA2NzB9.pEQnfdvkGtl6uyf3-rLKDawTCGS3JDxSXmkMp7k_KpU" TargetMode="External"/><Relationship Id="rId310" Type="http://schemas.openxmlformats.org/officeDocument/2006/relationships/hyperlink" Target="https://www.latimes.com/archives/la-xpm-1997-dec-20-mn-431-story.html" TargetMode="External"/><Relationship Id="rId548" Type="http://schemas.openxmlformats.org/officeDocument/2006/relationships/hyperlink" Target="https://www.sacbee.com/news/california/article233266349.html" TargetMode="External"/><Relationship Id="rId755" Type="http://schemas.openxmlformats.org/officeDocument/2006/relationships/hyperlink" Target="https://documents.latimes.com/isla-vista-investigative-summary/" TargetMode="External"/><Relationship Id="rId962" Type="http://schemas.openxmlformats.org/officeDocument/2006/relationships/hyperlink" Target="https://www.lvmpd.com/en-us/Documents/1-October-FIT-Criminal-Investigative-Report-FINAL_080318.pdf" TargetMode="External"/><Relationship Id="rId91" Type="http://schemas.openxmlformats.org/officeDocument/2006/relationships/hyperlink" Target="https://www.newspapers.com/image/?clipping_id=36122038&amp;fcfToken=eyJhbGciOiJIUzI1NiIsInR5cCI6IkpXVCJ9.eyJmcmVlLXZpZXctaWQiOjQ4ODM3ODM0MSwiaWF0IjoxNTkyNTc2ODA3LCJleHAiOjE1OTI2NjMyMDd9.-j9Jnq3_5qxQTrA7SCwvPfsLbQ7ZozzrLF6DyWrmT2Y" TargetMode="External"/><Relationship Id="rId187" Type="http://schemas.openxmlformats.org/officeDocument/2006/relationships/hyperlink" Target="https://journaltimes.com/news/national/texas-killer-hated-women-officials-say/article_6280aabc-4369-59d3-950e-0d5519021dcf.html" TargetMode="External"/><Relationship Id="rId394" Type="http://schemas.openxmlformats.org/officeDocument/2006/relationships/hyperlink" Target="https://www.washingtonpost.com/archive/politics/1999/07/31/killer-wrote-of-fear-hopelessness/af33786a-de37-45cd-9d5f-1098379892dd/?noredirect=on" TargetMode="External"/><Relationship Id="rId408" Type="http://schemas.openxmlformats.org/officeDocument/2006/relationships/hyperlink" Target="https://archive.seattletimes.com/archive/?date=19991231&amp;slug=A20000102010146" TargetMode="External"/><Relationship Id="rId615" Type="http://schemas.openxmlformats.org/officeDocument/2006/relationships/hyperlink" Target="https://www.seattletimes.com/nation-world/ny-mass-shooting-survivor-wants-magazine-limits/" TargetMode="External"/><Relationship Id="rId822" Type="http://schemas.openxmlformats.org/officeDocument/2006/relationships/hyperlink" Target="https://www.justice.gov/usao-cdca/file/891996/download" TargetMode="External"/><Relationship Id="rId1038" Type="http://schemas.openxmlformats.org/officeDocument/2006/relationships/hyperlink" Target="https://www.usatoday.com/story/news/2018/02/15/florida-shooting-suspect-bought-gun-legally-authorities-say/340606002/" TargetMode="External"/><Relationship Id="rId254" Type="http://schemas.openxmlformats.org/officeDocument/2006/relationships/hyperlink" Target="https://www.wired.com/1994/06/rage/" TargetMode="External"/><Relationship Id="rId699" Type="http://schemas.openxmlformats.org/officeDocument/2006/relationships/hyperlink" Target="https://www.nytimes.com/2012/07/24/us/aurora-gunmans-lethal-arsenal.html" TargetMode="External"/><Relationship Id="rId1091" Type="http://schemas.openxmlformats.org/officeDocument/2006/relationships/hyperlink" Target="https://www.nbcnews.com/news/us-news/dayton-shooter-s-gun-called-orchestra-metal-hellfire-n1039476" TargetMode="External"/><Relationship Id="rId1105" Type="http://schemas.openxmlformats.org/officeDocument/2006/relationships/hyperlink" Target="http://newjersey.news12.com/story/41444962/nj-attorney-general-jersey-city-shooters-had-tremendous-amount-of-firepower-could-have-continued-rampage" TargetMode="External"/><Relationship Id="rId49" Type="http://schemas.openxmlformats.org/officeDocument/2006/relationships/hyperlink" Target="https://www.washingtonpost.com/archive/politics/1977/02/15/vengeful-nazi-follower-kills-5-commits-suicide/3ff6cfb8-81bf-4620-b90b-20962fb17232/" TargetMode="External"/><Relationship Id="rId114" Type="http://schemas.openxmlformats.org/officeDocument/2006/relationships/hyperlink" Target="https://oklahoman.com/article/2157408/authorities-piece-together-tragedy-gunman-at-edmond-post-office-knew-where-to-shoot-people" TargetMode="External"/><Relationship Id="rId461" Type="http://schemas.openxmlformats.org/officeDocument/2006/relationships/hyperlink" Target="https://www.latimes.com/archives/la-xpm-2001-sep-11-mn-44550-story.html" TargetMode="External"/><Relationship Id="rId559" Type="http://schemas.openxmlformats.org/officeDocument/2006/relationships/hyperlink" Target="https://www.denverpost.com/2007/12/12/gunman-legally-amassed-weaponry-in-years-time/" TargetMode="External"/><Relationship Id="rId766" Type="http://schemas.openxmlformats.org/officeDocument/2006/relationships/hyperlink" Target="https://www.newsweek.com/2015/09/25/jaylen-ray-fryberg-marysville-pilchuck-high-school-shooting-372669.html" TargetMode="External"/><Relationship Id="rId198" Type="http://schemas.openxmlformats.org/officeDocument/2006/relationships/hyperlink" Target="https://journaltimes.com/news/national/texas-killer-hated-women-officials-say/article_6280aabc-4369-59d3-950e-0d5519021dcf.html" TargetMode="External"/><Relationship Id="rId321" Type="http://schemas.openxmlformats.org/officeDocument/2006/relationships/hyperlink" Target="https://www.vpc.org/studies/wgun980306.htm" TargetMode="External"/><Relationship Id="rId419" Type="http://schemas.openxmlformats.org/officeDocument/2006/relationships/hyperlink" Target="https://caselaw.findlaw.com/ma-supreme-judicial-court/1448833.html" TargetMode="External"/><Relationship Id="rId626" Type="http://schemas.openxmlformats.org/officeDocument/2006/relationships/hyperlink" Target="https://www.usatoday.com/story/news/nation/2013/08/06/fort-hood-trial/2622503/" TargetMode="External"/><Relationship Id="rId973" Type="http://schemas.openxmlformats.org/officeDocument/2006/relationships/hyperlink" Target="https://www.lvmpd.com/en-us/Documents/1-October-FIT-Criminal-Investigative-Report-FINAL_080318.pdf" TargetMode="External"/><Relationship Id="rId1049" Type="http://schemas.openxmlformats.org/officeDocument/2006/relationships/hyperlink" Target="https://www.usatoday.com/story/news/2018/05/18/gun-used-texas-shooting-explosives/623202002/" TargetMode="External"/><Relationship Id="rId833" Type="http://schemas.openxmlformats.org/officeDocument/2006/relationships/hyperlink" Target="https://www.mlive.com/news/kalamazoo/2016/03/police_believe_jason_dalton_us.html" TargetMode="External"/><Relationship Id="rId1116"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265" Type="http://schemas.openxmlformats.org/officeDocument/2006/relationships/hyperlink" Target="https://www.latimes.com/archives/la-xpm-1993-12-08-me-65133-story.html" TargetMode="External"/><Relationship Id="rId472" Type="http://schemas.openxmlformats.org/officeDocument/2006/relationships/hyperlink" Target="https://www.nytimes.com/2003/07/09/us/man-kills-5-co-workers-at-plant-and-himself.html" TargetMode="External"/><Relationship Id="rId900" Type="http://schemas.openxmlformats.org/officeDocument/2006/relationships/hyperlink" Target="https://www.lvmpd.com/en-us/Documents/1-October-FIT-Criminal-Investigative-Report-FINAL_080318.pdf" TargetMode="External"/><Relationship Id="rId125" Type="http://schemas.openxmlformats.org/officeDocument/2006/relationships/hyperlink" Target="https://www.theledger.com/article/LK/20070430/News/608097071/LL/" TargetMode="External"/><Relationship Id="rId332" Type="http://schemas.openxmlformats.org/officeDocument/2006/relationships/hyperlink" Target="https://www.nytimes.com/1998/03/29/us/from-wild-talk-and-friendship-to-five-deaths-in-a-schoolyard.html?mcubz=0" TargetMode="External"/><Relationship Id="rId777" Type="http://schemas.openxmlformats.org/officeDocument/2006/relationships/hyperlink" Target="https://abcnews.go.com/US/chattanooga-shooting-fbi-reveals-details/story?id=32619426" TargetMode="External"/><Relationship Id="rId984" Type="http://schemas.openxmlformats.org/officeDocument/2006/relationships/hyperlink" Target="https://www.lvmpd.com/en-us/Documents/1-October-FIT-Criminal-Investigative-Report-FINAL_080318.pdf" TargetMode="External"/><Relationship Id="rId637" Type="http://schemas.openxmlformats.org/officeDocument/2006/relationships/hyperlink" Target="https://www.latimes.com/archives/la-xpm-2009-dec-02-la-na-police-shooting2-2009dec02-story.html" TargetMode="External"/><Relationship Id="rId844" Type="http://schemas.openxmlformats.org/officeDocument/2006/relationships/hyperlink" Target="https://abcnews.go.com/US/orlando-shooter-bought-weapons-nearby-gun-shop/story?id=39817471" TargetMode="External"/><Relationship Id="rId276" Type="http://schemas.openxmlformats.org/officeDocument/2006/relationships/hyperlink" Target="https://www.nytimes.com/1995/04/04/us/6-die-in-texas-office-shooting.html" TargetMode="External"/><Relationship Id="rId483" Type="http://schemas.openxmlformats.org/officeDocument/2006/relationships/hyperlink" Target="https://www2.ljworld.com/news/2004/jul/04/chaos_reigned_at/" TargetMode="External"/><Relationship Id="rId690" Type="http://schemas.openxmlformats.org/officeDocument/2006/relationships/hyperlink" Target="https://www.seattletimes.com/seattle-news/gunman-a-life-full-of-rage-a-shocking-final-act/" TargetMode="External"/><Relationship Id="rId704" Type="http://schemas.openxmlformats.org/officeDocument/2006/relationships/hyperlink" Target="https://www.cbsnews.com/news/colo-shooter-purchased-guns-legally-from-3-different-stores/" TargetMode="External"/><Relationship Id="rId911" Type="http://schemas.openxmlformats.org/officeDocument/2006/relationships/hyperlink" Target="https://www.lvmpd.com/en-us/Documents/1-October-FIT-Criminal-Investigative-Report-FINAL_080318.pdf" TargetMode="External"/><Relationship Id="rId40" Type="http://schemas.openxmlformats.org/officeDocument/2006/relationships/hyperlink" Target="https://www.nytimes.com/1977/02/16/archives/cowan-had-4-pistols-but-not-one-permit.html" TargetMode="External"/><Relationship Id="rId136" Type="http://schemas.openxmlformats.org/officeDocument/2006/relationships/hyperlink" Target="https://www.leagle.com/decision/incaco20090702055" TargetMode="External"/><Relationship Id="rId343" Type="http://schemas.openxmlformats.org/officeDocument/2006/relationships/hyperlink" Target="https://www.nytimes.com/1998/03/29/us/from-wild-talk-and-friendship-to-five-deaths-in-a-schoolyard.html?mcubz=0" TargetMode="External"/><Relationship Id="rId550" Type="http://schemas.openxmlformats.org/officeDocument/2006/relationships/hyperlink" Target="https://www.9news.com/article/news/local/police-trace-origins-of-gunmans-weapons/73-343084618" TargetMode="External"/><Relationship Id="rId788" Type="http://schemas.openxmlformats.org/officeDocument/2006/relationships/hyperlink" Target="https://www.registerguard.com/rg/opinion/35940634-78/an-arsenal-at-ucc.html.csp" TargetMode="External"/><Relationship Id="rId995" Type="http://schemas.openxmlformats.org/officeDocument/2006/relationships/hyperlink" Target="https://www.lvmpd.com/en-us/Documents/1-October-FIT-Criminal-Investigative-Report-FINAL_080318.pdf" TargetMode="External"/><Relationship Id="rId203" Type="http://schemas.openxmlformats.org/officeDocument/2006/relationships/hyperlink" Target="https://www.nytimes.com/1991/11/04/us/iowa-gunman-was-torn-by-academic-challenge.html?ref=michelmarriott" TargetMode="External"/><Relationship Id="rId648" Type="http://schemas.openxmlformats.org/officeDocument/2006/relationships/hyperlink" Target="https://www.cnn.com/2010/CRIME/08/03/connecticut.business.shootings/index.html" TargetMode="External"/><Relationship Id="rId855" Type="http://schemas.openxmlformats.org/officeDocument/2006/relationships/hyperlink" Target="https://www.wsj.com/articles/dallas-chief-david-brown-urges-protesters-to-join-police-force-1468273328" TargetMode="External"/><Relationship Id="rId1040" Type="http://schemas.openxmlformats.org/officeDocument/2006/relationships/hyperlink" Target="https://www.wsj.com/articles/ar-15-style-rifles-popular-and-easily-customized-1518796536" TargetMode="External"/><Relationship Id="rId287" Type="http://schemas.openxmlformats.org/officeDocument/2006/relationships/hyperlink" Target="https://archive.seattletimes.com/archive/?date=19951220&amp;slug=2158611" TargetMode="External"/><Relationship Id="rId410" Type="http://schemas.openxmlformats.org/officeDocument/2006/relationships/hyperlink" Target="https://www.upi.com/Archives/2000/06/09/Charges-dropped-against-Fla-gun-shop/3025960523200/" TargetMode="External"/><Relationship Id="rId494" Type="http://schemas.openxmlformats.org/officeDocument/2006/relationships/hyperlink" Target="http://www.indexjournal.com/news/movingbeyond/where-did-they-get-the-guns/article_bc17a854-ed76-5604-9d3b-dc3212b84ef0.html" TargetMode="External"/><Relationship Id="rId508" Type="http://schemas.openxmlformats.org/officeDocument/2006/relationships/hyperlink" Target="https://pdfs.semanticscholar.org/3cc9/9a09b5e86ac095439ac15b0278c7ab45f2f9.pdf" TargetMode="External"/><Relationship Id="rId715" Type="http://schemas.openxmlformats.org/officeDocument/2006/relationships/hyperlink" Target="https://www.csgv.org/adam-lanza-took-didnt-take-sandy-hook-elementary/" TargetMode="External"/><Relationship Id="rId922" Type="http://schemas.openxmlformats.org/officeDocument/2006/relationships/hyperlink" Target="https://www.lvmpd.com/en-us/Documents/1-October-FIT-Criminal-Investigative-Report-FINAL_080318.pdf" TargetMode="External"/><Relationship Id="rId147" Type="http://schemas.openxmlformats.org/officeDocument/2006/relationships/hyperlink" Target="https://www.leagle.com/decision/incaco20090702055" TargetMode="External"/><Relationship Id="rId354" Type="http://schemas.openxmlformats.org/officeDocument/2006/relationships/hyperlink" Target="https://www.nytimes.com/1998/03/29/us/from-wild-talk-and-friendship-to-five-deaths-in-a-schoolyard.html?mcubz=0" TargetMode="External"/><Relationship Id="rId799" Type="http://schemas.openxmlformats.org/officeDocument/2006/relationships/hyperlink" Target="https://www.oregonlive.com/pacific-northwest-news/2017/09/umpqua_community_college_inves.html" TargetMode="External"/><Relationship Id="rId51" Type="http://schemas.openxmlformats.org/officeDocument/2006/relationships/hyperlink" Target="https://www.nytimes.com/1977/08/28/archives/police-feel-sniper-killed-6-at-random-authorities-at-loss-for-a.html" TargetMode="External"/><Relationship Id="rId561" Type="http://schemas.openxmlformats.org/officeDocument/2006/relationships/hyperlink" Target="https://web.archive.org/web/20071214043017/http:/hosted.ap.org/dynamic/stories/C/CHURCH_SHOOTINGS?SITE=TXBEA&amp;SECTION=HOME&amp;TEMPLATE=DEFAULT&amp;CTIME=2007-12-09-23-11-41%3A" TargetMode="External"/><Relationship Id="rId659" Type="http://schemas.openxmlformats.org/officeDocument/2006/relationships/hyperlink" Target="http://edition.cnn.com/2011/CRIME/08/08/ohio.shooting/" TargetMode="External"/><Relationship Id="rId866" Type="http://schemas.openxmlformats.org/officeDocument/2006/relationships/hyperlink" Target="https://www.wausaudailyherald.com/story/news/2017/05/08/wife-details-troubles-before-her-husband-gunned-down-4-people/100164526/" TargetMode="External"/><Relationship Id="rId214" Type="http://schemas.openxmlformats.org/officeDocument/2006/relationships/hyperlink" Target="https://caselaw.findlaw.com/az-supreme-court/1250801.html" TargetMode="External"/><Relationship Id="rId298" Type="http://schemas.openxmlformats.org/officeDocument/2006/relationships/hyperlink" Target="https://www.newspapers.com/image/542542939/?terms=victoria%2Bminor%2Bkenneth%2Btornes" TargetMode="External"/><Relationship Id="rId421" Type="http://schemas.openxmlformats.org/officeDocument/2006/relationships/hyperlink" Target="https://caselaw.findlaw.com/ma-supreme-judicial-court/1448833.html" TargetMode="External"/><Relationship Id="rId519" Type="http://schemas.openxmlformats.org/officeDocument/2006/relationships/hyperlink" Target="https://www.standard.co.uk/news/amish-school-assassin-told-wife-he-had-molested-children-before-7270928.html" TargetMode="External"/><Relationship Id="rId1051" Type="http://schemas.openxmlformats.org/officeDocument/2006/relationships/hyperlink" Target="https://www.newyorker.com/news/news-desk/this-is-a-dream-i-cant-wake-up-from" TargetMode="External"/><Relationship Id="rId158" Type="http://schemas.openxmlformats.org/officeDocument/2006/relationships/hyperlink" Target="https://www.washingtonpost.com/archive/opinions/1989/01/19/patrick-purdys-gun/f0853587-d6de-42f4-9ba6-452f0e918262/" TargetMode="External"/><Relationship Id="rId726" Type="http://schemas.openxmlformats.org/officeDocument/2006/relationships/hyperlink" Target="https://newyork.cbslocal.com/2012/12/16/friends-newtown-gunmans-mother-home-schooled-son-kept-arsenal-of-guns/" TargetMode="External"/><Relationship Id="rId933" Type="http://schemas.openxmlformats.org/officeDocument/2006/relationships/hyperlink" Target="https://www.lvmpd.com/en-us/Documents/1-October-FIT-Criminal-Investigative-Report-FINAL_080318.pdf" TargetMode="External"/><Relationship Id="rId1009" Type="http://schemas.openxmlformats.org/officeDocument/2006/relationships/hyperlink" Target="https://www.star-telegram.com/news/state/article183055101.html" TargetMode="External"/><Relationship Id="rId62" Type="http://schemas.openxmlformats.org/officeDocument/2006/relationships/hyperlink" Target="https://www.upi.com/Archives/1981/10/19/Prosecutor-will-seek-death-penalty-in-five-murders/7047372312000/" TargetMode="External"/><Relationship Id="rId365" Type="http://schemas.openxmlformats.org/officeDocument/2006/relationships/hyperlink" Target="https://www.pbs.org/wgbh/pages/frontline/shows/kinkel/kip/cron.html" TargetMode="External"/><Relationship Id="rId572" Type="http://schemas.openxmlformats.org/officeDocument/2006/relationships/hyperlink" Target="https://www.niu.edu/forward/_pdfs/archives/feb14report.pdf" TargetMode="External"/><Relationship Id="rId225" Type="http://schemas.openxmlformats.org/officeDocument/2006/relationships/hyperlink" Target="https://www.nytimes.com/1992/10/24/nyregion/watkins-glen-killings-called-planned.html" TargetMode="External"/><Relationship Id="rId432" Type="http://schemas.openxmlformats.org/officeDocument/2006/relationships/hyperlink" Target="https://caselaw.findlaw.com/ma-supreme-judicial-court/1448833.html" TargetMode="External"/><Relationship Id="rId877" Type="http://schemas.openxmlformats.org/officeDocument/2006/relationships/hyperlink" Target="https://www.lvmpd.com/en-us/Documents/1-October-FIT-Criminal-Investigative-Report-FINAL_080318.pdf" TargetMode="External"/><Relationship Id="rId1062" Type="http://schemas.openxmlformats.org/officeDocument/2006/relationships/hyperlink" Target="https://www.nytimes.com/2018/10/27/us/robert-bowers-pittsburgh-synagogue-shooter.html" TargetMode="External"/><Relationship Id="rId737" Type="http://schemas.openxmlformats.org/officeDocument/2006/relationships/hyperlink" Target="https://www.nydailynews.com/news/national/short-article-1.1372515" TargetMode="External"/><Relationship Id="rId944" Type="http://schemas.openxmlformats.org/officeDocument/2006/relationships/hyperlink" Target="https://www.lvmpd.com/en-us/Documents/1-October-FIT-Criminal-Investigative-Report-FINAL_080318.pdf" TargetMode="External"/><Relationship Id="rId73" Type="http://schemas.openxmlformats.org/officeDocument/2006/relationships/hyperlink" Target="https://www.washingtonpost.com/archive/politics/1983/12/15/after-murder-rampage-a-test-of-survival/08bb8578-7f36-4dde-b3ce-076fbcb61aff/" TargetMode="External"/><Relationship Id="rId169" Type="http://schemas.openxmlformats.org/officeDocument/2006/relationships/hyperlink" Target="https://www.chicagotribune.com/news/ct-xpm-1989-09-16-8901130452-story.html" TargetMode="External"/><Relationship Id="rId376" Type="http://schemas.openxmlformats.org/officeDocument/2006/relationships/hyperlink" Target="https://www.cga.ct.gov/2013/rpt/2013-R-0057.htm" TargetMode="External"/><Relationship Id="rId583" Type="http://schemas.openxmlformats.org/officeDocument/2006/relationships/hyperlink" Target="http://content.time.com/time/nation/article/0,8599,1714069,00.html" TargetMode="External"/><Relationship Id="rId790" Type="http://schemas.openxmlformats.org/officeDocument/2006/relationships/hyperlink" Target="https://www.thetrace.org/2015/10/oregon-college-shooter-guns/" TargetMode="External"/><Relationship Id="rId804" Type="http://schemas.openxmlformats.org/officeDocument/2006/relationships/hyperlink" Target="https://www.theeagle.com/news/local/crime-scene-photos-shown-in-second-day-of-hudson-capital/article_9868e9bf-1308-569a-b9ac-214e64797d53.html" TargetMode="External"/><Relationship Id="rId4" Type="http://schemas.openxmlformats.org/officeDocument/2006/relationships/hyperlink" Target="https://www.theguardian.com/us-news/2017/oct/02/las-vegas-shooting-university-of-texas-tower" TargetMode="External"/><Relationship Id="rId236" Type="http://schemas.openxmlformats.org/officeDocument/2006/relationships/hyperlink" Target="https://www.nytimes.com/1993/07/03/us/the-broker-who-killed-8-gunman-s-motives-a-puzzle.html" TargetMode="External"/><Relationship Id="rId443" Type="http://schemas.openxmlformats.org/officeDocument/2006/relationships/hyperlink" Target="https://www.chicagotribune.com/news/ct-xpm-2001-02-07-0102070122-story.html" TargetMode="External"/><Relationship Id="rId650" Type="http://schemas.openxmlformats.org/officeDocument/2006/relationships/hyperlink" Target="https://www.courant.com/community/manchester/hc-connecticut-shooting-heroes-0805-20100804-story.html" TargetMode="External"/><Relationship Id="rId888" Type="http://schemas.openxmlformats.org/officeDocument/2006/relationships/hyperlink" Target="https://www.lvmpd.com/en-us/Documents/1-October-FIT-Criminal-Investigative-Report-FINAL_080318.pdf" TargetMode="External"/><Relationship Id="rId1073" Type="http://schemas.openxmlformats.org/officeDocument/2006/relationships/hyperlink" Target="https://www.washingtonpost.com/nation/2018/11/27/investigators-still-seeking-motive-thousand-oaks-shooting/?noredirect=on" TargetMode="External"/><Relationship Id="rId303" Type="http://schemas.openxmlformats.org/officeDocument/2006/relationships/hyperlink" Target="https://www.chicagotribune.com/news/ct-xpm-1997-08-21-9708210178-story.html" TargetMode="External"/><Relationship Id="rId748" Type="http://schemas.openxmlformats.org/officeDocument/2006/relationships/hyperlink" Target="https://www.washingtonpost.com/wp-srv/special/local/navy-yard-shooting/scene-at-building-197/" TargetMode="External"/><Relationship Id="rId955" Type="http://schemas.openxmlformats.org/officeDocument/2006/relationships/hyperlink" Target="https://www.lvmpd.com/en-us/Documents/1-October-FIT-Criminal-Investigative-Report-FINAL_080318.pdf" TargetMode="External"/><Relationship Id="rId84" Type="http://schemas.openxmlformats.org/officeDocument/2006/relationships/hyperlink" Target="https://law.justia.com/cases/texas/court-of-criminal-appeals/1986/69268-4.html" TargetMode="External"/><Relationship Id="rId387" Type="http://schemas.openxmlformats.org/officeDocument/2006/relationships/hyperlink" Target="https://www.washingtonpost.com/archive/politics/1999/07/31/killer-wrote-of-fear-hopelessness/af33786a-de37-45cd-9d5f-1098379892dd/?noredirect=on" TargetMode="External"/><Relationship Id="rId510" Type="http://schemas.openxmlformats.org/officeDocument/2006/relationships/hyperlink" Target="https://web.archive.org/web/20141203154553/http:/seattletimes.com/html/localnews/2002893027_webshooter27.html" TargetMode="External"/><Relationship Id="rId594" Type="http://schemas.openxmlformats.org/officeDocument/2006/relationships/hyperlink" Target="https://www.seattlepi.com/seattlenews/article/Isaac-Zamora-10781621.php" TargetMode="External"/><Relationship Id="rId608" Type="http://schemas.openxmlformats.org/officeDocument/2006/relationships/hyperlink" Target="https://www.thepilot.com/news/pinelake-at-a-decade-in-the-shadow-of-north-carolina/article_33d2be06-522a-11e9-b3d5-230b8a7f488f.html" TargetMode="External"/><Relationship Id="rId815" Type="http://schemas.openxmlformats.org/officeDocument/2006/relationships/hyperlink" Target="https://www.scpr.org/news/2015/12/04/56040/san-bernardino-shooting-update-rifles-used-in-atta/" TargetMode="External"/><Relationship Id="rId247" Type="http://schemas.openxmlformats.org/officeDocument/2006/relationships/hyperlink" Target="https://apnews.com/2b512c3b87b4dd2f14cee792f510bb24" TargetMode="External"/><Relationship Id="rId899" Type="http://schemas.openxmlformats.org/officeDocument/2006/relationships/hyperlink" Target="https://www.lvmpd.com/en-us/Documents/1-October-FIT-Criminal-Investigative-Report-FINAL_080318.pdf" TargetMode="External"/><Relationship Id="rId1000" Type="http://schemas.openxmlformats.org/officeDocument/2006/relationships/hyperlink" Target="https://www.lvmpd.com/en-us/Documents/1-October-FIT-Criminal-Investigative-Report-FINAL_080318.pdf" TargetMode="External"/><Relationship Id="rId1084" Type="http://schemas.openxmlformats.org/officeDocument/2006/relationships/hyperlink" Target="https://www.nbcnews.com/news/us-news/four-hospital-three-critical-after-12-killed-virginia-beach-shooting-n1012801" TargetMode="External"/><Relationship Id="rId107" Type="http://schemas.openxmlformats.org/officeDocument/2006/relationships/hyperlink" Target="https://www.nytimes.com/1986/08/23/us/carier-got-guns-as-guard-member.html" TargetMode="External"/><Relationship Id="rId454" Type="http://schemas.openxmlformats.org/officeDocument/2006/relationships/hyperlink" Target="https://www.latimes.com/archives/la-xpm-2001-sep-11-mn-44550-story.html" TargetMode="External"/><Relationship Id="rId661" Type="http://schemas.openxmlformats.org/officeDocument/2006/relationships/hyperlink" Target="https://www.cbsnews.com/news/ohio-rampage-suspect-bought-gun-from-pawn-shop/" TargetMode="External"/><Relationship Id="rId759" Type="http://schemas.openxmlformats.org/officeDocument/2006/relationships/hyperlink" Target="https://www.theguardian.com/world/2014/may/25/elliot-rodger-suspect-california-mass-murder-shooting-stabbing" TargetMode="External"/><Relationship Id="rId966" Type="http://schemas.openxmlformats.org/officeDocument/2006/relationships/hyperlink" Target="https://www.lvmpd.com/en-us/Documents/1-October-FIT-Criminal-Investigative-Report-FINAL_080318.pdf" TargetMode="External"/><Relationship Id="rId11" Type="http://schemas.openxmlformats.org/officeDocument/2006/relationships/hyperlink" Target="https://www.theguardian.com/us-news/2017/oct/02/las-vegas-shooting-university-of-texas-tower" TargetMode="External"/><Relationship Id="rId314" Type="http://schemas.openxmlformats.org/officeDocument/2006/relationships/hyperlink" Target="https://www.latimes.com/archives/la-xpm-1998-jan-25-mn-12112-story.html" TargetMode="External"/><Relationship Id="rId398" Type="http://schemas.openxmlformats.org/officeDocument/2006/relationships/hyperlink" Target="https://www.nytimes.com/1999/09/17/us/deaths-in-a-church-the-overview-an-angry-mystery-man-who-brought-death.html" TargetMode="External"/><Relationship Id="rId521" Type="http://schemas.openxmlformats.org/officeDocument/2006/relationships/hyperlink" Target="https://www.nytimes.com/2006/10/03/us/03amish.html" TargetMode="External"/><Relationship Id="rId619" Type="http://schemas.openxmlformats.org/officeDocument/2006/relationships/hyperlink" Target="https://schoolshooters.info/sites/default/files/Al-Salihi_v_Gander_Mountain.pdf" TargetMode="External"/><Relationship Id="rId95" Type="http://schemas.openxmlformats.org/officeDocument/2006/relationships/hyperlink" Target="https://www.vpc.org/studies/wgun840718.htm" TargetMode="External"/><Relationship Id="rId160" Type="http://schemas.openxmlformats.org/officeDocument/2006/relationships/hyperlink" Target="https://www.chicagotribune.com/news/ct-xpm-1989-09-16-8901130452-story.html" TargetMode="External"/><Relationship Id="rId826" Type="http://schemas.openxmlformats.org/officeDocument/2006/relationships/hyperlink" Target="https://www.scpr.org/news/2015/12/04/56040/san-bernardino-shooting-update-rifles-used-in-atta/'" TargetMode="External"/><Relationship Id="rId1011" Type="http://schemas.openxmlformats.org/officeDocument/2006/relationships/hyperlink" Target="https://www.statesman.com/news/20171107/hundreds-of-shell-casings-15-empty-magazines-found-at-church" TargetMode="External"/><Relationship Id="rId1109" Type="http://schemas.openxmlformats.org/officeDocument/2006/relationships/hyperlink" Target="https://www.jsonline.com/story/news/2020/02/27/milwaukee-miller-coors-shooting-anthony-ferrill-identified-molsoncoors-gunman-shooter/4891164002/" TargetMode="External"/><Relationship Id="rId258" Type="http://schemas.openxmlformats.org/officeDocument/2006/relationships/hyperlink" Target="https://www.wired.com/1994/06/rage/" TargetMode="External"/><Relationship Id="rId465" Type="http://schemas.openxmlformats.org/officeDocument/2006/relationships/hyperlink" Target="https://www.ourmidland.com/news/article/Gunman-had-history-of-mental-illness-7103532.php" TargetMode="External"/><Relationship Id="rId672" Type="http://schemas.openxmlformats.org/officeDocument/2006/relationships/hyperlink" Target="https://www.leg.state.nv.us/App/NELIS/REL/77th2013/ExhibitDocument/OpenExhibitDocument?exhibitId=2560&amp;fileDownloadName=Power%20Point-Ken%20Furlong.pdf" TargetMode="External"/><Relationship Id="rId1095" Type="http://schemas.openxmlformats.org/officeDocument/2006/relationships/hyperlink" Target="https://time.com/5643405/what-to-know-shooting-dayton-ohio/" TargetMode="External"/><Relationship Id="rId22" Type="http://schemas.openxmlformats.org/officeDocument/2006/relationships/hyperlink" Target="https://books.google.com/books?id=LEgSiLnmgYoC&amp;pg=PA12&amp;lpg=PA12&amp;dq=leo+held+guns&amp;source=bl&amp;ots=lYWojMB3hZ&amp;sig=ACfU3U3QcP6YU2TfjX8MqJ_S-Tk3S0T6eg&amp;hl=en&amp;sa=X&amp;ved=2ahUKEwjLnbCX5-PpAhXpoFsKHWx2CRwQ6AEwAnoECAcQAQ" TargetMode="External"/><Relationship Id="rId118" Type="http://schemas.openxmlformats.org/officeDocument/2006/relationships/hyperlink" Target="https://www.orlandosentinel.com/news/os-xpm-1987-04-28-0120380197-story.html" TargetMode="External"/><Relationship Id="rId325" Type="http://schemas.openxmlformats.org/officeDocument/2006/relationships/hyperlink" Target="https://www.nytimes.com/1998/03/29/us/from-wild-talk-and-friendship-to-five-deaths-in-a-schoolyard.html?mcubz=0" TargetMode="External"/><Relationship Id="rId532" Type="http://schemas.openxmlformats.org/officeDocument/2006/relationships/hyperlink" Target="https://www.deseret.com/2008/1/30/20067487/final-report-finds-no-motive-for-trolley-square-massacre" TargetMode="External"/><Relationship Id="rId977" Type="http://schemas.openxmlformats.org/officeDocument/2006/relationships/hyperlink" Target="https://www.lvmpd.com/en-us/Documents/1-October-FIT-Criminal-Investigative-Report-FINAL_080318.pdf" TargetMode="External"/><Relationship Id="rId171" Type="http://schemas.openxmlformats.org/officeDocument/2006/relationships/hyperlink" Target="https://apnews.com/d8fdf15390c4d3e614ca83a0d49ab018" TargetMode="External"/><Relationship Id="rId837" Type="http://schemas.openxmlformats.org/officeDocument/2006/relationships/hyperlink" Target="https://www.mlive.com/news/kalamazoo/2016/03/police_believe_jason_dalton_us.html" TargetMode="External"/><Relationship Id="rId1022" Type="http://schemas.openxmlformats.org/officeDocument/2006/relationships/hyperlink" Target="https://www.aol.com/article/news/2017/11/17/california-mass-shooter-made-his-own-rifles/23280600/" TargetMode="External"/><Relationship Id="rId269" Type="http://schemas.openxmlformats.org/officeDocument/2006/relationships/hyperlink" Target="https://www.latimes.com/archives/la-xpm-1993-12-08-me-65133-story.html" TargetMode="External"/><Relationship Id="rId476" Type="http://schemas.openxmlformats.org/officeDocument/2006/relationships/hyperlink" Target="https://www.nytimes.com/2003/07/09/us/man-kills-5-co-workers-at-plant-and-himself.html" TargetMode="External"/><Relationship Id="rId683" Type="http://schemas.openxmlformats.org/officeDocument/2006/relationships/hyperlink" Target="https://www.nbclosangeles.com/news/local/murder-charges-seal-beach-killer-shooting-scott-evans-dekraii-2/2105027/" TargetMode="External"/><Relationship Id="rId890" Type="http://schemas.openxmlformats.org/officeDocument/2006/relationships/hyperlink" Target="https://www.lvmpd.com/en-us/Documents/1-October-FIT-Criminal-Investigative-Report-FINAL_080318.pdf" TargetMode="External"/><Relationship Id="rId904" Type="http://schemas.openxmlformats.org/officeDocument/2006/relationships/hyperlink" Target="https://www.lvmpd.com/en-us/Documents/1-October-FIT-Criminal-Investigative-Report-FINAL_080318.pdf" TargetMode="External"/><Relationship Id="rId33" Type="http://schemas.openxmlformats.org/officeDocument/2006/relationships/hyperlink" Target="https://www.latimes.com/archives/la-xpm-1986-07-06-me-23088-story.html" TargetMode="External"/><Relationship Id="rId129" Type="http://schemas.openxmlformats.org/officeDocument/2006/relationships/hyperlink" Target="https://www.leagle.com/decision/incaco20090702055" TargetMode="External"/><Relationship Id="rId336" Type="http://schemas.openxmlformats.org/officeDocument/2006/relationships/hyperlink" Target="https://www.nytimes.com/1998/03/29/us/from-wild-talk-and-friendship-to-five-deaths-in-a-schoolyard.html?mcubz=0" TargetMode="External"/><Relationship Id="rId543" Type="http://schemas.openxmlformats.org/officeDocument/2006/relationships/hyperlink" Target="https://scholar.lib.vt.edu/prevail/docs/VTReviewPanelReport.pdf" TargetMode="External"/><Relationship Id="rId988" Type="http://schemas.openxmlformats.org/officeDocument/2006/relationships/hyperlink" Target="https://www.lvmpd.com/en-us/Documents/1-October-FIT-Criminal-Investigative-Report-FINAL_080318.pdf" TargetMode="External"/><Relationship Id="rId182" Type="http://schemas.openxmlformats.org/officeDocument/2006/relationships/hyperlink" Target="https://news.google.com/newspapers?id=EPMRAAAAIBAJ&amp;sjid=PuoDAAAAIBAJ&amp;pg=6902,6441532&amp;dq=pough" TargetMode="External"/><Relationship Id="rId403" Type="http://schemas.openxmlformats.org/officeDocument/2006/relationships/hyperlink" Target="https://casetext.com/case/state-v-uyesugi" TargetMode="External"/><Relationship Id="rId750" Type="http://schemas.openxmlformats.org/officeDocument/2006/relationships/hyperlink" Target="https://www.latimes.com/local/la-xpm-2014-feb-21-la-me-tribal-slayings-20140222-story.html" TargetMode="External"/><Relationship Id="rId848" Type="http://schemas.openxmlformats.org/officeDocument/2006/relationships/hyperlink" Target="https://www.nbcnews.com/storyline/dallas-police-ambush/dallas-gunman-micah-johnson-used-saiga-ak-74-assault-style-n608311" TargetMode="External"/><Relationship Id="rId1033" Type="http://schemas.openxmlformats.org/officeDocument/2006/relationships/hyperlink" Target="https://www.washingtonpost.com/news/post-nation/wp/2018/01/29/jealousy-and-obsession-may-have-led-carwash-shooting-suspect-to-kill-four-relatives-say/" TargetMode="External"/><Relationship Id="rId487" Type="http://schemas.openxmlformats.org/officeDocument/2006/relationships/hyperlink" Target="https://www.cnn.com/2004/LAW/11/23/hunters.shot/index.html" TargetMode="External"/><Relationship Id="rId610" Type="http://schemas.openxmlformats.org/officeDocument/2006/relationships/hyperlink" Target="https://www.thepilot.com/news/pinelake-at-a-decade-in-the-shadow-of-north-carolina/article_33d2be06-522a-11e9-b3d5-230b8a7f488f.html" TargetMode="External"/><Relationship Id="rId694" Type="http://schemas.openxmlformats.org/officeDocument/2006/relationships/hyperlink" Target="https://www.seattletimes.com/seattle-news/gunman-a-life-full-of-rage-a-shocking-final-act/" TargetMode="External"/><Relationship Id="rId708" Type="http://schemas.openxmlformats.org/officeDocument/2006/relationships/hyperlink" Target="https://web.archive.org/web/20120722041017/http:/abcnews.go.com/US/wireStory/police-colo-shooting-suspect-bought-guns-legally-16826588" TargetMode="External"/><Relationship Id="rId915" Type="http://schemas.openxmlformats.org/officeDocument/2006/relationships/hyperlink" Target="https://www.lvmpd.com/en-us/Documents/1-October-FIT-Criminal-Investigative-Report-FINAL_080318.pdf" TargetMode="External"/><Relationship Id="rId347" Type="http://schemas.openxmlformats.org/officeDocument/2006/relationships/hyperlink" Target="https://www.vpc.org/studies/wgun980324.htm" TargetMode="External"/><Relationship Id="rId999" Type="http://schemas.openxmlformats.org/officeDocument/2006/relationships/hyperlink" Target="https://www.lvmpd.com/en-us/Documents/1-October-FIT-Criminal-Investigative-Report-FINAL_080318.pdf" TargetMode="External"/><Relationship Id="rId1100" Type="http://schemas.openxmlformats.org/officeDocument/2006/relationships/hyperlink" Target="http://newjersey.news12.com/story/41444962/nj-attorney-general-jersey-city-shooters-had-tremendous-amount-of-firepower-could-have-continued-rampage" TargetMode="External"/><Relationship Id="rId44" Type="http://schemas.openxmlformats.org/officeDocument/2006/relationships/hyperlink" Target="https://www.nytimes.com/1977/02/16/archives/cowan-had-4-pistols-but-not-one-permit.html" TargetMode="External"/><Relationship Id="rId554" Type="http://schemas.openxmlformats.org/officeDocument/2006/relationships/hyperlink" Target="https://web.archive.org/web/20071214043017/http:/hosted.ap.org/dynamic/stories/C/CHURCH_SHOOTINGS?SITE=TXBEA&amp;SECTION=HOME&amp;TEMPLATE=DEFAULT&amp;CTIME=2007-12-09-23-11-41%3A" TargetMode="External"/><Relationship Id="rId761" Type="http://schemas.openxmlformats.org/officeDocument/2006/relationships/hyperlink" Target="https://www.nbcnews.com/storyline/isla-vista-rampage/california-gunman-still-had-hundreds-rounds-sheriff-n113961" TargetMode="External"/><Relationship Id="rId859" Type="http://schemas.openxmlformats.org/officeDocument/2006/relationships/hyperlink" Target="https://www.cbsnews.com/news/washington-mall-shooting-suspect-arcan-cetin-confessed-documents/" TargetMode="External"/><Relationship Id="rId193" Type="http://schemas.openxmlformats.org/officeDocument/2006/relationships/hyperlink" Target="https://journaltimes.com/news/national/texas-killer-hated-women-officials-say/article_6280aabc-4369-59d3-950e-0d5519021dcf.html" TargetMode="External"/><Relationship Id="rId207" Type="http://schemas.openxmlformats.org/officeDocument/2006/relationships/hyperlink" Target="https://www.latimes.com/archives/la-xpm-1992-06-07-tm-411-story.html" TargetMode="External"/><Relationship Id="rId414" Type="http://schemas.openxmlformats.org/officeDocument/2006/relationships/hyperlink" Target="https://abcnews.go.com/US/story?id=95636&amp;page=1" TargetMode="External"/><Relationship Id="rId498" Type="http://schemas.openxmlformats.org/officeDocument/2006/relationships/hyperlink" Target="http://www.indexjournal.com/news/movingbeyond/where-did-they-get-the-guns/article_bc17a854-ed76-5604-9d3b-dc3212b84ef0.html" TargetMode="External"/><Relationship Id="rId621" Type="http://schemas.openxmlformats.org/officeDocument/2006/relationships/hyperlink" Target="https://www.nytimes.com/2009/04/09/nyregion/09binghamton.html" TargetMode="External"/><Relationship Id="rId1044" Type="http://schemas.openxmlformats.org/officeDocument/2006/relationships/hyperlink" Target="https://www.chicagotribune.com/news/breaking/ct-met-waffle-house-shooting-suspect-morton-20180423-story.html" TargetMode="External"/><Relationship Id="rId260" Type="http://schemas.openxmlformats.org/officeDocument/2006/relationships/hyperlink" Target="https://www.wired.com/1994/06/rage/" TargetMode="External"/><Relationship Id="rId719" Type="http://schemas.openxmlformats.org/officeDocument/2006/relationships/hyperlink" Target="https://newyork.cbslocal.com/2012/12/16/friends-newtown-gunmans-mother-home-schooled-son-kept-arsenal-of-guns/" TargetMode="External"/><Relationship Id="rId926" Type="http://schemas.openxmlformats.org/officeDocument/2006/relationships/hyperlink" Target="https://www.lvmpd.com/en-us/Documents/1-October-FIT-Criminal-Investigative-Report-FINAL_080318.pdf" TargetMode="External"/><Relationship Id="rId1111" Type="http://schemas.openxmlformats.org/officeDocument/2006/relationships/hyperlink" Target="https://www.jsonline.com/story/news/2020/02/27/milwaukee-miller-coors-shooting-anthony-ferrill-identified-molsoncoors-gunman-shooter/4891164002/" TargetMode="External"/><Relationship Id="rId55" Type="http://schemas.openxmlformats.org/officeDocument/2006/relationships/hyperlink" Target="http://content.time.com/time/magazine/article/0,9171,952699,00.html" TargetMode="External"/><Relationship Id="rId120" Type="http://schemas.openxmlformats.org/officeDocument/2006/relationships/hyperlink" Target="https://michellawyers.com/wp-content/uploads/2018/04/2018-04-09-Exhibits-16-19-ISO-Opp-to-MSJ.pdf" TargetMode="External"/><Relationship Id="rId358" Type="http://schemas.openxmlformats.org/officeDocument/2006/relationships/hyperlink" Target="https://www.pbs.org/wgbh/pages/frontline/shows/kinkel/kip/cron.html" TargetMode="External"/><Relationship Id="rId565" Type="http://schemas.openxmlformats.org/officeDocument/2006/relationships/hyperlink" Target="https://www.lakeexpo.com/news/top_stories/thornton-used-stolen-gun-in-kirkwood-killings/article_59696954-4d4c-5052-91c6-ac18d02a2e27.html" TargetMode="External"/><Relationship Id="rId772" Type="http://schemas.openxmlformats.org/officeDocument/2006/relationships/hyperlink" Target="https://abcnews.go.com/US/chattanooga-shooting-fbi-reveals-details/story?id=32619426" TargetMode="External"/><Relationship Id="rId218" Type="http://schemas.openxmlformats.org/officeDocument/2006/relationships/hyperlink" Target="https://www.csgv.org/mass-shootings-by-good-guys/" TargetMode="External"/><Relationship Id="rId425" Type="http://schemas.openxmlformats.org/officeDocument/2006/relationships/hyperlink" Target="https://caselaw.findlaw.com/ma-supreme-judicial-court/1448833.html" TargetMode="External"/><Relationship Id="rId632" Type="http://schemas.openxmlformats.org/officeDocument/2006/relationships/hyperlink" Target="https://www.courts.wa.gov/content/petitions/89448-5%20Answer%20to%20Petition%20for%20Review%20Cross%20Petition%20for%20Review.pdf" TargetMode="External"/><Relationship Id="rId1055" Type="http://schemas.openxmlformats.org/officeDocument/2006/relationships/hyperlink" Target="https://www.newyorker.com/news/news-desk/this-is-a-dream-i-cant-wake-up-from" TargetMode="External"/><Relationship Id="rId271" Type="http://schemas.openxmlformats.org/officeDocument/2006/relationships/hyperlink" Target="https://www.denverpost.com/2013/02/21/dunlaps-cash-bundle-described/" TargetMode="External"/><Relationship Id="rId937" Type="http://schemas.openxmlformats.org/officeDocument/2006/relationships/hyperlink" Target="https://www.lvmpd.com/en-us/Documents/1-October-FIT-Criminal-Investigative-Report-FINAL_080318.pdf" TargetMode="External"/><Relationship Id="rId1122" Type="http://schemas.openxmlformats.org/officeDocument/2006/relationships/hyperlink" Target="https://www.nytimes.com/1991/11/15/us/ex-postal-worker-kills-3-and-wounds-6-in-michigan.html" TargetMode="External"/><Relationship Id="rId66" Type="http://schemas.openxmlformats.org/officeDocument/2006/relationships/hyperlink" Target="https://www.upi.com/Archives/1982/08/09/Yes-I-know-hes-killing-people/2899397713600/" TargetMode="External"/><Relationship Id="rId131" Type="http://schemas.openxmlformats.org/officeDocument/2006/relationships/hyperlink" Target="https://www.leagle.com/decision/incaco20090702055" TargetMode="External"/><Relationship Id="rId369" Type="http://schemas.openxmlformats.org/officeDocument/2006/relationships/hyperlink" Target="http://www.cnn.com/SPECIALS/2000/columbine.cd/Pages/EQUIPMENT_TEXT.htm" TargetMode="External"/><Relationship Id="rId576" Type="http://schemas.openxmlformats.org/officeDocument/2006/relationships/hyperlink" Target="https://www.niu.edu/forward/_pdfs/archives/feb14report.pdf" TargetMode="External"/><Relationship Id="rId783" Type="http://schemas.openxmlformats.org/officeDocument/2006/relationships/hyperlink" Target="https://abcnews.go.com/US/chattanooga-shooting-fbi-reveals-details/story?id=32619426" TargetMode="External"/><Relationship Id="rId990" Type="http://schemas.openxmlformats.org/officeDocument/2006/relationships/hyperlink" Target="https://www.lvmpd.com/en-us/Documents/1-October-FIT-Criminal-Investigative-Report-FINAL_080318.pdf" TargetMode="External"/><Relationship Id="rId229"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436" Type="http://schemas.openxmlformats.org/officeDocument/2006/relationships/hyperlink" Target="https://www.chicagotribune.com/news/ct-xpm-2001-02-06-0102060231-story.html" TargetMode="External"/><Relationship Id="rId643" Type="http://schemas.openxmlformats.org/officeDocument/2006/relationships/hyperlink" Target="https://www.leagle.com/decision/incaco20191104021" TargetMode="External"/><Relationship Id="rId1066" Type="http://schemas.openxmlformats.org/officeDocument/2006/relationships/hyperlink" Target="https://www.nytimes.com/2018/10/27/us/robert-bowers-pittsburgh-synagogue-shooter.html" TargetMode="External"/><Relationship Id="rId850" Type="http://schemas.openxmlformats.org/officeDocument/2006/relationships/hyperlink" Target="https://www.nytimes.com/2016/07/10/us/dallas-quiet-after-police-shooting-but-protests-flare-elsewhere.html" TargetMode="External"/><Relationship Id="rId948" Type="http://schemas.openxmlformats.org/officeDocument/2006/relationships/hyperlink" Target="https://www.lvmpd.com/en-us/Documents/1-October-FIT-Criminal-Investigative-Report-FINAL_080318.pdf" TargetMode="External"/><Relationship Id="rId77" Type="http://schemas.openxmlformats.org/officeDocument/2006/relationships/hyperlink" Target="https://law.justia.com/cases/texas/court-of-criminal-appeals/1986/69268-4.html" TargetMode="External"/><Relationship Id="rId282" Type="http://schemas.openxmlformats.org/officeDocument/2006/relationships/hyperlink" Target="https://www.nytimes.com/1995/07/20/us/9-fatally-shot-in-california-in-2-incidents-over-2-days.html" TargetMode="External"/><Relationship Id="rId503" Type="http://schemas.openxmlformats.org/officeDocument/2006/relationships/hyperlink" Target="https://www.nytimes.com/2005/03/23/us/behind-the-why-of-a-rampage-loner-with-a-taste-for-nazism.html" TargetMode="External"/><Relationship Id="rId587" Type="http://schemas.openxmlformats.org/officeDocument/2006/relationships/hyperlink" Target="https://www.nytimes.com/2008/06/25/us/26kentuckycnd.html" TargetMode="External"/><Relationship Id="rId710" Type="http://schemas.openxmlformats.org/officeDocument/2006/relationships/hyperlink" Target="https://web.archive.org/web/20120722041017/http:/abcnews.go.com/US/wireStory/police-colo-shooting-suspect-bought-guns-legally-16826588" TargetMode="External"/><Relationship Id="rId808" Type="http://schemas.openxmlformats.org/officeDocument/2006/relationships/hyperlink" Target="https://www.theeagle.com/news/local/dna-medical-experts-give-testimony-in-third-day-of-hudson-capital-murder-trial/article_17c9ced0-0c85-5c34-820a-088cf7d50764.html" TargetMode="External"/><Relationship Id="rId8" Type="http://schemas.openxmlformats.org/officeDocument/2006/relationships/hyperlink" Target="https://www.statesman.com/NEWS/20160903/Victim-tries-to-buy-gun-sniper-used" TargetMode="External"/><Relationship Id="rId142" Type="http://schemas.openxmlformats.org/officeDocument/2006/relationships/hyperlink" Target="https://www.washingtonpost.com/archive/politics/1988/02/18/sudden-death-in-sunnyvale/4f50e5d7-0804-4a56-a2af-ced693c3b577/" TargetMode="External"/><Relationship Id="rId447" Type="http://schemas.openxmlformats.org/officeDocument/2006/relationships/hyperlink" Target="https://www.cnn.com/2001/US/02/07/plant.shootings/" TargetMode="External"/><Relationship Id="rId794" Type="http://schemas.openxmlformats.org/officeDocument/2006/relationships/hyperlink" Target="https://www.nytimes.com/2015/10/06/us/mother-of-oregon-gunman-wrote-of-keeping-firearms.html" TargetMode="External"/><Relationship Id="rId1077" Type="http://schemas.openxmlformats.org/officeDocument/2006/relationships/hyperlink" Target="https://www.vbgov.com/government/departments/city-auditors-office/Documents/Hillard%20Heintze%20Final%20Report%20for%20Virginia%20Beach%2011-13-2019.pdf" TargetMode="External"/><Relationship Id="rId654" Type="http://schemas.openxmlformats.org/officeDocument/2006/relationships/hyperlink" Target="https://abcnews.go.com/US/connecticut-shooter-omar-thornton-chased-victims-beer-distributor/story?id=11322281" TargetMode="External"/><Relationship Id="rId861" Type="http://schemas.openxmlformats.org/officeDocument/2006/relationships/hyperlink" Target="https://www.usatoday.com/story/news/2017/01/09/esteban-santiago-fort-lauderdale-hollywood-airport-suspect-what-we-know/96342512/" TargetMode="External"/><Relationship Id="rId959" Type="http://schemas.openxmlformats.org/officeDocument/2006/relationships/hyperlink" Target="https://www.lvmpd.com/en-us/Documents/1-October-FIT-Criminal-Investigative-Report-FINAL_080318.pdf" TargetMode="External"/><Relationship Id="rId293" Type="http://schemas.openxmlformats.org/officeDocument/2006/relationships/hyperlink" Target="https://www.sun-sentinel.com/news/fl-xpm-1996-02-10-9602090635-story.html" TargetMode="External"/><Relationship Id="rId307" Type="http://schemas.openxmlformats.org/officeDocument/2006/relationships/hyperlink" Target="https://caselaw.findlaw.com/fl-supreme-court/1559835.html" TargetMode="External"/><Relationship Id="rId514" Type="http://schemas.openxmlformats.org/officeDocument/2006/relationships/hyperlink" Target="https://web.archive.org/web/20060329185249/seattlepi.nwsource.com/local/264597_huffarsenal28.html" TargetMode="External"/><Relationship Id="rId721" Type="http://schemas.openxmlformats.org/officeDocument/2006/relationships/hyperlink" Target="https://web.archive.org/web/20131223225701/http:/www.ct.gov/csao/lib/csao/Sandy_Hook_Final_Report.pdf" TargetMode="External"/><Relationship Id="rId88" Type="http://schemas.openxmlformats.org/officeDocument/2006/relationships/hyperlink" Target="https://law.justia.com/cases/texas/court-of-criminal-appeals/1986/69268-4.html" TargetMode="External"/><Relationship Id="rId153" Type="http://schemas.openxmlformats.org/officeDocument/2006/relationships/hyperlink" Target="https://www.nytimes.com/1989/01/18/us/five-children-killed-as-gunman-attacks-a-california-school.html" TargetMode="External"/><Relationship Id="rId360" Type="http://schemas.openxmlformats.org/officeDocument/2006/relationships/hyperlink" Target="https://www.pbs.org/wgbh/pages/frontline/shows/kinkel/kip/cron.html" TargetMode="External"/><Relationship Id="rId598" Type="http://schemas.openxmlformats.org/officeDocument/2006/relationships/hyperlink" Target="https://www.seattlepi.com/seattlenews/article/Isaac-Zamora-10781621.php" TargetMode="External"/><Relationship Id="rId819" Type="http://schemas.openxmlformats.org/officeDocument/2006/relationships/hyperlink" Target="https://www.npr.org/sections/thetwo-way/2017/02/15/515326881/man-to-plead-guilty-to-buying-weapons-used-in-san-bernardino-attack" TargetMode="External"/><Relationship Id="rId1004" Type="http://schemas.openxmlformats.org/officeDocument/2006/relationships/hyperlink" Target="https://money.cnn.com/2017/11/06/news/companies/ruger-ar-556-ar-15/index.html" TargetMode="External"/><Relationship Id="rId220" Type="http://schemas.openxmlformats.org/officeDocument/2006/relationships/hyperlink" Target="https://scocal.stanford.edu/opinion/people-v-houston-34117" TargetMode="External"/><Relationship Id="rId458" Type="http://schemas.openxmlformats.org/officeDocument/2006/relationships/hyperlink" Target="https://www.wired.com/2001/09/co-worker-slaying-suspect-sought/" TargetMode="External"/><Relationship Id="rId665" Type="http://schemas.openxmlformats.org/officeDocument/2006/relationships/hyperlink" Target="https://everytownresearch.org/wp-content/uploads/2014/10/analysis-of-recent-mass-shootings.pdf" TargetMode="External"/><Relationship Id="rId872" Type="http://schemas.openxmlformats.org/officeDocument/2006/relationships/hyperlink" Target="https://www.lvmpd.com/en-us/Documents/1-October-FIT-Criminal-Investigative-Report-FINAL_080318.pdf" TargetMode="External"/><Relationship Id="rId1088" Type="http://schemas.openxmlformats.org/officeDocument/2006/relationships/hyperlink" Target="https://abcnews.go.com/US/wireStory/el-paso-suspect-appears-posted-anti-immigrant-screed-64769813" TargetMode="External"/><Relationship Id="rId15" Type="http://schemas.openxmlformats.org/officeDocument/2006/relationships/hyperlink" Target="https://www.theguardian.com/us-news/2017/oct/02/las-vegas-shooting-university-of-texas-tower" TargetMode="External"/><Relationship Id="rId318" Type="http://schemas.openxmlformats.org/officeDocument/2006/relationships/hyperlink" Target="https://www.latimes.com/archives/la-xpm-1997-dec-20-mn-431-story.html" TargetMode="External"/><Relationship Id="rId525" Type="http://schemas.openxmlformats.org/officeDocument/2006/relationships/hyperlink" Target="https://www.nytimes.com/2006/10/03/us/03amish.html" TargetMode="External"/><Relationship Id="rId732" Type="http://schemas.openxmlformats.org/officeDocument/2006/relationships/hyperlink" Target="https://www.seattletimes.com/seattle-news/witnesses-among-5-dead-in-federal-way/" TargetMode="External"/><Relationship Id="rId99" Type="http://schemas.openxmlformats.org/officeDocument/2006/relationships/hyperlink" Target="https://www.vpc.org/studies/wgun840718.htm" TargetMode="External"/><Relationship Id="rId164" Type="http://schemas.openxmlformats.org/officeDocument/2006/relationships/hyperlink" Target="https://www.chicagotribune.com/news/ct-xpm-1989-09-16-8901130452-story.html" TargetMode="External"/><Relationship Id="rId371" Type="http://schemas.openxmlformats.org/officeDocument/2006/relationships/hyperlink" Target="https://www.denverpost.com/1999/04/27/columbine-high-school-shooting-guns/" TargetMode="External"/><Relationship Id="rId1015" Type="http://schemas.openxmlformats.org/officeDocument/2006/relationships/hyperlink" Target="https://www.latimes.com/local/lanow/la-me-ln-tehama-shooter-guns-20171121-story.html" TargetMode="External"/><Relationship Id="rId469" Type="http://schemas.openxmlformats.org/officeDocument/2006/relationships/hyperlink" Target="https://www.nwitimes.com/uncategorized/south-bend-factory-worker-kills-then-himself/article_f9510908-20ec-5629-8891-42c83bb776f3.html" TargetMode="External"/><Relationship Id="rId676" Type="http://schemas.openxmlformats.org/officeDocument/2006/relationships/hyperlink" Target="https://www.leg.state.nv.us/App/NELIS/REL/77th2013/ExhibitDocument/OpenExhibitDocument?exhibitId=2560&amp;fileDownloadName=Power%20Point-Ken%20Furlong.pdf" TargetMode="External"/><Relationship Id="rId883" Type="http://schemas.openxmlformats.org/officeDocument/2006/relationships/hyperlink" Target="https://www.lvmpd.com/en-us/Documents/1-October-FIT-Criminal-Investigative-Report-FINAL_080318.pdf" TargetMode="External"/><Relationship Id="rId1099" Type="http://schemas.openxmlformats.org/officeDocument/2006/relationships/hyperlink" Target="http://newjersey.news12.com/story/41444962/nj-attorney-general-jersey-city-shooters-had-tremendous-amount-of-firepower-could-have-continued-rampage" TargetMode="External"/><Relationship Id="rId26" Type="http://schemas.openxmlformats.org/officeDocument/2006/relationships/hyperlink" Target="https://books.google.com/books?id=LEgSiLnmgYoC&amp;pg=PA12&amp;lpg=PA12&amp;dq=leo+held+guns&amp;source=bl&amp;ots=lYWojMB3hZ&amp;sig=ACfU3U3QcP6YU2TfjX8MqJ_S-Tk3S0T6eg&amp;hl=en&amp;sa=X&amp;ved=2ahUKEwjLnbCX5-PpAhXpoFsKHWx2CRwQ6AEwAnoECAcQAQ" TargetMode="External"/><Relationship Id="rId231" Type="http://schemas.openxmlformats.org/officeDocument/2006/relationships/hyperlink" Target="https://law.justia.com/cases/california/supreme-court/4th/26/465.html" TargetMode="External"/><Relationship Id="rId329" Type="http://schemas.openxmlformats.org/officeDocument/2006/relationships/hyperlink" Target="https://www.nytimes.com/1998/03/29/us/from-wild-talk-and-friendship-to-five-deaths-in-a-schoolyard.html?mcubz=0" TargetMode="External"/><Relationship Id="rId536" Type="http://schemas.openxmlformats.org/officeDocument/2006/relationships/hyperlink" Target="https://www.deseret.com/2007/5/19/20019706/2-gun-suspects-appear-in-court" TargetMode="External"/><Relationship Id="rId175" Type="http://schemas.openxmlformats.org/officeDocument/2006/relationships/hyperlink" Target="https://news.google.com/newspapers?id=EPMRAAAAIBAJ&amp;sjid=PuoDAAAAIBAJ&amp;pg=6902,6441532&amp;dq=pough" TargetMode="External"/><Relationship Id="rId743" Type="http://schemas.openxmlformats.org/officeDocument/2006/relationships/hyperlink" Target="https://www.miamiherald.com/news/special-reports/hialeah-mass-shooting/article1953653.html" TargetMode="External"/><Relationship Id="rId950" Type="http://schemas.openxmlformats.org/officeDocument/2006/relationships/hyperlink" Target="https://www.lvmpd.com/en-us/Documents/1-October-FIT-Criminal-Investigative-Report-FINAL_080318.pdf" TargetMode="External"/><Relationship Id="rId1026" Type="http://schemas.openxmlformats.org/officeDocument/2006/relationships/hyperlink" Target="https://www.aol.com/article/news/2017/11/17/california-mass-shooter-made-his-own-rifles/23280600/" TargetMode="External"/><Relationship Id="rId382" Type="http://schemas.openxmlformats.org/officeDocument/2006/relationships/hyperlink" Target="https://www.latimes.com/archives/la-xpm-1999-aug-19-mn-1611-story.html" TargetMode="External"/><Relationship Id="rId603" Type="http://schemas.openxmlformats.org/officeDocument/2006/relationships/hyperlink" Target="https://everytownresearch.org/wp-content/uploads/2015/08/MassShooting-081715-13-APPENDIX-1.pdf" TargetMode="External"/><Relationship Id="rId687" Type="http://schemas.openxmlformats.org/officeDocument/2006/relationships/hyperlink" Target="https://www.seattlepi.com/local/article/Police-Seattle-shootings-were-like-an-execution-3599900.php" TargetMode="External"/><Relationship Id="rId810" Type="http://schemas.openxmlformats.org/officeDocument/2006/relationships/hyperlink" Target="https://www.scpr.org/news/2015/12/04/56040/san-bernardino-shooting-update-rifles-used-in-atta/" TargetMode="External"/><Relationship Id="rId908" Type="http://schemas.openxmlformats.org/officeDocument/2006/relationships/hyperlink" Target="https://www.lvmpd.com/en-us/Documents/1-October-FIT-Criminal-Investigative-Report-FINAL_080318.pdf" TargetMode="External"/><Relationship Id="rId242" Type="http://schemas.openxmlformats.org/officeDocument/2006/relationships/hyperlink" Target="https://www.nytimes.com/1993/07/03/us/the-broker-who-killed-8-gunman-s-motives-a-puzzle.html" TargetMode="External"/><Relationship Id="rId894" Type="http://schemas.openxmlformats.org/officeDocument/2006/relationships/hyperlink" Target="https://www.lvmpd.com/en-us/Documents/1-October-FIT-Criminal-Investigative-Report-FINAL_080318.pdf" TargetMode="External"/><Relationship Id="rId37" Type="http://schemas.openxmlformats.org/officeDocument/2006/relationships/hyperlink" Target="https://www.nydailynews.com/news/crime/rochelle-sniper-kills-1977-article-1.2973348" TargetMode="External"/><Relationship Id="rId102" Type="http://schemas.openxmlformats.org/officeDocument/2006/relationships/hyperlink" Target="https://casetext.com/case/travelers-indem-co-v-olives-spt-goods-inc" TargetMode="External"/><Relationship Id="rId547" Type="http://schemas.openxmlformats.org/officeDocument/2006/relationships/hyperlink" Target="https://www.nytimes.com/2007/04/20/us/20cnd-guns.html" TargetMode="External"/><Relationship Id="rId754" Type="http://schemas.openxmlformats.org/officeDocument/2006/relationships/hyperlink" Target="https://www.theguardian.com/world/2014/may/25/elliot-rodger-suspect-california-mass-murder-shooting-stabbing" TargetMode="External"/><Relationship Id="rId961" Type="http://schemas.openxmlformats.org/officeDocument/2006/relationships/hyperlink" Target="https://www.lvmpd.com/en-us/Documents/1-October-FIT-Criminal-Investigative-Report-FINAL_080318.pdf" TargetMode="External"/><Relationship Id="rId90"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186" Type="http://schemas.openxmlformats.org/officeDocument/2006/relationships/hyperlink" Target="https://apnews.com/6723698815d2b77dbf0bb5d583094b53" TargetMode="External"/><Relationship Id="rId393" Type="http://schemas.openxmlformats.org/officeDocument/2006/relationships/hyperlink" Target="https://www.nytimes.com/1999/07/31/us/shootings-in-atlanta-the-overview-killer-confessed-in-a-letter-spiked-with-rage.html" TargetMode="External"/><Relationship Id="rId407" Type="http://schemas.openxmlformats.org/officeDocument/2006/relationships/hyperlink" Target="https://www.upi.com/Archives/2000/06/09/Charges-dropped-against-Fla-gun-shop/3025960523200/" TargetMode="External"/><Relationship Id="rId614" Type="http://schemas.openxmlformats.org/officeDocument/2006/relationships/hyperlink" Target="https://www.nytimes.com/2009/04/09/nyregion/09binghamton.html" TargetMode="External"/><Relationship Id="rId821" Type="http://schemas.openxmlformats.org/officeDocument/2006/relationships/hyperlink" Target="https://www.scpr.org/news/2015/12/04/56040/san-bernardino-shooting-update-rifles-used-in-atta/" TargetMode="External"/><Relationship Id="rId1037" Type="http://schemas.openxmlformats.org/officeDocument/2006/relationships/hyperlink" Target="https://www.washingtonpost.com/news/post-nation/wp/2018/01/29/jealousy-and-obsession-may-have-led-carwash-shooting-suspect-to-kill-four-relatives-say/" TargetMode="External"/><Relationship Id="rId253" Type="http://schemas.openxmlformats.org/officeDocument/2006/relationships/hyperlink" Target="https://www.wired.com/1994/06/rage/" TargetMode="External"/><Relationship Id="rId460" Type="http://schemas.openxmlformats.org/officeDocument/2006/relationships/hyperlink" Target="https://www.sfgate.com/news/article/Sacramento-rampage-5-shot-dead-Slayer-kills-2881164.php" TargetMode="External"/><Relationship Id="rId698" Type="http://schemas.openxmlformats.org/officeDocument/2006/relationships/hyperlink" Target="https://www.cbsnews.com/news/colo-shooter-purchased-guns-legally-from-3-different-stores/" TargetMode="External"/><Relationship Id="rId919" Type="http://schemas.openxmlformats.org/officeDocument/2006/relationships/hyperlink" Target="https://www.lvmpd.com/en-us/Documents/1-October-FIT-Criminal-Investigative-Report-FINAL_080318.pdf" TargetMode="External"/><Relationship Id="rId1090" Type="http://schemas.openxmlformats.org/officeDocument/2006/relationships/hyperlink" Target="https://apnews.com/f519fb0254de409d93a751e4fa1f8e0b/" TargetMode="External"/><Relationship Id="rId1104" Type="http://schemas.openxmlformats.org/officeDocument/2006/relationships/hyperlink" Target="http://newjersey.news12.com/story/41444962/nj-attorney-general-jersey-city-shooters-had-tremendous-amount-of-firepower-could-have-continued-rampage" TargetMode="External"/><Relationship Id="rId48" Type="http://schemas.openxmlformats.org/officeDocument/2006/relationships/hyperlink" Target="http://www.nydailynews.com/news/crime/rochelle-sniper-kills-1977-article-1.2973348" TargetMode="External"/><Relationship Id="rId113" Type="http://schemas.openxmlformats.org/officeDocument/2006/relationships/hyperlink" Target="https://www.nytimes.com/1986/08/21/us/mail-carrier-kills-14-in-post-office-then-himself.html" TargetMode="External"/><Relationship Id="rId320" Type="http://schemas.openxmlformats.org/officeDocument/2006/relationships/hyperlink" Target="https://www.latimes.com/archives/la-xpm-1998-jan-25-mn-12112-story.html" TargetMode="External"/><Relationship Id="rId558" Type="http://schemas.openxmlformats.org/officeDocument/2006/relationships/hyperlink" Target="https://web.archive.org/web/20071214043017/http:/hosted.ap.org/dynamic/stories/C/CHURCH_SHOOTINGS?SITE=TXBEA&amp;SECTION=HOME&amp;TEMPLATE=DEFAULT&amp;CTIME=2007-12-09-23-11-41%3A" TargetMode="External"/><Relationship Id="rId765" Type="http://schemas.openxmlformats.org/officeDocument/2006/relationships/hyperlink" Target="https://www.nbcnews.com/storyline/marysville-school-shooting/washington-school-shooter-wanted-friends-him-other-side-n419961" TargetMode="External"/><Relationship Id="rId972" Type="http://schemas.openxmlformats.org/officeDocument/2006/relationships/hyperlink" Target="https://www.lvmpd.com/en-us/Documents/1-October-FIT-Criminal-Investigative-Report-FINAL_080318.pdf" TargetMode="External"/><Relationship Id="rId197" Type="http://schemas.openxmlformats.org/officeDocument/2006/relationships/hyperlink" Target="https://journaltimes.com/news/national/texas-killer-hated-women-officials-say/article_6280aabc-4369-59d3-950e-0d5519021dcf.html" TargetMode="External"/><Relationship Id="rId418" Type="http://schemas.openxmlformats.org/officeDocument/2006/relationships/hyperlink" Target="https://old.post-gazette.com/regionstate/20000502gun2.asp" TargetMode="External"/><Relationship Id="rId625" Type="http://schemas.openxmlformats.org/officeDocument/2006/relationships/hyperlink" Target="https://www.cnn.com/2013/08/06/justice/hasan-court-martial/index.html" TargetMode="External"/><Relationship Id="rId832" Type="http://schemas.openxmlformats.org/officeDocument/2006/relationships/hyperlink" Target="https://www.mlive.com/news/kalamazoo/2016/03/police_believe_jason_dalton_us.html" TargetMode="External"/><Relationship Id="rId1048" Type="http://schemas.openxmlformats.org/officeDocument/2006/relationships/hyperlink" Target="https://www.nbcnews.com/news/us-news/some-santa-fe-shooting-victims-may-have-been-caught-crossfire-n876171" TargetMode="External"/><Relationship Id="rId264" Type="http://schemas.openxmlformats.org/officeDocument/2006/relationships/hyperlink" Target="https://www.latimes.com/archives/la-xpm-1993-12-08-me-65133-story.html" TargetMode="External"/><Relationship Id="rId471" Type="http://schemas.openxmlformats.org/officeDocument/2006/relationships/hyperlink" Target="https://www1.nyc.gov/assets/nypd/downloads/pdf/counterterrorism/active-shooter-analysis2016.pdf" TargetMode="External"/><Relationship Id="rId1115"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59" Type="http://schemas.openxmlformats.org/officeDocument/2006/relationships/hyperlink" Target="https://books.google.com/books?id=zSwEAAAAMBAJ&amp;pg=PA140" TargetMode="External"/><Relationship Id="rId124" Type="http://schemas.openxmlformats.org/officeDocument/2006/relationships/hyperlink" Target="https://michellawyers.com/wp-content/uploads/2018/04/2018-04-09-Exhibits-16-19-ISO-Opp-to-MSJ.pdf" TargetMode="External"/><Relationship Id="rId569" Type="http://schemas.openxmlformats.org/officeDocument/2006/relationships/hyperlink" Target="https://www.niu.edu/forward/_pdfs/archives/feb14report.pdf" TargetMode="External"/><Relationship Id="rId776" Type="http://schemas.openxmlformats.org/officeDocument/2006/relationships/hyperlink" Target="https://www.washingtonpost.com/politics/chattanooga-shooter-an-aimless-young-man-who-smoked-dope-and-shot-guns/2015/07/18/c213f6a6-2d7d-11e5-a5ea-cf74396e59ec_story.html" TargetMode="External"/><Relationship Id="rId983" Type="http://schemas.openxmlformats.org/officeDocument/2006/relationships/hyperlink" Target="https://www.lvmpd.com/en-us/Documents/1-October-FIT-Criminal-Investigative-Report-FINAL_080318.pdf" TargetMode="External"/><Relationship Id="rId331" Type="http://schemas.openxmlformats.org/officeDocument/2006/relationships/hyperlink" Target="https://www.vpc.org/studies/wgun980324.htm" TargetMode="External"/><Relationship Id="rId429" Type="http://schemas.openxmlformats.org/officeDocument/2006/relationships/hyperlink" Target="https://www.nytimes.com/2000/12/28/us/man-charged-in-killings-evaded-strict-gun-laws.html" TargetMode="External"/><Relationship Id="rId636" Type="http://schemas.openxmlformats.org/officeDocument/2006/relationships/hyperlink" Target="https://www.latimes.com/archives/la-xpm-2009-dec-02-la-na-police-shooting2-2009dec02-story.html" TargetMode="External"/><Relationship Id="rId1059" Type="http://schemas.openxmlformats.org/officeDocument/2006/relationships/hyperlink" Target="https://www.post-gazette.com/news/crime-courts/2018/10/28/TIMELINE-20-minutes-of-terror-gripped-Squirrel-Hill-during-Saturday-synagogue-attack/stories/201810280197" TargetMode="External"/><Relationship Id="rId843" Type="http://schemas.openxmlformats.org/officeDocument/2006/relationships/hyperlink" Target="https://www.businessinsider.com/how-did-orlando-shooter-enter-pulse-club-2016-6" TargetMode="External"/><Relationship Id="rId275" Type="http://schemas.openxmlformats.org/officeDocument/2006/relationships/hyperlink" Target="https://www.vpc.org/studies/wgun950403.htm" TargetMode="External"/><Relationship Id="rId482" Type="http://schemas.openxmlformats.org/officeDocument/2006/relationships/hyperlink" Target="https://www.csgv.org/mass-shootings-by-good-guys/" TargetMode="External"/><Relationship Id="rId703" Type="http://schemas.openxmlformats.org/officeDocument/2006/relationships/hyperlink" Target="https://www.nytimes.com/2012/07/24/us/aurora-gunmans-lethal-arsenal.html" TargetMode="External"/><Relationship Id="rId910" Type="http://schemas.openxmlformats.org/officeDocument/2006/relationships/hyperlink" Target="https://www.lvmpd.com/en-us/Documents/1-October-FIT-Criminal-Investigative-Report-FINAL_080318.pdf" TargetMode="External"/><Relationship Id="rId135" Type="http://schemas.openxmlformats.org/officeDocument/2006/relationships/hyperlink" Target="https://www.washingtonpost.com/archive/politics/1988/02/18/sudden-death-in-sunnyvale/4f50e5d7-0804-4a56-a2af-ced693c3b577/" TargetMode="External"/><Relationship Id="rId342" Type="http://schemas.openxmlformats.org/officeDocument/2006/relationships/hyperlink" Target="https://www.nytimes.com/1998/03/29/us/from-wild-talk-and-friendship-to-five-deaths-in-a-schoolyard.html?mcubz=0" TargetMode="External"/><Relationship Id="rId787" Type="http://schemas.openxmlformats.org/officeDocument/2006/relationships/hyperlink" Target="https://www.thetrace.org/2015/10/oregon-college-shooter-guns/" TargetMode="External"/><Relationship Id="rId994" Type="http://schemas.openxmlformats.org/officeDocument/2006/relationships/hyperlink" Target="https://www.lvmpd.com/en-us/Documents/1-October-FIT-Criminal-Investigative-Report-FINAL_080318.pdf" TargetMode="External"/><Relationship Id="rId202" Type="http://schemas.openxmlformats.org/officeDocument/2006/relationships/hyperlink" Target="https://www.nytimes.com/1991/11/03/us/gunman-in-iowa-wrote-of-plans-in-five-letters.html" TargetMode="External"/><Relationship Id="rId647" Type="http://schemas.openxmlformats.org/officeDocument/2006/relationships/hyperlink" Target="https://abcnews.go.com/US/connecticut-shooter-omar-thornton-chased-victims-beer-distributor/story?id=11322281" TargetMode="External"/><Relationship Id="rId854" Type="http://schemas.openxmlformats.org/officeDocument/2006/relationships/hyperlink" Target="https://www.cbsnews.com/news/dallas-guman-shooting-micah-johnson-sks-rifle/" TargetMode="External"/><Relationship Id="rId286" Type="http://schemas.openxmlformats.org/officeDocument/2006/relationships/hyperlink" Target="https://www.nydailynews.com/archives/boroughs/5th-anniversary-shoe-store-massacre-article-1.883148" TargetMode="External"/><Relationship Id="rId493" Type="http://schemas.openxmlformats.org/officeDocument/2006/relationships/hyperlink" Target="https://www.cnn.com/2013/10/31/us/atlanta-courthouse-shootings-fast-facts/index.html" TargetMode="External"/><Relationship Id="rId507" Type="http://schemas.openxmlformats.org/officeDocument/2006/relationships/hyperlink" Target="https://www.chron.com/news/houston-texas/article/Gunman-kills-himself-after-deadly-rampage-1916640.php" TargetMode="External"/><Relationship Id="rId714" Type="http://schemas.openxmlformats.org/officeDocument/2006/relationships/hyperlink" Target="https://web.archive.org/web/20131223225701/http:/www.ct.gov/csao/lib/csao/Sandy_Hook_Final_Report.pdf" TargetMode="External"/><Relationship Id="rId921" Type="http://schemas.openxmlformats.org/officeDocument/2006/relationships/hyperlink" Target="https://www.lvmpd.com/en-us/Documents/1-October-FIT-Criminal-Investigative-Report-FINAL_080318.pdf" TargetMode="External"/><Relationship Id="rId50" Type="http://schemas.openxmlformats.org/officeDocument/2006/relationships/hyperlink" Target="https://www.nytimes.com/1977/02/16/archives/cowan-had-4-pistols-but-not-one-permit.html" TargetMode="External"/><Relationship Id="rId146" Type="http://schemas.openxmlformats.org/officeDocument/2006/relationships/hyperlink" Target="https://www.leagle.com/decision/incaco20090702055" TargetMode="External"/><Relationship Id="rId353" Type="http://schemas.openxmlformats.org/officeDocument/2006/relationships/hyperlink" Target="https://www.vpc.org/studies/wgun980324.htm" TargetMode="External"/><Relationship Id="rId560" Type="http://schemas.openxmlformats.org/officeDocument/2006/relationships/hyperlink" Target="https://www.denverpost.com/2007/12/12/gunman-legally-amassed-weaponry-in-years-time/" TargetMode="External"/><Relationship Id="rId798" Type="http://schemas.openxmlformats.org/officeDocument/2006/relationships/hyperlink" Target="https://www.registerguard.com/rg/opinion/35940634-78/an-arsenal-at-ucc.html.csp" TargetMode="External"/><Relationship Id="rId213" Type="http://schemas.openxmlformats.org/officeDocument/2006/relationships/hyperlink" Target="https://www.vpc.org/studies/wgun911114.htm" TargetMode="External"/><Relationship Id="rId420" Type="http://schemas.openxmlformats.org/officeDocument/2006/relationships/hyperlink" Target="http://content.time.com/time/magazine/article/0,9171,93313-1,00.html" TargetMode="External"/><Relationship Id="rId658" Type="http://schemas.openxmlformats.org/officeDocument/2006/relationships/hyperlink" Target="https://everytownresearch.org/wp-content/uploads/2014/10/analysis-of-recent-mass-shootings.pdf" TargetMode="External"/><Relationship Id="rId865" Type="http://schemas.openxmlformats.org/officeDocument/2006/relationships/hyperlink" Target="https://www.wausaudailyherald.com/story/news/2017/05/08/wife-details-troubles-before-her-husband-gunned-down-4-people/100164526/" TargetMode="External"/><Relationship Id="rId1050" Type="http://schemas.openxmlformats.org/officeDocument/2006/relationships/hyperlink" Target="https://www.newyorker.com/news/news-desk/this-is-a-dream-i-cant-wake-up-from" TargetMode="External"/><Relationship Id="rId297" Type="http://schemas.openxmlformats.org/officeDocument/2006/relationships/hyperlink" Target="https://books.google.com/books?id=GJ2WyZhE3PgC&amp;pg=PA113&amp;lpg=PA113&amp;dq=kenneth+tornes&amp;source=bl&amp;ots=OBukLgUfT_&amp;sig=ACfU3U033kkWO-B7S955dpAQcYuwRR7LUA&amp;hl=en&amp;sa=X&amp;ved=2ahUKEwjDisPgk-LjAhVKeawKHa22Ai44ChDoATAEegQIChAB" TargetMode="External"/><Relationship Id="rId518" Type="http://schemas.openxmlformats.org/officeDocument/2006/relationships/hyperlink" Target="https://web.archive.org/web/20060329185249/seattlepi.nwsource.com/local/264597_huffarsenal28.html" TargetMode="External"/><Relationship Id="rId725" Type="http://schemas.openxmlformats.org/officeDocument/2006/relationships/hyperlink" Target="https://newyork.cbslocal.com/2012/12/16/friends-newtown-gunmans-mother-home-schooled-son-kept-arsenal-of-guns/" TargetMode="External"/><Relationship Id="rId932" Type="http://schemas.openxmlformats.org/officeDocument/2006/relationships/hyperlink" Target="https://www.lvmpd.com/en-us/Documents/1-October-FIT-Criminal-Investigative-Report-FINAL_080318.pdf" TargetMode="External"/><Relationship Id="rId157" Type="http://schemas.openxmlformats.org/officeDocument/2006/relationships/hyperlink" Target="https://schoolshooters.info/sites/default/files/Purdy%20-%20official%20report.pdf" TargetMode="External"/><Relationship Id="rId364" Type="http://schemas.openxmlformats.org/officeDocument/2006/relationships/hyperlink" Target="https://www.pbs.org/wgbh/pages/frontline/shows/kinkel/kip/cron.html" TargetMode="External"/><Relationship Id="rId1008" Type="http://schemas.openxmlformats.org/officeDocument/2006/relationships/hyperlink" Target="https://www.washingtonpost.com/news/checkpoint/wp/2017/11/06/the-air-force-says-it-failed-to-follow-procedures-allowing-texas-church-shooter-to-obtain-firearms/" TargetMode="External"/><Relationship Id="rId61" Type="http://schemas.openxmlformats.org/officeDocument/2006/relationships/hyperlink" Target="https://books.google.com/books?id=zSwEAAAAMBAJ&amp;pg=PA140" TargetMode="External"/><Relationship Id="rId571" Type="http://schemas.openxmlformats.org/officeDocument/2006/relationships/hyperlink" Target="http://content.time.com/time/nation/article/0,8599,1714069,00.html" TargetMode="External"/><Relationship Id="rId669" Type="http://schemas.openxmlformats.org/officeDocument/2006/relationships/hyperlink" Target="https://www.leg.state.nv.us/App/NELIS/REL/77th2013/ExhibitDocument/OpenExhibitDocument?exhibitId=2560&amp;fileDownloadName=Power%20Point-Ken%20Furlong.pdf" TargetMode="External"/><Relationship Id="rId876" Type="http://schemas.openxmlformats.org/officeDocument/2006/relationships/hyperlink" Target="https://www.lvmpd.com/en-us/Documents/1-October-FIT-Criminal-Investigative-Report-FINAL_080318.pdf" TargetMode="External"/><Relationship Id="rId19" Type="http://schemas.openxmlformats.org/officeDocument/2006/relationships/hyperlink" Target="http://www.nydailynews.com/news/crime/beauty-salon-massacre-article-1.273663" TargetMode="External"/><Relationship Id="rId224" Type="http://schemas.openxmlformats.org/officeDocument/2006/relationships/hyperlink" Target="https://www.nytimes.com/1992/10/17/nyregion/shooting-followed-tougher-efforts-to-collect-child-support.html" TargetMode="External"/><Relationship Id="rId431" Type="http://schemas.openxmlformats.org/officeDocument/2006/relationships/hyperlink" Target="http://content.time.com/time/magazine/article/0,9171,93313-1,00.html" TargetMode="External"/><Relationship Id="rId529" Type="http://schemas.openxmlformats.org/officeDocument/2006/relationships/hyperlink" Target="https://www.ksl.com/article/2086836/man-accused-of-lying-about-weapon-reaches-plea-deal" TargetMode="External"/><Relationship Id="rId736" Type="http://schemas.openxmlformats.org/officeDocument/2006/relationships/hyperlink" Target="https://abc7.com/archive/9138446/" TargetMode="External"/><Relationship Id="rId1061" Type="http://schemas.openxmlformats.org/officeDocument/2006/relationships/hyperlink" Target="https://apnews.com/d1beacd8581b426e8555954f70c4c783" TargetMode="External"/><Relationship Id="rId168" Type="http://schemas.openxmlformats.org/officeDocument/2006/relationships/hyperlink" Target="https://www.chicagotribune.com/news/ct-xpm-1989-09-16-8901130452-story.html" TargetMode="External"/><Relationship Id="rId943" Type="http://schemas.openxmlformats.org/officeDocument/2006/relationships/hyperlink" Target="https://www.lvmpd.com/en-us/Documents/1-October-FIT-Criminal-Investigative-Report-FINAL_080318.pdf" TargetMode="External"/><Relationship Id="rId1019" Type="http://schemas.openxmlformats.org/officeDocument/2006/relationships/hyperlink" Target="https://www.latimes.com/local/lanow/la-me-ln-tehama-shooter-guns-20171121-story.html" TargetMode="External"/><Relationship Id="rId72" Type="http://schemas.openxmlformats.org/officeDocument/2006/relationships/hyperlink" Target="https://www.washingtonpost.com/archive/politics/1983/12/15/after-murder-rampage-a-test-of-survival/08bb8578-7f36-4dde-b3ce-076fbcb61aff/" TargetMode="External"/><Relationship Id="rId375" Type="http://schemas.openxmlformats.org/officeDocument/2006/relationships/hyperlink" Target="https://www.denverpost.com/1999/04/27/columbine-high-school-shooting-guns/" TargetMode="External"/><Relationship Id="rId582" Type="http://schemas.openxmlformats.org/officeDocument/2006/relationships/hyperlink" Target="https://www.niu.edu/forward/_pdfs/archives/feb14report.pdf" TargetMode="External"/><Relationship Id="rId803" Type="http://schemas.openxmlformats.org/officeDocument/2006/relationships/hyperlink" Target="https://www.oregonlive.com/pacific-northwest-news/2017/09/umpqua_community_college_inves.html" TargetMode="External"/><Relationship Id="rId3" Type="http://schemas.openxmlformats.org/officeDocument/2006/relationships/hyperlink" Target="https://www.theguardian.com/us-news/2017/oct/02/las-vegas-shooting-university-of-texas-tower" TargetMode="External"/><Relationship Id="rId235" Type="http://schemas.openxmlformats.org/officeDocument/2006/relationships/hyperlink" Target="https://law.justia.com/cases/california/supreme-court/4th/26/465.html" TargetMode="External"/><Relationship Id="rId442" Type="http://schemas.openxmlformats.org/officeDocument/2006/relationships/hyperlink" Target="https://www.chicagotribune.com/news/ct-xpm-2001-02-06-0102060231-story.html" TargetMode="External"/><Relationship Id="rId887" Type="http://schemas.openxmlformats.org/officeDocument/2006/relationships/hyperlink" Target="https://www.lvmpd.com/en-us/Documents/1-October-FIT-Criminal-Investigative-Report-FINAL_080318.pdf" TargetMode="External"/><Relationship Id="rId1072" Type="http://schemas.openxmlformats.org/officeDocument/2006/relationships/hyperlink" Target="https://www.cnn.com/2018/11/08/us/thousands-oaks-california-bar-shooting/index.html" TargetMode="External"/><Relationship Id="rId302" Type="http://schemas.openxmlformats.org/officeDocument/2006/relationships/hyperlink" Target="https://www.concordmonitor.com/Archive/2015/09/dregabook-cmforum-091315" TargetMode="External"/><Relationship Id="rId747" Type="http://schemas.openxmlformats.org/officeDocument/2006/relationships/hyperlink" Target="https://www.washingtonpost.com/wp-srv/special/local/navy-yard-shooting/scene-at-building-197/" TargetMode="External"/><Relationship Id="rId954" Type="http://schemas.openxmlformats.org/officeDocument/2006/relationships/hyperlink" Target="https://www.lvmpd.com/en-us/Documents/1-October-FIT-Criminal-Investigative-Report-FINAL_080318.pdf" TargetMode="External"/><Relationship Id="rId83" Type="http://schemas.openxmlformats.org/officeDocument/2006/relationships/hyperlink" Target="https://law.justia.com/cases/texas/court-of-criminal-appeals/1986/69268-4.html" TargetMode="External"/><Relationship Id="rId179" Type="http://schemas.openxmlformats.org/officeDocument/2006/relationships/hyperlink" Target="https://www.nytimes.com/1990/06/19/us/florida-gunman-kills-8-and-wounds-6-in-office.html" TargetMode="External"/><Relationship Id="rId386" Type="http://schemas.openxmlformats.org/officeDocument/2006/relationships/hyperlink" Target="https://www.vpc.org/studies/wgun990729.htm" TargetMode="External"/><Relationship Id="rId593" Type="http://schemas.openxmlformats.org/officeDocument/2006/relationships/hyperlink" Target="https://www.seattlepi.com/seattlenews/article/Isaac-Zamora-10781621.php" TargetMode="External"/><Relationship Id="rId607" Type="http://schemas.openxmlformats.org/officeDocument/2006/relationships/hyperlink" Target="https://www.thepilot.com/news/pinelake-at-a-decade-in-the-shadow-of-north-carolina/article_33d2be06-522a-11e9-b3d5-230b8a7f488f.html" TargetMode="External"/><Relationship Id="rId814" Type="http://schemas.openxmlformats.org/officeDocument/2006/relationships/hyperlink" Target="https://www.npr.org/sections/thetwo-way/2017/02/15/515326881/man-to-plead-guilty-to-buying-weapons-used-in-san-bernardino-attack" TargetMode="External"/><Relationship Id="rId246" Type="http://schemas.openxmlformats.org/officeDocument/2006/relationships/hyperlink" Target="https://www.fayobserver.com/news/20190806/from-archives-26-years-ago-today-tragedy-at-luigis" TargetMode="External"/><Relationship Id="rId453" Type="http://schemas.openxmlformats.org/officeDocument/2006/relationships/hyperlink" Target="https://www.wired.com/2001/09/co-worker-slaying-suspect-sought/" TargetMode="External"/><Relationship Id="rId660" Type="http://schemas.openxmlformats.org/officeDocument/2006/relationships/hyperlink" Target="https://everytownresearch.org/wp-content/uploads/2014/10/analysis-of-recent-mass-shootings.pdf" TargetMode="External"/><Relationship Id="rId898" Type="http://schemas.openxmlformats.org/officeDocument/2006/relationships/hyperlink" Target="https://www.lvmpd.com/en-us/Documents/1-October-FIT-Criminal-Investigative-Report-FINAL_080318.pdf" TargetMode="External"/><Relationship Id="rId1083" Type="http://schemas.openxmlformats.org/officeDocument/2006/relationships/hyperlink" Target="https://www.nbcnews.com/news/us-news/four-hospital-three-critical-after-12-killed-virginia-beach-shooting-n1012801" TargetMode="External"/><Relationship Id="rId106" Type="http://schemas.openxmlformats.org/officeDocument/2006/relationships/hyperlink" Target="https://oklahoman.com/article/2157408/authorities-piece-together-tragedy-gunman-at-edmond-post-office-knew-where-to-shoot-people" TargetMode="External"/><Relationship Id="rId313" Type="http://schemas.openxmlformats.org/officeDocument/2006/relationships/hyperlink" Target="https://www.latimes.com/archives/la-xpm-1997-dec-20-mn-431-story.html" TargetMode="External"/><Relationship Id="rId758" Type="http://schemas.openxmlformats.org/officeDocument/2006/relationships/hyperlink" Target="https://documents.latimes.com/isla-vista-investigative-summary/" TargetMode="External"/><Relationship Id="rId965" Type="http://schemas.openxmlformats.org/officeDocument/2006/relationships/hyperlink" Target="https://www.lvmpd.com/en-us/Documents/1-October-FIT-Criminal-Investigative-Report-FINAL_080318.pdf" TargetMode="External"/><Relationship Id="rId10" Type="http://schemas.openxmlformats.org/officeDocument/2006/relationships/hyperlink" Target="https://upload.wikimedia.org/wikipedia/commons/c/cc/Very-long-police-report.jpg" TargetMode="External"/><Relationship Id="rId94" Type="http://schemas.openxmlformats.org/officeDocument/2006/relationships/hyperlink" Target="https://books.google.com/books?id=Hr3OBwP-lbUC&amp;pg=PA232&amp;dq=abdelkrim+belachheb+no+formal+education&amp;hl=en&amp;sa=X&amp;ved=0ahUKEwjgtZ_68vXfAhXDpYMKHdLHAzYQ6AEIKDAA" TargetMode="External"/><Relationship Id="rId397" Type="http://schemas.openxmlformats.org/officeDocument/2006/relationships/hyperlink" Target="https://www.nytimes.com/1999/09/17/us/deaths-in-a-church-the-overview-an-angry-mystery-man-who-brought-death.html" TargetMode="External"/><Relationship Id="rId520" Type="http://schemas.openxmlformats.org/officeDocument/2006/relationships/hyperlink" Target="https://www.nytimes.com/2006/10/03/us/03amish.html" TargetMode="External"/><Relationship Id="rId618" Type="http://schemas.openxmlformats.org/officeDocument/2006/relationships/hyperlink" Target="https://schoolshooters.info/sites/default/files/Al-Salihi_v_Gander_Mountain.pdf" TargetMode="External"/><Relationship Id="rId825" Type="http://schemas.openxmlformats.org/officeDocument/2006/relationships/hyperlink" Target="https://www.wsj.com/articles/rifles-used-in-san-bernardino-shooting-illegal-under-state-law-1449201057" TargetMode="External"/><Relationship Id="rId257" Type="http://schemas.openxmlformats.org/officeDocument/2006/relationships/hyperlink" Target="https://www.wired.com/1994/06/rage/" TargetMode="External"/><Relationship Id="rId464" Type="http://schemas.openxmlformats.org/officeDocument/2006/relationships/hyperlink" Target="https://www.southbendtribune.com/news/local/bertrand-survivor-still-lives-with-nightmare/article_a1bf5e98-ee34-11e2-81df-0019bb30f31a.html" TargetMode="External"/><Relationship Id="rId1010" Type="http://schemas.openxmlformats.org/officeDocument/2006/relationships/hyperlink" Target="https://media.defense.gov/2018/Dec/07/2002070069/-1/-1/1/DODIG-2019-030_REDACTED.PDF" TargetMode="External"/><Relationship Id="rId1094" Type="http://schemas.openxmlformats.org/officeDocument/2006/relationships/hyperlink" Target="https://time.com/5643405/what-to-know-shooting-dayton-ohio/" TargetMode="External"/><Relationship Id="rId1108" Type="http://schemas.openxmlformats.org/officeDocument/2006/relationships/hyperlink" Target="https://www.usatoday.com/story/news/nation/2020/03/02/milwaukee-molson-coors-shooting-miller-brewery-anthony-ferrill/4928061002/" TargetMode="External"/><Relationship Id="rId117" Type="http://schemas.openxmlformats.org/officeDocument/2006/relationships/hyperlink" Target="https://www.nytimes.com/1987/04/25/us/florida-gunman-charged-with-killing-6.html" TargetMode="External"/><Relationship Id="rId671" Type="http://schemas.openxmlformats.org/officeDocument/2006/relationships/hyperlink" Target="https://www.leg.state.nv.us/App/NELIS/REL/77th2013/ExhibitDocument/OpenExhibitDocument?exhibitId=2560&amp;fileDownloadName=Power%20Point-Ken%20Furlong.pdf" TargetMode="External"/><Relationship Id="rId769" Type="http://schemas.openxmlformats.org/officeDocument/2006/relationships/hyperlink" Target="https://www.nytimes.com/2018/06/20/us/dylann-roof-fbi-lawsuits.html" TargetMode="External"/><Relationship Id="rId976" Type="http://schemas.openxmlformats.org/officeDocument/2006/relationships/hyperlink" Target="https://www.lvmpd.com/en-us/Documents/1-October-FIT-Criminal-Investigative-Report-FINAL_080318.pdf" TargetMode="External"/><Relationship Id="rId324" Type="http://schemas.openxmlformats.org/officeDocument/2006/relationships/hyperlink" Target="https://www.nytimes.com/1998/03/29/us/from-wild-talk-and-friendship-to-five-deaths-in-a-schoolyard.html?mcubz=0" TargetMode="External"/><Relationship Id="rId531" Type="http://schemas.openxmlformats.org/officeDocument/2006/relationships/hyperlink" Target="https://web.archive.org/web/20141006080559/http:/extras.mnginteractive.com/live/media/site297/2008/0129/20080129_023518_trolleyreport.pdf" TargetMode="External"/><Relationship Id="rId629" Type="http://schemas.openxmlformats.org/officeDocument/2006/relationships/hyperlink" Target="https://extremism.gwu.edu/sites/g/files/zaxdzs2191/f/Nidal%20Hasan.pdf" TargetMode="External"/><Relationship Id="rId836" Type="http://schemas.openxmlformats.org/officeDocument/2006/relationships/hyperlink" Target="https://www.mlive.com/news/kalamazoo/2016/03/police_believe_jason_dalton_us.html" TargetMode="External"/><Relationship Id="rId1021" Type="http://schemas.openxmlformats.org/officeDocument/2006/relationships/hyperlink" Target="https://www.aol.com/article/news/2017/11/17/california-mass-shooter-made-his-own-rifles/23280600/" TargetMode="External"/><Relationship Id="rId1119"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903" Type="http://schemas.openxmlformats.org/officeDocument/2006/relationships/hyperlink" Target="https://www.lvmpd.com/en-us/Documents/1-October-FIT-Criminal-Investigative-Report-FINAL_080318.pdf" TargetMode="External"/><Relationship Id="rId32" Type="http://schemas.openxmlformats.org/officeDocument/2006/relationships/hyperlink" Target="https://legeros.com/history/stories/north-hills/" TargetMode="External"/><Relationship Id="rId181" Type="http://schemas.openxmlformats.org/officeDocument/2006/relationships/hyperlink" Target="https://www.nytimes.com/1990/06/20/us/hazy-records-helped-florida-gunman-buy-arms.html" TargetMode="External"/><Relationship Id="rId279" Type="http://schemas.openxmlformats.org/officeDocument/2006/relationships/hyperlink" Target="https://www.vpc.org/studies/wgun950403.htm" TargetMode="External"/><Relationship Id="rId486" Type="http://schemas.openxmlformats.org/officeDocument/2006/relationships/hyperlink" Target="https://www.nytimes.com/2004/07/04/us/death-toll-rises-to-six-after-workplace-shooting.html" TargetMode="External"/><Relationship Id="rId693" Type="http://schemas.openxmlformats.org/officeDocument/2006/relationships/hyperlink" Target="https://www.seattletimes.com/seattle-news/gunman-a-life-full-of-rage-a-shocking-final-act/" TargetMode="External"/><Relationship Id="rId139" Type="http://schemas.openxmlformats.org/officeDocument/2006/relationships/hyperlink" Target="https://www.leagle.com/decision/incaco20090702055" TargetMode="External"/><Relationship Id="rId346" Type="http://schemas.openxmlformats.org/officeDocument/2006/relationships/hyperlink" Target="https://www.nytimes.com/1998/03/29/us/from-wild-talk-and-friendship-to-five-deaths-in-a-schoolyard.html?mcubz=0" TargetMode="External"/><Relationship Id="rId553" Type="http://schemas.openxmlformats.org/officeDocument/2006/relationships/hyperlink" Target="https://www.denverpost.com/2007/12/12/gunman-legally-amassed-weaponry-in-years-time/" TargetMode="External"/><Relationship Id="rId760" Type="http://schemas.openxmlformats.org/officeDocument/2006/relationships/hyperlink" Target="https://documents.latimes.com/isla-vista-investigative-summary/" TargetMode="External"/><Relationship Id="rId998" Type="http://schemas.openxmlformats.org/officeDocument/2006/relationships/hyperlink" Target="https://www.lvmpd.com/en-us/Documents/1-October-FIT-Criminal-Investigative-Report-FINAL_080318.pdf" TargetMode="External"/><Relationship Id="rId206" Type="http://schemas.openxmlformats.org/officeDocument/2006/relationships/hyperlink" Target="https://www.latimes.com/archives/la-xpm-1992-06-07-tm-411-story.html" TargetMode="External"/><Relationship Id="rId413" Type="http://schemas.openxmlformats.org/officeDocument/2006/relationships/hyperlink" Target="https://www.tampabay.com/archive/2000/01/01/common-legal-weapons-used-in-hotel-slayings/" TargetMode="External"/><Relationship Id="rId858" Type="http://schemas.openxmlformats.org/officeDocument/2006/relationships/hyperlink" Target="https://www.wsj.com/articles/dallas-chief-david-brown-urges-protesters-to-join-police-force-1468273328" TargetMode="External"/><Relationship Id="rId1043" Type="http://schemas.openxmlformats.org/officeDocument/2006/relationships/hyperlink" Target="https://chicago.cbslocal.com/2019/03/14/waffle-house-shooting-father-charged-reinking/" TargetMode="External"/><Relationship Id="rId620" Type="http://schemas.openxmlformats.org/officeDocument/2006/relationships/hyperlink" Target="https://www.seattletimes.com/nation-world/ny-mass-shooting-survivor-wants-magazine-limits/" TargetMode="External"/><Relationship Id="rId718" Type="http://schemas.openxmlformats.org/officeDocument/2006/relationships/hyperlink" Target="https://www.ct.gov/oca/lib/oca/sandyhook11212014.pdf" TargetMode="External"/><Relationship Id="rId925" Type="http://schemas.openxmlformats.org/officeDocument/2006/relationships/hyperlink" Target="https://www.lvmpd.com/en-us/Documents/1-October-FIT-Criminal-Investigative-Report-FINAL_080318.pdf" TargetMode="External"/><Relationship Id="rId1110" Type="http://schemas.openxmlformats.org/officeDocument/2006/relationships/hyperlink" Target="https://www.usatoday.com/story/news/nation/2020/03/02/milwaukee-molson-coors-shooting-miller-brewery-anthony-ferrill/4928061002/" TargetMode="External"/><Relationship Id="rId54" Type="http://schemas.openxmlformats.org/officeDocument/2006/relationships/hyperlink" Target="https://media.kxan.com/nxs-kxantv-media-us-east-1/catalyst/mass-violence/story.html" TargetMode="External"/><Relationship Id="rId270" Type="http://schemas.openxmlformats.org/officeDocument/2006/relationships/hyperlink" Target="https://www.nytimes.com/1993/12/12/nyregion/tormented-life-special-report-long-slide-privilege-ends-slaughter-train.html" TargetMode="External"/><Relationship Id="rId130" Type="http://schemas.openxmlformats.org/officeDocument/2006/relationships/hyperlink" Target="https://www.washingtonpost.com/archive/politics/1988/02/18/sudden-death-in-sunnyvale/4f50e5d7-0804-4a56-a2af-ced693c3b577/" TargetMode="External"/><Relationship Id="rId368" Type="http://schemas.openxmlformats.org/officeDocument/2006/relationships/hyperlink" Target="http://www.cnn.com/SPECIALS/2000/columbine.cd/Pages/EQUIPMENT_TEXT.htm" TargetMode="External"/><Relationship Id="rId575" Type="http://schemas.openxmlformats.org/officeDocument/2006/relationships/hyperlink" Target="http://content.time.com/time/nation/article/0,8599,1714069,00.html" TargetMode="External"/><Relationship Id="rId782" Type="http://schemas.openxmlformats.org/officeDocument/2006/relationships/hyperlink" Target="https://www.nbcnews.com/storyline/chattanooga-shooting/chattanooga-shooting-attacker-had-least-three-guns-authorities-say-n394046" TargetMode="External"/><Relationship Id="rId228" Type="http://schemas.openxmlformats.org/officeDocument/2006/relationships/hyperlink" Target="https://www.sanluisobispo.com/news/local/news-columns-blogs/photos-from-the-vault/article217891420.html" TargetMode="External"/><Relationship Id="rId435" Type="http://schemas.openxmlformats.org/officeDocument/2006/relationships/hyperlink" Target="https://www.cnn.com/2001/US/02/07/plant.shootings/" TargetMode="External"/><Relationship Id="rId642" Type="http://schemas.openxmlformats.org/officeDocument/2006/relationships/hyperlink" Target="https://casetext.com/case/people-v-galstyan" TargetMode="External"/><Relationship Id="rId1065" Type="http://schemas.openxmlformats.org/officeDocument/2006/relationships/hyperlink" Target="https://apnews.com/d1beacd8581b426e8555954f70c4c783" TargetMode="External"/><Relationship Id="rId502" Type="http://schemas.openxmlformats.org/officeDocument/2006/relationships/hyperlink" Target="http://www.indexjournal.com/news/movingbeyond/where-did-they-get-the-guns/article_bc17a854-ed76-5604-9d3b-dc3212b84ef0.html" TargetMode="External"/><Relationship Id="rId947" Type="http://schemas.openxmlformats.org/officeDocument/2006/relationships/hyperlink" Target="https://www.lvmpd.com/en-us/Documents/1-October-FIT-Criminal-Investigative-Report-FINAL_080318.pdf" TargetMode="External"/><Relationship Id="rId76" Type="http://schemas.openxmlformats.org/officeDocument/2006/relationships/hyperlink" Target="https://law.justia.com/cases/texas/court-of-criminal-appeals/1986/69268-4.html" TargetMode="External"/><Relationship Id="rId807" Type="http://schemas.openxmlformats.org/officeDocument/2006/relationships/hyperlink" Target="https://www.theeagle.com/news/crime/jurors-in-hudson-capital-murder-trial-watch-video-of-interrogation/article_c26c9a38-c0c7-11e7-888c-07336468f0dc.html" TargetMode="External"/><Relationship Id="rId292" Type="http://schemas.openxmlformats.org/officeDocument/2006/relationships/hyperlink" Target="https://apnews.com/cec11122f0b4c232725599b3ae3d7bcf" TargetMode="External"/><Relationship Id="rId597" Type="http://schemas.openxmlformats.org/officeDocument/2006/relationships/hyperlink" Target="https://www.seattlepi.com/seattlenews/article/Isaac-Zamora-10781621.php" TargetMode="External"/><Relationship Id="rId152" Type="http://schemas.openxmlformats.org/officeDocument/2006/relationships/hyperlink" Target="https://schoolshooters.info/sites/default/files/Purdy%20-%20official%20report.pdf" TargetMode="External"/><Relationship Id="rId457" Type="http://schemas.openxmlformats.org/officeDocument/2006/relationships/hyperlink" Target="https://www.sfgate.com/news/article/Sacramento-rampage-5-shot-dead-Slayer-kills-2881164.php" TargetMode="External"/><Relationship Id="rId1087" Type="http://schemas.openxmlformats.org/officeDocument/2006/relationships/hyperlink" Target="https://apnews.com/f519fb0254de409d93a751e4fa1f8e0b/" TargetMode="External"/><Relationship Id="rId664" Type="http://schemas.openxmlformats.org/officeDocument/2006/relationships/hyperlink" Target="https://everytownresearch.org/wp-content/uploads/2014/10/analysis-of-recent-mass-shootings.pdf" TargetMode="External"/><Relationship Id="rId871" Type="http://schemas.openxmlformats.org/officeDocument/2006/relationships/hyperlink" Target="https://www.lvmpd.com/en-us/Documents/1-October-FIT-Criminal-Investigative-Report-FINAL_080318.pdf" TargetMode="External"/><Relationship Id="rId969" Type="http://schemas.openxmlformats.org/officeDocument/2006/relationships/hyperlink" Target="https://www.lvmpd.com/en-us/Documents/1-October-FIT-Criminal-Investigative-Report-FINAL_080318.pdf" TargetMode="External"/><Relationship Id="rId317" Type="http://schemas.openxmlformats.org/officeDocument/2006/relationships/hyperlink" Target="https://www.latimes.com/archives/la-xpm-1998-jan-25-mn-12112-story.html" TargetMode="External"/><Relationship Id="rId524" Type="http://schemas.openxmlformats.org/officeDocument/2006/relationships/hyperlink" Target="https://www.nytimes.com/2006/10/03/us/03amish.html" TargetMode="External"/><Relationship Id="rId731" Type="http://schemas.openxmlformats.org/officeDocument/2006/relationships/hyperlink" Target="https://www.seattletimes.com/seattle-news/witnesses-among-5-dead-in-federal-way/" TargetMode="External"/><Relationship Id="rId98" Type="http://schemas.openxmlformats.org/officeDocument/2006/relationships/hyperlink" Target="https://www.vpc.org/studies/wgun840718.htm" TargetMode="External"/><Relationship Id="rId829" Type="http://schemas.openxmlformats.org/officeDocument/2006/relationships/hyperlink" Target="https://www.cnn.com/2015/12/03/us/syed-farook-tashfeen-malik-mass-shooting-profile/index.html" TargetMode="External"/><Relationship Id="rId1014" Type="http://schemas.openxmlformats.org/officeDocument/2006/relationships/hyperlink" Target="https://www.latimes.com/local/lanow/la-me-ln-tehama-shooter-guns-20171121-story.html" TargetMode="External"/></Relationships>
</file>

<file path=xl/worksheets/_rels/sheet8.xml.rels><?xml version="1.0" encoding="UTF-8" standalone="yes"?>
<Relationships xmlns="http://schemas.openxmlformats.org/package/2006/relationships"><Relationship Id="rId1522" Type="http://schemas.openxmlformats.org/officeDocument/2006/relationships/hyperlink" Target="https://www.npr.org/sections/thetwo-way/2016/06/12/481785763/heres-what-we-know-about-the-orlando-shooting-victims" TargetMode="External"/><Relationship Id="rId1827" Type="http://schemas.openxmlformats.org/officeDocument/2006/relationships/hyperlink" Target="https://www.cnn.com/2018/05/18/us/texas-school-shooting-victims/index.html" TargetMode="External"/><Relationship Id="rId21" Type="http://schemas.openxmlformats.org/officeDocument/2006/relationships/hyperlink" Target="https://www.newspapers.com/image/?clipping_id=3420707&amp;fcfToken=eyJhbGciOiJIUzI1NiIsInR5cCI6IkpXVCJ9.eyJmcmVlLXZpZXctaWQiOjE5NTc1MDI1LCJpYXQiOjE1ODIyMTQyMjIsImV4cCI6MTU4MjMwMDYyMn0.zDflTsX9-OOvCv1GkyBlfCYAJG_vqITVra0HZfGKX94" TargetMode="External"/><Relationship Id="rId170" Type="http://schemas.openxmlformats.org/officeDocument/2006/relationships/hyperlink" Target="https://www.nytimes.com/1984/06/30/us/6-die-in-dallas-club-as-enraged-man-fires-wildly.html" TargetMode="External"/><Relationship Id="rId268" Type="http://schemas.openxmlformats.org/officeDocument/2006/relationships/hyperlink" Target="https://www.washingtonpost.com/archive/politics/1988/02/18/sudden-death-in-sunnyvale/4f50e5d7-0804-4a56-a2af-ced693c3b577/" TargetMode="External"/><Relationship Id="rId475" Type="http://schemas.openxmlformats.org/officeDocument/2006/relationships/hyperlink" Target="https://apnews.com/d0126666cf574fca9f1e9c109cb4c923" TargetMode="External"/><Relationship Id="rId682" Type="http://schemas.openxmlformats.org/officeDocument/2006/relationships/hyperlink" Target="https://murderpedia.org/male.H/h/harris-robert-wayne-photos.htm" TargetMode="External"/><Relationship Id="rId128" Type="http://schemas.openxmlformats.org/officeDocument/2006/relationships/hyperlink" Target="https://www.nytimes.com/1982/08/21/us/gunman-in-miami-kills-8-in-rampage.html" TargetMode="External"/><Relationship Id="rId335" Type="http://schemas.openxmlformats.org/officeDocument/2006/relationships/hyperlink" Target="https://kdhnews.com/news/survivors-reflect-on-oct-luby-s-shooting/article_e2660bfc-d24a-5566-a65f-a67a9fe6365b.html" TargetMode="External"/><Relationship Id="rId542" Type="http://schemas.openxmlformats.org/officeDocument/2006/relationships/hyperlink" Target="https://www.nytimes.com/1997/12/20/us/dismissed-worker-kills-4-and-then-is-slain.html?mcubz=3" TargetMode="External"/><Relationship Id="rId987" Type="http://schemas.openxmlformats.org/officeDocument/2006/relationships/hyperlink" Target="http://www.nbcnews.com/id/29199551/ns/us_news-crime_and_courts/t/niu-shooting-victims-mourn-lives-lost/" TargetMode="External"/><Relationship Id="rId1172" Type="http://schemas.openxmlformats.org/officeDocument/2006/relationships/hyperlink" Target="http://www.ktvn.com/story/19478467/one-year-anniversary-of-ihop-shooting" TargetMode="External"/><Relationship Id="rId2016" Type="http://schemas.openxmlformats.org/officeDocument/2006/relationships/hyperlink" Target="https://www.npr.org/2019/09/02/756772750/texas-gunman-who-killed-7-had-been-fired-just-hours-before-shootings-reports" TargetMode="External"/><Relationship Id="rId402" Type="http://schemas.openxmlformats.org/officeDocument/2006/relationships/hyperlink" Target="https://books.google.com/books?id=loF2dHl2MJcC&amp;pg=PA199&amp;lpg=PA199&amp;dq=john+miller+mass+shooting+1992+victim+denise&amp;source=bl&amp;ots=bff_VddSUC&amp;sig=ACfU3U2IzdlkeiqFIqtYffObWz8y4Phz9Q&amp;hl=en&amp;ppis=_e&amp;sa=X&amp;ved=2ahUKEwj-8sGh86boAhXPXM0KHUFRBUIQ6AEwA3oECAwQAQ" TargetMode="External"/><Relationship Id="rId847" Type="http://schemas.openxmlformats.org/officeDocument/2006/relationships/hyperlink" Target="https://www.cbsnews.com/news/postal-shooters-bizarre-behavior/" TargetMode="External"/><Relationship Id="rId1032" Type="http://schemas.openxmlformats.org/officeDocument/2006/relationships/hyperlink" Target="https://www.pressconnects.com/story/news/local/2019/03/27/aca-american-civic-association-binghamton-shooting-victims-obituaries/3224600002/" TargetMode="External"/><Relationship Id="rId1477" Type="http://schemas.openxmlformats.org/officeDocument/2006/relationships/hyperlink" Target="https://www.nytimes.com/interactive/projects/cp/us/orlando-shooting-victims/juan-chavez-martinez" TargetMode="External"/><Relationship Id="rId1684" Type="http://schemas.openxmlformats.org/officeDocument/2006/relationships/hyperlink" Target="https://www.findagrave.com/memorial/183923809/cameron-lee-robinson" TargetMode="External"/><Relationship Id="rId1891" Type="http://schemas.openxmlformats.org/officeDocument/2006/relationships/hyperlink" Target="https://www.ajc.com/news/national/thousand-oaks-shooting-what-know-about-the-victims/9QraYxz120zL2OsCfuuuhP/" TargetMode="External"/><Relationship Id="rId707" Type="http://schemas.openxmlformats.org/officeDocument/2006/relationships/hyperlink" Target="https://www.gettyimages.com/detail/news-photo/brian-britney-walks-back-to-his-seat-after-placing-a-flower-news-photo/51972772?adppopup=true" TargetMode="External"/><Relationship Id="rId914" Type="http://schemas.openxmlformats.org/officeDocument/2006/relationships/hyperlink" Target="https://www.remembrance.vt.edu/biographies/hilscher.html" TargetMode="External"/><Relationship Id="rId1337" Type="http://schemas.openxmlformats.org/officeDocument/2006/relationships/hyperlink" Target="https://www.nbcnews.com/storyline/marysville-school-shooting/third-marysville-high-school-shooting-victim-dies-n238911" TargetMode="External"/><Relationship Id="rId1544" Type="http://schemas.openxmlformats.org/officeDocument/2006/relationships/hyperlink" Target="https://www.nytimes.com/2016/07/09/us/dallas-police-shooting.html" TargetMode="External"/><Relationship Id="rId1751" Type="http://schemas.openxmlformats.org/officeDocument/2006/relationships/hyperlink" Target="https://www.npr.org/2017/11/08/562740147/nobody-there-grandmother-lost-2-grandkids-daughter-in-law-at-texas-church" TargetMode="External"/><Relationship Id="rId1989" Type="http://schemas.openxmlformats.org/officeDocument/2006/relationships/hyperlink" Target="https://www.cnn.com/2019/08/04/us/el-paso-shooting-victims/index.html" TargetMode="External"/><Relationship Id="rId43" Type="http://schemas.openxmlformats.org/officeDocument/2006/relationships/hyperlink" Target="https://www.nydailynews.com/news/crime/experts-clueless-man-fatally-shot-50-years-article-1.3548519" TargetMode="External"/><Relationship Id="rId1404" Type="http://schemas.openxmlformats.org/officeDocument/2006/relationships/hyperlink" Target="https://www.washingtonpost.com/news/post-nation/wp/2016/12/02/one-year-after-san-bernardino-police-offer-a-possible-motive-as-questions-still-linger/" TargetMode="External"/><Relationship Id="rId1611" Type="http://schemas.openxmlformats.org/officeDocument/2006/relationships/hyperlink" Target="https://www.latimes.com/projects/la-na-las-vegas-shootings-victims-list-20171002/" TargetMode="External"/><Relationship Id="rId1849" Type="http://schemas.openxmlformats.org/officeDocument/2006/relationships/hyperlink" Target="https://www.bakersfield.com/ex-wife-in-mass-shooting-had-just-filed-for-child/article_8d7510c2-bc38-11e8-bc73-c3793e2ec681.html" TargetMode="External"/><Relationship Id="rId192" Type="http://schemas.openxmlformats.org/officeDocument/2006/relationships/hyperlink" Target="https://www.findagrave.com/memorial/39822536/hugo-luis-velazquez_vazquez" TargetMode="External"/><Relationship Id="rId1709" Type="http://schemas.openxmlformats.org/officeDocument/2006/relationships/hyperlink" Target="https://www.latimes.com/projects/la-na-las-vegas-shootings-victims-list-20171002/" TargetMode="External"/><Relationship Id="rId1916" Type="http://schemas.openxmlformats.org/officeDocument/2006/relationships/hyperlink" Target="https://www.washingtonpost.com/nation/2019/02/16/man-kills-five-warehouse-shooting-spree-shortly-after-being-fired-illinois-police-say/" TargetMode="External"/><Relationship Id="rId497" Type="http://schemas.openxmlformats.org/officeDocument/2006/relationships/hyperlink" Target="https://www.nytimes.com/1995/12/20/us/5-are-killed-by-gunman-in-bronx-shoe-store.html" TargetMode="External"/><Relationship Id="rId357" Type="http://schemas.openxmlformats.org/officeDocument/2006/relationships/hyperlink" Target="https://kdhnews.com/news/survivors-reflect-on-oct-luby-s-shooting/article_e2660bfc-d24a-5566-a65f-a67a9fe6365b.html" TargetMode="External"/><Relationship Id="rId1194" Type="http://schemas.openxmlformats.org/officeDocument/2006/relationships/hyperlink" Target="https://www.latimes.com/local/lanow/la-me-ln-scott-dekraai-sentencing-20170922-story.html" TargetMode="External"/><Relationship Id="rId2038" Type="http://schemas.openxmlformats.org/officeDocument/2006/relationships/hyperlink" Target="https://abcnews.go.com/US/molson-coors-reopens-increased-security-mass-shooting-killed/story?id=69333618" TargetMode="External"/><Relationship Id="rId217" Type="http://schemas.openxmlformats.org/officeDocument/2006/relationships/hyperlink" Target="https://web.archive.org/save/https:/oklahoman.com/article/5514879/survivors-and-friends-gather-for-edmond-post-office-massacre-anniversary" TargetMode="External"/><Relationship Id="rId564" Type="http://schemas.openxmlformats.org/officeDocument/2006/relationships/hyperlink" Target="https://www.klcc.org/post/klcc-special-documentary-thurston-high-school-shooting-20-years-later" TargetMode="External"/><Relationship Id="rId771" Type="http://schemas.openxmlformats.org/officeDocument/2006/relationships/hyperlink" Target="https://www.nwitimes.com/news/local/victims-of-warehouse-shootings-remembered-by-relatives-friends/article_2f780ece-0162-5838-82ac-6ab889824d22.html" TargetMode="External"/><Relationship Id="rId869" Type="http://schemas.openxmlformats.org/officeDocument/2006/relationships/hyperlink" Target="https://www.wafb.com/story/4931012/gunman-accused-of-church-shooting-makes-court-appearance/" TargetMode="External"/><Relationship Id="rId1499" Type="http://schemas.openxmlformats.org/officeDocument/2006/relationships/hyperlink" Target="https://www.npr.org/sections/thetwo-way/2016/06/12/481785763/heres-what-we-know-about-the-orlando-shooting-victims" TargetMode="External"/><Relationship Id="rId424" Type="http://schemas.openxmlformats.org/officeDocument/2006/relationships/hyperlink" Target="https://www.nytimes.com/1993/07/03/us/the-broker-who-killed-8-gunman-s-motives-a-puzzle.html" TargetMode="External"/><Relationship Id="rId631" Type="http://schemas.openxmlformats.org/officeDocument/2006/relationships/hyperlink" Target="https://www.nytimes.com/1999/07/31/us/shootings-in-atlanta-the-victims-drawn-to-their-deaths-by-lives-in-day-trading.html" TargetMode="External"/><Relationship Id="rId729" Type="http://schemas.openxmlformats.org/officeDocument/2006/relationships/hyperlink" Target="https://www.denverpost.com/2015/04/03/insanity-ruling-angers-families-of-rifile-shooting-victims/" TargetMode="External"/><Relationship Id="rId1054" Type="http://schemas.openxmlformats.org/officeDocument/2006/relationships/hyperlink" Target="https://www.nytimes.com/2009/04/12/nyregion/12binghamton.html" TargetMode="External"/><Relationship Id="rId1261" Type="http://schemas.openxmlformats.org/officeDocument/2006/relationships/hyperlink" Target="https://www.businessinsider.com/who-were-the-victims-of-the-sandy-hook-shooting-2017-12" TargetMode="External"/><Relationship Id="rId1359" Type="http://schemas.openxmlformats.org/officeDocument/2006/relationships/hyperlink" Target="https://www.washingtonpost.com/graphics/national/chattanooga-tennessee-shooting-victims/" TargetMode="External"/><Relationship Id="rId936" Type="http://schemas.openxmlformats.org/officeDocument/2006/relationships/hyperlink" Target="https://www.npr.org/2007/04/18/9618673/remembering-virginia-techs-shooting-victims" TargetMode="External"/><Relationship Id="rId1121" Type="http://schemas.openxmlformats.org/officeDocument/2006/relationships/hyperlink" Target="https://www.legacy.com/amp/obituaries/buffalonews/144815145" TargetMode="External"/><Relationship Id="rId1219" Type="http://schemas.openxmlformats.org/officeDocument/2006/relationships/hyperlink" Target="https://www.cbsnews.com/pictures/the-aurora-shooting-victims/8/" TargetMode="External"/><Relationship Id="rId1566" Type="http://schemas.openxmlformats.org/officeDocument/2006/relationships/hyperlink" Target="https://www.sun-sentinel.com/local/broward/fl-reg-esteban-santiago-pleads-guilty-airport-shooting-20180523-story.html" TargetMode="External"/><Relationship Id="rId1773" Type="http://schemas.openxmlformats.org/officeDocument/2006/relationships/hyperlink" Target="https://www.foxnews.com/us/pennsylvania-car-wash-alleged-gunman-had-run-in-with-target-before-deadly-shooting-family-sayshttps:/www.foxnews.com/us/pennsylvania-car-wash-alleged-gunman-had-run-in-with-target-before-deadly-shooting-family-says" TargetMode="External"/><Relationship Id="rId1980" Type="http://schemas.openxmlformats.org/officeDocument/2006/relationships/hyperlink" Target="https://www.theguardian.com/us-news/2019/aug/09/el-paso-shooting-victims" TargetMode="External"/><Relationship Id="rId65" Type="http://schemas.openxmlformats.org/officeDocument/2006/relationships/hyperlink" Target="https://www.nydailynews.com/news/crime/fullerton-massacre-shooter-begs-freed-psych-hospital-article-1.2669940" TargetMode="External"/><Relationship Id="rId1426" Type="http://schemas.openxmlformats.org/officeDocument/2006/relationships/hyperlink" Target="https://www.washingtonpost.com/news/post-nation/wp/2016/12/02/one-year-after-san-bernardino-police-offer-a-possible-motive-as-questions-still-linger/" TargetMode="External"/><Relationship Id="rId1633" Type="http://schemas.openxmlformats.org/officeDocument/2006/relationships/hyperlink" Target="https://www.latimes.com/projects/la-na-las-vegas-shootings-victims-list-20171002/" TargetMode="External"/><Relationship Id="rId1840" Type="http://schemas.openxmlformats.org/officeDocument/2006/relationships/hyperlink" Target="https://baltimore.cbslocal.com/2019/06/28/capital-gazette-shooting-year-later/" TargetMode="External"/><Relationship Id="rId1700" Type="http://schemas.openxmlformats.org/officeDocument/2006/relationships/hyperlink" Target="https://www.latimes.com/projects/la-na-las-vegas-shootings-victims-list-20171002/" TargetMode="External"/><Relationship Id="rId1938" Type="http://schemas.openxmlformats.org/officeDocument/2006/relationships/hyperlink" Target="https://www.legacy.com/obituaries/pilotonline/obituary.aspx?n=richard-nettleton&amp;pid=193066407&amp;fhid=15626" TargetMode="External"/><Relationship Id="rId281" Type="http://schemas.openxmlformats.org/officeDocument/2006/relationships/hyperlink" Target="https://www.chicagotribune.com/news/ct-xpm-1988-09-23-8802010552-story.html" TargetMode="External"/><Relationship Id="rId141" Type="http://schemas.openxmlformats.org/officeDocument/2006/relationships/hyperlink" Target="https://www.washingtonpost.com/archive/politics/1983/12/15/after-murder-rampage-a-test-of-survival/08bb8578-7f36-4dde-b3ce-076fbcb61aff/?noredirect=on" TargetMode="External"/><Relationship Id="rId379" Type="http://schemas.openxmlformats.org/officeDocument/2006/relationships/hyperlink" Target="https://www.nytimes.com/1991/11/15/us/ex-postal-worker-kills-3-and-wounds-6-in-michigan.html" TargetMode="External"/><Relationship Id="rId586" Type="http://schemas.openxmlformats.org/officeDocument/2006/relationships/hyperlink" Target="https://kfor.com/news/15th-anniversary-of-tragic-columbine-high-school-shooting-heres-the-background/" TargetMode="External"/><Relationship Id="rId793" Type="http://schemas.openxmlformats.org/officeDocument/2006/relationships/hyperlink" Target="https://chippewa.com/news/sixth-hunter-dies-from-shooting/article_d22e4fca-621a-5bd1-a457-83d0af47bf18.html" TargetMode="External"/><Relationship Id="rId7" Type="http://schemas.openxmlformats.org/officeDocument/2006/relationships/hyperlink" Target="http://behindthetower.org/the-victims/" TargetMode="External"/><Relationship Id="rId239"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46" Type="http://schemas.openxmlformats.org/officeDocument/2006/relationships/hyperlink" Target="https://www.latimes.com/archives/la-xpm-1993-12-04-me-63798-story.html" TargetMode="External"/><Relationship Id="rId653" Type="http://schemas.openxmlformats.org/officeDocument/2006/relationships/hyperlink" Target="http://www.sbclife.net/article/521/remembering-the-slain" TargetMode="External"/><Relationship Id="rId1076" Type="http://schemas.openxmlformats.org/officeDocument/2006/relationships/hyperlink" Target="https://www.kwtx.com/content/news/10-minutes-of-gunfire-10-years-ago-left-13-dead-more-than-30-injured-564365711.html" TargetMode="External"/><Relationship Id="rId1283" Type="http://schemas.openxmlformats.org/officeDocument/2006/relationships/hyperlink" Target="https://www.federalwaymirror.com/news/mother-grieves-for-daughter-killed-in-apartment-shooting/" TargetMode="External"/><Relationship Id="rId1490" Type="http://schemas.openxmlformats.org/officeDocument/2006/relationships/hyperlink" Target="https://www.npr.org/sections/thetwo-way/2016/06/12/481785763/heres-what-we-know-about-the-orlando-shooting-victims" TargetMode="External"/><Relationship Id="rId306" Type="http://schemas.openxmlformats.org/officeDocument/2006/relationships/hyperlink" Target="https://www.courier-journal.com/in-depth/news/local/2019/09/12/louisvilles-standard-gravure-shooting-anniversary-all-victims/2284348001/" TargetMode="External"/><Relationship Id="rId860" Type="http://schemas.openxmlformats.org/officeDocument/2006/relationships/hyperlink" Target="https://archive.seattletimes.com/archive/?date=20060718&amp;slug=huff18m" TargetMode="External"/><Relationship Id="rId958" Type="http://schemas.openxmlformats.org/officeDocument/2006/relationships/hyperlink" Target="https://www.omaha.com/news/local/von-maur-victims-jesuits-honor-example-set-by-john-mcdonald/article_83860e84-c348-11e7-ab07-bb18ff0e5422.html" TargetMode="External"/><Relationship Id="rId1143" Type="http://schemas.openxmlformats.org/officeDocument/2006/relationships/hyperlink" Target="https://www.nytimes.com/2011/01/09/us/politics/09giffords.html" TargetMode="External"/><Relationship Id="rId1588" Type="http://schemas.openxmlformats.org/officeDocument/2006/relationships/hyperlink" Target="https://www.washingtonpost.com/news/post-nation/wp/2017/06/05/multiple-people-killed-in-shooting-at-florida-business/" TargetMode="External"/><Relationship Id="rId1795" Type="http://schemas.openxmlformats.org/officeDocument/2006/relationships/hyperlink" Target="https://www.cnn.com/2018/02/15/us/florida-shooting-victims-school/index.html" TargetMode="External"/><Relationship Id="rId87" Type="http://schemas.openxmlformats.org/officeDocument/2006/relationships/hyperlink" Target="https://news.google.com/newspapers?id=xtNWAAAAIBAJ&amp;sjid=O_kDAAAAIBAJ&amp;pg=5283%2C2408948" TargetMode="External"/><Relationship Id="rId513" Type="http://schemas.openxmlformats.org/officeDocument/2006/relationships/hyperlink" Target="https://www.latimes.com/archives/la-xpm-1996-04-25-mn-62698-story.html" TargetMode="External"/><Relationship Id="rId720" Type="http://schemas.openxmlformats.org/officeDocument/2006/relationships/hyperlink" Target="https://www.cbsnews.com/news/workers-grieve-after-rampage/" TargetMode="External"/><Relationship Id="rId818" Type="http://schemas.openxmlformats.org/officeDocument/2006/relationships/hyperlink" Target="https://apnews.com/21e763deab129b81690d84cdebd25c5b" TargetMode="External"/><Relationship Id="rId1350" Type="http://schemas.openxmlformats.org/officeDocument/2006/relationships/hyperlink" Target="https://www.nytimes.com/2015/06/20/us/charleston-shooting-dylann-storm-roof.html" TargetMode="External"/><Relationship Id="rId1448" Type="http://schemas.openxmlformats.org/officeDocument/2006/relationships/hyperlink" Target="https://pittsburgh.cbslocal.com/2020/02/14/families-of-wilkinsburg-mass-shooting-justice/" TargetMode="External"/><Relationship Id="rId1655" Type="http://schemas.openxmlformats.org/officeDocument/2006/relationships/hyperlink" Target="https://www.latimes.com/projects/la-na-las-vegas-shootings-victims-list-20171002/" TargetMode="External"/><Relationship Id="rId1003" Type="http://schemas.openxmlformats.org/officeDocument/2006/relationships/hyperlink" Target="https://www.14news.com/story/8551083/update-suspect-and-victims-names-released/" TargetMode="External"/><Relationship Id="rId1210" Type="http://schemas.openxmlformats.org/officeDocument/2006/relationships/hyperlink" Target="https://www.seattlepi.com/local/article/shooters-last-victim-remembered-as-loving-mother-wife-3620757.php" TargetMode="External"/><Relationship Id="rId1308" Type="http://schemas.openxmlformats.org/officeDocument/2006/relationships/hyperlink" Target="https://www.cnn.com/2013/09/17/us/dc-navy-yard-victims/index.html" TargetMode="External"/><Relationship Id="rId1862" Type="http://schemas.openxmlformats.org/officeDocument/2006/relationships/hyperlink" Target="https://www.npr.org/2018/10/28/661530860/pittsburgh-synagogue-shooting-victims-identified" TargetMode="External"/><Relationship Id="rId1515" Type="http://schemas.openxmlformats.org/officeDocument/2006/relationships/hyperlink" Target="https://www.npr.org/sections/thetwo-way/2016/06/12/481785763/heres-what-we-know-about-the-orlando-shooting-victims" TargetMode="External"/><Relationship Id="rId1722" Type="http://schemas.openxmlformats.org/officeDocument/2006/relationships/hyperlink" Target="https://www.findagrave.com/memorial/184993737/emily-rose-hill" TargetMode="External"/><Relationship Id="rId14" Type="http://schemas.openxmlformats.org/officeDocument/2006/relationships/hyperlink" Target="http://behindthetower.org/a-brief-history-of-mass-shootings" TargetMode="External"/><Relationship Id="rId163" Type="http://schemas.openxmlformats.org/officeDocument/2006/relationships/hyperlink" Target="https://www.nytimes.com/1984/06/30/us/6-die-in-dallas-club-as-enraged-man-fires-wildly.html" TargetMode="External"/><Relationship Id="rId370" Type="http://schemas.openxmlformats.org/officeDocument/2006/relationships/hyperlink" Target="https://www.washingtonpost.com/archive/politics/1991/11/11/gunman-kills-four-and-self-in-kentucky/c3111990-c0ec-48f8-9200-4fa837a1dba4/" TargetMode="External"/><Relationship Id="rId230"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68" Type="http://schemas.openxmlformats.org/officeDocument/2006/relationships/hyperlink" Target="https://www.nytimes.com/1994/06/22/us/an-airman-s-revenge-5-minutes-of-terror.html" TargetMode="External"/><Relationship Id="rId675" Type="http://schemas.openxmlformats.org/officeDocument/2006/relationships/hyperlink" Target="https://www.dallasnews.com/news/2012/09/20/texas-executes-man-who-murdered-5-at-irving-car-wash-12-years-ago/" TargetMode="External"/><Relationship Id="rId882" Type="http://schemas.openxmlformats.org/officeDocument/2006/relationships/hyperlink" Target="https://www.ksl.com/index.php?&amp;sid=891728" TargetMode="External"/><Relationship Id="rId1098" Type="http://schemas.openxmlformats.org/officeDocument/2006/relationships/hyperlink" Target="https://www.cbsnews.com/news/florida-man-kills-four-women-in-restaurant-shooting-police-say/" TargetMode="External"/><Relationship Id="rId328" Type="http://schemas.openxmlformats.org/officeDocument/2006/relationships/hyperlink" Target="https://www.nytimes.com/1991/10/11/nyregion/4-slain-in-2-new-jersey-attacks-and-former-postal-clerk-is-held.html?auth=login-email&amp;login=email" TargetMode="External"/><Relationship Id="rId535" Type="http://schemas.openxmlformats.org/officeDocument/2006/relationships/hyperlink" Target="https://www.seattletimes.com/nation-world/families-still-mourning-from-bartow-mass-murder-20-years-ago/" TargetMode="External"/><Relationship Id="rId742" Type="http://schemas.openxmlformats.org/officeDocument/2006/relationships/hyperlink" Target="https://www.chicagotribune.com/news/ct-xpm-2002-03-23-0203230127-story.html" TargetMode="External"/><Relationship Id="rId1165" Type="http://schemas.openxmlformats.org/officeDocument/2006/relationships/hyperlink" Target="https://www.latimes.com/world/la-xpm-2011-sep-08-la-na-carson-shooting-20110908-story.html" TargetMode="External"/><Relationship Id="rId1372" Type="http://schemas.openxmlformats.org/officeDocument/2006/relationships/hyperlink" Target="https://www.theguardian.com/us-news/2015/oct/02/oregon-shooting-victims-identified-lucero-alcaraz-rebecka-carnes" TargetMode="External"/><Relationship Id="rId2009" Type="http://schemas.openxmlformats.org/officeDocument/2006/relationships/hyperlink" Target="https://gunmemorial.org/2019/08/04/logan-m-turner" TargetMode="External"/><Relationship Id="rId602" Type="http://schemas.openxmlformats.org/officeDocument/2006/relationships/hyperlink" Target="https://kfor.com/news/15th-anniversary-of-tragic-columbine-high-school-shooting-heres-the-background/" TargetMode="External"/><Relationship Id="rId1025" Type="http://schemas.openxmlformats.org/officeDocument/2006/relationships/hyperlink" Target="https://www.nytimes.com/2009/03/30/us/30shooting.html" TargetMode="External"/><Relationship Id="rId1232" Type="http://schemas.openxmlformats.org/officeDocument/2006/relationships/hyperlink" Target="http://www.startribune.com/andrew-engeldinger-lost-his-job-then-opened-fire-killing-5/171774461/" TargetMode="External"/><Relationship Id="rId1677" Type="http://schemas.openxmlformats.org/officeDocument/2006/relationships/hyperlink" Target="https://www.latimes.com/projects/la-na-las-vegas-shootings-victims-list-20171002/" TargetMode="External"/><Relationship Id="rId1884" Type="http://schemas.openxmlformats.org/officeDocument/2006/relationships/hyperlink" Target="https://abc7chicago.com/4645238" TargetMode="External"/><Relationship Id="rId907" Type="http://schemas.openxmlformats.org/officeDocument/2006/relationships/hyperlink" Target="https://www.npr.org/2007/04/18/9618673/remembering-virginia-techs-shooting-victims" TargetMode="External"/><Relationship Id="rId1537" Type="http://schemas.openxmlformats.org/officeDocument/2006/relationships/hyperlink" Target="https://www.npr.org/sections/thetwo-way/2016/06/12/481785763/heres-what-we-know-about-the-orlando-shooting-victims" TargetMode="External"/><Relationship Id="rId1744" Type="http://schemas.openxmlformats.org/officeDocument/2006/relationships/hyperlink" Target="https://www.mysanantonio.com/news/local/article/During-11-years-of-marraige-couple-stuck-12342914.php" TargetMode="External"/><Relationship Id="rId1951" Type="http://schemas.openxmlformats.org/officeDocument/2006/relationships/hyperlink" Target="https://www.findagrave.com/memorial/201817956/andre-pablo-anchondo" TargetMode="External"/><Relationship Id="rId36" Type="http://schemas.openxmlformats.org/officeDocument/2006/relationships/hyperlink" Target="https://newspaperarchive.com/lock-haven-express-oct-24-1967-p-1/" TargetMode="External"/><Relationship Id="rId1604" Type="http://schemas.openxmlformats.org/officeDocument/2006/relationships/hyperlink" Target="https://www.findagrave.com/memorial/183939375/dorene-anderson" TargetMode="External"/><Relationship Id="rId185" Type="http://schemas.openxmlformats.org/officeDocument/2006/relationships/hyperlink" Target="https://www.findagrave.com/memorial/39821801/claudia-perez_fuentes" TargetMode="External"/><Relationship Id="rId1811" Type="http://schemas.openxmlformats.org/officeDocument/2006/relationships/hyperlink" Target="https://www.essence.com/news/waffle-house-massacre-victims/" TargetMode="External"/><Relationship Id="rId1909" Type="http://schemas.openxmlformats.org/officeDocument/2006/relationships/hyperlink" Target="https://abc7chicago.com/5141989" TargetMode="External"/><Relationship Id="rId392" Type="http://schemas.openxmlformats.org/officeDocument/2006/relationships/hyperlink" Target="https://www.findagrave.com/memorial/20609707/beamon-aton-hill" TargetMode="External"/><Relationship Id="rId697" Type="http://schemas.openxmlformats.org/officeDocument/2006/relationships/hyperlink" Target="http://old.post-gazette.com/regionstate/20000429shootings2.asp" TargetMode="External"/><Relationship Id="rId252" Type="http://schemas.openxmlformats.org/officeDocument/2006/relationships/hyperlink" Target="https://www.odmp.org/officer/5785-officer-ronald-midgley-grogan" TargetMode="External"/><Relationship Id="rId1187" Type="http://schemas.openxmlformats.org/officeDocument/2006/relationships/hyperlink" Target="https://www.findagrave.com/memorial/78295857" TargetMode="External"/><Relationship Id="rId112" Type="http://schemas.openxmlformats.org/officeDocument/2006/relationships/hyperlink" Target="https://news.google.com/newspapers?id=JA4LAAAAIBAJ&amp;sjid=yVEDAAAAIBAJ&amp;pg=5061,3848480&amp;dq=john+parish" TargetMode="External"/><Relationship Id="rId557" Type="http://schemas.openxmlformats.org/officeDocument/2006/relationships/hyperlink" Target="https://www.usatoday.com/story/news/nation/2019/07/30/1998-arkansas-school-shooter-dies-head-car-crash-police-say/1864734001/" TargetMode="External"/><Relationship Id="rId764" Type="http://schemas.openxmlformats.org/officeDocument/2006/relationships/hyperlink" Target="https://www.nytimes.com/2003/07/09/us/man-kills-5-co-workers-at-plant-and-himself.html" TargetMode="External"/><Relationship Id="rId971" Type="http://schemas.openxmlformats.org/officeDocument/2006/relationships/hyperlink" Target="https://www.stltoday.com/news/local/metro/kirkwood-city-hall-shooting-years-after-tragedy-a-community-reflects/article_895f3748-b575-59bb-b02a-719dc551a4d4.html" TargetMode="External"/><Relationship Id="rId1394" Type="http://schemas.openxmlformats.org/officeDocument/2006/relationships/hyperlink" Target="https://www.washingtonpost.com/news/morning-mix/wp/2015/11/18/texas-campsite-massacre-that-claimed-6-caused-by-land-dispute-victims-ex-wife-says/" TargetMode="External"/><Relationship Id="rId1699" Type="http://schemas.openxmlformats.org/officeDocument/2006/relationships/hyperlink" Target="https://www.findagrave.com/memorial/183938217/erick-steven-silva" TargetMode="External"/><Relationship Id="rId2000" Type="http://schemas.openxmlformats.org/officeDocument/2006/relationships/hyperlink" Target="https://www.nytimes.com/2019/08/05/us/dayton-shooting-victims.html" TargetMode="External"/><Relationship Id="rId417" Type="http://schemas.openxmlformats.org/officeDocument/2006/relationships/hyperlink" Target="https://www.nytimes.com/1993/07/07/us/victims-of-chance-in-deadly-rampage.html" TargetMode="External"/><Relationship Id="rId624" Type="http://schemas.openxmlformats.org/officeDocument/2006/relationships/hyperlink" Target="https://www.findagrave.com/memorial/193316109/dean-delawalla" TargetMode="External"/><Relationship Id="rId831" Type="http://schemas.openxmlformats.org/officeDocument/2006/relationships/hyperlink" Target="https://www.mprnews.org/story/2015/03/18/red-lake-victims" TargetMode="External"/><Relationship Id="rId1047" Type="http://schemas.openxmlformats.org/officeDocument/2006/relationships/hyperlink" Target="https://www.pressconnects.com/story/news/local/2019/03/27/aca-american-civic-association-binghamton-shooting-victims-obituaries/3224600002/" TargetMode="External"/><Relationship Id="rId1254" Type="http://schemas.openxmlformats.org/officeDocument/2006/relationships/hyperlink" Target="https://www.businessinsider.com/who-were-the-victims-of-the-sandy-hook-shooting-2017-12" TargetMode="External"/><Relationship Id="rId1461" Type="http://schemas.openxmlformats.org/officeDocument/2006/relationships/hyperlink" Target="https://www.nytimes.com/interactive/projects/cp/us/orlando-shooting-victims/oscara-aracena-montero" TargetMode="External"/><Relationship Id="rId929" Type="http://schemas.openxmlformats.org/officeDocument/2006/relationships/hyperlink" Target="https://www.remembrance.vt.edu/biographies/mccain.html" TargetMode="External"/><Relationship Id="rId1114" Type="http://schemas.openxmlformats.org/officeDocument/2006/relationships/hyperlink" Target="https://www.nytimes.com/2010/08/04/nyregion/04shooting.html" TargetMode="External"/><Relationship Id="rId1321" Type="http://schemas.openxmlformats.org/officeDocument/2006/relationships/hyperlink" Target="https://www.nbcnews.com/news/us-news/ex-tribe-leader-accused-kill-spree-has-first-court-appearance-n38751" TargetMode="External"/><Relationship Id="rId1559" Type="http://schemas.openxmlformats.org/officeDocument/2006/relationships/hyperlink" Target="https://krcgtv.com/news/nation-world/4-women-shot-killed-at-washington-state-mall-identified" TargetMode="External"/><Relationship Id="rId1766" Type="http://schemas.openxmlformats.org/officeDocument/2006/relationships/hyperlink" Target="https://www.foxnews.com/us/california-gunman-targeted-victim-victims-son-in-rampage-neighbor-says" TargetMode="External"/><Relationship Id="rId1973" Type="http://schemas.openxmlformats.org/officeDocument/2006/relationships/hyperlink" Target="https://www.cnn.com/us/live-news/el-paso-dayton-shootings-august-2019/h_25c6368d187b4da0a8a2a69b43fee3d4" TargetMode="External"/><Relationship Id="rId58" Type="http://schemas.openxmlformats.org/officeDocument/2006/relationships/hyperlink" Target="https://www.latimes.com/socal/weekend/news/tn-wknd-et-0703-cal-state-fullerton-memorial-20160702-story.html" TargetMode="External"/><Relationship Id="rId1419" Type="http://schemas.openxmlformats.org/officeDocument/2006/relationships/hyperlink" Target="https://www.latimes.com/local/lanow/la-me-ln-san-bernardino-shooting-victims-htmlstory.html" TargetMode="External"/><Relationship Id="rId1626" Type="http://schemas.openxmlformats.org/officeDocument/2006/relationships/hyperlink" Target="https://www.legacy.com/obituaries/latimes/obituary.aspx?n=christiana-mae-duarte&amp;pid=186969589&amp;fhid=5095" TargetMode="External"/><Relationship Id="rId1833" Type="http://schemas.openxmlformats.org/officeDocument/2006/relationships/hyperlink" Target="https://www.washingtonpost.com/local/public-safety/jarrod-ramos-admits-guilt-in-capital-gazette-shooting-that-killed-5/2019/10/28/39bcd226-f990-11e9-ac8c-8eced29ca6ef_story.html" TargetMode="External"/><Relationship Id="rId1900" Type="http://schemas.openxmlformats.org/officeDocument/2006/relationships/hyperlink" Target="https://losangeles.cbslocal.com/2019/11/07/1-year-anniversary-thousand-oaks-borderline-bar-shooting/" TargetMode="External"/><Relationship Id="rId274" Type="http://schemas.openxmlformats.org/officeDocument/2006/relationships/hyperlink" Target="https://www.the-dispatch.com/article/NC/20130712/news/605035055/LD" TargetMode="External"/><Relationship Id="rId481" Type="http://schemas.openxmlformats.org/officeDocument/2006/relationships/hyperlink" Target="https://www.nytimes.com/1995/04/04/us/6-die-in-texas-office-shooting.html" TargetMode="External"/><Relationship Id="rId134" Type="http://schemas.openxmlformats.org/officeDocument/2006/relationships/hyperlink" Target="https://www.nytimes.com/1983/02/04/nyregion/gunman-kills-four-and-wounds-a-fifth-at-a-west-side-hotel.html" TargetMode="External"/><Relationship Id="rId579" Type="http://schemas.openxmlformats.org/officeDocument/2006/relationships/hyperlink" Target="https://www.dispatch.com/photogallery/oh/20180419/news/419009991/PH/1" TargetMode="External"/><Relationship Id="rId786" Type="http://schemas.openxmlformats.org/officeDocument/2006/relationships/hyperlink" Target="https://journalstar.com/news/state-and-regional/nebraska/victims-of-deadly-plant-shooting-remembered/article_6ef75275-ad2b-558b-900c-63501f7ee029.html" TargetMode="External"/><Relationship Id="rId993" Type="http://schemas.openxmlformats.org/officeDocument/2006/relationships/hyperlink" Target="https://lompocrecord.com/news/local/murder-charges-filed-in-salvage-yard-killings/article_49b0ac19-ca6c-5723-aa70-60fd86d7f70b.html" TargetMode="External"/><Relationship Id="rId341" Type="http://schemas.openxmlformats.org/officeDocument/2006/relationships/hyperlink" Target="https://kdhnews.com/news/survivors-reflect-on-oct-luby-s-shooting/article_e2660bfc-d24a-5566-a65f-a67a9fe6365b.html" TargetMode="External"/><Relationship Id="rId439" Type="http://schemas.openxmlformats.org/officeDocument/2006/relationships/hyperlink" Target="https://www.latimes.com/archives/la-xpm-1993-10-15-mn-45964-story.html" TargetMode="External"/><Relationship Id="rId646" Type="http://schemas.openxmlformats.org/officeDocument/2006/relationships/hyperlink" Target="https://www.star-telegram.com/news/local/fort-worth/article234218492.html" TargetMode="External"/><Relationship Id="rId1069" Type="http://schemas.openxmlformats.org/officeDocument/2006/relationships/hyperlink" Target="https://www.roanoke.com/archive/man-charged-with-killing-4-in-mayberry/article_88cc11b1-9f83-526c-99bf-ad15fc178a33.html" TargetMode="External"/><Relationship Id="rId1276" Type="http://schemas.openxmlformats.org/officeDocument/2006/relationships/hyperlink" Target="https://www.wktv.com/content/news/Memorial-Walk-planned-to-honor-the-victims-of-the-Mohawk-and-Herkimer-shootings-in-2013-476605513.html" TargetMode="External"/><Relationship Id="rId1483" Type="http://schemas.openxmlformats.org/officeDocument/2006/relationships/hyperlink" Target="https://www.nytimes.com/interactive/projects/cp/us/orlando-shooting-victims/tevin-eugene-crosby" TargetMode="External"/><Relationship Id="rId2022" Type="http://schemas.openxmlformats.org/officeDocument/2006/relationships/hyperlink" Target="https://www.npr.org/2019/09/02/756772750/texas-gunman-who-killed-7-had-been-fired-just-hours-before-shootings-reports" TargetMode="External"/><Relationship Id="rId201" Type="http://schemas.openxmlformats.org/officeDocument/2006/relationships/hyperlink" Target="https://newspaperarchive.com/fayetteville-northwest-arkansas-times-jul-25-1984-p-1/" TargetMode="External"/><Relationship Id="rId506" Type="http://schemas.openxmlformats.org/officeDocument/2006/relationships/hyperlink" Target="https://apnews.com/cec11122f0b4c232725599b3ae3d7bcf" TargetMode="External"/><Relationship Id="rId853" Type="http://schemas.openxmlformats.org/officeDocument/2006/relationships/hyperlink" Target="https://www.cbsnews.com/news/postal-shooters-bizarre-behavior/" TargetMode="External"/><Relationship Id="rId1136" Type="http://schemas.openxmlformats.org/officeDocument/2006/relationships/hyperlink" Target="https://www.wkyt.com/home/headlines/102783529.html" TargetMode="External"/><Relationship Id="rId1690" Type="http://schemas.openxmlformats.org/officeDocument/2006/relationships/hyperlink" Target="https://www.legacy.com/obituaries/name/lisa-romero-muniz-obituary?pid=186868686" TargetMode="External"/><Relationship Id="rId1788" Type="http://schemas.openxmlformats.org/officeDocument/2006/relationships/hyperlink" Target="https://www.cnn.com/2018/02/15/us/florida-shooting-victims-school/index.html" TargetMode="External"/><Relationship Id="rId1995" Type="http://schemas.openxmlformats.org/officeDocument/2006/relationships/hyperlink" Target="https://apnews.com/1aa03c4a153f4f6d9881f0f11cd2e89a" TargetMode="External"/><Relationship Id="rId713" Type="http://schemas.openxmlformats.org/officeDocument/2006/relationships/hyperlink" Target="https://www.chron.com/news/article/Gunman-s-wife-accused-him-of-assault-in-1998-1997336.php" TargetMode="External"/><Relationship Id="rId920" Type="http://schemas.openxmlformats.org/officeDocument/2006/relationships/hyperlink" Target="https://www.npr.org/2007/04/18/9618673/remembering-virginia-techs-shooting-victims" TargetMode="External"/><Relationship Id="rId1343" Type="http://schemas.openxmlformats.org/officeDocument/2006/relationships/hyperlink" Target="https://www.cbsnews.com/news/charleston-church-shooting-victims-remembered-dylann-roof-trial/" TargetMode="External"/><Relationship Id="rId1550" Type="http://schemas.openxmlformats.org/officeDocument/2006/relationships/hyperlink" Target="https://www.nytimes.com/2016/07/09/us/dallas-police-shooting.html" TargetMode="External"/><Relationship Id="rId1648" Type="http://schemas.openxmlformats.org/officeDocument/2006/relationships/hyperlink" Target="https://people.com/crime/las-vegas-shooting-victims-names-photos-tributes/?slide=5952645" TargetMode="External"/><Relationship Id="rId1203" Type="http://schemas.openxmlformats.org/officeDocument/2006/relationships/hyperlink" Target="https://www.wibw.com/home/headlines/Authorities_Name_6_Of_7_Murder_Victims_In_Oakland_College_Shooting_146157145.html" TargetMode="External"/><Relationship Id="rId1410" Type="http://schemas.openxmlformats.org/officeDocument/2006/relationships/hyperlink" Target="https://www.pe.com/2015/12/05/san-bernardino-shooting-victim-harry-bowman-had-a-new-love-a-new-job-update-2/" TargetMode="External"/><Relationship Id="rId1508" Type="http://schemas.openxmlformats.org/officeDocument/2006/relationships/hyperlink" Target="https://www.npr.org/sections/thetwo-way/2016/06/12/481785763/heres-what-we-know-about-the-orlando-shooting-victims" TargetMode="External"/><Relationship Id="rId1855" Type="http://schemas.openxmlformats.org/officeDocument/2006/relationships/hyperlink" Target="https://www.ajc.com/news/national/bakersfield-mass-shooter-believed-wife-cheated-him-court-documents-say/Ibt8va2Lsdta0d6PYyLAKM/" TargetMode="External"/><Relationship Id="rId1715" Type="http://schemas.openxmlformats.org/officeDocument/2006/relationships/hyperlink" Target="https://www.nbcnews.com/storyline/texas-church-shooting/texas-church-shooting-who-were-victims-sutherland-springs-massacre-n818356" TargetMode="External"/><Relationship Id="rId1922" Type="http://schemas.openxmlformats.org/officeDocument/2006/relationships/hyperlink" Target="https://www.washingtonpost.com/nation/2019/02/16/man-kills-five-warehouse-shooting-spree-shortly-after-being-fired-illinois-police-say/" TargetMode="External"/><Relationship Id="rId296" Type="http://schemas.openxmlformats.org/officeDocument/2006/relationships/hyperlink" Target="https://www.courier-journal.com/in-depth/news/local/2019/09/12/louisvilles-standard-gravure-shooting-anniversary-all-victims/2284348001/" TargetMode="External"/><Relationship Id="rId156"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363" Type="http://schemas.openxmlformats.org/officeDocument/2006/relationships/hyperlink" Target="https://www.desmoinesregister.com/story/news/2018/11/01/gang-lu-shooting-university-iowa-campus-iowa-city-guns-handgun-jessup-hall-van-allen-jessup-hall/1847462002/" TargetMode="External"/><Relationship Id="rId570" Type="http://schemas.openxmlformats.org/officeDocument/2006/relationships/hyperlink" Target="https://www.klcc.org/post/klcc-special-documentary-thurston-high-school-shooting-20-years-later" TargetMode="External"/><Relationship Id="rId223" Type="http://schemas.openxmlformats.org/officeDocument/2006/relationships/hyperlink" Target="https://oklahoman.com/gallery/articleid/5514879" TargetMode="External"/><Relationship Id="rId430" Type="http://schemas.openxmlformats.org/officeDocument/2006/relationships/hyperlink" Target="http://www.zpub.com/sf/1993/ferrib.html" TargetMode="External"/><Relationship Id="rId668" Type="http://schemas.openxmlformats.org/officeDocument/2006/relationships/hyperlink" Target="https://www.latimes.com/archives/la-xpm-1999-nov-03-mn-29234-story.html" TargetMode="External"/><Relationship Id="rId875" Type="http://schemas.openxmlformats.org/officeDocument/2006/relationships/hyperlink" Target="https://www.wafb.com/story/6546399/baton-rouge-deadly-church-shooting-anniversary/" TargetMode="External"/><Relationship Id="rId1060" Type="http://schemas.openxmlformats.org/officeDocument/2006/relationships/hyperlink" Target="https://www.nytimes.com/2009/04/12/nyregion/12binghamton.html" TargetMode="External"/><Relationship Id="rId1298" Type="http://schemas.openxmlformats.org/officeDocument/2006/relationships/hyperlink" Target="https://www.nytimes.com/2013/07/28/us/6-shot-dead-by-neighbor-at-building-near-miami.html" TargetMode="External"/><Relationship Id="rId528" Type="http://schemas.openxmlformats.org/officeDocument/2006/relationships/hyperlink" Target="http://content.time.com/time/magazine/article/0,9171,138219,00.html" TargetMode="External"/><Relationship Id="rId735" Type="http://schemas.openxmlformats.org/officeDocument/2006/relationships/hyperlink" Target="https://www.nytimes.com/2001/09/11/national/slaying-suspect-commits-suicide.html" TargetMode="External"/><Relationship Id="rId942" Type="http://schemas.openxmlformats.org/officeDocument/2006/relationships/hyperlink" Target="https://www.npr.org/2007/04/18/9618673/remembering-virginia-techs-shooting-victims" TargetMode="External"/><Relationship Id="rId1158" Type="http://schemas.openxmlformats.org/officeDocument/2006/relationships/hyperlink" Target="https://patch.com/ohio/fairlawn-bath/funeral-arrangements-announced-for-copley-township-sh921d899398" TargetMode="External"/><Relationship Id="rId1365" Type="http://schemas.openxmlformats.org/officeDocument/2006/relationships/hyperlink" Target="https://abcnews.go.com/US/chattanooga-shooting-victims-include-iraq-afghanistan-veterans/story?id=32514237" TargetMode="External"/><Relationship Id="rId1572" Type="http://schemas.openxmlformats.org/officeDocument/2006/relationships/hyperlink" Target="https://www.wlbt.com/story/34450224/family-believes-yazoo-city-quadruple-shooting-is-not-a-coincidence/" TargetMode="External"/><Relationship Id="rId1018" Type="http://schemas.openxmlformats.org/officeDocument/2006/relationships/hyperlink" Target="https://www.fayobserver.com/photogallery/NC/20190329/NEWS/329009991/PH/1" TargetMode="External"/><Relationship Id="rId1225" Type="http://schemas.openxmlformats.org/officeDocument/2006/relationships/hyperlink" Target="https://www.cnn.com/2012/08/06/us/wisconsin-temple-shooting/index.html" TargetMode="External"/><Relationship Id="rId1432" Type="http://schemas.openxmlformats.org/officeDocument/2006/relationships/hyperlink" Target="https://www.washingtonpost.com/news/post-nation/wp/2016/12/02/one-year-after-san-bernardino-police-offer-a-possible-motive-as-questions-still-linger/" TargetMode="External"/><Relationship Id="rId1877" Type="http://schemas.openxmlformats.org/officeDocument/2006/relationships/hyperlink" Target="https://www.timesofisrael.com/how-the-pittsburgh-synagogue-shooting-unfolded/" TargetMode="External"/><Relationship Id="rId71" Type="http://schemas.openxmlformats.org/officeDocument/2006/relationships/hyperlink" Target="https://www.nytimes.com/1978/06/19/archives/new-jersey-pages-rhode-island-cook-is-arraigned-in-4-shooting.html" TargetMode="External"/><Relationship Id="rId802" Type="http://schemas.openxmlformats.org/officeDocument/2006/relationships/hyperlink" Target="https://chippewa.com/news/sixth-hunter-dies-from-shooting/article_d22e4fca-621a-5bd1-a457-83d0af47bf18.html" TargetMode="External"/><Relationship Id="rId1737" Type="http://schemas.openxmlformats.org/officeDocument/2006/relationships/hyperlink" Target="https://www.findagrave.com/memorial/185032640/karen-sue-marshall" TargetMode="External"/><Relationship Id="rId1944" Type="http://schemas.openxmlformats.org/officeDocument/2006/relationships/hyperlink" Target="https://www.npr.org/2019/06/01/728903700/what-we-know-about-the-virginia-beach-mass-shooting-victims" TargetMode="External"/><Relationship Id="rId29" Type="http://schemas.openxmlformats.org/officeDocument/2006/relationships/hyperlink" Target="https://www.nydailynews.com/news/crime/experts-clueless-man-fatally-shot-50-years-article-1.3548519" TargetMode="External"/><Relationship Id="rId178" Type="http://schemas.openxmlformats.org/officeDocument/2006/relationships/hyperlink" Target="https://www.findagrave.com/memorial/39821485/blythe-regan-herrera" TargetMode="External"/><Relationship Id="rId1804" Type="http://schemas.openxmlformats.org/officeDocument/2006/relationships/hyperlink" Target="https://www.foxnews.com/us/michigan-woman-hides-in-attic-with-infant-as-murder-spree-suspect-kills-boyfriend" TargetMode="External"/><Relationship Id="rId385" Type="http://schemas.openxmlformats.org/officeDocument/2006/relationships/hyperlink" Target="https://www.sacbee.com/news/local/crime/article203031444.html" TargetMode="External"/><Relationship Id="rId592" Type="http://schemas.openxmlformats.org/officeDocument/2006/relationships/hyperlink" Target="https://www.rollingstone.com/culture/culture-features/how-they-got-the-guns-175676/" TargetMode="External"/><Relationship Id="rId245"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52" Type="http://schemas.openxmlformats.org/officeDocument/2006/relationships/hyperlink" Target="https://www.nytimes.com/1993/12/09/nyregion/death-lirr-overview-portrait-suspect-emerges-shooting-li-train.html" TargetMode="External"/><Relationship Id="rId897" Type="http://schemas.openxmlformats.org/officeDocument/2006/relationships/hyperlink" Target="https://www.remembrance.vt.edu/biographies/bishop.html" TargetMode="External"/><Relationship Id="rId1082" Type="http://schemas.openxmlformats.org/officeDocument/2006/relationships/hyperlink" Target="https://www.kwtx.com/content/news/10-minutes-of-gunfire-10-years-ago-left-13-dead-more-than-30-injured-564365711.html" TargetMode="External"/><Relationship Id="rId105" Type="http://schemas.openxmlformats.org/officeDocument/2006/relationships/hyperlink" Target="https://www.upi.com/Archives/1981/10/17/Killing-of-5-stuns-Kentucky-mountain-commmunity/9251372139200/" TargetMode="External"/><Relationship Id="rId312" Type="http://schemas.openxmlformats.org/officeDocument/2006/relationships/hyperlink" Target="https://apnews.com/d8fdf15390c4d3e614ca83a0d49ab018" TargetMode="External"/><Relationship Id="rId757" Type="http://schemas.openxmlformats.org/officeDocument/2006/relationships/hyperlink" Target="https://abcnews.go.com/Primetime/story?id=749286&amp;page=1" TargetMode="External"/><Relationship Id="rId964" Type="http://schemas.openxmlformats.org/officeDocument/2006/relationships/hyperlink" Target="http://bpnews.net/27000/wedgwood-prays-for-families-of-colorado-shooting-victims" TargetMode="External"/><Relationship Id="rId1387" Type="http://schemas.openxmlformats.org/officeDocument/2006/relationships/hyperlink" Target="https://www.nytimes.com/2015/10/10/us/roseburg-oregon-shooting-christopher-harper-mercer.html" TargetMode="External"/><Relationship Id="rId1594" Type="http://schemas.openxmlformats.org/officeDocument/2006/relationships/hyperlink" Target="https://www.washingtonpost.com/news/post-nation/wp/2017/06/05/multiple-people-killed-in-shooting-at-florida-business/" TargetMode="External"/><Relationship Id="rId93" Type="http://schemas.openxmlformats.org/officeDocument/2006/relationships/hyperlink" Target="https://www.upi.com/Archives/1981/08/20/The-closest-friend-in-the-Army-of-accused-sniper/1977367128000/" TargetMode="External"/><Relationship Id="rId617" Type="http://schemas.openxmlformats.org/officeDocument/2006/relationships/hyperlink" Target="https://books.google.com/books?id=cmTxCQAAQBAJ&amp;pg=PA54&amp;lpg=PA54&amp;dq=mark+barton+mass+shooting+1999+victims+vadewattee&amp;source=bl&amp;ots=eXXCR-fOtz&amp;sig=ACfU3U0niaqr9dHu3TQf8KQPlGYI9Wqi7g&amp;hl=en&amp;ppis=_e&amp;sa=X&amp;ved=2ahUKEwiB0u6B8LDoAhXRU80KHSv0AoYQ6AEwA3oECAoQAQ" TargetMode="External"/><Relationship Id="rId824" Type="http://schemas.openxmlformats.org/officeDocument/2006/relationships/hyperlink" Target="https://www.findagrave.com/memorial/88665753/gerald-anthony-miller" TargetMode="External"/><Relationship Id="rId1247" Type="http://schemas.openxmlformats.org/officeDocument/2006/relationships/hyperlink" Target="https://www.businessinsider.com/who-were-the-victims-of-the-sandy-hook-shooting-2017-12" TargetMode="External"/><Relationship Id="rId1454" Type="http://schemas.openxmlformats.org/officeDocument/2006/relationships/hyperlink" Target="https://pittsburgh.cbslocal.com/2020/02/14/families-of-wilkinsburg-mass-shooting-justice/" TargetMode="External"/><Relationship Id="rId1661" Type="http://schemas.openxmlformats.org/officeDocument/2006/relationships/hyperlink" Target="https://www.latimes.com/projects/la-na-las-vegas-shootings-victims-list-20171002/" TargetMode="External"/><Relationship Id="rId1899" Type="http://schemas.openxmlformats.org/officeDocument/2006/relationships/hyperlink" Target="https://www.ajc.com/news/national/thousand-oaks-shooting-what-know-about-the-victims/9QraYxz120zL2OsCfuuuhP/" TargetMode="External"/><Relationship Id="rId1107" Type="http://schemas.openxmlformats.org/officeDocument/2006/relationships/hyperlink" Target="https://www.findagrave.com/memorial/55852567/louis-j_-felder" TargetMode="External"/><Relationship Id="rId1314" Type="http://schemas.openxmlformats.org/officeDocument/2006/relationships/hyperlink" Target="https://www.cnn.com/2013/09/17/us/dc-navy-yard-victims/index.html" TargetMode="External"/><Relationship Id="rId1521" Type="http://schemas.openxmlformats.org/officeDocument/2006/relationships/hyperlink" Target="https://www.nytimes.com/interactive/projects/cp/us/orlando-shooting-victims/enriquel-rios-jr" TargetMode="External"/><Relationship Id="rId1759" Type="http://schemas.openxmlformats.org/officeDocument/2006/relationships/hyperlink" Target="https://www.foxnews.com/us/california-gunman-targeted-victim-victims-son-in-rampage-neighbor-says" TargetMode="External"/><Relationship Id="rId1966" Type="http://schemas.openxmlformats.org/officeDocument/2006/relationships/hyperlink" Target="https://time.com/5643420/victims-el-paso-shooting/" TargetMode="External"/><Relationship Id="rId1619" Type="http://schemas.openxmlformats.org/officeDocument/2006/relationships/hyperlink" Target="https://www.latimes.com/projects/la-na-las-vegas-shootings-victims-list-20171002/" TargetMode="External"/><Relationship Id="rId1826" Type="http://schemas.openxmlformats.org/officeDocument/2006/relationships/hyperlink" Target="https://time.com/5283251/sante-fe-high-school-shooting-victims/" TargetMode="External"/><Relationship Id="rId20" Type="http://schemas.openxmlformats.org/officeDocument/2006/relationships/hyperlink" Target="https://www.nydailynews.com/news/crime/beauty-salon-massacre-article-1.273663" TargetMode="External"/><Relationship Id="rId267" Type="http://schemas.openxmlformats.org/officeDocument/2006/relationships/hyperlink" Target="https://www.findagrave.com/memorial/25121419/joseph-lawrence-silva" TargetMode="External"/><Relationship Id="rId474" Type="http://schemas.openxmlformats.org/officeDocument/2006/relationships/hyperlink" Target="https://apnews.com/d0126666cf574fca9f1e9c109cb4c923" TargetMode="External"/><Relationship Id="rId127" Type="http://schemas.openxmlformats.org/officeDocument/2006/relationships/hyperlink" Target="https://www.newspapers.com/clip/36003733/the-miami-news-miami-florida21-aug/" TargetMode="External"/><Relationship Id="rId681" Type="http://schemas.openxmlformats.org/officeDocument/2006/relationships/hyperlink" Target="https://www.dallasnews.com/news/2012/09/20/texas-executes-man-who-murdered-5-at-irving-car-wash-12-years-ago/" TargetMode="External"/><Relationship Id="rId779" Type="http://schemas.openxmlformats.org/officeDocument/2006/relationships/hyperlink" Target="https://pendoreillerivervalley.com/four-killed-in-oldtown-shooting-p111-119.htm" TargetMode="External"/><Relationship Id="rId986" Type="http://schemas.openxmlformats.org/officeDocument/2006/relationships/hyperlink" Target="https://www.nytimes.com/2008/02/15/us/15cnd-shoot.html" TargetMode="External"/><Relationship Id="rId334" Type="http://schemas.openxmlformats.org/officeDocument/2006/relationships/hyperlink" Target="https://kdhnews.com/news/survivors-reflect-on-oct-luby-s-shooting/article_e2660bfc-d24a-5566-a65f-a67a9fe6365b.html" TargetMode="External"/><Relationship Id="rId541" Type="http://schemas.openxmlformats.org/officeDocument/2006/relationships/hyperlink" Target="https://www.ocregister.com/2011/10/13/seal-beach-shooting-worst-in-oc-history-2/" TargetMode="External"/><Relationship Id="rId639" Type="http://schemas.openxmlformats.org/officeDocument/2006/relationships/hyperlink" Target="https://books.google.com/books?id=cmTxCQAAQBAJ&amp;pg=PA54&amp;lpg=PA54&amp;dq=mark+barton+mass+shooting+1999+victims+vadewattee&amp;source=bl&amp;ots=eXXCR-fOtz&amp;sig=ACfU3U0niaqr9dHu3TQf8KQPlGYI9Wqi7g&amp;hl=en&amp;ppis=_e&amp;sa=X&amp;ved=2ahUKEwiB0u6B8LDoAhXRU80KHSv0AoYQ6AEwA3oECAoQAQ" TargetMode="External"/><Relationship Id="rId1171" Type="http://schemas.openxmlformats.org/officeDocument/2006/relationships/hyperlink" Target="https://www.latimes.com/world/la-xpm-2011-sep-08-la-na-carson-shooting-20110908-story.html" TargetMode="External"/><Relationship Id="rId1269" Type="http://schemas.openxmlformats.org/officeDocument/2006/relationships/hyperlink" Target="https://www.businessinsider.com/who-were-the-victims-of-the-sandy-hook-shooting-2017-12" TargetMode="External"/><Relationship Id="rId1476" Type="http://schemas.openxmlformats.org/officeDocument/2006/relationships/hyperlink" Target="https://www.npr.org/sections/thetwo-way/2016/06/12/481785763/heres-what-we-know-about-the-orlando-shooting-victims" TargetMode="External"/><Relationship Id="rId2015" Type="http://schemas.openxmlformats.org/officeDocument/2006/relationships/hyperlink" Target="https://www.nbc12.com/2019/09/03/victims-odessa-mass-shooting/" TargetMode="External"/><Relationship Id="rId401" Type="http://schemas.openxmlformats.org/officeDocument/2006/relationships/hyperlink" Target="https://www.nytimes.com/1992/10/16/nyregion/gunman-kills-4-who-collected-child-payments.html" TargetMode="External"/><Relationship Id="rId846" Type="http://schemas.openxmlformats.org/officeDocument/2006/relationships/hyperlink" Target="https://www.cbsnews.com/news/postal-shooters-bizarre-behavior/" TargetMode="External"/><Relationship Id="rId1031" Type="http://schemas.openxmlformats.org/officeDocument/2006/relationships/hyperlink" Target="https://www.nytimes.com/2009/04/06/nyregion/06victims.html" TargetMode="External"/><Relationship Id="rId1129" Type="http://schemas.openxmlformats.org/officeDocument/2006/relationships/hyperlink" Target="https://www.kentucky.com/news/state/kentucky/article44048943.html" TargetMode="External"/><Relationship Id="rId1683" Type="http://schemas.openxmlformats.org/officeDocument/2006/relationships/hyperlink" Target="https://www.latimes.com/projects/la-na-las-vegas-shootings-victims-list-20171002/" TargetMode="External"/><Relationship Id="rId1890" Type="http://schemas.openxmlformats.org/officeDocument/2006/relationships/hyperlink" Target="https://losangeles.cbslocal.com/2019/11/07/1-year-anniversary-thousand-oaks-borderline-bar-shooting/" TargetMode="External"/><Relationship Id="rId1988" Type="http://schemas.openxmlformats.org/officeDocument/2006/relationships/hyperlink" Target="https://time.com/5643420/victims-el-paso-shooting/" TargetMode="External"/><Relationship Id="rId706" Type="http://schemas.openxmlformats.org/officeDocument/2006/relationships/hyperlink" Target="https://www.nytimes.com/2000/12/28/us/a-deadly-turn-to-a-normal-work-day.html" TargetMode="External"/><Relationship Id="rId913" Type="http://schemas.openxmlformats.org/officeDocument/2006/relationships/hyperlink" Target="https://www.npr.org/2007/04/18/9618673/remembering-virginia-techs-shooting-victims" TargetMode="External"/><Relationship Id="rId1336" Type="http://schemas.openxmlformats.org/officeDocument/2006/relationships/hyperlink" Target="https://www.seattletimes.com/seattle-news/they-survived-a-school-shooting-as-freshmen-four-years-later-a-diploma-doesnt-erase-the-pain/" TargetMode="External"/><Relationship Id="rId1543" Type="http://schemas.openxmlformats.org/officeDocument/2006/relationships/hyperlink" Target="https://www.latimes.com/nation/la-na-dallas-police-shooting-20160708-snap-story.html" TargetMode="External"/><Relationship Id="rId1750" Type="http://schemas.openxmlformats.org/officeDocument/2006/relationships/hyperlink" Target="https://www.nbcnews.com/storyline/texas-church-shooting/texas-church-shooting-who-were-victims-sutherland-springs-massacre-n818356" TargetMode="External"/><Relationship Id="rId42" Type="http://schemas.openxmlformats.org/officeDocument/2006/relationships/hyperlink" Target="https://newspaperarchive.com/lock-haven-express-oct-24-1967-p-1/" TargetMode="External"/><Relationship Id="rId1403" Type="http://schemas.openxmlformats.org/officeDocument/2006/relationships/hyperlink" Target="https://www.latimes.com/local/lanow/la-me-ln-san-bernardino-shooting-victims-htmlstory.html" TargetMode="External"/><Relationship Id="rId1610" Type="http://schemas.openxmlformats.org/officeDocument/2006/relationships/hyperlink" Target="https://people.com/crime/las-vegas-shooting-victims-names-photos-tributes/?slide=5952397" TargetMode="External"/><Relationship Id="rId1848" Type="http://schemas.openxmlformats.org/officeDocument/2006/relationships/hyperlink" Target="https://bakersfieldnow.com/news/local/law-office-employee-talks-about-woman-her-killer-husband-he-was-obsessive-jealous" TargetMode="External"/><Relationship Id="rId191" Type="http://schemas.openxmlformats.org/officeDocument/2006/relationships/hyperlink" Target="https://www.findagrave.com/memorial/39822417/arisdelsi-vuelvas_vargas" TargetMode="External"/><Relationship Id="rId1708" Type="http://schemas.openxmlformats.org/officeDocument/2006/relationships/hyperlink" Target="https://www.dignitymemorial.com/obituaries/las-vegas-nv/neysa-tonks-7586778" TargetMode="External"/><Relationship Id="rId1915" Type="http://schemas.openxmlformats.org/officeDocument/2006/relationships/hyperlink" Target="https://abc7chicago.com/5141989/" TargetMode="External"/><Relationship Id="rId289" Type="http://schemas.openxmlformats.org/officeDocument/2006/relationships/hyperlink" Target="http://clevelandschoolremembers.org/about/cleveland-school-incident/" TargetMode="External"/><Relationship Id="rId496" Type="http://schemas.openxmlformats.org/officeDocument/2006/relationships/hyperlink" Target="https://www.nytimes.com/1995/12/20/us/5-are-killed-by-gunman-in-bronx-shoe-store.html" TargetMode="External"/><Relationship Id="rId149" Type="http://schemas.openxmlformats.org/officeDocument/2006/relationships/hyperlink" Target="https://www.newspapers.com/image/?clipping_id=2903989&amp;fcfToken=eyJhbGciOiJIUzI1NiIsInR5cCI6IkpXVCJ9.eyJmcmVlLXZpZXctaWQiOjE0MjU2MjI1LCJpYXQiOjE1ODg5NTU1OTUsImV4cCI6MTU4OTA0MTk5NX0.8c9JHj_PT6C_IuMQnVtqWD4qNYNw0WV3yr0UewHDEGg" TargetMode="External"/><Relationship Id="rId356" Type="http://schemas.openxmlformats.org/officeDocument/2006/relationships/hyperlink" Target="https://www.findagrave.com/memorial/200497725/james-walter-welsh" TargetMode="External"/><Relationship Id="rId563" Type="http://schemas.openxmlformats.org/officeDocument/2006/relationships/hyperlink" Target="https://www.registerguard.com/news/20180519/remembering-victims-of-may-1998-thurston-shooting" TargetMode="External"/><Relationship Id="rId770" Type="http://schemas.openxmlformats.org/officeDocument/2006/relationships/hyperlink" Target="https://www.latimes.com/archives/la-xpm-2003-aug-28-na-shoot28-story.html" TargetMode="External"/><Relationship Id="rId1193" Type="http://schemas.openxmlformats.org/officeDocument/2006/relationships/hyperlink" Target="https://www.findagrave.com/memorial/78285392" TargetMode="External"/><Relationship Id="rId2037" Type="http://schemas.openxmlformats.org/officeDocument/2006/relationships/hyperlink" Target="https://www.nbcnews.com/news/us-news/victims-shooter-molson-coors-attack-identified-milwaukee-police-n1144551" TargetMode="External"/><Relationship Id="rId216" Type="http://schemas.openxmlformats.org/officeDocument/2006/relationships/hyperlink" Target="https://www.nytimes.com/1986/08/21/us/mail-carrier-kills-14-in-post-office-then-himself.html" TargetMode="External"/><Relationship Id="rId423" Type="http://schemas.openxmlformats.org/officeDocument/2006/relationships/hyperlink" Target="https://www.nytimes.com/1993/07/07/us/victims-of-chance-in-deadly-rampage.html" TargetMode="External"/><Relationship Id="rId868" Type="http://schemas.openxmlformats.org/officeDocument/2006/relationships/hyperlink" Target="https://www.wafb.com/story/4931012/gunman-accused-of-church-shooting-makes-court-appearance/" TargetMode="External"/><Relationship Id="rId1053" Type="http://schemas.openxmlformats.org/officeDocument/2006/relationships/hyperlink" Target="https://www.pressconnects.com/story/news/local/2019/03/27/aca-american-civic-association-binghamton-shooting-victims-obituaries/3224600002/" TargetMode="External"/><Relationship Id="rId1260" Type="http://schemas.openxmlformats.org/officeDocument/2006/relationships/hyperlink" Target="https://www.businessinsider.com/who-were-the-victims-of-the-sandy-hook-shooting-2017-12" TargetMode="External"/><Relationship Id="rId1498" Type="http://schemas.openxmlformats.org/officeDocument/2006/relationships/hyperlink" Target="https://www.nytimes.com/interactive/projects/cp/us/orlando-shooting-victims/javier-jorge-reyes" TargetMode="External"/><Relationship Id="rId630" Type="http://schemas.openxmlformats.org/officeDocument/2006/relationships/hyperlink" Target="https://books.google.com/books?id=cmTxCQAAQBAJ&amp;pg=PA54&amp;lpg=PA54&amp;dq=mark+barton+mass+shooting+1999+victims+vadewattee&amp;source=bl&amp;ots=eXXCR-fOtz&amp;sig=ACfU3U0niaqr9dHu3TQf8KQPlGYI9Wqi7g&amp;hl=en&amp;ppis=_e&amp;sa=X&amp;ved=2ahUKEwiB0u6B8LDoAhXRU80KHSv0AoYQ6AEwA3oECAoQAQ" TargetMode="External"/><Relationship Id="rId728" Type="http://schemas.openxmlformats.org/officeDocument/2006/relationships/hyperlink" Target="https://www.denverpost.com/2015/04/03/insanity-ruling-angers-families-of-rifile-shooting-victims/" TargetMode="External"/><Relationship Id="rId935" Type="http://schemas.openxmlformats.org/officeDocument/2006/relationships/hyperlink" Target="https://www.remembrance.vt.edu/biographies/panchal.html" TargetMode="External"/><Relationship Id="rId1358" Type="http://schemas.openxmlformats.org/officeDocument/2006/relationships/hyperlink" Target="https://www.charlestoncitypaper.com/TheBattery/archives/2017/01/05/prosecutors-call-on-family-friends-to-recount-the-lives-lost-at-mother-emanuel" TargetMode="External"/><Relationship Id="rId1565" Type="http://schemas.openxmlformats.org/officeDocument/2006/relationships/hyperlink" Target="https://www.latimes.com/nation/la-na-florida-airport-shooting-20180523-story.html" TargetMode="External"/><Relationship Id="rId1772" Type="http://schemas.openxmlformats.org/officeDocument/2006/relationships/hyperlink" Target="https://pittsburgh.cbslocal.com/2018/01/28/fatalities-confirmed-fayette-shooting/" TargetMode="External"/><Relationship Id="rId64" Type="http://schemas.openxmlformats.org/officeDocument/2006/relationships/hyperlink" Target="https://www.latimes.com/socal/weekend/news/tn-wknd-et-0703-cal-state-fullerton-memorial-20160702-story.html" TargetMode="External"/><Relationship Id="rId1120" Type="http://schemas.openxmlformats.org/officeDocument/2006/relationships/hyperlink" Target="https://buffalonews.com/2017/10/21/seven-years-city-grill-shootings-fifth-victim-dies/" TargetMode="External"/><Relationship Id="rId1218" Type="http://schemas.openxmlformats.org/officeDocument/2006/relationships/hyperlink" Target="https://www.cbsnews.com/pictures/the-aurora-shooting-victims/14/" TargetMode="External"/><Relationship Id="rId1425" Type="http://schemas.openxmlformats.org/officeDocument/2006/relationships/hyperlink" Target="https://www.latimes.com/local/lanow/la-me-ln-san-bernardino-shooting-victims-htmlstory.html" TargetMode="External"/><Relationship Id="rId1632" Type="http://schemas.openxmlformats.org/officeDocument/2006/relationships/hyperlink" Target="https://www.findagrave.com/memorial/183946702/keri-lynn-galvan" TargetMode="External"/><Relationship Id="rId1937" Type="http://schemas.openxmlformats.org/officeDocument/2006/relationships/hyperlink" Target="https://wtkr.com/2019/06/02/virginia-beach-strong-remembering-richard-nettleton/" TargetMode="External"/><Relationship Id="rId280" Type="http://schemas.openxmlformats.org/officeDocument/2006/relationships/hyperlink" Target="https://www.chicagotribune.com/news/ct-xpm-1988-09-23-8802010552-story.html" TargetMode="External"/><Relationship Id="rId140" Type="http://schemas.openxmlformats.org/officeDocument/2006/relationships/hyperlink" Target="https://www.washingtonpost.com/archive/politics/1983/12/15/after-murder-rampage-a-test-of-survival/08bb8578-7f36-4dde-b3ce-076fbcb61aff/?noredirect=on" TargetMode="External"/><Relationship Id="rId378" Type="http://schemas.openxmlformats.org/officeDocument/2006/relationships/hyperlink" Target="https://books.google.com/books?id=FdtZf_Ns9QwC&amp;pg=PA104&amp;lpg=PA104&amp;dq=thomas+mcilvane&amp;source=bl&amp;ots=jqDpBPxU7N&amp;sig=ACfU3U3qhlxo37tCa8CehCmUlasU5Txe5A&amp;hl=en&amp;sa=X&amp;ved=2ahUKEwia9bD7xczkAhUOEqwKHbX8Dko4ChDoATACegQIBxAB" TargetMode="External"/><Relationship Id="rId585" Type="http://schemas.openxmlformats.org/officeDocument/2006/relationships/hyperlink" Target="https://www.dispatch.com/photogallery/oh/20180419/news/419009991/PH/1" TargetMode="External"/><Relationship Id="rId792" Type="http://schemas.openxmlformats.org/officeDocument/2006/relationships/hyperlink" Target="http://news.minnesota.publicradio.org/features/2004/11/22_kelleherb_huntershooting/" TargetMode="External"/><Relationship Id="rId6" Type="http://schemas.openxmlformats.org/officeDocument/2006/relationships/hyperlink" Target="http://behindthetower.org/the-victims/" TargetMode="External"/><Relationship Id="rId238" Type="http://schemas.openxmlformats.org/officeDocument/2006/relationships/hyperlink" Target="https://www.nytimes.com/1986/08/21/us/mail-carrier-kills-14-in-post-office-then-himself.html" TargetMode="External"/><Relationship Id="rId445" Type="http://schemas.openxmlformats.org/officeDocument/2006/relationships/hyperlink" Target="https://www.latimes.com/archives/la-xpm-1993-12-03-mn-63506-story.html" TargetMode="External"/><Relationship Id="rId652" Type="http://schemas.openxmlformats.org/officeDocument/2006/relationships/hyperlink" Target="https://www.abc10.com/article/news/local/those-who-were-at-wedgwood-baptist-church-attack-remember-but-arent-haunted/287-411382472" TargetMode="External"/><Relationship Id="rId1075" Type="http://schemas.openxmlformats.org/officeDocument/2006/relationships/hyperlink" Target="https://www.kwtx.com/content/news/10-minutes-of-gunfire-10-years-ago-left-13-dead-more-than-30-injured-564365711.html" TargetMode="External"/><Relationship Id="rId1282" Type="http://schemas.openxmlformats.org/officeDocument/2006/relationships/hyperlink" Target="https://www.federalwaymirror.com/news/mother-grieves-for-daughter-killed-in-apartment-shooting/" TargetMode="External"/><Relationship Id="rId305" Type="http://schemas.openxmlformats.org/officeDocument/2006/relationships/hyperlink" Target="https://apnews.com/d8fdf15390c4d3e614ca83a0d49ab018" TargetMode="External"/><Relationship Id="rId512" Type="http://schemas.openxmlformats.org/officeDocument/2006/relationships/hyperlink" Target="https://www.wlbt.com/story/18995724/new-book-details-shooting-rampage-at-jackson-fire-station/" TargetMode="External"/><Relationship Id="rId957" Type="http://schemas.openxmlformats.org/officeDocument/2006/relationships/hyperlink" Target="https://www.omaha.com/news/local/von-maur-victims-gary-joy-knew-all-his-co-workers/article_17cbe40c-c348-11e7-b993-5f3d295d9d44.html" TargetMode="External"/><Relationship Id="rId1142" Type="http://schemas.openxmlformats.org/officeDocument/2006/relationships/hyperlink" Target="https://www.nytimes.com/2011/01/09/us/politics/09giffords.html" TargetMode="External"/><Relationship Id="rId1587" Type="http://schemas.openxmlformats.org/officeDocument/2006/relationships/hyperlink" Target="https://www.wausaudailyherald.com/story/news/2017/03/29/hundreds-gather-mourn-fallen-everest-officer/99723792/" TargetMode="External"/><Relationship Id="rId1794" Type="http://schemas.openxmlformats.org/officeDocument/2006/relationships/hyperlink" Target="https://www.cnn.com/2018/02/15/us/florida-shooting-victims-school/index.html" TargetMode="External"/><Relationship Id="rId86" Type="http://schemas.openxmlformats.org/officeDocument/2006/relationships/hyperlink" Target="https://news.google.com/newspapers?id=xtNWAAAAIBAJ&amp;sjid=O_kDAAAAIBAJ&amp;pg=5283%2C2408948" TargetMode="External"/><Relationship Id="rId817" Type="http://schemas.openxmlformats.org/officeDocument/2006/relationships/hyperlink" Target="https://www.cbsnews.com/news/church-police-probe-7-murders/" TargetMode="External"/><Relationship Id="rId1002" Type="http://schemas.openxmlformats.org/officeDocument/2006/relationships/hyperlink" Target="https://www.nytimes.com/2008/06/26/us/26factory.html" TargetMode="External"/><Relationship Id="rId1447" Type="http://schemas.openxmlformats.org/officeDocument/2006/relationships/hyperlink" Target="https://triblive.com/local/pittsburgh-allegheny/cheron-shelton-acquitted-of-murder-in-wilkinsburg-6-mass-shooting-faces-new-gun-charge/" TargetMode="External"/><Relationship Id="rId1654" Type="http://schemas.openxmlformats.org/officeDocument/2006/relationships/hyperlink" Target="https://people.com/crime/las-vegas-shooting-victims-names-photos-tributes/?slide=5946584" TargetMode="External"/><Relationship Id="rId1861" Type="http://schemas.openxmlformats.org/officeDocument/2006/relationships/hyperlink" Target="https://www.timesofisrael.com/how-the-pittsburgh-synagogue-shooting-unfolded/" TargetMode="External"/><Relationship Id="rId1307" Type="http://schemas.openxmlformats.org/officeDocument/2006/relationships/hyperlink" Target="https://www.dailymail.co.uk/news/article-2380010/Florida-gunman-Pedro-Vargas-kills-Florida-apartment-complex.html" TargetMode="External"/><Relationship Id="rId1514" Type="http://schemas.openxmlformats.org/officeDocument/2006/relationships/hyperlink" Target="https://www.npr.org/sections/thetwo-way/2016/06/12/481785763/heres-what-we-know-about-the-orlando-shooting-victims" TargetMode="External"/><Relationship Id="rId1721" Type="http://schemas.openxmlformats.org/officeDocument/2006/relationships/hyperlink" Target="https://www.findagrave.com/memorial/184993695/crystal-marie-holcombe" TargetMode="External"/><Relationship Id="rId1959" Type="http://schemas.openxmlformats.org/officeDocument/2006/relationships/hyperlink" Target="https://www.reuters.com/article/us-texas-shooting-mexico-victim/mexican-man-who-shielded-wife-in-texas-mass-shooting-dies-idUSKCN1UV27J" TargetMode="External"/><Relationship Id="rId13" Type="http://schemas.openxmlformats.org/officeDocument/2006/relationships/hyperlink" Target="http://behindthetower.org/the-victims/" TargetMode="External"/><Relationship Id="rId1819" Type="http://schemas.openxmlformats.org/officeDocument/2006/relationships/hyperlink" Target="https://www.cnn.com/2018/05/18/us/texas-school-shooting-victims/index.html" TargetMode="External"/><Relationship Id="rId162" Type="http://schemas.openxmlformats.org/officeDocument/2006/relationships/hyperlink" Target="https://www.nytimes.com/1984/05/21/us/bodies-of-seven-sought-after-shootout-in-alaska.html" TargetMode="External"/><Relationship Id="rId467" Type="http://schemas.openxmlformats.org/officeDocument/2006/relationships/hyperlink" Target="https://www.findagrave.com/memorial/99379107/colleen-rose-o_connor" TargetMode="External"/><Relationship Id="rId1097" Type="http://schemas.openxmlformats.org/officeDocument/2006/relationships/hyperlink" Target="https://www.cbsnews.com/news/florida-man-kills-four-women-in-restaurant-shooting-police-say/" TargetMode="External"/><Relationship Id="rId674" Type="http://schemas.openxmlformats.org/officeDocument/2006/relationships/hyperlink" Target="https://www.deseret.com/1999/12/31/19483268/5-killed-when-hotel-worker-goes-on-rampage-in-florida" TargetMode="External"/><Relationship Id="rId881" Type="http://schemas.openxmlformats.org/officeDocument/2006/relationships/hyperlink" Target="https://www.sltrib.com/news/crime/2017/02/14/vigil-remembers-trolley-square-shooting-victims-10-years-after-attacks/" TargetMode="External"/><Relationship Id="rId979" Type="http://schemas.openxmlformats.org/officeDocument/2006/relationships/hyperlink" Target="https://www.stltoday.com/news/local/crime-and-courts/assailant-had-history-of-disputes-with-city/article_fc73d090-77da-11df-be3c-0017a4a78c22.html" TargetMode="External"/><Relationship Id="rId327" Type="http://schemas.openxmlformats.org/officeDocument/2006/relationships/hyperlink" Target="https://www.nytimes.com/1991/10/11/nyregion/4-slain-in-2-new-jersey-attacks-and-former-postal-clerk-is-held.html?auth=login-email&amp;login=email" TargetMode="External"/><Relationship Id="rId534" Type="http://schemas.openxmlformats.org/officeDocument/2006/relationships/hyperlink" Target="https://www.theledger.com/news/20170512/fla-supreme-court-sets-aside-death-sentence-for-mass-murderer-nelson-serrano-in-bartow-slayings" TargetMode="External"/><Relationship Id="rId741" Type="http://schemas.openxmlformats.org/officeDocument/2006/relationships/hyperlink" Target="https://murderpedia.org/male.F/f/ferguson-joseph.htm" TargetMode="External"/><Relationship Id="rId839" Type="http://schemas.openxmlformats.org/officeDocument/2006/relationships/hyperlink" Target="https://www.chron.com/news/houston-texas/article/Gunman-kills-himself-after-deadly-rampage-1916640.php" TargetMode="External"/><Relationship Id="rId1164" Type="http://schemas.openxmlformats.org/officeDocument/2006/relationships/hyperlink" Target="https://patch.com/ohio/fairlawn-bath/second-teen-identified-in-copley-mass-shootings-autop2099f10772" TargetMode="External"/><Relationship Id="rId1371" Type="http://schemas.openxmlformats.org/officeDocument/2006/relationships/hyperlink" Target="https://www.nytimes.com/2015/10/10/us/roseburg-oregon-shooting-christopher-harper-mercer.html" TargetMode="External"/><Relationship Id="rId1469" Type="http://schemas.openxmlformats.org/officeDocument/2006/relationships/hyperlink" Target="https://www.npr.org/sections/thetwo-way/2016/06/12/481785763/heres-what-we-know-about-the-orlando-shooting-victims" TargetMode="External"/><Relationship Id="rId2008" Type="http://schemas.openxmlformats.org/officeDocument/2006/relationships/hyperlink" Target="https://www.nytimes.com/2019/08/05/us/dayton-shooting-victims.html" TargetMode="External"/><Relationship Id="rId601" Type="http://schemas.openxmlformats.org/officeDocument/2006/relationships/hyperlink" Target="https://www.dispatch.com/photogallery/oh/20180419/news/419009991/PH/1" TargetMode="External"/><Relationship Id="rId1024" Type="http://schemas.openxmlformats.org/officeDocument/2006/relationships/hyperlink" Target="https://www.thepilot.com/news/dispatches-from-the-deadliest-mass-shooting-in-n-c-history/article_590664de-33bd-11e8-ad8b-6b7c2c1fa20d.html" TargetMode="External"/><Relationship Id="rId1231" Type="http://schemas.openxmlformats.org/officeDocument/2006/relationships/hyperlink" Target="https://www.mprnews.org/story/2012/10/04/outpouring-of-grief-for-ups-driver-killed-at-accent-signage" TargetMode="External"/><Relationship Id="rId1676" Type="http://schemas.openxmlformats.org/officeDocument/2006/relationships/hyperlink" Target="https://www.findagrave.com/memorial/183921794/john-joseph-phippen" TargetMode="External"/><Relationship Id="rId1883" Type="http://schemas.openxmlformats.org/officeDocument/2006/relationships/hyperlink" Target="https://losangeles.cbslocal.com/2019/11/07/1-year-anniversary-thousand-oaks-borderline-bar-shooting/" TargetMode="External"/><Relationship Id="rId906" Type="http://schemas.openxmlformats.org/officeDocument/2006/relationships/hyperlink" Target="https://www.remembrance.vt.edu/biographies/gwaltney.html" TargetMode="External"/><Relationship Id="rId1329" Type="http://schemas.openxmlformats.org/officeDocument/2006/relationships/hyperlink" Target="https://abc7.com/76775/" TargetMode="External"/><Relationship Id="rId1536" Type="http://schemas.openxmlformats.org/officeDocument/2006/relationships/hyperlink" Target="https://www.npr.org/sections/thetwo-way/2016/06/12/481785763/heres-what-we-know-about-the-orlando-shooting-victims" TargetMode="External"/><Relationship Id="rId1743" Type="http://schemas.openxmlformats.org/officeDocument/2006/relationships/hyperlink" Target="https://www.nbcnews.com/storyline/texas-church-shooting/texas-church-shooting-who-were-victims-sutherland-springs-massacre-n818356" TargetMode="External"/><Relationship Id="rId1950" Type="http://schemas.openxmlformats.org/officeDocument/2006/relationships/hyperlink" Target="https://time.com/5643420/victims-el-paso-shooting/" TargetMode="External"/><Relationship Id="rId35" Type="http://schemas.openxmlformats.org/officeDocument/2006/relationships/hyperlink" Target="https://www.nydailynews.com/news/crime/experts-clueless-man-fatally-shot-50-years-article-1.3548519" TargetMode="External"/><Relationship Id="rId1603" Type="http://schemas.openxmlformats.org/officeDocument/2006/relationships/hyperlink" Target="https://www.latimes.com/projects/la-na-las-vegas-shootings-victims-list-20171002/" TargetMode="External"/><Relationship Id="rId1810" Type="http://schemas.openxmlformats.org/officeDocument/2006/relationships/hyperlink" Target="https://www.nytimes.com/2018/04/23/us/waffle-house-victims.html" TargetMode="External"/><Relationship Id="rId184" Type="http://schemas.openxmlformats.org/officeDocument/2006/relationships/hyperlink" Target="https://www.kpbs.org/news/2019/jul/18/san-ysidro-mcdonalds-massacre-35-years-later/" TargetMode="External"/><Relationship Id="rId391" Type="http://schemas.openxmlformats.org/officeDocument/2006/relationships/hyperlink" Target="https://www.sacbee.com/news/local/crime/article203031444.html" TargetMode="External"/><Relationship Id="rId1908" Type="http://schemas.openxmlformats.org/officeDocument/2006/relationships/hyperlink" Target="https://www.chicagotribune.com/suburbs/aurora-beacon-news/ct-met-cb-aurora-illinois-shooting-updates-20190216-story.html" TargetMode="External"/><Relationship Id="rId251" Type="http://schemas.openxmlformats.org/officeDocument/2006/relationships/hyperlink" Target="https://www.latimes.com/archives/la-xpm-1987-04-25-mn-990-story.html" TargetMode="External"/><Relationship Id="rId489" Type="http://schemas.openxmlformats.org/officeDocument/2006/relationships/hyperlink" Target="https://murderpedia.org/male.S/s/simpson-james-daniel.htm" TargetMode="External"/><Relationship Id="rId696" Type="http://schemas.openxmlformats.org/officeDocument/2006/relationships/hyperlink" Target="http://old.post-gazette.com/regionstate/20000429shootings2.asp" TargetMode="External"/><Relationship Id="rId349" Type="http://schemas.openxmlformats.org/officeDocument/2006/relationships/hyperlink" Target="https://www.findagrave.com/memorial/87613980/ruth-marie-pujol" TargetMode="External"/><Relationship Id="rId556" Type="http://schemas.openxmlformats.org/officeDocument/2006/relationships/hyperlink" Target="https://metro.co.uk/2019/07/29/school-shooter-murdered-four-kids-teacher-11-dies-head-car-crash-10480495/" TargetMode="External"/><Relationship Id="rId763" Type="http://schemas.openxmlformats.org/officeDocument/2006/relationships/hyperlink" Target="https://www.nytimes.com/2003/07/09/us/man-kills-5-co-workers-at-plant-and-himself.html" TargetMode="External"/><Relationship Id="rId1186" Type="http://schemas.openxmlformats.org/officeDocument/2006/relationships/hyperlink" Target="https://www.ocregister.com/2011/10/14/police-id-victims-in-seal-beach-shooting/" TargetMode="External"/><Relationship Id="rId1393" Type="http://schemas.openxmlformats.org/officeDocument/2006/relationships/hyperlink" Target="https://www.dallasnews.com/news/crime/2017/11/08/killer-quickly-convicted-for-slaughtering-6-at-east-texas-campsite/" TargetMode="External"/><Relationship Id="rId111" Type="http://schemas.openxmlformats.org/officeDocument/2006/relationships/hyperlink" Target="https://news.google.com/newspapers?id=JA4LAAAAIBAJ&amp;sjid=yVEDAAAAIBAJ&amp;pg=5061,3848480&amp;dq=john+parish" TargetMode="External"/><Relationship Id="rId209"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16" Type="http://schemas.openxmlformats.org/officeDocument/2006/relationships/hyperlink" Target="https://www.nytimes.com/1993/07/07/us/victims-of-chance-in-deadly-rampage.html" TargetMode="External"/><Relationship Id="rId970" Type="http://schemas.openxmlformats.org/officeDocument/2006/relationships/hyperlink" Target="https://www.stltoday.com/news/local/crime-and-courts/assailant-had-history-of-disputes-with-city/article_fc73d090-77da-11df-be3c-0017a4a78c22.html" TargetMode="External"/><Relationship Id="rId1046" Type="http://schemas.openxmlformats.org/officeDocument/2006/relationships/hyperlink" Target="https://www.nytimes.com/2009/04/06/nyregion/06victims.html" TargetMode="External"/><Relationship Id="rId1253" Type="http://schemas.openxmlformats.org/officeDocument/2006/relationships/hyperlink" Target="https://www.ctpost.com/news/article/Dylan-Hockley-died-in-Anne-Marie-Murphy-s-arms-4122828.php" TargetMode="External"/><Relationship Id="rId1698" Type="http://schemas.openxmlformats.org/officeDocument/2006/relationships/hyperlink" Target="https://people.com/crime/las-vegas-shooting-victims-names-photos-tributes/?slide=5952860" TargetMode="External"/><Relationship Id="rId623" Type="http://schemas.openxmlformats.org/officeDocument/2006/relationships/hyperlink" Target="https://www.nytimes.com/1999/07/31/us/shootings-in-atlanta-the-victims-drawn-to-their-deaths-by-lives-in-day-trading.html" TargetMode="External"/><Relationship Id="rId830" Type="http://schemas.openxmlformats.org/officeDocument/2006/relationships/hyperlink" Target="https://www.mprnews.org/story/2015/03/18/red-lake-victims" TargetMode="External"/><Relationship Id="rId928" Type="http://schemas.openxmlformats.org/officeDocument/2006/relationships/hyperlink" Target="https://www.npr.org/2007/04/18/9618673/remembering-virginia-techs-shooting-victims" TargetMode="External"/><Relationship Id="rId1460" Type="http://schemas.openxmlformats.org/officeDocument/2006/relationships/hyperlink" Target="https://www.npr.org/sections/thetwo-way/2016/06/12/481785763/heres-what-we-know-about-the-orlando-shooting-victims" TargetMode="External"/><Relationship Id="rId1558" Type="http://schemas.openxmlformats.org/officeDocument/2006/relationships/hyperlink" Target="https://www.seattletimes.com/seattle-news/crime/burlington-mall-shooting-victims-officially-identified/" TargetMode="External"/><Relationship Id="rId1765" Type="http://schemas.openxmlformats.org/officeDocument/2006/relationships/hyperlink" Target="https://www.actionnewsnow.com/content/news/We-have-learned-the-names-of-the-victims-in-the-horrible-Tehama-County-tragedy-458110053.html" TargetMode="External"/><Relationship Id="rId57" Type="http://schemas.openxmlformats.org/officeDocument/2006/relationships/hyperlink" Target="https://www.nydailynews.com/news/crime/fullerton-massacre-shooter-begs-freed-psych-hospital-article-1.2669940" TargetMode="External"/><Relationship Id="rId1113" Type="http://schemas.openxmlformats.org/officeDocument/2006/relationships/hyperlink" Target="https://www.fox61.com/article/news/local/outreach/awareness-months/vigil-marks-anniversary-of-deadly-workplace-shooting/520-9889e6ab-3d7a-43c1-862d-40160c55a573" TargetMode="External"/><Relationship Id="rId1320" Type="http://schemas.openxmlformats.org/officeDocument/2006/relationships/hyperlink" Target="https://www.nbcnews.com/news/us-news/ex-tribe-leader-accused-kill-spree-has-first-court-appearance-n38751" TargetMode="External"/><Relationship Id="rId1418" Type="http://schemas.openxmlformats.org/officeDocument/2006/relationships/hyperlink" Target="https://www.washingtonpost.com/news/post-nation/wp/2016/12/02/one-year-after-san-bernardino-police-offer-a-possible-motive-as-questions-still-linger/" TargetMode="External"/><Relationship Id="rId1972" Type="http://schemas.openxmlformats.org/officeDocument/2006/relationships/hyperlink" Target="https://www.nytimes.com/2019/08/05/us/el-paso-victims.html" TargetMode="External"/><Relationship Id="rId1625" Type="http://schemas.openxmlformats.org/officeDocument/2006/relationships/hyperlink" Target="https://www.latimes.com/projects/la-na-las-vegas-shootings-victims-list-20171002/" TargetMode="External"/><Relationship Id="rId1832" Type="http://schemas.openxmlformats.org/officeDocument/2006/relationships/hyperlink" Target="https://www.cnn.com/2018/05/18/us/texas-school-shooting-victims/index.html" TargetMode="External"/><Relationship Id="rId273" Type="http://schemas.openxmlformats.org/officeDocument/2006/relationships/hyperlink" Target="https://www.upi.com/Archives/1988/07/19/Hospital-denies-commitment-sought-for-gunman/1978585288000/" TargetMode="External"/><Relationship Id="rId480" Type="http://schemas.openxmlformats.org/officeDocument/2006/relationships/hyperlink" Target="https://caselaw.findlaw.com/nc-court-of-appeals/1359423.html" TargetMode="External"/><Relationship Id="rId133" Type="http://schemas.openxmlformats.org/officeDocument/2006/relationships/hyperlink" Target="https://www.nytimes.com/1983/02/04/nyregion/gunman-kills-four-and-wounds-a-fifth-at-a-west-side-hotel.html" TargetMode="External"/><Relationship Id="rId340" Type="http://schemas.openxmlformats.org/officeDocument/2006/relationships/hyperlink" Target="https://apnews.com/c273ed29744c6a2fb406bd45247d171c" TargetMode="External"/><Relationship Id="rId578" Type="http://schemas.openxmlformats.org/officeDocument/2006/relationships/hyperlink" Target="https://kfor.com/news/15th-anniversary-of-tragic-columbine-high-school-shooting-heres-the-background/" TargetMode="External"/><Relationship Id="rId785" Type="http://schemas.openxmlformats.org/officeDocument/2006/relationships/hyperlink" Target="https://www.spokesman.com/stories/2004/jul/04/packing-plant-killer-seemed-to-choose-victims/" TargetMode="External"/><Relationship Id="rId992" Type="http://schemas.openxmlformats.org/officeDocument/2006/relationships/hyperlink" Target="https://lompocrecord.com/news/local/murder-charges-filed-in-salvage-yard-killings/article_49b0ac19-ca6c-5723-aa70-60fd86d7f70b.html" TargetMode="External"/><Relationship Id="rId2021" Type="http://schemas.openxmlformats.org/officeDocument/2006/relationships/hyperlink" Target="https://www.usatoday.com/story/news/nation/2019/09/02/texas-shootings-midland-odessa-what-we-know-rampage-victims/2190982001/" TargetMode="External"/><Relationship Id="rId200" Type="http://schemas.openxmlformats.org/officeDocument/2006/relationships/hyperlink" Target="https://www.nytimes.com/1984/07/26/us/officers-tracing-gunman-s-history.html" TargetMode="External"/><Relationship Id="rId438" Type="http://schemas.openxmlformats.org/officeDocument/2006/relationships/hyperlink" Target="https://apnews.com/22aa69037e3f2cbe1c3331ac73299022" TargetMode="External"/><Relationship Id="rId645" Type="http://schemas.openxmlformats.org/officeDocument/2006/relationships/hyperlink" Target="https://www.findagrave.com/memorial/23861536/kristi-kathleen-beckel/photo" TargetMode="External"/><Relationship Id="rId852" Type="http://schemas.openxmlformats.org/officeDocument/2006/relationships/hyperlink" Target="https://www.cbsnews.com/news/postal-shooters-bizarre-behavior/" TargetMode="External"/><Relationship Id="rId1068" Type="http://schemas.openxmlformats.org/officeDocument/2006/relationships/hyperlink" Target="https://www.wxii12.com/article/4-victims-in-mount-airy-shooting-related-police-say/2036349" TargetMode="External"/><Relationship Id="rId1275" Type="http://schemas.openxmlformats.org/officeDocument/2006/relationships/hyperlink" Target="https://www.wktv.com/content/news/Memorial-Walk-planned-to-honor-the-victims-of-the-Mohawk-and-Herkimer-shootings-in-2013-476605513.html" TargetMode="External"/><Relationship Id="rId1482" Type="http://schemas.openxmlformats.org/officeDocument/2006/relationships/hyperlink" Target="https://www.npr.org/sections/thetwo-way/2016/06/12/481785763/heres-what-we-know-about-the-orlando-shooting-victims" TargetMode="External"/><Relationship Id="rId505" Type="http://schemas.openxmlformats.org/officeDocument/2006/relationships/hyperlink" Target="https://apnews.com/cec11122f0b4c232725599b3ae3d7bcf" TargetMode="External"/><Relationship Id="rId712" Type="http://schemas.openxmlformats.org/officeDocument/2006/relationships/hyperlink" Target="https://books.google.com/books?id=1Tc7DwAAQBAJ&amp;pg=PT211&amp;lpg=PT211&amp;dq=ki+park+mass+shooting+2001+victim+kathy+chang&amp;source=bl&amp;ots=onImqEHmd_&amp;sig=ACfU3U14yOQ6I_KDzTd9lQppGKXxkqpqEA&amp;hl=en&amp;ppis=_e&amp;sa=X&amp;ved=2ahUKEwipyYbdvLHoAhWWZM0KHZnCDoEQ6AEwAXoECAoQAQ" TargetMode="External"/><Relationship Id="rId1135" Type="http://schemas.openxmlformats.org/officeDocument/2006/relationships/hyperlink" Target="https://www.findagrave.com/memorial/58524877/dennis-joe-turner" TargetMode="External"/><Relationship Id="rId1342" Type="http://schemas.openxmlformats.org/officeDocument/2006/relationships/hyperlink" Target="https://www.nytimes.com/2015/06/20/us/charleston-shooting-dylann-storm-roof.html" TargetMode="External"/><Relationship Id="rId1787" Type="http://schemas.openxmlformats.org/officeDocument/2006/relationships/hyperlink" Target="https://abcnews.go.com/US/teacher-coach14-year-freshman-florida-high-school-massacre/story?id=53092879" TargetMode="External"/><Relationship Id="rId1994" Type="http://schemas.openxmlformats.org/officeDocument/2006/relationships/hyperlink" Target="https://www.theguardian.com/us-news/2019/aug/12/god-decided-to-take-them-together-el-paso-funeral-for-couple-married-for-60-years" TargetMode="External"/><Relationship Id="rId79" Type="http://schemas.openxmlformats.org/officeDocument/2006/relationships/hyperlink" Target="https://www.news-journal.com/news/local/daingerfield-knows-church-s-pain-after-shooting/article_bfa3ba00-2620-5b9f-8870-6a1e13e7f023.html" TargetMode="External"/><Relationship Id="rId1202" Type="http://schemas.openxmlformats.org/officeDocument/2006/relationships/hyperlink" Target="https://www.wibw.com/home/headlines/Authorities_Name_6_Of_7_Murder_Victims_In_Oakland_College_Shooting_146157145.html" TargetMode="External"/><Relationship Id="rId1647" Type="http://schemas.openxmlformats.org/officeDocument/2006/relationships/hyperlink" Target="https://www.latimes.com/projects/la-na-las-vegas-shootings-victims-list-20171002/" TargetMode="External"/><Relationship Id="rId1854" Type="http://schemas.openxmlformats.org/officeDocument/2006/relationships/hyperlink" Target="https://www.gofundme.com/f/antonio-valadez-family-support" TargetMode="External"/><Relationship Id="rId1507" Type="http://schemas.openxmlformats.org/officeDocument/2006/relationships/hyperlink" Target="https://www.nytimes.com/interactive/projects/cp/us/orlando-shooting-victims/jean-carlos-mendez-perez" TargetMode="External"/><Relationship Id="rId1714" Type="http://schemas.openxmlformats.org/officeDocument/2006/relationships/hyperlink" Target="https://www.findagrave.com/memorial/183935223/william-winfield-wolfe" TargetMode="External"/><Relationship Id="rId295" Type="http://schemas.openxmlformats.org/officeDocument/2006/relationships/hyperlink" Target="http://clevelandschoolremembers.org/about/cleveland-school-incident/" TargetMode="External"/><Relationship Id="rId1921" Type="http://schemas.openxmlformats.org/officeDocument/2006/relationships/hyperlink" Target="https://abc7chicago.com/5141989" TargetMode="External"/><Relationship Id="rId155"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362" Type="http://schemas.openxmlformats.org/officeDocument/2006/relationships/hyperlink" Target="https://www.desmoinesregister.com/story/news/2018/11/01/gang-lu-shooting-university-iowa-campus-iowa-city-guns-handgun-jessup-hall-van-allen-jessup-hall/1847462002/" TargetMode="External"/><Relationship Id="rId1297" Type="http://schemas.openxmlformats.org/officeDocument/2006/relationships/hyperlink" Target="https://www.dignitymemorial.com/obituaries/hialeah-fl/carlos-gavilanes-5616698" TargetMode="External"/><Relationship Id="rId222" Type="http://schemas.openxmlformats.org/officeDocument/2006/relationships/hyperlink" Target="https://www.nytimes.com/1986/08/21/us/mail-carrier-kills-14-in-post-office-then-himself.html" TargetMode="External"/><Relationship Id="rId667" Type="http://schemas.openxmlformats.org/officeDocument/2006/relationships/hyperlink" Target="https://www.khon2.com/xerox-murders/" TargetMode="External"/><Relationship Id="rId874" Type="http://schemas.openxmlformats.org/officeDocument/2006/relationships/hyperlink" Target="https://www.wafb.com/story/4931012/gunman-accused-of-church-shooting-makes-court-appearance/" TargetMode="External"/><Relationship Id="rId527" Type="http://schemas.openxmlformats.org/officeDocument/2006/relationships/hyperlink" Target="https://www.caledonianrecord.com/news/colebrook-shootings-years-later-remembering-the-victims-and-the-resiliency/article_21ef7759-6d41-5f62-9453-bd94c76d3560.html" TargetMode="External"/><Relationship Id="rId734" Type="http://schemas.openxmlformats.org/officeDocument/2006/relationships/hyperlink" Target="https://www.findagrave.com/memorial/148203675/marsha-marie-jackson" TargetMode="External"/><Relationship Id="rId941" Type="http://schemas.openxmlformats.org/officeDocument/2006/relationships/hyperlink" Target="https://www.remembrance.vt.edu/biographies/pohle.html" TargetMode="External"/><Relationship Id="rId1157" Type="http://schemas.openxmlformats.org/officeDocument/2006/relationships/hyperlink" Target="https://www.beaconjournal.com/article/20120615/NEWS/306159412" TargetMode="External"/><Relationship Id="rId1364" Type="http://schemas.openxmlformats.org/officeDocument/2006/relationships/hyperlink" Target="https://www.washingtonpost.com/graphics/national/chattanooga-tennessee-shooting-victims/" TargetMode="External"/><Relationship Id="rId1571" Type="http://schemas.openxmlformats.org/officeDocument/2006/relationships/hyperlink" Target="https://www.wjtv.com/news/jpd-u-s-marshals-arrest-man-wanted-in-connection-with-yazoo-city-murders/" TargetMode="External"/><Relationship Id="rId70" Type="http://schemas.openxmlformats.org/officeDocument/2006/relationships/hyperlink" Target="https://www.nytimes.com/1978/06/19/archives/new-jersey-pages-rhode-island-cook-is-arraigned-in-4-shooting.html" TargetMode="External"/><Relationship Id="rId801" Type="http://schemas.openxmlformats.org/officeDocument/2006/relationships/hyperlink" Target="http://news.minnesota.publicradio.org/features/2004/11/22_kelleherb_huntershooting/" TargetMode="External"/><Relationship Id="rId1017" Type="http://schemas.openxmlformats.org/officeDocument/2006/relationships/hyperlink" Target="https://www.nytimes.com/2009/03/30/us/30shooting.html" TargetMode="External"/><Relationship Id="rId1224" Type="http://schemas.openxmlformats.org/officeDocument/2006/relationships/hyperlink" Target="https://www.cnn.com/2012/08/06/us/wisconsin-temple-shooting/index.html" TargetMode="External"/><Relationship Id="rId1431" Type="http://schemas.openxmlformats.org/officeDocument/2006/relationships/hyperlink" Target="https://www.foxnews.com/world/hundreds-gather-to-honor-san-bernardino-victim-yvette-velasco" TargetMode="External"/><Relationship Id="rId1669" Type="http://schemas.openxmlformats.org/officeDocument/2006/relationships/hyperlink" Target="https://www.latimes.com/projects/la-na-las-vegas-shootings-victims-list-20171002/" TargetMode="External"/><Relationship Id="rId1876" Type="http://schemas.openxmlformats.org/officeDocument/2006/relationships/hyperlink" Target="https://www.npr.org/2018/10/28/661530860/pittsburgh-synagogue-shooting-victims-identified" TargetMode="External"/><Relationship Id="rId1529" Type="http://schemas.openxmlformats.org/officeDocument/2006/relationships/hyperlink" Target="https://www.nytimes.com/interactive/projects/cp/us/orlando-shooting-victims/xavier-emmanuel-serrano-rosado" TargetMode="External"/><Relationship Id="rId1736" Type="http://schemas.openxmlformats.org/officeDocument/2006/relationships/hyperlink" Target="https://www.nbcnews.com/storyline/texas-church-shooting/texas-church-shooting-who-were-victims-sutherland-springs-massacre-n818356" TargetMode="External"/><Relationship Id="rId1943" Type="http://schemas.openxmlformats.org/officeDocument/2006/relationships/hyperlink" Target="https://www.dignitymemorial.com/obituaries/virginia-beach-va/herbert-snelling-8732892" TargetMode="External"/><Relationship Id="rId28" Type="http://schemas.openxmlformats.org/officeDocument/2006/relationships/hyperlink" Target="https://www.nydailynews.com/news/crime/experts-clueless-man-fatally-shot-50-years-article-1.3548519" TargetMode="External"/><Relationship Id="rId1803" Type="http://schemas.openxmlformats.org/officeDocument/2006/relationships/hyperlink" Target="https://www.fox2detroit.com/news/suspect-in-gas-station-triple-murder-suspect-dies-by-suicide-in-ohio" TargetMode="External"/><Relationship Id="rId177" Type="http://schemas.openxmlformats.org/officeDocument/2006/relationships/hyperlink" Target="https://archive.org/details/541408-james-oliver-huberty/page/n1/mode/2up" TargetMode="External"/><Relationship Id="rId384" Type="http://schemas.openxmlformats.org/officeDocument/2006/relationships/hyperlink" Target="https://www.findagrave.com/memorial/115011449/tekleberhan-manna" TargetMode="External"/><Relationship Id="rId591" Type="http://schemas.openxmlformats.org/officeDocument/2006/relationships/hyperlink" Target="https://www.dispatch.com/photogallery/oh/20180419/news/419009991/PH/1" TargetMode="External"/><Relationship Id="rId244" Type="http://schemas.openxmlformats.org/officeDocument/2006/relationships/hyperlink" Target="https://www.nytimes.com/1986/08/21/us/mail-carrier-kills-14-in-post-office-then-himself.html" TargetMode="External"/><Relationship Id="rId689" Type="http://schemas.openxmlformats.org/officeDocument/2006/relationships/hyperlink" Target="http://old.post-gazette.com/regionstate/20000429shootings2.asp" TargetMode="External"/><Relationship Id="rId896" Type="http://schemas.openxmlformats.org/officeDocument/2006/relationships/hyperlink" Target="https://www.findagrave.com/memorial/18981440/brian-roy-bluhm" TargetMode="External"/><Relationship Id="rId1081" Type="http://schemas.openxmlformats.org/officeDocument/2006/relationships/hyperlink" Target="https://www.kwtx.com/content/news/10-minutes-of-gunfire-10-years-ago-left-13-dead-more-than-30-injured-564365711.html" TargetMode="External"/><Relationship Id="rId451" Type="http://schemas.openxmlformats.org/officeDocument/2006/relationships/hyperlink" Target="https://nypost.com/2013/11/24/victims-families-still-in-mouring-20-years-after-lirr-massacre/" TargetMode="External"/><Relationship Id="rId549" Type="http://schemas.openxmlformats.org/officeDocument/2006/relationships/hyperlink" Target="https://www.latimes.com/archives/la-xpm-1998-mar-07-mn-26407-story.html" TargetMode="External"/><Relationship Id="rId756" Type="http://schemas.openxmlformats.org/officeDocument/2006/relationships/hyperlink" Target="https://franklincountytimes.com/2003/07/20/delois-bailey-rememberedbr-celebrated-and-missed/" TargetMode="External"/><Relationship Id="rId1179" Type="http://schemas.openxmlformats.org/officeDocument/2006/relationships/hyperlink" Target="https://www.findagrave.com/memorial/78285369/randy-lee-fannin" TargetMode="External"/><Relationship Id="rId1386" Type="http://schemas.openxmlformats.org/officeDocument/2006/relationships/hyperlink" Target="https://www.theguardian.com/us-news/2015/oct/02/oregon-shooting-victims-identified-lucero-alcaraz-rebecka-carnes" TargetMode="External"/><Relationship Id="rId1593" Type="http://schemas.openxmlformats.org/officeDocument/2006/relationships/hyperlink" Target="https://www.clickorlando.com/news/2018/03/15/5-takeaways-from-the-final-report-for-the-fiamma-workplace-shooting/" TargetMode="External"/><Relationship Id="rId104" Type="http://schemas.openxmlformats.org/officeDocument/2006/relationships/hyperlink" Target="https://www.upi.com/Archives/1981/10/22/Suspect-in-mass-murder-convicted-in-1929-killing/7383372571200/" TargetMode="External"/><Relationship Id="rId311" Type="http://schemas.openxmlformats.org/officeDocument/2006/relationships/hyperlink" Target="https://apnews.com/d8fdf15390c4d3e614ca83a0d49ab018" TargetMode="External"/><Relationship Id="rId409" Type="http://schemas.openxmlformats.org/officeDocument/2006/relationships/hyperlink" Target="https://www.latimes.com/archives/la-xpm-1992-11-09-mn-151-story.html" TargetMode="External"/><Relationship Id="rId963" Type="http://schemas.openxmlformats.org/officeDocument/2006/relationships/hyperlink" Target="https://abcnews.go.com/GMA/story?id=3982722&amp;page=1" TargetMode="External"/><Relationship Id="rId1039" Type="http://schemas.openxmlformats.org/officeDocument/2006/relationships/hyperlink" Target="https://www.nytimes.com/2009/04/12/nyregion/12binghamton.html" TargetMode="External"/><Relationship Id="rId1246" Type="http://schemas.openxmlformats.org/officeDocument/2006/relationships/hyperlink" Target="https://www.businessinsider.com/who-were-the-victims-of-the-sandy-hook-shooting-2017-12" TargetMode="External"/><Relationship Id="rId1898" Type="http://schemas.openxmlformats.org/officeDocument/2006/relationships/hyperlink" Target="https://losangeles.cbslocal.com/2019/11/07/1-year-anniversary-thousand-oaks-borderline-bar-shooting/" TargetMode="External"/><Relationship Id="rId92" Type="http://schemas.openxmlformats.org/officeDocument/2006/relationships/hyperlink" Target="https://www.leagle.com/decision/1985350349pasuper11350" TargetMode="External"/><Relationship Id="rId616" Type="http://schemas.openxmlformats.org/officeDocument/2006/relationships/hyperlink" Target="https://www.ajc.com/news/local/ajc-deja-news-mark-barton-buckhead-killing-spree-stuns-atlanta-1999/JWrqxO3csx8ifs1mC3GSNJ/" TargetMode="External"/><Relationship Id="rId823" Type="http://schemas.openxmlformats.org/officeDocument/2006/relationships/hyperlink" Target="https://www.cbsnews.com/news/church-police-probe-7-murders/" TargetMode="External"/><Relationship Id="rId1453" Type="http://schemas.openxmlformats.org/officeDocument/2006/relationships/hyperlink" Target="https://triblive.com/local/pittsburgh-allegheny/cheron-shelton-acquitted-of-murder-in-wilkinsburg-6-mass-shooting-faces-new-gun-charge/" TargetMode="External"/><Relationship Id="rId1660" Type="http://schemas.openxmlformats.org/officeDocument/2006/relationships/hyperlink" Target="https://people.com/crime/las-vegas-shooting-victims-names-photos-tributes/?slide=5947080" TargetMode="External"/><Relationship Id="rId1758" Type="http://schemas.openxmlformats.org/officeDocument/2006/relationships/hyperlink" Target="https://www.actionnewsnow.com/content/news/We-have-learned-the-names-of-the-victims-in-the-horrible-Tehama-County-tragedy-458110053.html" TargetMode="External"/><Relationship Id="rId1106" Type="http://schemas.openxmlformats.org/officeDocument/2006/relationships/hyperlink" Target="https://www.fox61.com/article/news/local/outreach/awareness-months/vigil-marks-anniversary-of-deadly-workplace-shooting/520-9889e6ab-3d7a-43c1-862d-40160c55a573" TargetMode="External"/><Relationship Id="rId1313" Type="http://schemas.openxmlformats.org/officeDocument/2006/relationships/hyperlink" Target="https://www.cnn.com/2013/09/17/us/dc-navy-yard-victims/index.html" TargetMode="External"/><Relationship Id="rId1520" Type="http://schemas.openxmlformats.org/officeDocument/2006/relationships/hyperlink" Target="https://www.npr.org/sections/thetwo-way/2016/06/12/481785763/heres-what-we-know-about-the-orlando-shooting-victims" TargetMode="External"/><Relationship Id="rId1965" Type="http://schemas.openxmlformats.org/officeDocument/2006/relationships/hyperlink" Target="https://www.cbsnews.com/news/el-paso-shooting-victims-what-we-know-about-the-victims-at-texas-walmart-mass-shooting-2019-08-05/" TargetMode="External"/><Relationship Id="rId1618" Type="http://schemas.openxmlformats.org/officeDocument/2006/relationships/hyperlink" Target="https://www.findagrave.com/memorial/183979550/andrea-lee_anna-castilla" TargetMode="External"/><Relationship Id="rId1825" Type="http://schemas.openxmlformats.org/officeDocument/2006/relationships/hyperlink" Target="https://www.cnn.com/2018/05/18/us/texas-school-shooting-victims/index.html" TargetMode="External"/><Relationship Id="rId199" Type="http://schemas.openxmlformats.org/officeDocument/2006/relationships/hyperlink" Target="https://newspaperarchive.com/fayetteville-northwest-arkansas-times-jul-25-1984-p-1/" TargetMode="External"/><Relationship Id="rId266" Type="http://schemas.openxmlformats.org/officeDocument/2006/relationships/hyperlink" Target="https://www.leagle.com/decision/incaco20090702055" TargetMode="External"/><Relationship Id="rId473" Type="http://schemas.openxmlformats.org/officeDocument/2006/relationships/hyperlink" Target="https://www.spokesman.com/galleries/2010/jun/17/looking-back-fairchild-shootings/" TargetMode="External"/><Relationship Id="rId680" Type="http://schemas.openxmlformats.org/officeDocument/2006/relationships/hyperlink" Target="https://murderpedia.org/male.H/h/harris-robert-wayne-photos.htm" TargetMode="External"/><Relationship Id="rId126" Type="http://schemas.openxmlformats.org/officeDocument/2006/relationships/hyperlink" Target="https://www.nytimes.com/1982/08/21/us/gunman-in-miami-kills-8-in-rampage.html" TargetMode="External"/><Relationship Id="rId333" Type="http://schemas.openxmlformats.org/officeDocument/2006/relationships/hyperlink" Target="https://kdhnews.com/news/survivors-reflect-on-oct-luby-s-shooting/article_e2660bfc-d24a-5566-a65f-a67a9fe6365b.html" TargetMode="External"/><Relationship Id="rId540" Type="http://schemas.openxmlformats.org/officeDocument/2006/relationships/hyperlink" Target="https://www.theledger.com/news/20170512/fla-supreme-court-sets-aside-death-sentence-for-mass-murderer-nelson-serrano-in-bartow-slayings" TargetMode="External"/><Relationship Id="rId778" Type="http://schemas.openxmlformats.org/officeDocument/2006/relationships/hyperlink" Target="https://pendoreillerivervalley.com/four-killed-in-oldtown-shooting-p111-119.htm" TargetMode="External"/><Relationship Id="rId985" Type="http://schemas.openxmlformats.org/officeDocument/2006/relationships/hyperlink" Target="http://www.nbcnews.com/id/29199551/ns/us_news-crime_and_courts/t/niu-shooting-victims-mourn-lives-lost/" TargetMode="External"/><Relationship Id="rId1170" Type="http://schemas.openxmlformats.org/officeDocument/2006/relationships/hyperlink" Target="https://www.findagrave.com/memorial/76178359/miranda-summerwind-mcelhiney" TargetMode="External"/><Relationship Id="rId2014" Type="http://schemas.openxmlformats.org/officeDocument/2006/relationships/hyperlink" Target="https://www.elpasotimes.com/story/news/2019/09/02/odessa-mass-shooting-victims-includes-35-year-old-el-paso-man/2193984001/" TargetMode="External"/><Relationship Id="rId638" Type="http://schemas.openxmlformats.org/officeDocument/2006/relationships/hyperlink" Target="https://www.nytimes.com/1999/07/31/us/shootings-in-atlanta-the-overview-killer-confessed-in-a-letter-spiked-with-rage.html" TargetMode="External"/><Relationship Id="rId845" Type="http://schemas.openxmlformats.org/officeDocument/2006/relationships/hyperlink" Target="https://www.cbsnews.com/news/postal-shooters-bizarre-behavior/" TargetMode="External"/><Relationship Id="rId1030" Type="http://schemas.openxmlformats.org/officeDocument/2006/relationships/hyperlink" Target="https://www.nytimes.com/2009/04/12/nyregion/12binghamton.html" TargetMode="External"/><Relationship Id="rId1268" Type="http://schemas.openxmlformats.org/officeDocument/2006/relationships/hyperlink" Target="https://www.businessinsider.com/who-were-the-victims-of-the-sandy-hook-shooting-2017-12" TargetMode="External"/><Relationship Id="rId1475" Type="http://schemas.openxmlformats.org/officeDocument/2006/relationships/hyperlink" Target="https://www.nytimes.com/interactive/projects/cp/us/orlando-shooting-victims/simon-adrian-carrillo-fernandez" TargetMode="External"/><Relationship Id="rId1682" Type="http://schemas.openxmlformats.org/officeDocument/2006/relationships/hyperlink" Target="https://www.bouldercityfamilymortuary.com/obituary/Quinton-Robbins" TargetMode="External"/><Relationship Id="rId400" Type="http://schemas.openxmlformats.org/officeDocument/2006/relationships/hyperlink" Target="https://books.google.com/books?id=loF2dHl2MJcC&amp;pg=PA199&amp;lpg=PA199&amp;dq=john+miller+mass+shooting+1992+victim+denise&amp;source=bl&amp;ots=bff_VddSUC&amp;sig=ACfU3U2IzdlkeiqFIqtYffObWz8y4Phz9Q&amp;hl=en&amp;ppis=_e&amp;sa=X&amp;ved=2ahUKEwj-8sGh86boAhXPXM0KHUFRBUIQ6AEwA3oECAwQAQ" TargetMode="External"/><Relationship Id="rId705" Type="http://schemas.openxmlformats.org/officeDocument/2006/relationships/hyperlink" Target="https://www.gettyimages.com/detail/news-photo/brian-britney-walks-back-to-his-seat-after-placing-a-flower-news-photo/51972772?adppopup=true" TargetMode="External"/><Relationship Id="rId1128" Type="http://schemas.openxmlformats.org/officeDocument/2006/relationships/hyperlink" Target="https://www.wave3.com/story/13137582/victims-relative-spat-began-fatal-ky-rampage/" TargetMode="External"/><Relationship Id="rId1335" Type="http://schemas.openxmlformats.org/officeDocument/2006/relationships/hyperlink" Target="https://www.kiro7.com/news/survivor-marysville-school-shooting-told-police-gi/27079664/" TargetMode="External"/><Relationship Id="rId1542" Type="http://schemas.openxmlformats.org/officeDocument/2006/relationships/hyperlink" Target="https://www.nytimes.com/2016/07/09/us/dallas-police-shooting.html" TargetMode="External"/><Relationship Id="rId1987" Type="http://schemas.openxmlformats.org/officeDocument/2006/relationships/hyperlink" Target="https://www.cbsnews.com/news/el-paso-shooting-victims-what-we-know-about-the-victims-at-texas-walmart-mass-shooting-2019-08-05/" TargetMode="External"/><Relationship Id="rId912" Type="http://schemas.openxmlformats.org/officeDocument/2006/relationships/hyperlink" Target="https://www.remembrance.vt.edu/biographies/hill.html" TargetMode="External"/><Relationship Id="rId1847" Type="http://schemas.openxmlformats.org/officeDocument/2006/relationships/hyperlink" Target="https://www.nydailynews.com/news/crime/ny-news-victims-identified-father-daughter-california-shooting-20180913-story.html" TargetMode="External"/><Relationship Id="rId41" Type="http://schemas.openxmlformats.org/officeDocument/2006/relationships/hyperlink" Target="https://www.nydailynews.com/news/crime/experts-clueless-man-fatally-shot-50-years-article-1.3548519" TargetMode="External"/><Relationship Id="rId1402" Type="http://schemas.openxmlformats.org/officeDocument/2006/relationships/hyperlink" Target="https://www.palestineherald.com/news/victim-s-ex-wife-gives-background-on-hudson-s-anger/article_c7c962f2-8d5e-11e5-8b81-9b85a3d0c742.html" TargetMode="External"/><Relationship Id="rId1707" Type="http://schemas.openxmlformats.org/officeDocument/2006/relationships/hyperlink" Target="https://www.latimes.com/projects/la-na-las-vegas-shootings-victims-list-20171002/" TargetMode="External"/><Relationship Id="rId190" Type="http://schemas.openxmlformats.org/officeDocument/2006/relationships/hyperlink" Target="https://archive.org/details/541408-james-oliver-huberty/page/n1/mode/2up" TargetMode="External"/><Relationship Id="rId288" Type="http://schemas.openxmlformats.org/officeDocument/2006/relationships/hyperlink" Target="https://www.abc10.com/article/news/local/stockton/need-to-know-the-1989-cleveland-school-shooting/103-bf6463b2-ce78-4ba1-9216-fc2c79907f82" TargetMode="External"/><Relationship Id="rId1914" Type="http://schemas.openxmlformats.org/officeDocument/2006/relationships/hyperlink" Target="https://www.chicagotribune.com/suburbs/aurora-beacon-news/ct-met-cb-aurora-illinois-shooting-updates-20190216-story.html" TargetMode="External"/><Relationship Id="rId495" Type="http://schemas.openxmlformats.org/officeDocument/2006/relationships/hyperlink" Target="https://www.latimes.com/archives/la-xpm-1995-07-20-mn-26055-story.html" TargetMode="External"/><Relationship Id="rId148" Type="http://schemas.openxmlformats.org/officeDocument/2006/relationships/hyperlink" Target="https://www.upi.com/Archives/1983/10/12/Multiple-charges-filed-in-murder-kidnapping-spree/9012434779200/" TargetMode="External"/><Relationship Id="rId355" Type="http://schemas.openxmlformats.org/officeDocument/2006/relationships/hyperlink" Target="https://apnews.com/178201fa52edf751489ca0bdf15ca772" TargetMode="External"/><Relationship Id="rId562" Type="http://schemas.openxmlformats.org/officeDocument/2006/relationships/hyperlink" Target="https://metro.co.uk/2019/07/29/school-shooter-murdered-four-kids-teacher-11-dies-head-car-crash-10480495/" TargetMode="External"/><Relationship Id="rId1192" Type="http://schemas.openxmlformats.org/officeDocument/2006/relationships/hyperlink" Target="https://www.ocregister.com/2011/10/14/police-id-victims-in-seal-beach-shooting/" TargetMode="External"/><Relationship Id="rId2036" Type="http://schemas.openxmlformats.org/officeDocument/2006/relationships/hyperlink" Target="https://abcnews.go.com/US/molson-coors-reopens-increased-security-mass-shooting-killed/story?id=69333618" TargetMode="External"/><Relationship Id="rId215" Type="http://schemas.openxmlformats.org/officeDocument/2006/relationships/hyperlink" Target="http://content.time.com/time/magazine/article/0,9171,144859,00.html" TargetMode="External"/><Relationship Id="rId422" Type="http://schemas.openxmlformats.org/officeDocument/2006/relationships/hyperlink" Target="http://www.zpub.com/sf/1993/ferrib.html" TargetMode="External"/><Relationship Id="rId867" Type="http://schemas.openxmlformats.org/officeDocument/2006/relationships/hyperlink" Target="https://alchetron.com/Capitol-Hill-massacre" TargetMode="External"/><Relationship Id="rId1052" Type="http://schemas.openxmlformats.org/officeDocument/2006/relationships/hyperlink" Target="https://www.nytimes.com/2009/04/06/nyregion/06victims.html" TargetMode="External"/><Relationship Id="rId1497" Type="http://schemas.openxmlformats.org/officeDocument/2006/relationships/hyperlink" Target="https://www.npr.org/sections/thetwo-way/2016/06/12/481785763/heres-what-we-know-about-the-orlando-shooting-victims" TargetMode="External"/><Relationship Id="rId727" Type="http://schemas.openxmlformats.org/officeDocument/2006/relationships/hyperlink" Target="https://www.denverpost.com/2015/04/03/insanity-ruling-angers-families-of-rifile-shooting-victims/" TargetMode="External"/><Relationship Id="rId934" Type="http://schemas.openxmlformats.org/officeDocument/2006/relationships/hyperlink" Target="https://www.npr.org/2007/04/18/9618673/remembering-virginia-techs-shooting-victims" TargetMode="External"/><Relationship Id="rId1357" Type="http://schemas.openxmlformats.org/officeDocument/2006/relationships/hyperlink" Target="https://www.nytimes.com/2015/06/30/us/emanuel-ame-church-mourns-myra-thompson.html" TargetMode="External"/><Relationship Id="rId1564" Type="http://schemas.openxmlformats.org/officeDocument/2006/relationships/hyperlink" Target="https://www.sun-sentinel.com/local/broward/fl-reg-esteban-santiago-pleads-guilty-airport-shooting-20180523-story.html" TargetMode="External"/><Relationship Id="rId1771" Type="http://schemas.openxmlformats.org/officeDocument/2006/relationships/hyperlink" Target="https://www.theguardian.com/us-news/2018/jan/28/five-dead-shooting-pennsylvania-car-wash-melcroft-saltlick-township" TargetMode="External"/><Relationship Id="rId63" Type="http://schemas.openxmlformats.org/officeDocument/2006/relationships/hyperlink" Target="https://www.nydailynews.com/news/crime/fullerton-massacre-shooter-begs-freed-psych-hospital-article-1.2669940" TargetMode="External"/><Relationship Id="rId1217" Type="http://schemas.openxmlformats.org/officeDocument/2006/relationships/hyperlink" Target="https://www.cbsnews.com/pictures/the-aurora-shooting-victims/19/" TargetMode="External"/><Relationship Id="rId1424" Type="http://schemas.openxmlformats.org/officeDocument/2006/relationships/hyperlink" Target="https://www.washingtonpost.com/news/post-nation/wp/2016/12/02/one-year-after-san-bernardino-police-offer-a-possible-motive-as-questions-still-linger/" TargetMode="External"/><Relationship Id="rId1631" Type="http://schemas.openxmlformats.org/officeDocument/2006/relationships/hyperlink" Target="https://www.latimes.com/projects/la-na-las-vegas-shootings-victims-list-20171002/" TargetMode="External"/><Relationship Id="rId1869" Type="http://schemas.openxmlformats.org/officeDocument/2006/relationships/hyperlink" Target="https://www.timesofisrael.com/how-the-pittsburgh-synagogue-shooting-unfolded/" TargetMode="External"/><Relationship Id="rId1729" Type="http://schemas.openxmlformats.org/officeDocument/2006/relationships/hyperlink" Target="https://www.nbcnews.com/storyline/texas-church-shooting/texas-church-shooting-who-were-victims-sutherland-springs-massacre-n818356" TargetMode="External"/><Relationship Id="rId1936" Type="http://schemas.openxmlformats.org/officeDocument/2006/relationships/hyperlink" Target="https://www.npr.org/2019/06/01/728903700/what-we-know-about-the-virginia-beach-mass-shooting-victims" TargetMode="External"/><Relationship Id="rId377" Type="http://schemas.openxmlformats.org/officeDocument/2006/relationships/hyperlink" Target="https://www.nytimes.com/1991/11/15/us/ex-postal-worker-kills-3-and-wounds-6-in-michigan.html" TargetMode="External"/><Relationship Id="rId584" Type="http://schemas.openxmlformats.org/officeDocument/2006/relationships/hyperlink" Target="https://kfor.com/news/15th-anniversary-of-tragic-columbine-high-school-shooting-heres-the-background/" TargetMode="External"/><Relationship Id="rId5" Type="http://schemas.openxmlformats.org/officeDocument/2006/relationships/hyperlink" Target="http://behindthetower.org/the-victims/" TargetMode="External"/><Relationship Id="rId237" Type="http://schemas.openxmlformats.org/officeDocument/2006/relationships/hyperlink" Target="https://oklahoman.com/article/5514609/ceremony-to-mark-30th-anniversary-of-edmond-post-office-massacre" TargetMode="External"/><Relationship Id="rId791" Type="http://schemas.openxmlformats.org/officeDocument/2006/relationships/hyperlink" Target="https://www.twincities.com/2014/11/20/10-years-ago-6-deer-hunters-slain-in-woods-of-western-wisconsin/" TargetMode="External"/><Relationship Id="rId889" Type="http://schemas.openxmlformats.org/officeDocument/2006/relationships/hyperlink" Target="https://www.sltrib.com/news/crime/2017/02/14/vigil-remembers-trolley-square-shooting-victims-10-years-after-attacks/" TargetMode="External"/><Relationship Id="rId1074" Type="http://schemas.openxmlformats.org/officeDocument/2006/relationships/hyperlink" Target="https://www.kwtx.com/content/news/10-minutes-of-gunfire-10-years-ago-left-13-dead-more-than-30-injured-564365711.html" TargetMode="External"/><Relationship Id="rId444" Type="http://schemas.openxmlformats.org/officeDocument/2006/relationships/hyperlink" Target="https://www.latimes.com/archives/la-xpm-1993-12-03-mn-63506-story.html" TargetMode="External"/><Relationship Id="rId651" Type="http://schemas.openxmlformats.org/officeDocument/2006/relationships/hyperlink" Target="http://www.sbclife.net/article/521/remembering-the-slain" TargetMode="External"/><Relationship Id="rId749" Type="http://schemas.openxmlformats.org/officeDocument/2006/relationships/hyperlink" Target="https://www.gainesville.com/news/20030226/four-dead-in-ala-shooting-at-job-agency" TargetMode="External"/><Relationship Id="rId1281" Type="http://schemas.openxmlformats.org/officeDocument/2006/relationships/hyperlink" Target="https://www.federalwaymirror.com/news/mother-grieves-for-daughter-killed-in-apartment-shooting/" TargetMode="External"/><Relationship Id="rId1379" Type="http://schemas.openxmlformats.org/officeDocument/2006/relationships/hyperlink" Target="https://www.nytimes.com/2015/10/10/us/roseburg-oregon-shooting-christopher-harper-mercer.html" TargetMode="External"/><Relationship Id="rId1586" Type="http://schemas.openxmlformats.org/officeDocument/2006/relationships/hyperlink" Target="https://www.wausaudailyherald.com/story/news/2017/05/08/wife-details-troubles-before-her-husband-gunned-down-4-people/100164526/" TargetMode="External"/><Relationship Id="rId304" Type="http://schemas.openxmlformats.org/officeDocument/2006/relationships/hyperlink" Target="https://www.courier-journal.com/in-depth/news/local/2019/09/12/louisvilles-standard-gravure-shooting-anniversary-all-victims/2284348001/" TargetMode="External"/><Relationship Id="rId511" Type="http://schemas.openxmlformats.org/officeDocument/2006/relationships/hyperlink" Target="https://www.latimes.com/archives/la-xpm-1996-04-25-mn-62698-story.html" TargetMode="External"/><Relationship Id="rId609" Type="http://schemas.openxmlformats.org/officeDocument/2006/relationships/hyperlink" Target="https://www.latimes.com/archives/la-xpm-1999-jun-05-mn-44403-story.html" TargetMode="External"/><Relationship Id="rId956" Type="http://schemas.openxmlformats.org/officeDocument/2006/relationships/hyperlink" Target="https://www.omaha.com/news/local/von-maur-victims-pictures-stories-of-beverly-flynn-reflect-a/article_fa2561d0-c347-11e7-8efc-7b8f00cbbaa9.html" TargetMode="External"/><Relationship Id="rId1141" Type="http://schemas.openxmlformats.org/officeDocument/2006/relationships/hyperlink" Target="https://www.cnn.com/2013/06/10/us/arizona-safeway-shootings-fast-facts/index.html" TargetMode="External"/><Relationship Id="rId1239" Type="http://schemas.openxmlformats.org/officeDocument/2006/relationships/hyperlink" Target="https://www.startribune.com/remembering-reuven-rahamim/172093501/" TargetMode="External"/><Relationship Id="rId1793" Type="http://schemas.openxmlformats.org/officeDocument/2006/relationships/hyperlink" Target="https://www.cnn.com/2018/02/15/us/florida-shooting-victims-school/index.html" TargetMode="External"/><Relationship Id="rId85" Type="http://schemas.openxmlformats.org/officeDocument/2006/relationships/hyperlink" Target="https://www.nytimes.com/2017/11/21/us/texas-church-shootings-daingerfield-sutherland-springs.html" TargetMode="External"/><Relationship Id="rId816" Type="http://schemas.openxmlformats.org/officeDocument/2006/relationships/hyperlink" Target="https://www.cbsnews.com/news/church-police-probe-7-murders/" TargetMode="External"/><Relationship Id="rId1001" Type="http://schemas.openxmlformats.org/officeDocument/2006/relationships/hyperlink" Target="https://obits.courierpress.com/obituaries/courierpress/obituary.aspx?n=trisha-mirelez&amp;pid=112322885" TargetMode="External"/><Relationship Id="rId1446" Type="http://schemas.openxmlformats.org/officeDocument/2006/relationships/hyperlink" Target="https://www.mlive.com/news/kalamazoo/2019/01/families-of-kalamazoo-uber-shooting-victims-prepare-for-trial.html" TargetMode="External"/><Relationship Id="rId1653" Type="http://schemas.openxmlformats.org/officeDocument/2006/relationships/hyperlink" Target="https://www.latimes.com/projects/la-na-las-vegas-shootings-victims-list-20171002/" TargetMode="External"/><Relationship Id="rId1860" Type="http://schemas.openxmlformats.org/officeDocument/2006/relationships/hyperlink" Target="https://www.npr.org/2018/10/28/661530860/pittsburgh-synagogue-shooting-victims-identified" TargetMode="External"/><Relationship Id="rId1306" Type="http://schemas.openxmlformats.org/officeDocument/2006/relationships/hyperlink" Target="https://www.nytimes.com/2013/07/28/us/6-shot-dead-by-neighbor-at-building-near-miami.html" TargetMode="External"/><Relationship Id="rId1513" Type="http://schemas.openxmlformats.org/officeDocument/2006/relationships/hyperlink" Target="https://www.nytimes.com/interactive/projects/cp/us/orlando-shooting-victims/jean-carlos-nieves-rodriguez" TargetMode="External"/><Relationship Id="rId1720" Type="http://schemas.openxmlformats.org/officeDocument/2006/relationships/hyperlink" Target="https://www.nbcnews.com/storyline/texas-church-shooting/texas-church-shooting-who-were-victims-sutherland-springs-massacre-n818356" TargetMode="External"/><Relationship Id="rId1958" Type="http://schemas.openxmlformats.org/officeDocument/2006/relationships/hyperlink" Target="https://nypost.com/2019/08/06/police-identify-all-22-victims-of-the-el-paso-walmart-massacre/" TargetMode="External"/><Relationship Id="rId12" Type="http://schemas.openxmlformats.org/officeDocument/2006/relationships/hyperlink" Target="http://behindthetower.org/a-brief-history-of-mass-shootings" TargetMode="External"/><Relationship Id="rId1818" Type="http://schemas.openxmlformats.org/officeDocument/2006/relationships/hyperlink" Target="https://www.cnn.com/2018/05/18/us/texas-school-shooting-victims/index.html" TargetMode="External"/><Relationship Id="rId161"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399" Type="http://schemas.openxmlformats.org/officeDocument/2006/relationships/hyperlink" Target="https://books.google.com/books?id=loF2dHl2MJcC&amp;pg=PA199&amp;lpg=PA199&amp;dq=john+miller+mass+shooting+1992+victim+denise&amp;source=bl&amp;ots=bff_VddSUC&amp;sig=ACfU3U2IzdlkeiqFIqtYffObWz8y4Phz9Q&amp;hl=en&amp;ppis=_e&amp;sa=X&amp;ved=2ahUKEwj-8sGh86boAhXPXM0KHUFRBUIQ6AEwA3oECAwQAQ" TargetMode="External"/><Relationship Id="rId259" Type="http://schemas.openxmlformats.org/officeDocument/2006/relationships/hyperlink" Target="https://www.leagle.com/decision/incaco20090702055" TargetMode="External"/><Relationship Id="rId466" Type="http://schemas.openxmlformats.org/officeDocument/2006/relationships/hyperlink" Target="https://www.nytimes.com/1993/12/16/us/gunman-kills-4-workers-at-colorado-restaurant.html" TargetMode="External"/><Relationship Id="rId673" Type="http://schemas.openxmlformats.org/officeDocument/2006/relationships/hyperlink" Target="https://www.deseret.com/1999/12/31/19483268/5-killed-when-hotel-worker-goes-on-rampage-in-florida" TargetMode="External"/><Relationship Id="rId880" Type="http://schemas.openxmlformats.org/officeDocument/2006/relationships/hyperlink" Target="https://ashlandtidings.com/archive/amish-families-bury-shooting-victims" TargetMode="External"/><Relationship Id="rId1096" Type="http://schemas.openxmlformats.org/officeDocument/2006/relationships/hyperlink" Target="https://hetq.am/en/article/74067" TargetMode="External"/><Relationship Id="rId119" Type="http://schemas.openxmlformats.org/officeDocument/2006/relationships/hyperlink" Target="https://news.google.com/newspapers?id=JA4LAAAAIBAJ&amp;sjid=yVEDAAAAIBAJ&amp;pg=5061,3848480&amp;dq=john+parish" TargetMode="External"/><Relationship Id="rId326" Type="http://schemas.openxmlformats.org/officeDocument/2006/relationships/hyperlink" Target="https://www.nytimes.com/1991/10/11/nyregion/4-slain-in-2-new-jersey-attacks-and-former-postal-clerk-is-held.html?auth=login-email&amp;login=email" TargetMode="External"/><Relationship Id="rId533" Type="http://schemas.openxmlformats.org/officeDocument/2006/relationships/hyperlink" Target="https://www.seattletimes.com/nation-world/families-still-mourning-from-bartow-mass-murder-20-years-ago/" TargetMode="External"/><Relationship Id="rId978" Type="http://schemas.openxmlformats.org/officeDocument/2006/relationships/hyperlink" Target="https://www.stltoday.com/news/local/metro/kirkwood-city-hall-shooting-years-after-tragedy-a-community-reflects/article_895f3748-b575-59bb-b02a-719dc551a4d4.html" TargetMode="External"/><Relationship Id="rId1163" Type="http://schemas.openxmlformats.org/officeDocument/2006/relationships/hyperlink" Target="https://www.news-herald.com/news/police-identify-th-victim-in-copley-shooting-spree/article_3622d646-2a2c-52db-825d-d6c21c163e61.html" TargetMode="External"/><Relationship Id="rId1370" Type="http://schemas.openxmlformats.org/officeDocument/2006/relationships/hyperlink" Target="https://www.theguardian.com/us-news/2015/oct/04/oregon-shooting-one-of-victims-was-british-mother-attending-college" TargetMode="External"/><Relationship Id="rId2007" Type="http://schemas.openxmlformats.org/officeDocument/2006/relationships/hyperlink" Target="https://www.nytimes.com/2019/08/05/us/dayton-shooting-victims.html" TargetMode="External"/><Relationship Id="rId740" Type="http://schemas.openxmlformats.org/officeDocument/2006/relationships/hyperlink" Target="https://www.latimes.com/archives/la-xpm-2001-sep-11-mn-44550-story.html" TargetMode="External"/><Relationship Id="rId838" Type="http://schemas.openxmlformats.org/officeDocument/2006/relationships/hyperlink" Target="https://www.mprnews.org/story/2015/03/18/red-lake-victims" TargetMode="External"/><Relationship Id="rId1023" Type="http://schemas.openxmlformats.org/officeDocument/2006/relationships/hyperlink" Target="https://www.nytimes.com/2009/03/30/us/30shooting.html" TargetMode="External"/><Relationship Id="rId1468" Type="http://schemas.openxmlformats.org/officeDocument/2006/relationships/hyperlink" Target="https://www.npr.org/sections/thetwo-way/2016/06/12/481785763/heres-what-we-know-about-the-orlando-shooting-victims" TargetMode="External"/><Relationship Id="rId1675" Type="http://schemas.openxmlformats.org/officeDocument/2006/relationships/hyperlink" Target="https://www.latimes.com/projects/la-na-las-vegas-shootings-victims-list-20171002/" TargetMode="External"/><Relationship Id="rId1882" Type="http://schemas.openxmlformats.org/officeDocument/2006/relationships/hyperlink" Target="https://www.ajc.com/news/national/thousand-oaks-shooting-what-know-about-the-victims/9QraYxz120zL2OsCfuuuhP/" TargetMode="External"/><Relationship Id="rId600" Type="http://schemas.openxmlformats.org/officeDocument/2006/relationships/hyperlink" Target="https://kfor.com/news/15th-anniversary-of-tragic-columbine-high-school-shooting-heres-the-background/" TargetMode="External"/><Relationship Id="rId1230" Type="http://schemas.openxmlformats.org/officeDocument/2006/relationships/hyperlink" Target="http://www.startribune.com/andrew-engeldinger-lost-his-job-then-opened-fire-killing-5/171774461/" TargetMode="External"/><Relationship Id="rId1328" Type="http://schemas.openxmlformats.org/officeDocument/2006/relationships/hyperlink" Target="https://abc7.com/76775/" TargetMode="External"/><Relationship Id="rId1535" Type="http://schemas.openxmlformats.org/officeDocument/2006/relationships/hyperlink" Target="https://www.nytimes.com/interactive/projects/cp/us/orlando-shooting-victims/leroy-valentin-fernandez" TargetMode="External"/><Relationship Id="rId905" Type="http://schemas.openxmlformats.org/officeDocument/2006/relationships/hyperlink" Target="https://www.npr.org/2007/04/18/9618673/remembering-virginia-techs-shooting-victims" TargetMode="External"/><Relationship Id="rId1742" Type="http://schemas.openxmlformats.org/officeDocument/2006/relationships/hyperlink" Target="https://www.mysanantonio.com/news/local/article/During-11-years-of-marraige-couple-stuck-12342914.php" TargetMode="External"/><Relationship Id="rId34" Type="http://schemas.openxmlformats.org/officeDocument/2006/relationships/hyperlink" Target="https://www.nydailynews.com/news/crime/experts-clueless-man-fatally-shot-50-years-article-1.3548519" TargetMode="External"/><Relationship Id="rId1602" Type="http://schemas.openxmlformats.org/officeDocument/2006/relationships/hyperlink" Target="https://people.com/crime/las-vegas-shooting-victims-names-photos-tributes/?slide=5948737" TargetMode="External"/><Relationship Id="rId183" Type="http://schemas.openxmlformats.org/officeDocument/2006/relationships/hyperlink" Target="https://www.findagrave.com/memorial/189118195/margarita-padilla" TargetMode="External"/><Relationship Id="rId390" Type="http://schemas.openxmlformats.org/officeDocument/2006/relationships/hyperlink" Target="https://schoolshooters.info/sites/default/files/California-v-Houston-2007.pdf" TargetMode="External"/><Relationship Id="rId1907" Type="http://schemas.openxmlformats.org/officeDocument/2006/relationships/hyperlink" Target="https://www.orlandoweekly.com/Blogs/archives/2019/01/29/here-are-the-5-women-killed-by-a-gunman-at-a-sebring-bank-in-floridas-latest-mass-shooting" TargetMode="External"/><Relationship Id="rId250" Type="http://schemas.openxmlformats.org/officeDocument/2006/relationships/hyperlink" Target="https://www.odmp.org/officer/7164-officer-gerald-douglas-johnson" TargetMode="External"/><Relationship Id="rId488" Type="http://schemas.openxmlformats.org/officeDocument/2006/relationships/hyperlink" Target="https://www.nytimes.com/1995/04/04/us/6-die-in-texas-office-shooting.html" TargetMode="External"/><Relationship Id="rId695" Type="http://schemas.openxmlformats.org/officeDocument/2006/relationships/hyperlink" Target="http://old.post-gazette.com/obituaries/20000430pham4.asp" TargetMode="External"/><Relationship Id="rId110" Type="http://schemas.openxmlformats.org/officeDocument/2006/relationships/hyperlink" Target="https://www.nytimes.com/1982/06/22/us/new-law-on-insanity-plea-stirs-dispute-in-alaska.html" TargetMode="External"/><Relationship Id="rId348" Type="http://schemas.openxmlformats.org/officeDocument/2006/relationships/hyperlink" Target="https://apnews.com/178201fa52edf751489ca0bdf15ca772" TargetMode="External"/><Relationship Id="rId555" Type="http://schemas.openxmlformats.org/officeDocument/2006/relationships/hyperlink" Target="https://www.nytimes.com/1998/03/29/us/from-wild-talk-and-friendship-to-five-deaths-in-a-schoolyard.html?mcubz=0" TargetMode="External"/><Relationship Id="rId762" Type="http://schemas.openxmlformats.org/officeDocument/2006/relationships/hyperlink" Target="https://abcnews.go.com/Primetime/story?id=749286&amp;page=1" TargetMode="External"/><Relationship Id="rId1185" Type="http://schemas.openxmlformats.org/officeDocument/2006/relationships/hyperlink" Target="https://www.latimes.com/local/lanow/la-me-ln-scott-dekraai-sentencing-20170922-story.html" TargetMode="External"/><Relationship Id="rId1392" Type="http://schemas.openxmlformats.org/officeDocument/2006/relationships/hyperlink" Target="https://www.dallasnews.com/news/crime/2017/11/08/killer-quickly-convicted-for-slaughtering-6-at-east-texas-campsite/" TargetMode="External"/><Relationship Id="rId2029" Type="http://schemas.openxmlformats.org/officeDocument/2006/relationships/hyperlink" Target="https://www.cnn.com/2019/12/10/us/jersey-city-shooting-victims/index.html" TargetMode="External"/><Relationship Id="rId208" Type="http://schemas.openxmlformats.org/officeDocument/2006/relationships/hyperlink" Target="https://www.nytimes.com/1986/08/21/us/mail-carrier-kills-14-in-post-office-then-himself.html" TargetMode="External"/><Relationship Id="rId415" Type="http://schemas.openxmlformats.org/officeDocument/2006/relationships/hyperlink" Target="https://www.sfchronicle.com/politics/article/Woman-recalls-death-of-husband-on-25th-13040586.php" TargetMode="External"/><Relationship Id="rId622" Type="http://schemas.openxmlformats.org/officeDocument/2006/relationships/hyperlink" Target="https://www.nytimes.com/1999/07/31/us/shootings-in-atlanta-the-overview-killer-confessed-in-a-letter-spiked-with-rage.html" TargetMode="External"/><Relationship Id="rId1045" Type="http://schemas.openxmlformats.org/officeDocument/2006/relationships/hyperlink" Target="https://www.nytimes.com/2009/04/12/nyregion/12binghamton.html" TargetMode="External"/><Relationship Id="rId1252" Type="http://schemas.openxmlformats.org/officeDocument/2006/relationships/hyperlink" Target="https://www.businessinsider.com/who-were-the-victims-of-the-sandy-hook-shooting-2017-12" TargetMode="External"/><Relationship Id="rId1697" Type="http://schemas.openxmlformats.org/officeDocument/2006/relationships/hyperlink" Target="https://www.latimes.com/projects/la-na-las-vegas-shootings-victims-list-20171002/" TargetMode="External"/><Relationship Id="rId927" Type="http://schemas.openxmlformats.org/officeDocument/2006/relationships/hyperlink" Target="https://www.remembrance.vt.edu/biographies/lumbantoruan.html" TargetMode="External"/><Relationship Id="rId1112" Type="http://schemas.openxmlformats.org/officeDocument/2006/relationships/hyperlink" Target="https://www.cbsnews.com/news/connecticut-shooting-victims-stories-emerge-after-hartford-distributors-massacre/" TargetMode="External"/><Relationship Id="rId1557" Type="http://schemas.openxmlformats.org/officeDocument/2006/relationships/hyperlink" Target="https://www.seattletimes.com/seattle-news/crime/accused-cascade-mall-shooter-dies-in-snohomish-county-jail/" TargetMode="External"/><Relationship Id="rId1764" Type="http://schemas.openxmlformats.org/officeDocument/2006/relationships/hyperlink" Target="http://gunmemorial.org/2017/11/14/joseph-edward-mchugh-iii" TargetMode="External"/><Relationship Id="rId1971" Type="http://schemas.openxmlformats.org/officeDocument/2006/relationships/hyperlink" Target="https://www.cbsnews.com/news/el-paso-shooting-victims-what-we-know-about-the-victims-at-texas-walmart-mass-shooting-2019-08-05/" TargetMode="External"/><Relationship Id="rId56" Type="http://schemas.openxmlformats.org/officeDocument/2006/relationships/hyperlink" Target="https://www.latimes.com/socal/weekend/news/tn-wknd-et-0703-cal-state-fullerton-memorial-20160702-story.html" TargetMode="External"/><Relationship Id="rId1417" Type="http://schemas.openxmlformats.org/officeDocument/2006/relationships/hyperlink" Target="https://www.sbsun.com/2015/12/16/aurora-godoy-san-bernardino-terror-attack-victim-remembered-at-memorial-services/" TargetMode="External"/><Relationship Id="rId1624" Type="http://schemas.openxmlformats.org/officeDocument/2006/relationships/hyperlink" Target="https://www.findagrave.com/memorial/183923935/thomas-allen-day" TargetMode="External"/><Relationship Id="rId1831" Type="http://schemas.openxmlformats.org/officeDocument/2006/relationships/hyperlink" Target="https://www.houstonchronicle.com/news/houston-texas/houston/article/Ten-months-after-Santa-Fe-High-shooting-families-13685169.php" TargetMode="External"/><Relationship Id="rId1929" Type="http://schemas.openxmlformats.org/officeDocument/2006/relationships/hyperlink" Target="http://www.hdoliver.com/obituary/Mary-Louise-Crutsinger-Gayle/Virginia-Beach-Virginia/1848254" TargetMode="External"/><Relationship Id="rId272" Type="http://schemas.openxmlformats.org/officeDocument/2006/relationships/hyperlink" Target="https://www.leagle.com/decision/incaco20090702055" TargetMode="External"/><Relationship Id="rId577" Type="http://schemas.openxmlformats.org/officeDocument/2006/relationships/hyperlink" Target="https://www.weeklycitizen.com/article/20080610/NEWS/306109986" TargetMode="External"/><Relationship Id="rId132" Type="http://schemas.openxmlformats.org/officeDocument/2006/relationships/hyperlink" Target="https://www.nytimes.com/1983/02/04/nyregion/gunman-kills-four-and-wounds-a-fifth-at-a-west-side-hotel.html" TargetMode="External"/><Relationship Id="rId784" Type="http://schemas.openxmlformats.org/officeDocument/2006/relationships/hyperlink" Target="http://www.nbcnews.com/id/5353964/ns/us_news-crime_and_courts/t/six-dead-kansas-workplace-shooting/" TargetMode="External"/><Relationship Id="rId991" Type="http://schemas.openxmlformats.org/officeDocument/2006/relationships/hyperlink" Target="http://www.nbcnews.com/id/29199551/ns/us_news-crime_and_courts/t/niu-shooting-victims-mourn-lives-lost/" TargetMode="External"/><Relationship Id="rId1067" Type="http://schemas.openxmlformats.org/officeDocument/2006/relationships/hyperlink" Target="https://www.wxii12.com/article/4-victims-in-mount-airy-shooting-related-police-say/2036349" TargetMode="External"/><Relationship Id="rId2020" Type="http://schemas.openxmlformats.org/officeDocument/2006/relationships/hyperlink" Target="https://www.washingtonpost.com/politics/2019/09/01/texass-second-mass-shooting-august-kills-least/" TargetMode="External"/><Relationship Id="rId437" Type="http://schemas.openxmlformats.org/officeDocument/2006/relationships/hyperlink" Target="https://www.nytimes.com/1993/08/08/us/soldier-kills-4-people-and-hurts-6-in-a-restaurant-in-north-carolina.html" TargetMode="External"/><Relationship Id="rId644" Type="http://schemas.openxmlformats.org/officeDocument/2006/relationships/hyperlink" Target="https://www.star-telegram.com/news/local/fort-worth/article234218492.html" TargetMode="External"/><Relationship Id="rId851" Type="http://schemas.openxmlformats.org/officeDocument/2006/relationships/hyperlink" Target="https://www.cbsnews.com/news/postal-shooters-bizarre-behavior/" TargetMode="External"/><Relationship Id="rId1274" Type="http://schemas.openxmlformats.org/officeDocument/2006/relationships/hyperlink" Target="https://www.wktv.com/content/news/Memorial-Walk-planned-to-honor-the-victims-of-the-Mohawk-and-Herkimer-shootings-in-2013-476605513.html" TargetMode="External"/><Relationship Id="rId1481" Type="http://schemas.openxmlformats.org/officeDocument/2006/relationships/hyperlink" Target="https://www.findagrave.com/memorial/165153802/cory-james-connell" TargetMode="External"/><Relationship Id="rId1579" Type="http://schemas.openxmlformats.org/officeDocument/2006/relationships/hyperlink" Target="https://www.clarionledger.com/story/news/local/2017/02/06/4-killed-yazoo-city-nightclub-shooting/97541814/" TargetMode="External"/><Relationship Id="rId504" Type="http://schemas.openxmlformats.org/officeDocument/2006/relationships/hyperlink" Target="https://apnews.com/cec11122f0b4c232725599b3ae3d7bcf" TargetMode="External"/><Relationship Id="rId711" Type="http://schemas.openxmlformats.org/officeDocument/2006/relationships/hyperlink" Target="https://www.gettyimages.com/detail/news-photo/brian-britney-walks-back-to-his-seat-after-placing-a-flower-news-photo/51972772?adppopup=true" TargetMode="External"/><Relationship Id="rId949" Type="http://schemas.openxmlformats.org/officeDocument/2006/relationships/hyperlink" Target="https://www.remembrance.vt.edu/biographies/shaalan.html" TargetMode="External"/><Relationship Id="rId1134" Type="http://schemas.openxmlformats.org/officeDocument/2006/relationships/hyperlink" Target="https://www.kentucky.com/news/state/kentucky/article44049051.html" TargetMode="External"/><Relationship Id="rId1341" Type="http://schemas.openxmlformats.org/officeDocument/2006/relationships/hyperlink" Target="https://www.nj.com/essex/2015/06/mother_killed_in_charleston_church_massacre_identi.html" TargetMode="External"/><Relationship Id="rId1786" Type="http://schemas.openxmlformats.org/officeDocument/2006/relationships/hyperlink" Target="https://www.cnn.com/2018/02/15/us/florida-shooting-victims-school/index.html" TargetMode="External"/><Relationship Id="rId1993" Type="http://schemas.openxmlformats.org/officeDocument/2006/relationships/hyperlink" Target="https://apnews.com/1aa03c4a153f4f6d9881f0f11cd2e89a" TargetMode="External"/><Relationship Id="rId78" Type="http://schemas.openxmlformats.org/officeDocument/2006/relationships/hyperlink" Target="https://fultonhistory.com/Newspaper%2011/Geneva%20NY%20Finger%20Lake%20Times/Geneva%20NY%20Finger%20Lake%20Times%201980%20Feb%201980/Geneva%20NY%20Finger%20Lake%20Times%201980%20Feb%201980%20-%200064.pdf" TargetMode="External"/><Relationship Id="rId809" Type="http://schemas.openxmlformats.org/officeDocument/2006/relationships/hyperlink" Target="https://www.rollingstone.com/music/music-news/behind-the-murder-of-dimebag-darrell-233541/" TargetMode="External"/><Relationship Id="rId1201" Type="http://schemas.openxmlformats.org/officeDocument/2006/relationships/hyperlink" Target="https://www.wibw.com/home/headlines/Authorities_Name_6_Of_7_Murder_Victims_In_Oakland_College_Shooting_146157145.html" TargetMode="External"/><Relationship Id="rId1439" Type="http://schemas.openxmlformats.org/officeDocument/2006/relationships/hyperlink" Target="https://www.battlecreekenquirer.com/story/news/local/2016/02/22/shooting-victim-judy-brown-compassionate-gentle-soul/80765152/" TargetMode="External"/><Relationship Id="rId1646" Type="http://schemas.openxmlformats.org/officeDocument/2006/relationships/hyperlink" Target="https://www.northernalbertafunerals.com/obituary/5411797" TargetMode="External"/><Relationship Id="rId1853" Type="http://schemas.openxmlformats.org/officeDocument/2006/relationships/hyperlink" Target="https://www.fresnobee.com/news/local/crime/article218331035.html" TargetMode="External"/><Relationship Id="rId1506" Type="http://schemas.openxmlformats.org/officeDocument/2006/relationships/hyperlink" Target="https://www.npr.org/sections/thetwo-way/2016/06/12/481785763/heres-what-we-know-about-the-orlando-shooting-victims" TargetMode="External"/><Relationship Id="rId1713" Type="http://schemas.openxmlformats.org/officeDocument/2006/relationships/hyperlink" Target="https://www.latimes.com/projects/la-na-las-vegas-shootings-victims-list-20171002/" TargetMode="External"/><Relationship Id="rId1920" Type="http://schemas.openxmlformats.org/officeDocument/2006/relationships/hyperlink" Target="https://www.chicagotribune.com/suburbs/aurora-beacon-news/ct-met-cb-aurora-illinois-shooting-updates-20190216-story.html" TargetMode="External"/><Relationship Id="rId294" Type="http://schemas.openxmlformats.org/officeDocument/2006/relationships/hyperlink" Target="https://www.abc10.com/article/news/local/stockton/need-to-know-the-1989-cleveland-school-shooting/103-bf6463b2-ce78-4ba1-9216-fc2c79907f82" TargetMode="External"/><Relationship Id="rId154"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361" Type="http://schemas.openxmlformats.org/officeDocument/2006/relationships/hyperlink" Target="https://www.desmoinesregister.com/story/news/2018/11/01/gang-lu-shooting-university-iowa-campus-iowa-city-guns-handgun-jessup-hall-van-allen-jessup-hall/1847462002/" TargetMode="External"/><Relationship Id="rId599" Type="http://schemas.openxmlformats.org/officeDocument/2006/relationships/hyperlink" Target="https://www.dispatch.com/photogallery/oh/20180419/news/419009991/PH/1" TargetMode="External"/><Relationship Id="rId459" Type="http://schemas.openxmlformats.org/officeDocument/2006/relationships/hyperlink" Target="https://www.nytimes.com/1993/12/09/nyregion/death-lirr-overview-portrait-suspect-emerges-shooting-li-train.html" TargetMode="External"/><Relationship Id="rId666" Type="http://schemas.openxmlformats.org/officeDocument/2006/relationships/hyperlink" Target="https://www.latimes.com/archives/la-xpm-1999-nov-03-mn-29234-story.html" TargetMode="External"/><Relationship Id="rId873" Type="http://schemas.openxmlformats.org/officeDocument/2006/relationships/hyperlink" Target="https://www.wafb.com/story/4962452/first-funeral-for-victims-of-church-shooting/" TargetMode="External"/><Relationship Id="rId1089" Type="http://schemas.openxmlformats.org/officeDocument/2006/relationships/hyperlink" Target="https://www.latimes.com/local/lanow/la-me-ln-man-convicted-of-killing-four--20160315-story.html" TargetMode="External"/><Relationship Id="rId1296" Type="http://schemas.openxmlformats.org/officeDocument/2006/relationships/hyperlink" Target="https://www.nytimes.com/2013/07/28/us/6-shot-dead-by-neighbor-at-building-near-miami.html" TargetMode="External"/><Relationship Id="rId221" Type="http://schemas.openxmlformats.org/officeDocument/2006/relationships/hyperlink" Target="https://books.google.com/books?id=Jv1pCwAAQBAJ&amp;pg=PA65&amp;lpg=PA65&amp;dq=%22patty+jean+husband%22+1986&amp;source=bl&amp;ots=5TrfeSufgJ&amp;sig=ACfU3U3iCH_mmRdwLuBKrR7OyV9iMuELGQ&amp;hl=en&amp;sa=X&amp;ved=2ahUKEwjwkLWi8aTpAhVLOs0KHRSpDJgQ6AEwCnoECAoQAQ" TargetMode="External"/><Relationship Id="rId319" Type="http://schemas.openxmlformats.org/officeDocument/2006/relationships/hyperlink" Target="https://www.latimes.com/archives/la-xpm-1990-06-19-mn-52-story.html" TargetMode="External"/><Relationship Id="rId526" Type="http://schemas.openxmlformats.org/officeDocument/2006/relationships/hyperlink" Target="http://content.time.com/time/magazine/article/0,9171,138219,00.html" TargetMode="External"/><Relationship Id="rId1156" Type="http://schemas.openxmlformats.org/officeDocument/2006/relationships/hyperlink" Target="https://abcnews.go.com/US/ohio-gunman-hunted-child-shooting-rampage-girlfriend-lone/story?id=14255204" TargetMode="External"/><Relationship Id="rId1363" Type="http://schemas.openxmlformats.org/officeDocument/2006/relationships/hyperlink" Target="https://www.washingtonpost.com/graphics/national/chattanooga-tennessee-shooting-victims/" TargetMode="External"/><Relationship Id="rId733" Type="http://schemas.openxmlformats.org/officeDocument/2006/relationships/hyperlink" Target="https://www.latimes.com/archives/la-xpm-2001-sep-10-mn-44103-story.html" TargetMode="External"/><Relationship Id="rId940" Type="http://schemas.openxmlformats.org/officeDocument/2006/relationships/hyperlink" Target="https://www.npr.org/2007/04/18/9618673/remembering-virginia-techs-shooting-victims" TargetMode="External"/><Relationship Id="rId1016" Type="http://schemas.openxmlformats.org/officeDocument/2006/relationships/hyperlink" Target="https://www.findagrave.com/memorial/35344978/jerry-yi-avant" TargetMode="External"/><Relationship Id="rId1570" Type="http://schemas.openxmlformats.org/officeDocument/2006/relationships/hyperlink" Target="https://www.sun-sentinel.com/local/broward/fl-reg-esteban-santiago-pleads-guilty-airport-shooting-20180523-story.html" TargetMode="External"/><Relationship Id="rId1668" Type="http://schemas.openxmlformats.org/officeDocument/2006/relationships/hyperlink" Target="https://www.findagrave.com/memorial/183915941/rachael-kathleen-parker" TargetMode="External"/><Relationship Id="rId1875" Type="http://schemas.openxmlformats.org/officeDocument/2006/relationships/hyperlink" Target="https://www.timesofisrael.com/how-the-pittsburgh-synagogue-shooting-unfolded/" TargetMode="External"/><Relationship Id="rId800" Type="http://schemas.openxmlformats.org/officeDocument/2006/relationships/hyperlink" Target="https://chippewa.com/news/sixth-hunter-dies-from-shooting/article_d22e4fca-621a-5bd1-a457-83d0af47bf18.html" TargetMode="External"/><Relationship Id="rId1223" Type="http://schemas.openxmlformats.org/officeDocument/2006/relationships/hyperlink" Target="https://www.cbsnews.com/pictures/the-aurora-shooting-victims/2/" TargetMode="External"/><Relationship Id="rId1430" Type="http://schemas.openxmlformats.org/officeDocument/2006/relationships/hyperlink" Target="https://www.latimes.com/local/lanow/la-me-ln-san-bernardino-shooting-victims-htmlstory.html" TargetMode="External"/><Relationship Id="rId1528" Type="http://schemas.openxmlformats.org/officeDocument/2006/relationships/hyperlink" Target="https://www.npr.org/sections/thetwo-way/2016/06/12/481785763/heres-what-we-know-about-the-orlando-shooting-victims" TargetMode="External"/><Relationship Id="rId1735" Type="http://schemas.openxmlformats.org/officeDocument/2006/relationships/hyperlink" Target="https://www.nbcnews.com/storyline/texas-church-shooting/texas-church-shooting-who-were-victims-sutherland-springs-massacre-n818356" TargetMode="External"/><Relationship Id="rId1942" Type="http://schemas.openxmlformats.org/officeDocument/2006/relationships/hyperlink" Target="https://www.npr.org/2019/06/01/728903700/what-we-know-about-the-virginia-beach-mass-shooting-victims" TargetMode="External"/><Relationship Id="rId27" Type="http://schemas.openxmlformats.org/officeDocument/2006/relationships/hyperlink" Target="https://newspaperarchive.com/lock-haven-express-oct-24-1967-p-1/" TargetMode="External"/><Relationship Id="rId1802" Type="http://schemas.openxmlformats.org/officeDocument/2006/relationships/hyperlink" Target="https://www.clickondetroit.com/news/2018/02/27/dark-details-emerge-about-quadruple-murder-in-detroit/" TargetMode="External"/><Relationship Id="rId176" Type="http://schemas.openxmlformats.org/officeDocument/2006/relationships/hyperlink" Target="https://www.findagrave.com/memorial/39821343/gloria-lopez-gonzalez" TargetMode="External"/><Relationship Id="rId383" Type="http://schemas.openxmlformats.org/officeDocument/2006/relationships/hyperlink" Target="https://casetext.com/case/rogovich-v-schriro-2" TargetMode="External"/><Relationship Id="rId590" Type="http://schemas.openxmlformats.org/officeDocument/2006/relationships/hyperlink" Target="https://kfor.com/news/15th-anniversary-of-tragic-columbine-high-school-shooting-heres-the-background/" TargetMode="External"/><Relationship Id="rId243" Type="http://schemas.openxmlformats.org/officeDocument/2006/relationships/hyperlink" Target="https://books.google.com/books?id=Jv1pCwAAQBAJ&amp;pg=PA65&amp;lpg=PA65&amp;dq=%22patty+jean+husband%22+1986&amp;source=bl&amp;ots=5TrfeSufgJ&amp;sig=ACfU3U3iCH_mmRdwLuBKrR7OyV9iMuELGQ&amp;hl=en&amp;sa=X&amp;ved=2ahUKEwjwkLWi8aTpAhVLOs0KHRSpDJgQ6AEwCnoECAoQAQ" TargetMode="External"/><Relationship Id="rId450" Type="http://schemas.openxmlformats.org/officeDocument/2006/relationships/hyperlink" Target="http://archive.vcstar.com/news/shattered-lives-ep-371064179-352927291.html/" TargetMode="External"/><Relationship Id="rId688" Type="http://schemas.openxmlformats.org/officeDocument/2006/relationships/hyperlink" Target="http://old.post-gazette.com/regionstate/20000429shootings2.asp" TargetMode="External"/><Relationship Id="rId895" Type="http://schemas.openxmlformats.org/officeDocument/2006/relationships/hyperlink" Target="https://www.remembrance.vt.edu/biographies/bishop.html" TargetMode="External"/><Relationship Id="rId1080" Type="http://schemas.openxmlformats.org/officeDocument/2006/relationships/hyperlink" Target="https://www.kwtx.com/content/news/10-minutes-of-gunfire-10-years-ago-left-13-dead-more-than-30-injured-564365711.html" TargetMode="External"/><Relationship Id="rId103" Type="http://schemas.openxmlformats.org/officeDocument/2006/relationships/hyperlink" Target="https://www.upi.com/Archives/1981/10/22/Suspect-in-mass-murder-convicted-in-1929-killing/7383372571200/" TargetMode="External"/><Relationship Id="rId310" Type="http://schemas.openxmlformats.org/officeDocument/2006/relationships/hyperlink" Target="https://www.courier-journal.com/in-depth/news/local/2019/09/12/louisvilles-standard-gravure-shooting-anniversary-all-victims/2284348001/" TargetMode="External"/><Relationship Id="rId548" Type="http://schemas.openxmlformats.org/officeDocument/2006/relationships/hyperlink" Target="https://www.latimes.com/archives/la-xpm-1998-mar-07-mn-26407-story.html" TargetMode="External"/><Relationship Id="rId755" Type="http://schemas.openxmlformats.org/officeDocument/2006/relationships/hyperlink" Target="https://www.meridianstar.com/news/local_news/family-of-shooting-victim-places-focus-on-reconciliation/article_37129706-3fc4-11e6-bfa8-9b50a9fcbbe0.html" TargetMode="External"/><Relationship Id="rId962" Type="http://schemas.openxmlformats.org/officeDocument/2006/relationships/hyperlink" Target="https://www.omaha.com/news/local/von-maur-victims-friends-family-say-one-word-sums-up/article_c1c19c50-c347-11e7-b6d1-63b52c135267.html" TargetMode="External"/><Relationship Id="rId1178" Type="http://schemas.openxmlformats.org/officeDocument/2006/relationships/hyperlink" Target="https://www.ocregister.com/2011/10/14/police-id-victims-in-seal-beach-shooting/" TargetMode="External"/><Relationship Id="rId1385" Type="http://schemas.openxmlformats.org/officeDocument/2006/relationships/hyperlink" Target="https://www.theguardian.com/us-news/2015/oct/04/oregon-shooting-one-of-victims-was-british-mother-attending-college" TargetMode="External"/><Relationship Id="rId1592" Type="http://schemas.openxmlformats.org/officeDocument/2006/relationships/hyperlink" Target="https://www.washingtonpost.com/news/post-nation/wp/2017/06/05/multiple-people-killed-in-shooting-at-florida-business/" TargetMode="External"/><Relationship Id="rId91" Type="http://schemas.openxmlformats.org/officeDocument/2006/relationships/hyperlink" Target="https://www.upi.com/Archives/1981/08/20/The-closest-friend-in-the-Army-of-accused-sniper/1977367128000/" TargetMode="External"/><Relationship Id="rId408" Type="http://schemas.openxmlformats.org/officeDocument/2006/relationships/hyperlink" Target="https://www.upi.com/Archives/1992/11/09/Man-kills-six-in-shooting-spree-takes-own-life/8024721285200/" TargetMode="External"/><Relationship Id="rId615" Type="http://schemas.openxmlformats.org/officeDocument/2006/relationships/hyperlink" Target="https://books.google.com/books?id=cmTxCQAAQBAJ&amp;pg=PA54&amp;lpg=PA54&amp;dq=mark+barton+mass+shooting+1999+victims+vadewattee&amp;source=bl&amp;ots=eXXCR-fOtz&amp;sig=ACfU3U0niaqr9dHu3TQf8KQPlGYI9Wqi7g&amp;hl=en&amp;ppis=_e&amp;sa=X&amp;ved=2ahUKEwiB0u6B8LDoAhXRU80KHSv0AoYQ6AEwA3oECAoQAQ" TargetMode="External"/><Relationship Id="rId822" Type="http://schemas.openxmlformats.org/officeDocument/2006/relationships/hyperlink" Target="https://www.findagrave.com/memorial/139782505/randy-lynn-gregory" TargetMode="External"/><Relationship Id="rId1038" Type="http://schemas.openxmlformats.org/officeDocument/2006/relationships/hyperlink" Target="https://www.pressconnects.com/story/news/local/2019/03/27/aca-american-civic-association-binghamton-shooting-victims-obituaries/3224600002/" TargetMode="External"/><Relationship Id="rId1245" Type="http://schemas.openxmlformats.org/officeDocument/2006/relationships/hyperlink" Target="https://www.businessinsider.com/who-were-the-victims-of-the-sandy-hook-shooting-2017-12" TargetMode="External"/><Relationship Id="rId1452" Type="http://schemas.openxmlformats.org/officeDocument/2006/relationships/hyperlink" Target="https://pittsburgh.cbslocal.com/2020/02/14/families-of-wilkinsburg-mass-shooting-justice/" TargetMode="External"/><Relationship Id="rId1897" Type="http://schemas.openxmlformats.org/officeDocument/2006/relationships/hyperlink" Target="https://www.ajc.com/news/national/thousand-oaks-shooting-what-know-about-the-victims/9QraYxz120zL2OsCfuuuhP/" TargetMode="External"/><Relationship Id="rId1105" Type="http://schemas.openxmlformats.org/officeDocument/2006/relationships/hyperlink" Target="https://www.cbsnews.com/news/connecticut-shooting-victims-stories-emerge-after-hartford-distributors-massacre/" TargetMode="External"/><Relationship Id="rId1312" Type="http://schemas.openxmlformats.org/officeDocument/2006/relationships/hyperlink" Target="https://www.cnn.com/2013/09/17/us/dc-navy-yard-victims/index.html" TargetMode="External"/><Relationship Id="rId1757" Type="http://schemas.openxmlformats.org/officeDocument/2006/relationships/hyperlink" Target="https://www.cbsnews.com/news/california-shooting-gunman-kevin-janson-neal-threatened-victim-son-neighbor/" TargetMode="External"/><Relationship Id="rId1964" Type="http://schemas.openxmlformats.org/officeDocument/2006/relationships/hyperlink" Target="https://www.dignitymemorial.com/obituaries/el-paso-tx/david-johnson-8816710" TargetMode="External"/><Relationship Id="rId49" Type="http://schemas.openxmlformats.org/officeDocument/2006/relationships/hyperlink" Target="https://newspaperarchive.com/other-articles-clipping-mar-21-1968-48914/" TargetMode="External"/><Relationship Id="rId1617" Type="http://schemas.openxmlformats.org/officeDocument/2006/relationships/hyperlink" Target="https://www.latimes.com/projects/la-na-las-vegas-shootings-victims-list-20171002/" TargetMode="External"/><Relationship Id="rId1824" Type="http://schemas.openxmlformats.org/officeDocument/2006/relationships/hyperlink" Target="https://www.click2houston.com/news/2018/05/20/santa-fe-hs-student-angelique-ramirez-1-of-10-killed-in-shooting/" TargetMode="External"/><Relationship Id="rId198" Type="http://schemas.openxmlformats.org/officeDocument/2006/relationships/hyperlink" Target="https://newspaperarchive.com/fayetteville-northwest-arkansas-times-jul-25-1984-p-1/" TargetMode="External"/><Relationship Id="rId265" Type="http://schemas.openxmlformats.org/officeDocument/2006/relationships/hyperlink" Target="https://www.findagrave.com/memorial/155799847/ronald-steven-reed" TargetMode="External"/><Relationship Id="rId472" Type="http://schemas.openxmlformats.org/officeDocument/2006/relationships/hyperlink" Target="https://www.nytimes.com/1994/06/22/us/an-airman-s-revenge-5-minutes-of-terror.html" TargetMode="External"/><Relationship Id="rId125" Type="http://schemas.openxmlformats.org/officeDocument/2006/relationships/hyperlink" Target="https://www.nytimes.com/1982/08/21/us/gunman-in-miami-kills-8-in-rampage.html" TargetMode="External"/><Relationship Id="rId332" Type="http://schemas.openxmlformats.org/officeDocument/2006/relationships/hyperlink" Target="https://kdhnews.com/news/survivors-reflect-on-oct-luby-s-shooting/article_e2660bfc-d24a-5566-a65f-a67a9fe6365b.html" TargetMode="External"/><Relationship Id="rId777" Type="http://schemas.openxmlformats.org/officeDocument/2006/relationships/hyperlink" Target="https://pendoreillerivervalley.com/henry-franklin-hank-shumake-p1242-119.htm" TargetMode="External"/><Relationship Id="rId984" Type="http://schemas.openxmlformats.org/officeDocument/2006/relationships/hyperlink" Target="https://www.nytimes.com/2008/02/15/us/15cnd-shoot.html" TargetMode="External"/><Relationship Id="rId2013" Type="http://schemas.openxmlformats.org/officeDocument/2006/relationships/hyperlink" Target="https://www.reporternews.com/story/news/texasregion/2019/09/12/odessa-shooting-victims-army-veteran-kameron-brown-funeral-brownwood-early/2292204001/" TargetMode="External"/><Relationship Id="rId637" Type="http://schemas.openxmlformats.org/officeDocument/2006/relationships/hyperlink" Target="https://books.google.com/books?id=cmTxCQAAQBAJ&amp;pg=PA54&amp;lpg=PA54&amp;dq=mark+barton+mass+shooting+1999+victims+vadewattee&amp;source=bl&amp;ots=eXXCR-fOtz&amp;sig=ACfU3U0niaqr9dHu3TQf8KQPlGYI9Wqi7g&amp;hl=en&amp;ppis=_e&amp;sa=X&amp;ved=2ahUKEwiB0u6B8LDoAhXRU80KHSv0AoYQ6AEwA3oECAoQAQ" TargetMode="External"/><Relationship Id="rId844" Type="http://schemas.openxmlformats.org/officeDocument/2006/relationships/hyperlink" Target="https://www.chron.com/news/houston-texas/article/Gunman-kills-himself-after-deadly-rampage-1916640.php" TargetMode="External"/><Relationship Id="rId1267" Type="http://schemas.openxmlformats.org/officeDocument/2006/relationships/hyperlink" Target="https://www.businessinsider.com/who-were-the-victims-of-the-sandy-hook-shooting-2017-12" TargetMode="External"/><Relationship Id="rId1474" Type="http://schemas.openxmlformats.org/officeDocument/2006/relationships/hyperlink" Target="https://www.npr.org/sections/thetwo-way/2016/06/12/481785763/heres-what-we-know-about-the-orlando-shooting-victims" TargetMode="External"/><Relationship Id="rId1681" Type="http://schemas.openxmlformats.org/officeDocument/2006/relationships/hyperlink" Target="https://www.latimes.com/projects/la-na-las-vegas-shootings-victims-list-20171002/" TargetMode="External"/><Relationship Id="rId704" Type="http://schemas.openxmlformats.org/officeDocument/2006/relationships/hyperlink" Target="https://www.nytimes.com/2000/12/28/us/a-deadly-turn-to-a-normal-work-day.html" TargetMode="External"/><Relationship Id="rId911" Type="http://schemas.openxmlformats.org/officeDocument/2006/relationships/hyperlink" Target="https://www.npr.org/2007/04/18/9618673/remembering-virginia-techs-shooting-victims" TargetMode="External"/><Relationship Id="rId1127" Type="http://schemas.openxmlformats.org/officeDocument/2006/relationships/hyperlink" Target="https://www.findagrave.com/memorial/58525004/teresa-gail-blanton/photo" TargetMode="External"/><Relationship Id="rId1334" Type="http://schemas.openxmlformats.org/officeDocument/2006/relationships/hyperlink" Target="https://www.seattletimes.com/seattle-news/they-survived-a-school-shooting-as-freshmen-four-years-later-a-diploma-doesnt-erase-the-pain/" TargetMode="External"/><Relationship Id="rId1541" Type="http://schemas.openxmlformats.org/officeDocument/2006/relationships/hyperlink" Target="https://www.latimes.com/nation/la-na-dallas-police-shooting-20160708-snap-story.html" TargetMode="External"/><Relationship Id="rId1779" Type="http://schemas.openxmlformats.org/officeDocument/2006/relationships/hyperlink" Target="https://www.foxnews.com/us/pennsylvania-car-wash-alleged-gunman-had-run-in-with-target-before-deadly-shooting-family-says" TargetMode="External"/><Relationship Id="rId1986" Type="http://schemas.openxmlformats.org/officeDocument/2006/relationships/hyperlink" Target="https://www.nytimes.com/interactive/2019/09/21/us/summer-mass-shootings.html" TargetMode="External"/><Relationship Id="rId40" Type="http://schemas.openxmlformats.org/officeDocument/2006/relationships/hyperlink" Target="https://www.nydailynews.com/news/crime/experts-clueless-man-fatally-shot-50-years-article-1.3548519" TargetMode="External"/><Relationship Id="rId1401" Type="http://schemas.openxmlformats.org/officeDocument/2006/relationships/hyperlink" Target="https://www.washingtonpost.com/news/morning-mix/wp/2015/11/18/texas-campsite-massacre-that-claimed-6-caused-by-land-dispute-victims-ex-wife-says/" TargetMode="External"/><Relationship Id="rId1639" Type="http://schemas.openxmlformats.org/officeDocument/2006/relationships/hyperlink" Target="https://www.latimes.com/projects/la-na-las-vegas-shootings-victims-list-20171002/" TargetMode="External"/><Relationship Id="rId1846" Type="http://schemas.openxmlformats.org/officeDocument/2006/relationships/hyperlink" Target="https://www.fresnobee.com/news/local/crime/article218331035.html" TargetMode="External"/><Relationship Id="rId1706" Type="http://schemas.openxmlformats.org/officeDocument/2006/relationships/hyperlink" Target="https://www.findagrave.com/memorial/185061894/derrick-dean-taylor" TargetMode="External"/><Relationship Id="rId1913" Type="http://schemas.openxmlformats.org/officeDocument/2006/relationships/hyperlink" Target="https://www.washingtonpost.com/nation/2019/02/16/man-kills-five-warehouse-shooting-spree-shortly-after-being-fired-illinois-police-say/" TargetMode="External"/><Relationship Id="rId287" Type="http://schemas.openxmlformats.org/officeDocument/2006/relationships/hyperlink" Target="http://clevelandschoolremembers.org/about/cleveland-school-incident/" TargetMode="External"/><Relationship Id="rId494" Type="http://schemas.openxmlformats.org/officeDocument/2006/relationships/hyperlink" Target="https://www.latimes.com/archives/la-xpm-1995-07-20-mn-26055-story.html" TargetMode="External"/><Relationship Id="rId147" Type="http://schemas.openxmlformats.org/officeDocument/2006/relationships/hyperlink" Target="https://www.upi.com/Archives/1983/10/12/Multiple-charges-filed-in-murder-kidnapping-spree/9012434779200/" TargetMode="External"/><Relationship Id="rId354" Type="http://schemas.openxmlformats.org/officeDocument/2006/relationships/hyperlink" Target="https://kdhnews.com/news/survivors-reflect-on-oct-luby-s-shooting/article_e2660bfc-d24a-5566-a65f-a67a9fe6365b.html" TargetMode="External"/><Relationship Id="rId799" Type="http://schemas.openxmlformats.org/officeDocument/2006/relationships/hyperlink" Target="http://news.minnesota.publicradio.org/features/2004/11/22_kelleherb_huntershooting/" TargetMode="External"/><Relationship Id="rId1191" Type="http://schemas.openxmlformats.org/officeDocument/2006/relationships/hyperlink" Target="https://www.latimes.com/local/lanow/la-me-ln-scott-dekraai-sentencing-20170922-story.html" TargetMode="External"/><Relationship Id="rId2035" Type="http://schemas.openxmlformats.org/officeDocument/2006/relationships/hyperlink" Target="https://www.nbcnews.com/news/us-news/victims-shooter-molson-coors-attack-identified-milwaukee-police-n1144551" TargetMode="External"/><Relationship Id="rId561" Type="http://schemas.openxmlformats.org/officeDocument/2006/relationships/hyperlink" Target="https://abcnews.go.com/US/living-us-mass-school-shooters-incarcerated/story?id=36986507" TargetMode="External"/><Relationship Id="rId659" Type="http://schemas.openxmlformats.org/officeDocument/2006/relationships/hyperlink" Target="https://www.khon2.com/xerox-murders/" TargetMode="External"/><Relationship Id="rId866" Type="http://schemas.openxmlformats.org/officeDocument/2006/relationships/hyperlink" Target="https://archive.seattletimes.com/archive/?date=20060718&amp;slug=huff18m" TargetMode="External"/><Relationship Id="rId1289" Type="http://schemas.openxmlformats.org/officeDocument/2006/relationships/hyperlink" Target="https://www.dailymail.co.uk/news/article-2339359/John-Zawahri-Santa-Monica-College-gunmans-mother-Randa-Abdou-threatened-father.html" TargetMode="External"/><Relationship Id="rId1496" Type="http://schemas.openxmlformats.org/officeDocument/2006/relationships/hyperlink" Target="https://www.nytimes.com/interactive/projects/cp/us/orlando-shooting-victims/miguel-angel-honorato" TargetMode="External"/><Relationship Id="rId214" Type="http://schemas.openxmlformats.org/officeDocument/2006/relationships/hyperlink" Target="https://www.nytimes.com/1986/08/21/us/mail-carrier-kills-14-in-post-office-then-himself.html" TargetMode="External"/><Relationship Id="rId421" Type="http://schemas.openxmlformats.org/officeDocument/2006/relationships/hyperlink" Target="https://www.nytimes.com/1993/07/03/us/the-broker-who-killed-8-gunman-s-motives-a-puzzle.html" TargetMode="External"/><Relationship Id="rId519" Type="http://schemas.openxmlformats.org/officeDocument/2006/relationships/hyperlink" Target="https://www.latimes.com/archives/la-xpm-1996-04-25-mn-62698-story.html" TargetMode="External"/><Relationship Id="rId1051" Type="http://schemas.openxmlformats.org/officeDocument/2006/relationships/hyperlink" Target="https://www.nytimes.com/2009/04/12/nyregion/12binghamton.html" TargetMode="External"/><Relationship Id="rId1149" Type="http://schemas.openxmlformats.org/officeDocument/2006/relationships/hyperlink" Target="https://abcnews.go.com/US/ohio-gunman-hunted-child-shooting-rampage-girlfriend-lone/story?id=14255204" TargetMode="External"/><Relationship Id="rId1356" Type="http://schemas.openxmlformats.org/officeDocument/2006/relationships/hyperlink" Target="https://www.nytimes.com/2015/06/20/us/charleston-shooting-dylann-storm-roof.html" TargetMode="External"/><Relationship Id="rId726" Type="http://schemas.openxmlformats.org/officeDocument/2006/relationships/hyperlink" Target="https://www.cbsnews.com/news/workers-grieve-after-rampage/" TargetMode="External"/><Relationship Id="rId933" Type="http://schemas.openxmlformats.org/officeDocument/2006/relationships/hyperlink" Target="https://www.remembrance.vt.edu/biographies/ortiz.html" TargetMode="External"/><Relationship Id="rId1009" Type="http://schemas.openxmlformats.org/officeDocument/2006/relationships/hyperlink" Target="https://www.goskagit.com/news/specialreports/statement-from-deputy-anne-jackson-s-family/article_3d2c515a-aae2-5c1c-93d8-f62e0953036b.html" TargetMode="External"/><Relationship Id="rId1563" Type="http://schemas.openxmlformats.org/officeDocument/2006/relationships/hyperlink" Target="https://www.latimes.com/nation/la-na-florida-airport-shooting-20180523-story.html" TargetMode="External"/><Relationship Id="rId1770" Type="http://schemas.openxmlformats.org/officeDocument/2006/relationships/hyperlink" Target="https://www.foxnews.com/us/pennsylvania-car-wash-alleged-gunman-had-run-in-with-target-before-deadly-shooting-family-says" TargetMode="External"/><Relationship Id="rId1868" Type="http://schemas.openxmlformats.org/officeDocument/2006/relationships/hyperlink" Target="https://www.npr.org/2018/10/28/661530860/pittsburgh-synagogue-shooting-victims-identified" TargetMode="External"/><Relationship Id="rId62" Type="http://schemas.openxmlformats.org/officeDocument/2006/relationships/hyperlink" Target="https://www.latimes.com/socal/weekend/news/tn-wknd-et-0703-cal-state-fullerton-memorial-20160702-story.html" TargetMode="External"/><Relationship Id="rId1216" Type="http://schemas.openxmlformats.org/officeDocument/2006/relationships/hyperlink" Target="https://www.cbsnews.com/pictures/the-aurora-shooting-victims/" TargetMode="External"/><Relationship Id="rId1423" Type="http://schemas.openxmlformats.org/officeDocument/2006/relationships/hyperlink" Target="https://www.latimes.com/local/lanow/la-me-ln-san-bernardino-shooting-victims-htmlstory.html" TargetMode="External"/><Relationship Id="rId1630" Type="http://schemas.openxmlformats.org/officeDocument/2006/relationships/hyperlink" Target="https://www.findagrave.com/memorial/183978921/brian-scott-fraser" TargetMode="External"/><Relationship Id="rId1728" Type="http://schemas.openxmlformats.org/officeDocument/2006/relationships/hyperlink" Target="https://www.findagrave.com/memorial/184993760/megan-gail-hill" TargetMode="External"/><Relationship Id="rId1935" Type="http://schemas.openxmlformats.org/officeDocument/2006/relationships/hyperlink" Target="https://www.dawsonfuneralhome.com/memorials/michelle-langer/3862458/" TargetMode="External"/><Relationship Id="rId169" Type="http://schemas.openxmlformats.org/officeDocument/2006/relationships/hyperlink" Target="https://www.nytimes.com/1984/06/30/us/6-die-in-dallas-club-as-enraged-man-fires-wildly.html" TargetMode="External"/><Relationship Id="rId376" Type="http://schemas.openxmlformats.org/officeDocument/2006/relationships/hyperlink" Target="https://www.findagrave.com/memorial/36167967/christopher-louis-carlisle" TargetMode="External"/><Relationship Id="rId583" Type="http://schemas.openxmlformats.org/officeDocument/2006/relationships/hyperlink" Target="https://www.dispatch.com/photogallery/oh/20180419/news/419009991/PH/1" TargetMode="External"/><Relationship Id="rId790" Type="http://schemas.openxmlformats.org/officeDocument/2006/relationships/hyperlink" Target="http://www.workplaceviolence911.com/docs/20050702.htm" TargetMode="External"/><Relationship Id="rId4" Type="http://schemas.openxmlformats.org/officeDocument/2006/relationships/hyperlink" Target="http://behindthetower.org/the-victims/" TargetMode="External"/><Relationship Id="rId236"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43" Type="http://schemas.openxmlformats.org/officeDocument/2006/relationships/hyperlink" Target="https://www.latimes.com/archives/la-xpm-1993-12-03-mn-63506-story.html" TargetMode="External"/><Relationship Id="rId650" Type="http://schemas.openxmlformats.org/officeDocument/2006/relationships/hyperlink" Target="https://www.abc10.com/article/news/local/those-who-were-at-wedgwood-baptist-church-attack-remember-but-arent-haunted/287-411382472" TargetMode="External"/><Relationship Id="rId888" Type="http://schemas.openxmlformats.org/officeDocument/2006/relationships/hyperlink" Target="https://www.sltrib.com/news/crime/2017/02/14/vigil-remembers-trolley-square-shooting-victims-10-years-after-attacks/" TargetMode="External"/><Relationship Id="rId1073" Type="http://schemas.openxmlformats.org/officeDocument/2006/relationships/hyperlink" Target="https://www.kwtx.com/content/news/10-minutes-of-gunfire-10-years-ago-left-13-dead-more-than-30-injured-564365711.html" TargetMode="External"/><Relationship Id="rId1280" Type="http://schemas.openxmlformats.org/officeDocument/2006/relationships/hyperlink" Target="https://www.wktv.com/content/news/Memorial-Walk-planned-to-honor-the-victims-of-the-Mohawk-and-Herkimer-shootings-in-2013-476605513.html" TargetMode="External"/><Relationship Id="rId303" Type="http://schemas.openxmlformats.org/officeDocument/2006/relationships/hyperlink" Target="https://apnews.com/d8fdf15390c4d3e614ca83a0d49ab018" TargetMode="External"/><Relationship Id="rId748" Type="http://schemas.openxmlformats.org/officeDocument/2006/relationships/hyperlink" Target="https://www.nytimes.com/2003/02/26/us/gunman-kills-four-at-alabama-job-agency.html" TargetMode="External"/><Relationship Id="rId955" Type="http://schemas.openxmlformats.org/officeDocument/2006/relationships/hyperlink" Target="https://www.remembrance.vt.edu/biographies/white.html" TargetMode="External"/><Relationship Id="rId1140" Type="http://schemas.openxmlformats.org/officeDocument/2006/relationships/hyperlink" Target="https://tucson.com/news/local/watch-moment-of-silence-tonight-on-house-floor-to-honor/article_0f7c3e24-136e-11e9-9289-93a495a6085b.html" TargetMode="External"/><Relationship Id="rId1378" Type="http://schemas.openxmlformats.org/officeDocument/2006/relationships/hyperlink" Target="https://www.theguardian.com/us-news/2015/oct/04/oregon-shooting-one-of-victims-was-british-mother-attending-college" TargetMode="External"/><Relationship Id="rId1585" Type="http://schemas.openxmlformats.org/officeDocument/2006/relationships/hyperlink" Target="https://www.wausaudailyherald.com/story/news/2018/03/21/wausau-shooting-victims-barclay-look-quirt-sann-weiland-remembered-how-they-lived/421375002/" TargetMode="External"/><Relationship Id="rId1792" Type="http://schemas.openxmlformats.org/officeDocument/2006/relationships/hyperlink" Target="https://www.cnn.com/2018/02/15/us/florida-shooting-victims-school/index.html" TargetMode="External"/><Relationship Id="rId84" Type="http://schemas.openxmlformats.org/officeDocument/2006/relationships/hyperlink" Target="https://www.news-journal.com/news/local/daingerfield-knows-church-s-pain-after-shooting/article_bfa3ba00-2620-5b9f-8870-6a1e13e7f023.html" TargetMode="External"/><Relationship Id="rId510" Type="http://schemas.openxmlformats.org/officeDocument/2006/relationships/hyperlink" Target="https://apnews.com/cec11122f0b4c232725599b3ae3d7bcf" TargetMode="External"/><Relationship Id="rId608" Type="http://schemas.openxmlformats.org/officeDocument/2006/relationships/hyperlink" Target="https://books.google.com/books?id=cmTxCQAAQBAJ&amp;pg=PA170&amp;lpg=PA170&amp;dq=carlos+chuck+leos+1999&amp;source=bl&amp;ots=eXXHL1aSqB&amp;sig=ACfU3U1HQZZtsnFxDXHQepI2Y5bAD2h4ng&amp;hl=en&amp;sa=X&amp;ved=2ahUKEwi91Y_HsLHpAhXDXM0KHXAkDfkQ6AEwAnoECAkQAQ" TargetMode="External"/><Relationship Id="rId815" Type="http://schemas.openxmlformats.org/officeDocument/2006/relationships/hyperlink" Target="https://www.findagrave.com/memorial/116996896/gloria-sue-critari" TargetMode="External"/><Relationship Id="rId1238" Type="http://schemas.openxmlformats.org/officeDocument/2006/relationships/hyperlink" Target="http://www.startribune.com/andrew-engeldinger-lost-his-job-then-opened-fire-killing-5/171774461/" TargetMode="External"/><Relationship Id="rId1445" Type="http://schemas.openxmlformats.org/officeDocument/2006/relationships/hyperlink" Target="https://www.nbcnews.com/news/us-news/michigan-uber-driver-jason-dalton-pleads-guilty-kalamazoo-shooting-spree-n955716" TargetMode="External"/><Relationship Id="rId1652" Type="http://schemas.openxmlformats.org/officeDocument/2006/relationships/hyperlink" Target="https://people.com/crime/las-vegas-shooting-victims-names-photos-tributes/?slide=5952644" TargetMode="External"/><Relationship Id="rId1000" Type="http://schemas.openxmlformats.org/officeDocument/2006/relationships/hyperlink" Target="https://www.nytimes.com/2008/06/26/us/26factory.html" TargetMode="External"/><Relationship Id="rId1305" Type="http://schemas.openxmlformats.org/officeDocument/2006/relationships/hyperlink" Target="https://wsvn.com/news/last-hialeah-victims-laid-to-rest/" TargetMode="External"/><Relationship Id="rId1957" Type="http://schemas.openxmlformats.org/officeDocument/2006/relationships/hyperlink" Target="https://kfoxtv.com/news/local/brother-of-el-paso-shooting-victim-remembers-her-and-her-husband" TargetMode="External"/><Relationship Id="rId1512" Type="http://schemas.openxmlformats.org/officeDocument/2006/relationships/hyperlink" Target="https://www.npr.org/sections/thetwo-way/2016/06/12/481785763/heres-what-we-know-about-the-orlando-shooting-victims" TargetMode="External"/><Relationship Id="rId1817" Type="http://schemas.openxmlformats.org/officeDocument/2006/relationships/hyperlink" Target="https://www.chron.com/houston/article/Santa-Fe-victim-Shana-Fisher-laid-to-rest-in-12946362.php" TargetMode="External"/><Relationship Id="rId11" Type="http://schemas.openxmlformats.org/officeDocument/2006/relationships/hyperlink" Target="http://behindthetower.org/the-victims/" TargetMode="External"/><Relationship Id="rId398" Type="http://schemas.openxmlformats.org/officeDocument/2006/relationships/hyperlink" Target="https://www.nytimes.com/1992/10/16/nyregion/gunman-kills-4-who-collected-child-payments.html" TargetMode="External"/><Relationship Id="rId160" Type="http://schemas.openxmlformats.org/officeDocument/2006/relationships/hyperlink" Target="https://www.nytimes.com/1984/05/21/us/bodies-of-seven-sought-after-shootout-in-alaska.html" TargetMode="External"/><Relationship Id="rId258" Type="http://schemas.openxmlformats.org/officeDocument/2006/relationships/hyperlink" Target="https://www.washingtonpost.com/archive/politics/1988/02/18/sudden-death-in-sunnyvale/4f50e5d7-0804-4a56-a2af-ced693c3b577/" TargetMode="External"/><Relationship Id="rId465" Type="http://schemas.openxmlformats.org/officeDocument/2006/relationships/hyperlink" Target="https://www.denverpost.com/2013/06/13/victims-kin-hickenlooper-misused-his-office-in-dunlap-case/" TargetMode="External"/><Relationship Id="rId672" Type="http://schemas.openxmlformats.org/officeDocument/2006/relationships/hyperlink" Target="https://www.deseret.com/1999/12/31/19483268/5-killed-when-hotel-worker-goes-on-rampage-in-florida" TargetMode="External"/><Relationship Id="rId1095" Type="http://schemas.openxmlformats.org/officeDocument/2006/relationships/hyperlink" Target="https://www.latimes.com/local/lanow/la-me-ln-man-convicted-of-killing-four--20160315-story.html" TargetMode="External"/><Relationship Id="rId118" Type="http://schemas.openxmlformats.org/officeDocument/2006/relationships/hyperlink" Target="https://www.upi.com/Archives/1982/08/09/Yes-I-know-hes-killing-people/2899397713600/" TargetMode="External"/><Relationship Id="rId325" Type="http://schemas.openxmlformats.org/officeDocument/2006/relationships/hyperlink" Target="https://www.latimes.com/archives/la-xpm-1990-06-19-mn-52-story.html" TargetMode="External"/><Relationship Id="rId532" Type="http://schemas.openxmlformats.org/officeDocument/2006/relationships/hyperlink" Target="https://www.aikenstandard.com/news/twenty-years-later-remembering-the-shooting-at-phelon-plant-in/article_4b5b7132-9983-11e7-b425-9f5c8ce770f8.html" TargetMode="External"/><Relationship Id="rId977" Type="http://schemas.openxmlformats.org/officeDocument/2006/relationships/hyperlink" Target="https://www.stltoday.com/news/local/crime-and-courts/assailant-had-history-of-disputes-with-city/article_fc73d090-77da-11df-be3c-0017a4a78c22.html" TargetMode="External"/><Relationship Id="rId1162" Type="http://schemas.openxmlformats.org/officeDocument/2006/relationships/hyperlink" Target="https://www.beaconjournal.com/article/20120615/NEWS/306159412" TargetMode="External"/><Relationship Id="rId2006" Type="http://schemas.openxmlformats.org/officeDocument/2006/relationships/hyperlink" Target="https://www.nytimes.com/2019/08/05/us/dayton-shooting-victims.html" TargetMode="External"/><Relationship Id="rId837" Type="http://schemas.openxmlformats.org/officeDocument/2006/relationships/hyperlink" Target="https://www.mprnews.org/story/2015/03/18/red-lake-victims" TargetMode="External"/><Relationship Id="rId1022" Type="http://schemas.openxmlformats.org/officeDocument/2006/relationships/hyperlink" Target="https://www.nytimes.com/2009/03/30/us/30shooting.html" TargetMode="External"/><Relationship Id="rId1467" Type="http://schemas.openxmlformats.org/officeDocument/2006/relationships/hyperlink" Target="https://www.nytimes.com/interactive/projects/cp/us/orlando-shooting-victims/martin-benitez-torres" TargetMode="External"/><Relationship Id="rId1674" Type="http://schemas.openxmlformats.org/officeDocument/2006/relationships/hyperlink" Target="https://people.com/crime/las-vegas-shooting-victims-names-photos-tributes/?slide=5949375" TargetMode="External"/><Relationship Id="rId1881" Type="http://schemas.openxmlformats.org/officeDocument/2006/relationships/hyperlink" Target="https://www.vcstar.com/story/news/local/2018/11/14/borderline-victim-cody-gifford-coffman-remembered-saving-others/1983579002/" TargetMode="External"/><Relationship Id="rId904" Type="http://schemas.openxmlformats.org/officeDocument/2006/relationships/hyperlink" Target="https://www.remembrance.vt.edu/biographies/granata.html" TargetMode="External"/><Relationship Id="rId1327" Type="http://schemas.openxmlformats.org/officeDocument/2006/relationships/hyperlink" Target="https://www.latimes.com/local/lanow/la-me-isle-vista-massacre-alt-right-20180206-story.html" TargetMode="External"/><Relationship Id="rId1534" Type="http://schemas.openxmlformats.org/officeDocument/2006/relationships/hyperlink" Target="https://www.npr.org/sections/thetwo-way/2016/06/12/481785763/heres-what-we-know-about-the-orlando-shooting-victims" TargetMode="External"/><Relationship Id="rId1741" Type="http://schemas.openxmlformats.org/officeDocument/2006/relationships/hyperlink" Target="https://www.nbcnews.com/storyline/texas-church-shooting/texas-church-shooting-who-were-victims-sutherland-springs-massacre-n818356" TargetMode="External"/><Relationship Id="rId1979" Type="http://schemas.openxmlformats.org/officeDocument/2006/relationships/hyperlink" Target="https://www.nytimes.com/2019/08/04/us/el-paso-shooting-victims.html" TargetMode="External"/><Relationship Id="rId33" Type="http://schemas.openxmlformats.org/officeDocument/2006/relationships/hyperlink" Target="https://newspaperarchive.com/lock-haven-express-oct-24-1967-p-1/" TargetMode="External"/><Relationship Id="rId1601" Type="http://schemas.openxmlformats.org/officeDocument/2006/relationships/hyperlink" Target="https://www.latimes.com/projects/la-na-las-vegas-shootings-victims-list-20171002/" TargetMode="External"/><Relationship Id="rId1839" Type="http://schemas.openxmlformats.org/officeDocument/2006/relationships/hyperlink" Target="https://www.washingtonpost.com/local/public-safety/jarrod-ramos-admits-guilt-in-capital-gazette-shooting-that-killed-5/2019/10/28/39bcd226-f990-11e9-ac8c-8eced29ca6ef_story.html" TargetMode="External"/><Relationship Id="rId182" Type="http://schemas.openxmlformats.org/officeDocument/2006/relationships/hyperlink" Target="https://www.findagrave.com/memorial/39821703/paulina-aquino-lopez" TargetMode="External"/><Relationship Id="rId1906" Type="http://schemas.openxmlformats.org/officeDocument/2006/relationships/hyperlink" Target="https://www.scottfuneralservices.com/obituary/cynthia-watson" TargetMode="External"/><Relationship Id="rId487" Type="http://schemas.openxmlformats.org/officeDocument/2006/relationships/hyperlink" Target="https://www.findagrave.com/memorial/177136065/walter-charles-rossler" TargetMode="External"/><Relationship Id="rId694" Type="http://schemas.openxmlformats.org/officeDocument/2006/relationships/hyperlink" Target="http://old.post-gazette.com/regionstate/20000429shootings2.asp" TargetMode="External"/><Relationship Id="rId347" Type="http://schemas.openxmlformats.org/officeDocument/2006/relationships/hyperlink" Target="https://kdhnews.com/news/survivors-reflect-on-oct-luby-s-shooting/article_e2660bfc-d24a-5566-a65f-a67a9fe6365b.html" TargetMode="External"/><Relationship Id="rId999" Type="http://schemas.openxmlformats.org/officeDocument/2006/relationships/hyperlink" Target="https://obits.courierpress.com/obituaries/courierpress/obituary.aspx?n=joshua-hinojosa&amp;pid=112322887" TargetMode="External"/><Relationship Id="rId1184" Type="http://schemas.openxmlformats.org/officeDocument/2006/relationships/hyperlink" Target="https://www.findagrave.com/memorial/78295879/michelle-marie-dekraai" TargetMode="External"/><Relationship Id="rId2028" Type="http://schemas.openxmlformats.org/officeDocument/2006/relationships/hyperlink" Target="https://www.nbcnewyork.com/news/local/what-we-know-about-joseph-seals-the-jersey-city-officer-killed-in-shootout/2239416/" TargetMode="External"/><Relationship Id="rId554" Type="http://schemas.openxmlformats.org/officeDocument/2006/relationships/hyperlink" Target="https://metro.co.uk/2019/07/29/school-shooter-murdered-four-kids-teacher-11-dies-head-car-crash-10480495/" TargetMode="External"/><Relationship Id="rId761" Type="http://schemas.openxmlformats.org/officeDocument/2006/relationships/hyperlink" Target="https://www.nytimes.com/2003/07/09/us/man-kills-5-co-workers-at-plant-and-himself.html" TargetMode="External"/><Relationship Id="rId859" Type="http://schemas.openxmlformats.org/officeDocument/2006/relationships/hyperlink" Target="https://murderpedia.org/male.H/images/huff_kyle/panel_report.pdf" TargetMode="External"/><Relationship Id="rId1391" Type="http://schemas.openxmlformats.org/officeDocument/2006/relationships/hyperlink" Target="https://www.washingtonpost.com/news/morning-mix/wp/2015/11/18/texas-campsite-massacre-that-claimed-6-caused-by-land-dispute-victims-ex-wife-says/" TargetMode="External"/><Relationship Id="rId1489" Type="http://schemas.openxmlformats.org/officeDocument/2006/relationships/hyperlink" Target="https://www.npr.org/sections/thetwo-way/2016/06/12/481785763/heres-what-we-know-about-the-orlando-shooting-victims" TargetMode="External"/><Relationship Id="rId1696" Type="http://schemas.openxmlformats.org/officeDocument/2006/relationships/hyperlink" Target="https://www.findagrave.com/memorial/183917701/bailey-dee-schweitzer" TargetMode="External"/><Relationship Id="rId207" Type="http://schemas.openxmlformats.org/officeDocument/2006/relationships/hyperlink" Target="https://www.forevermissed.com/patricia-ann-chambers/about" TargetMode="External"/><Relationship Id="rId414" Type="http://schemas.openxmlformats.org/officeDocument/2006/relationships/hyperlink" Target="https://www.nytimes.com/1993/07/03/us/the-broker-who-killed-8-gunman-s-motives-a-puzzle.html" TargetMode="External"/><Relationship Id="rId621" Type="http://schemas.openxmlformats.org/officeDocument/2006/relationships/hyperlink" Target="https://www.nytimes.com/1999/07/31/us/shootings-in-atlanta-the-victims-drawn-to-their-deaths-by-lives-in-day-trading.html" TargetMode="External"/><Relationship Id="rId1044" Type="http://schemas.openxmlformats.org/officeDocument/2006/relationships/hyperlink" Target="https://www.pressconnects.com/story/news/local/2019/03/27/aca-american-civic-association-binghamton-shooting-victims-obituaries/3224600002/" TargetMode="External"/><Relationship Id="rId1251" Type="http://schemas.openxmlformats.org/officeDocument/2006/relationships/hyperlink" Target="https://www.businessinsider.com/who-were-the-victims-of-the-sandy-hook-shooting-2017-12" TargetMode="External"/><Relationship Id="rId1349" Type="http://schemas.openxmlformats.org/officeDocument/2006/relationships/hyperlink" Target="https://www.cbsnews.com/news/charleston-church-shooting-victims-remembered-dylann-roof-trial/" TargetMode="External"/><Relationship Id="rId719" Type="http://schemas.openxmlformats.org/officeDocument/2006/relationships/hyperlink" Target="https://www.latimes.com/archives/la-xpm-2001-feb-06-mn-21695-story.html" TargetMode="External"/><Relationship Id="rId926" Type="http://schemas.openxmlformats.org/officeDocument/2006/relationships/hyperlink" Target="https://www.npr.org/2007/04/18/9618673/remembering-virginia-techs-shooting-victims" TargetMode="External"/><Relationship Id="rId1111" Type="http://schemas.openxmlformats.org/officeDocument/2006/relationships/hyperlink" Target="https://www.fox61.com/article/news/local/outreach/awareness-months/vigil-marks-anniversary-of-deadly-workplace-shooting/520-9889e6ab-3d7a-43c1-862d-40160c55a573" TargetMode="External"/><Relationship Id="rId1556" Type="http://schemas.openxmlformats.org/officeDocument/2006/relationships/hyperlink" Target="https://www.nydailynews.com/news/national/washington-mall-shooting-suspect-captured-24-hour-manhunt-article-1.2804917" TargetMode="External"/><Relationship Id="rId1763" Type="http://schemas.openxmlformats.org/officeDocument/2006/relationships/hyperlink" Target="https://www.cbsnews.com/news/california-shooting-gunman-kevin-janson-neal-threatened-victim-son-neighbor/" TargetMode="External"/><Relationship Id="rId1970" Type="http://schemas.openxmlformats.org/officeDocument/2006/relationships/hyperlink" Target="https://www.cnn.com/2019/08/04/us/el-paso-shooting-victims/index.html" TargetMode="External"/><Relationship Id="rId55" Type="http://schemas.openxmlformats.org/officeDocument/2006/relationships/hyperlink" Target="https://www.nydailynews.com/news/crime/fullerton-massacre-shooter-begs-freed-psych-hospital-article-1.2669940" TargetMode="External"/><Relationship Id="rId1209" Type="http://schemas.openxmlformats.org/officeDocument/2006/relationships/hyperlink" Target="https://www.seattletimes.com/seattle-news/seattle-shootings-day-of-horror-grief-in-a-shaken-city/" TargetMode="External"/><Relationship Id="rId1416" Type="http://schemas.openxmlformats.org/officeDocument/2006/relationships/hyperlink" Target="https://www.latimes.com/local/lanow/la-me-ln-san-bernardino-shooting-victims-htmlstory.html" TargetMode="External"/><Relationship Id="rId1623" Type="http://schemas.openxmlformats.org/officeDocument/2006/relationships/hyperlink" Target="https://www.latimes.com/projects/la-na-las-vegas-shootings-victims-list-20171002/" TargetMode="External"/><Relationship Id="rId1830" Type="http://schemas.openxmlformats.org/officeDocument/2006/relationships/hyperlink" Target="https://www.cnn.com/2018/05/18/us/texas-school-shooting-victims/index.html" TargetMode="External"/><Relationship Id="rId1928" Type="http://schemas.openxmlformats.org/officeDocument/2006/relationships/hyperlink" Target="https://www.npr.org/2019/06/01/728903700/what-we-know-about-the-virginia-beach-mass-shooting-victims" TargetMode="External"/><Relationship Id="rId271" Type="http://schemas.openxmlformats.org/officeDocument/2006/relationships/hyperlink" Target="https://www.washingtonpost.com/archive/politics/1988/02/18/sudden-death-in-sunnyvale/4f50e5d7-0804-4a56-a2af-ced693c3b577/" TargetMode="External"/><Relationship Id="rId131" Type="http://schemas.openxmlformats.org/officeDocument/2006/relationships/hyperlink" Target="https://www.newspapers.com/image/?clipping_id=36003733&amp;fcfToken=eyJhbGciOiJIUzI1NiIsInR5cCI6IkpXVCJ9.eyJmcmVlLXZpZXctaWQiOjMwMzAwNjg4NywiaWF0IjoxNTg5MzAwODg0LCJleHAiOjE1ODkzODcyODR9.j1-Dk-Px3745MeI8Xlv5fTWi4Ed_kN8LKxSsJtgnIbc" TargetMode="External"/><Relationship Id="rId369" Type="http://schemas.openxmlformats.org/officeDocument/2006/relationships/hyperlink" Target="https://www.washingtonpost.com/archive/politics/1991/11/11/gunman-kills-four-and-self-in-kentucky/c3111990-c0ec-48f8-9200-4fa837a1dba4/" TargetMode="External"/><Relationship Id="rId576" Type="http://schemas.openxmlformats.org/officeDocument/2006/relationships/hyperlink" Target="https://www.nytimes.com/1999/03/12/us/louisiana-shooting-kills-3-at-church-and-one-at-home.html" TargetMode="External"/><Relationship Id="rId783" Type="http://schemas.openxmlformats.org/officeDocument/2006/relationships/hyperlink" Target="https://www2.ljworld.com/news/2004/jul/04/chaos_reigned_at/" TargetMode="External"/><Relationship Id="rId990" Type="http://schemas.openxmlformats.org/officeDocument/2006/relationships/hyperlink" Target="https://www.nytimes.com/2008/02/15/us/15cnd-shoot.html" TargetMode="External"/><Relationship Id="rId229" Type="http://schemas.openxmlformats.org/officeDocument/2006/relationships/hyperlink" Target="https://www.nytimes.com/1986/08/21/us/mail-carrier-kills-14-in-post-office-then-himself.html" TargetMode="External"/><Relationship Id="rId436" Type="http://schemas.openxmlformats.org/officeDocument/2006/relationships/hyperlink" Target="https://www.nytimes.com/1993/08/08/us/soldier-kills-4-people-and-hurts-6-in-a-restaurant-in-north-carolina.html" TargetMode="External"/><Relationship Id="rId643" Type="http://schemas.openxmlformats.org/officeDocument/2006/relationships/hyperlink" Target="https://www.nytimes.com/1999/07/31/us/shootings-in-atlanta-the-overview-killer-confessed-in-a-letter-spiked-with-rage.html" TargetMode="External"/><Relationship Id="rId1066" Type="http://schemas.openxmlformats.org/officeDocument/2006/relationships/hyperlink" Target="https://www.nytimes.com/2009/04/12/nyregion/12binghamton.html" TargetMode="External"/><Relationship Id="rId1273" Type="http://schemas.openxmlformats.org/officeDocument/2006/relationships/hyperlink" Target="https://www.nytimes.com/2013/03/14/nyregion/four-killed-in-shootings-in-upstate-new-york.html" TargetMode="External"/><Relationship Id="rId1480" Type="http://schemas.openxmlformats.org/officeDocument/2006/relationships/hyperlink" Target="https://www.npr.org/sections/thetwo-way/2016/06/12/481785763/heres-what-we-know-about-the-orlando-shooting-victims" TargetMode="External"/><Relationship Id="rId850" Type="http://schemas.openxmlformats.org/officeDocument/2006/relationships/hyperlink" Target="https://www.denverpost.com/2006/02/01/death-toll-at-8-in-rampage-by-former-postal-worker/" TargetMode="External"/><Relationship Id="rId948" Type="http://schemas.openxmlformats.org/officeDocument/2006/relationships/hyperlink" Target="http://www.nbcnews.com/id/18143312/ns/us_news-crime_and_courts/t/profiles-victims-virginia-tech-massacre/" TargetMode="External"/><Relationship Id="rId1133" Type="http://schemas.openxmlformats.org/officeDocument/2006/relationships/hyperlink" Target="https://www.theguardian.com/world/2010/sep/12/man-shot-wife-cooked-eggs" TargetMode="External"/><Relationship Id="rId1578" Type="http://schemas.openxmlformats.org/officeDocument/2006/relationships/hyperlink" Target="https://www.wlbt.com/story/34450224/family-believes-yazoo-city-quadruple-shooting-is-not-a-coincidence/" TargetMode="External"/><Relationship Id="rId1785" Type="http://schemas.openxmlformats.org/officeDocument/2006/relationships/hyperlink" Target="https://www.cnn.com/2018/02/15/us/florida-shooting-victims-school/index.html" TargetMode="External"/><Relationship Id="rId1992" Type="http://schemas.openxmlformats.org/officeDocument/2006/relationships/hyperlink" Target="https://www.nytimes.com/2019/08/04/us/el-paso-shooting-victims.html" TargetMode="External"/><Relationship Id="rId77" Type="http://schemas.openxmlformats.org/officeDocument/2006/relationships/hyperlink" Target="https://fultonhistory.com/Newspaper%2011/Geneva%20NY%20Finger%20Lake%20Times/Geneva%20NY%20Finger%20Lake%20Times%201980%20Feb%201980/Geneva%20NY%20Finger%20Lake%20Times%201980%20Feb%201980%20-%200064.pdf" TargetMode="External"/><Relationship Id="rId503" Type="http://schemas.openxmlformats.org/officeDocument/2006/relationships/hyperlink" Target="https://apnews.com/cec11122f0b4c232725599b3ae3d7bcf" TargetMode="External"/><Relationship Id="rId710" Type="http://schemas.openxmlformats.org/officeDocument/2006/relationships/hyperlink" Target="https://www.nytimes.com/2000/12/28/us/a-deadly-turn-to-a-normal-work-day.html" TargetMode="External"/><Relationship Id="rId808" Type="http://schemas.openxmlformats.org/officeDocument/2006/relationships/hyperlink" Target="https://www.rollingstone.com/music/music-news/behind-the-murder-of-dimebag-darrell-233541/" TargetMode="External"/><Relationship Id="rId1340" Type="http://schemas.openxmlformats.org/officeDocument/2006/relationships/hyperlink" Target="https://www.kiro7.com/news/survivor-marysville-school-shooting-told-police-gi/27079664/" TargetMode="External"/><Relationship Id="rId1438" Type="http://schemas.openxmlformats.org/officeDocument/2006/relationships/hyperlink" Target="https://www.mlive.com/news/kalamazoo/2019/01/families-of-kalamazoo-uber-shooting-victims-prepare-for-trial.html" TargetMode="External"/><Relationship Id="rId1645" Type="http://schemas.openxmlformats.org/officeDocument/2006/relationships/hyperlink" Target="https://www.latimes.com/projects/la-na-las-vegas-shootings-victims-list-20171002/" TargetMode="External"/><Relationship Id="rId1200" Type="http://schemas.openxmlformats.org/officeDocument/2006/relationships/hyperlink" Target="https://www.wibw.com/home/headlines/Authorities_Name_6_Of_7_Murder_Victims_In_Oakland_College_Shooting_146157145.html" TargetMode="External"/><Relationship Id="rId1852" Type="http://schemas.openxmlformats.org/officeDocument/2006/relationships/hyperlink" Target="https://www.bakersfield.com/news/relative-of-loved-ones-killed-in-mass-shooting-dismayed-gofundme/article_5d4029aa-b84b-11e8-a1a2-6f84f39deaf4.html" TargetMode="External"/><Relationship Id="rId1505" Type="http://schemas.openxmlformats.org/officeDocument/2006/relationships/hyperlink" Target="https://www.nbcnews.com/storyline/orlando-nightclub-massacre/mom-everybody-wanted-son-emotionally-celebrates-life-brenda-mccool-n596016" TargetMode="External"/><Relationship Id="rId1712" Type="http://schemas.openxmlformats.org/officeDocument/2006/relationships/hyperlink" Target="https://people.com/crime/las-vegas-shooting-victims-names-photos-tributes/?slide=5951575" TargetMode="External"/><Relationship Id="rId293" Type="http://schemas.openxmlformats.org/officeDocument/2006/relationships/hyperlink" Target="http://clevelandschoolremembers.org/about/cleveland-school-incident/" TargetMode="External"/><Relationship Id="rId153" Type="http://schemas.openxmlformats.org/officeDocument/2006/relationships/hyperlink" Target="https://www.upi.com/Archives/1983/10/12/Multiple-charges-filed-in-murder-kidnapping-spree/9012434779200/" TargetMode="External"/><Relationship Id="rId360" Type="http://schemas.openxmlformats.org/officeDocument/2006/relationships/hyperlink" Target="https://www.findagrave.com/memorial/75579964/theresa-anne-cleary" TargetMode="External"/><Relationship Id="rId598" Type="http://schemas.openxmlformats.org/officeDocument/2006/relationships/hyperlink" Target="https://kfor.com/news/15th-anniversary-of-tragic-columbine-high-school-shooting-heres-the-background/" TargetMode="External"/><Relationship Id="rId220"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58" Type="http://schemas.openxmlformats.org/officeDocument/2006/relationships/hyperlink" Target="https://www.findagrave.com/memorial/2770019/richard-c-nettleton" TargetMode="External"/><Relationship Id="rId665" Type="http://schemas.openxmlformats.org/officeDocument/2006/relationships/hyperlink" Target="https://www.khon2.com/xerox-murders/" TargetMode="External"/><Relationship Id="rId872" Type="http://schemas.openxmlformats.org/officeDocument/2006/relationships/hyperlink" Target="https://www.nytimes.com/2006/05/22/us/22church.html" TargetMode="External"/><Relationship Id="rId1088" Type="http://schemas.openxmlformats.org/officeDocument/2006/relationships/hyperlink" Target="https://www.spokesman.com/blogs/sirens/2010/dec/07/mixed-verdicts-police-shooting-trial/" TargetMode="External"/><Relationship Id="rId1295" Type="http://schemas.openxmlformats.org/officeDocument/2006/relationships/hyperlink" Target="https://losangeles.cbslocal.com/2013/06/13/coroner-releases-report-in-santa-monica-shootings/" TargetMode="External"/><Relationship Id="rId318" Type="http://schemas.openxmlformats.org/officeDocument/2006/relationships/hyperlink" Target="https://www.latimes.com/archives/la-xpm-1990-06-19-mn-52-story.html" TargetMode="External"/><Relationship Id="rId525" Type="http://schemas.openxmlformats.org/officeDocument/2006/relationships/hyperlink" Target="https://www.caledonianrecord.com/news/colebrook-shootings-years-later-remembering-the-victims-and-the-resiliency/article_21ef7759-6d41-5f62-9453-bd94c76d3560.html" TargetMode="External"/><Relationship Id="rId732" Type="http://schemas.openxmlformats.org/officeDocument/2006/relationships/hyperlink" Target="https://www.sfgate.com/news/article/Sacramento-rampage-5-shot-dead-Slayer-kills-2881164.php" TargetMode="External"/><Relationship Id="rId1155" Type="http://schemas.openxmlformats.org/officeDocument/2006/relationships/hyperlink" Target="https://patch.com/ohio/fairlawn-bath/funeral-arrangements-announced-for-copley-township-sh921d899398" TargetMode="External"/><Relationship Id="rId1362" Type="http://schemas.openxmlformats.org/officeDocument/2006/relationships/hyperlink" Target="https://www.washingtonpost.com/graphics/national/chattanooga-tennessee-shooting-victims/" TargetMode="External"/><Relationship Id="rId99" Type="http://schemas.openxmlformats.org/officeDocument/2006/relationships/hyperlink" Target="https://www.nytimes.com/1981/05/09/us/four-slain-and-20-wounded-in-bar-as-oregon-man-shoots-into-crowd.html" TargetMode="External"/><Relationship Id="rId1015" Type="http://schemas.openxmlformats.org/officeDocument/2006/relationships/hyperlink" Target="https://www.nytimes.com/2009/03/30/us/30shooting.html" TargetMode="External"/><Relationship Id="rId1222" Type="http://schemas.openxmlformats.org/officeDocument/2006/relationships/hyperlink" Target="https://www.cbsnews.com/pictures/the-aurora-shooting-victims/21/" TargetMode="External"/><Relationship Id="rId1667" Type="http://schemas.openxmlformats.org/officeDocument/2006/relationships/hyperlink" Target="https://www.latimes.com/projects/la-na-las-vegas-shootings-victims-list-20171002/" TargetMode="External"/><Relationship Id="rId1874" Type="http://schemas.openxmlformats.org/officeDocument/2006/relationships/hyperlink" Target="https://www.npr.org/2018/10/28/661530860/pittsburgh-synagogue-shooting-victims-identified" TargetMode="External"/><Relationship Id="rId1527" Type="http://schemas.openxmlformats.org/officeDocument/2006/relationships/hyperlink" Target="https://www.nytimes.com/interactive/projects/cp/us/orlando-shooting-victims/christopher-joseph-sanfeliz" TargetMode="External"/><Relationship Id="rId1734" Type="http://schemas.openxmlformats.org/officeDocument/2006/relationships/hyperlink" Target="https://www.findagrave.com/memorial/184976983/annabelle-renae-pomeroy" TargetMode="External"/><Relationship Id="rId1941" Type="http://schemas.openxmlformats.org/officeDocument/2006/relationships/hyperlink" Target="https://www.wavy.com/virginia-beach-mass-shooting/victim-profile-christopher-kelly-rapp/" TargetMode="External"/><Relationship Id="rId26" Type="http://schemas.openxmlformats.org/officeDocument/2006/relationships/hyperlink" Target="https://www.sungazette.com/news/top-news/2017/10/mass-slaying-shocked-community-50-years-ago/" TargetMode="External"/><Relationship Id="rId175" Type="http://schemas.openxmlformats.org/officeDocument/2006/relationships/hyperlink" Target="https://www.findagrave.com/memorial/39821287/david-flores-delgado" TargetMode="External"/><Relationship Id="rId1801" Type="http://schemas.openxmlformats.org/officeDocument/2006/relationships/hyperlink" Target="https://www.clickondetroit.com/news/2018/02/27/dark-details-emerge-about-quadruple-murder-in-detroit/" TargetMode="External"/><Relationship Id="rId382" Type="http://schemas.openxmlformats.org/officeDocument/2006/relationships/hyperlink" Target="https://books.google.com/books?id=FdtZf_Ns9QwC&amp;pg=PA104&amp;lpg=PA104&amp;dq=thomas+mcilvane&amp;source=bl&amp;ots=jqDpBPxU7N&amp;sig=ACfU3U3qhlxo37tCa8CehCmUlasU5Txe5A&amp;hl=en&amp;sa=X&amp;ved=2ahUKEwia9bD7xczkAhUOEqwKHbX8Dko4ChDoATACegQIBxAB" TargetMode="External"/><Relationship Id="rId687" Type="http://schemas.openxmlformats.org/officeDocument/2006/relationships/hyperlink" Target="https://www.courtlistener.com/opinion/2263037/donegal-mut-ins-co-v-baumhammers/" TargetMode="External"/><Relationship Id="rId242"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894" Type="http://schemas.openxmlformats.org/officeDocument/2006/relationships/hyperlink" Target="https://www.npr.org/2007/04/18/9618673/remembering-virginia-techs-shooting-victims" TargetMode="External"/><Relationship Id="rId1177" Type="http://schemas.openxmlformats.org/officeDocument/2006/relationships/hyperlink" Target="https://www.latimes.com/local/lanow/la-me-ln-scott-dekraai-sentencing-20170922-story.html" TargetMode="External"/><Relationship Id="rId102" Type="http://schemas.openxmlformats.org/officeDocument/2006/relationships/hyperlink" Target="https://www.upi.com/Archives/1981/10/22/Suspect-in-mass-murder-convicted-in-1929-killing/7383372571200/" TargetMode="External"/><Relationship Id="rId547" Type="http://schemas.openxmlformats.org/officeDocument/2006/relationships/hyperlink" Target="https://www.ocregister.com/2011/10/13/seal-beach-shooting-worst-in-oc-history-2/" TargetMode="External"/><Relationship Id="rId754" Type="http://schemas.openxmlformats.org/officeDocument/2006/relationships/hyperlink" Target="https://www.gainesville.com/news/20030226/four-dead-in-ala-shooting-at-job-agency" TargetMode="External"/><Relationship Id="rId961" Type="http://schemas.openxmlformats.org/officeDocument/2006/relationships/hyperlink" Target="https://www.omaha.com/news/local/von-maur-victims-dianne-clavin-trent-s-siblings-recall-their/article_5f1b5698-c349-11e7-b8ba-d72f99db5164.html" TargetMode="External"/><Relationship Id="rId1384" Type="http://schemas.openxmlformats.org/officeDocument/2006/relationships/hyperlink" Target="https://www.nytimes.com/2015/10/10/us/roseburg-oregon-shooting-christopher-harper-mercer.html" TargetMode="External"/><Relationship Id="rId1591" Type="http://schemas.openxmlformats.org/officeDocument/2006/relationships/hyperlink" Target="https://www.clickorlando.com/news/2018/03/15/5-takeaways-from-the-final-report-for-the-fiamma-workplace-shooting/" TargetMode="External"/><Relationship Id="rId1689" Type="http://schemas.openxmlformats.org/officeDocument/2006/relationships/hyperlink" Target="https://www.latimes.com/projects/la-na-las-vegas-shootings-victims-list-20171002/" TargetMode="External"/><Relationship Id="rId90" Type="http://schemas.openxmlformats.org/officeDocument/2006/relationships/hyperlink" Target="https://news.google.com/newspapers?id=xtNWAAAAIBAJ&amp;sjid=O_kDAAAAIBAJ&amp;pg=5283%2C2408948" TargetMode="External"/><Relationship Id="rId407" Type="http://schemas.openxmlformats.org/officeDocument/2006/relationships/hyperlink" Target="https://www.latimes.com/archives/la-xpm-1992-11-09-mn-151-story.html" TargetMode="External"/><Relationship Id="rId614" Type="http://schemas.openxmlformats.org/officeDocument/2006/relationships/hyperlink" Target="https://murderpedia.org/male.F/f/floyd-zane-photos.htm" TargetMode="External"/><Relationship Id="rId821" Type="http://schemas.openxmlformats.org/officeDocument/2006/relationships/hyperlink" Target="https://www.cbsnews.com/news/church-police-probe-7-murders/" TargetMode="External"/><Relationship Id="rId1037" Type="http://schemas.openxmlformats.org/officeDocument/2006/relationships/hyperlink" Target="https://www.nytimes.com/2009/04/06/nyregion/06victims.html" TargetMode="External"/><Relationship Id="rId1244" Type="http://schemas.openxmlformats.org/officeDocument/2006/relationships/hyperlink" Target="https://www.businessinsider.com/who-were-the-victims-of-the-sandy-hook-shooting-2017-12" TargetMode="External"/><Relationship Id="rId1451" Type="http://schemas.openxmlformats.org/officeDocument/2006/relationships/hyperlink" Target="https://triblive.com/local/pittsburgh-allegheny/cheron-shelton-acquitted-of-murder-in-wilkinsburg-6-mass-shooting-faces-new-gun-charge/" TargetMode="External"/><Relationship Id="rId1896" Type="http://schemas.openxmlformats.org/officeDocument/2006/relationships/hyperlink" Target="https://losangeles.cbslocal.com/2019/11/07/1-year-anniversary-thousand-oaks-borderline-bar-shooting/" TargetMode="External"/><Relationship Id="rId919" Type="http://schemas.openxmlformats.org/officeDocument/2006/relationships/hyperlink" Target="https://www.remembrance.vt.edu/biographies/la-porte.html" TargetMode="External"/><Relationship Id="rId1104" Type="http://schemas.openxmlformats.org/officeDocument/2006/relationships/hyperlink" Target="https://www.fox61.com/article/news/local/outreach/awareness-months/vigil-marks-anniversary-of-deadly-workplace-shooting/520-9889e6ab-3d7a-43c1-862d-40160c55a573" TargetMode="External"/><Relationship Id="rId1311" Type="http://schemas.openxmlformats.org/officeDocument/2006/relationships/hyperlink" Target="https://www.cnn.com/2013/09/17/us/dc-navy-yard-victims/index.html" TargetMode="External"/><Relationship Id="rId1549" Type="http://schemas.openxmlformats.org/officeDocument/2006/relationships/hyperlink" Target="https://www.washingtonpost.com/news/post-nation/wp/2016/07/08/in-shock-officer-patrick-zamarripa-survived-tours-in-iraq-before-being-killed-in-dallas/" TargetMode="External"/><Relationship Id="rId1756" Type="http://schemas.openxmlformats.org/officeDocument/2006/relationships/hyperlink" Target="https://www.findagrave.com/memorial/185262136/barbara-anne-glisan" TargetMode="External"/><Relationship Id="rId1963" Type="http://schemas.openxmlformats.org/officeDocument/2006/relationships/hyperlink" Target="https://apnews.com/1aa03c4a153f4f6d9881f0f11cd2e89a/gallery/d336b90f800e4ba99d1012aaf2f52887" TargetMode="External"/><Relationship Id="rId48" Type="http://schemas.openxmlformats.org/officeDocument/2006/relationships/hyperlink" Target="https://www.findagrave.com/memorial/37204827/rudolph-john-maurin" TargetMode="External"/><Relationship Id="rId1409" Type="http://schemas.openxmlformats.org/officeDocument/2006/relationships/hyperlink" Target="https://www.latimes.com/local/lanow/la-me-ln-san-bernardino-shooting-victims-htmlstory.html" TargetMode="External"/><Relationship Id="rId1616" Type="http://schemas.openxmlformats.org/officeDocument/2006/relationships/hyperlink" Target="https://www.findagrave.com/memorial/183915948/sandra-lee-casey" TargetMode="External"/><Relationship Id="rId1823" Type="http://schemas.openxmlformats.org/officeDocument/2006/relationships/hyperlink" Target="https://www.cnn.com/2018/05/18/us/texas-school-shooting-victims/index.html" TargetMode="External"/><Relationship Id="rId197" Type="http://schemas.openxmlformats.org/officeDocument/2006/relationships/hyperlink" Target="https://www.nytimes.com/1984/07/26/us/officers-tracing-gunman-s-history.html" TargetMode="External"/><Relationship Id="rId264" Type="http://schemas.openxmlformats.org/officeDocument/2006/relationships/hyperlink" Target="https://www.washingtonpost.com/archive/politics/1988/02/18/sudden-death-in-sunnyvale/4f50e5d7-0804-4a56-a2af-ced693c3b577/" TargetMode="External"/><Relationship Id="rId471" Type="http://schemas.openxmlformats.org/officeDocument/2006/relationships/hyperlink" Target="https://www.nytimes.com/1994/06/22/us/an-airman-s-revenge-5-minutes-of-terror.html" TargetMode="External"/><Relationship Id="rId124" Type="http://schemas.openxmlformats.org/officeDocument/2006/relationships/hyperlink" Target="https://www.nytimes.com/1982/08/21/us/gunman-in-miami-kills-8-in-rampage.html" TargetMode="External"/><Relationship Id="rId569" Type="http://schemas.openxmlformats.org/officeDocument/2006/relationships/hyperlink" Target="https://www.registerguard.com/news/20180519/remembering-victims-of-may-1998-thurston-shooting" TargetMode="External"/><Relationship Id="rId776" Type="http://schemas.openxmlformats.org/officeDocument/2006/relationships/hyperlink" Target="https://pendoreillerivervalley.com/four-killed-in-oldtown-shooting-p111-119.htm" TargetMode="External"/><Relationship Id="rId983" Type="http://schemas.openxmlformats.org/officeDocument/2006/relationships/hyperlink" Target="http://www.nbcnews.com/id/29199551/ns/us_news-crime_and_courts/t/niu-shooting-victims-mourn-lives-lost/" TargetMode="External"/><Relationship Id="rId1199" Type="http://schemas.openxmlformats.org/officeDocument/2006/relationships/hyperlink" Target="https://www.wibw.com/home/headlines/Authorities_Name_6_Of_7_Murder_Victims_In_Oakland_College_Shooting_146157145.html" TargetMode="External"/><Relationship Id="rId331" Type="http://schemas.openxmlformats.org/officeDocument/2006/relationships/hyperlink" Target="https://www.findagrave.com/memorial/72895353/jimmie-eugene-caruthers" TargetMode="External"/><Relationship Id="rId429" Type="http://schemas.openxmlformats.org/officeDocument/2006/relationships/hyperlink" Target="https://www.nytimes.com/1993/07/03/us/the-broker-who-killed-8-gunman-s-motives-a-puzzle.html" TargetMode="External"/><Relationship Id="rId636" Type="http://schemas.openxmlformats.org/officeDocument/2006/relationships/hyperlink" Target="https://books.google.com/books?id=cmTxCQAAQBAJ&amp;pg=PA54&amp;lpg=PA54&amp;dq=mark+barton+mass+shooting+1999+victims+vadewattee&amp;source=bl&amp;ots=eXXCR-fOtz&amp;sig=ACfU3U0niaqr9dHu3TQf8KQPlGYI9Wqi7g&amp;hl=en&amp;ppis=_e&amp;sa=X&amp;ved=2ahUKEwiB0u6B8LDoAhXRU80KHSv0AoYQ6AEwA3oECAoQAQ" TargetMode="External"/><Relationship Id="rId1059" Type="http://schemas.openxmlformats.org/officeDocument/2006/relationships/hyperlink" Target="https://www.pressconnects.com/story/news/local/2019/03/27/aca-american-civic-association-binghamton-shooting-victims-obituaries/3224600002/" TargetMode="External"/><Relationship Id="rId1266" Type="http://schemas.openxmlformats.org/officeDocument/2006/relationships/hyperlink" Target="https://www.businessinsider.com/who-were-the-victims-of-the-sandy-hook-shooting-2017-12" TargetMode="External"/><Relationship Id="rId1473" Type="http://schemas.openxmlformats.org/officeDocument/2006/relationships/hyperlink" Target="https://www.nytimes.com/interactive/projects/cp/us/orlando-shooting-victims/angell-candelario-padro" TargetMode="External"/><Relationship Id="rId2012" Type="http://schemas.openxmlformats.org/officeDocument/2006/relationships/hyperlink" Target="https://www.nbc12.com/2019/09/03/victims-odessa-mass-shooting/" TargetMode="External"/><Relationship Id="rId843" Type="http://schemas.openxmlformats.org/officeDocument/2006/relationships/hyperlink" Target="https://www.chron.com/news/houston-texas/article/Gunman-kills-himself-after-deadly-rampage-1916640.php" TargetMode="External"/><Relationship Id="rId1126" Type="http://schemas.openxmlformats.org/officeDocument/2006/relationships/hyperlink" Target="https://www.theguardian.com/world/2010/sep/12/man-shot-wife-cooked-eggs" TargetMode="External"/><Relationship Id="rId1680" Type="http://schemas.openxmlformats.org/officeDocument/2006/relationships/hyperlink" Target="https://www.dignitymemorial.com/obituaries/ontario-ca/jordyn-rivera-7588478" TargetMode="External"/><Relationship Id="rId1778" Type="http://schemas.openxmlformats.org/officeDocument/2006/relationships/hyperlink" Target="https://pittsburgh.cbslocal.com/2018/01/28/fatalities-confirmed-fayette-shooting/" TargetMode="External"/><Relationship Id="rId1985" Type="http://schemas.openxmlformats.org/officeDocument/2006/relationships/hyperlink" Target="https://www.nytimes.com/2019/08/05/us/el-paso-victims.html" TargetMode="External"/><Relationship Id="rId703" Type="http://schemas.openxmlformats.org/officeDocument/2006/relationships/hyperlink" Target="https://www.findagrave.com/memorial/134195881/rose-m_-manfredi" TargetMode="External"/><Relationship Id="rId910" Type="http://schemas.openxmlformats.org/officeDocument/2006/relationships/hyperlink" Target="https://www.remembrance.vt.edu/biographies/herbstritt.html" TargetMode="External"/><Relationship Id="rId1333" Type="http://schemas.openxmlformats.org/officeDocument/2006/relationships/hyperlink" Target="https://www.nbcnews.com/storyline/marysville-school-shooting/third-marysville-high-school-shooting-victim-dies-n238911" TargetMode="External"/><Relationship Id="rId1540" Type="http://schemas.openxmlformats.org/officeDocument/2006/relationships/hyperlink" Target="https://www.nytimes.com/interactive/projects/cp/us/orlando-shooting-victims/jerald-arthur-wright" TargetMode="External"/><Relationship Id="rId1638" Type="http://schemas.openxmlformats.org/officeDocument/2006/relationships/hyperlink" Target="https://www.odmp.org/officer/23413-police-officer-charleston-vernon-hartfield" TargetMode="External"/><Relationship Id="rId1400" Type="http://schemas.openxmlformats.org/officeDocument/2006/relationships/hyperlink" Target="https://www.palestineherald.com/news/victim-s-ex-wife-gives-background-on-hudson-s-anger/article_c7c962f2-8d5e-11e5-8b81-9b85a3d0c742.html" TargetMode="External"/><Relationship Id="rId1845" Type="http://schemas.openxmlformats.org/officeDocument/2006/relationships/hyperlink" Target="https://bakersfieldnow.com/news/local/law-office-employee-talks-about-woman-her-killer-husband-he-was-obsessive-jealous" TargetMode="External"/><Relationship Id="rId1705" Type="http://schemas.openxmlformats.org/officeDocument/2006/relationships/hyperlink" Target="https://www.latimes.com/projects/la-na-las-vegas-shootings-victims-list-20171002/" TargetMode="External"/><Relationship Id="rId1912" Type="http://schemas.openxmlformats.org/officeDocument/2006/relationships/hyperlink" Target="https://abc7chicago.com/5141989" TargetMode="External"/><Relationship Id="rId286" Type="http://schemas.openxmlformats.org/officeDocument/2006/relationships/hyperlink" Target="https://www.abc10.com/article/news/local/stockton/need-to-know-the-1989-cleveland-school-shooting/103-bf6463b2-ce78-4ba1-9216-fc2c79907f82" TargetMode="External"/><Relationship Id="rId493" Type="http://schemas.openxmlformats.org/officeDocument/2006/relationships/hyperlink" Target="https://www.latimes.com/archives/la-xpm-1995-07-20-mn-26055-story.html" TargetMode="External"/><Relationship Id="rId146" Type="http://schemas.openxmlformats.org/officeDocument/2006/relationships/hyperlink" Target="https://www.upi.com/Archives/1983/10/12/Multiple-charges-filed-in-murder-kidnapping-spree/9012434779200/" TargetMode="External"/><Relationship Id="rId353" Type="http://schemas.openxmlformats.org/officeDocument/2006/relationships/hyperlink" Target="https://apnews.com/178201fa52edf751489ca0bdf15ca772" TargetMode="External"/><Relationship Id="rId560" Type="http://schemas.openxmlformats.org/officeDocument/2006/relationships/hyperlink" Target="https://metro.co.uk/2019/07/29/school-shooter-murdered-four-kids-teacher-11-dies-head-car-crash-10480495/" TargetMode="External"/><Relationship Id="rId798" Type="http://schemas.openxmlformats.org/officeDocument/2006/relationships/hyperlink" Target="https://www.findagrave.com/memorial/9986455/allan-james-laski" TargetMode="External"/><Relationship Id="rId1190" Type="http://schemas.openxmlformats.org/officeDocument/2006/relationships/hyperlink" Target="https://www.findagrave.com/memorial/78285453" TargetMode="External"/><Relationship Id="rId2034" Type="http://schemas.openxmlformats.org/officeDocument/2006/relationships/hyperlink" Target="https://abcnews.go.com/US/molson-coors-reopens-increased-security-mass-shooting-killed/story?id=69333618" TargetMode="External"/><Relationship Id="rId213" Type="http://schemas.openxmlformats.org/officeDocument/2006/relationships/hyperlink" Target="https://www.findagrave.com/memorial/54112257/richard-charles-esser" TargetMode="External"/><Relationship Id="rId420" Type="http://schemas.openxmlformats.org/officeDocument/2006/relationships/hyperlink" Target="https://www.nytimes.com/1993/07/07/us/victims-of-chance-in-deadly-rampage.html" TargetMode="External"/><Relationship Id="rId658" Type="http://schemas.openxmlformats.org/officeDocument/2006/relationships/hyperlink" Target="https://www.latimes.com/archives/la-xpm-1999-nov-03-mn-29234-story.html" TargetMode="External"/><Relationship Id="rId865" Type="http://schemas.openxmlformats.org/officeDocument/2006/relationships/hyperlink" Target="https://alchetron.com/Capitol-Hill-massacre" TargetMode="External"/><Relationship Id="rId1050" Type="http://schemas.openxmlformats.org/officeDocument/2006/relationships/hyperlink" Target="https://www.pressconnects.com/story/news/local/2019/03/27/aca-american-civic-association-binghamton-shooting-victims-obituaries/3224600002/" TargetMode="External"/><Relationship Id="rId1288" Type="http://schemas.openxmlformats.org/officeDocument/2006/relationships/hyperlink" Target="https://www.cnn.com/2013/06/09/justice/california-college-gunman/index.html" TargetMode="External"/><Relationship Id="rId1495" Type="http://schemas.openxmlformats.org/officeDocument/2006/relationships/hyperlink" Target="https://www.npr.org/sections/thetwo-way/2016/06/12/481785763/heres-what-we-know-about-the-orlando-shooting-victims" TargetMode="External"/><Relationship Id="rId518" Type="http://schemas.openxmlformats.org/officeDocument/2006/relationships/hyperlink" Target="https://www.wlbt.com/story/18995724/new-book-details-shooting-rampage-at-jackson-fire-station/" TargetMode="External"/><Relationship Id="rId725" Type="http://schemas.openxmlformats.org/officeDocument/2006/relationships/hyperlink" Target="https://www.latimes.com/archives/la-xpm-2001-feb-06-mn-21695-story.html" TargetMode="External"/><Relationship Id="rId932" Type="http://schemas.openxmlformats.org/officeDocument/2006/relationships/hyperlink" Target="https://www.npr.org/2007/04/18/9618673/remembering-virginia-techs-shooting-victims" TargetMode="External"/><Relationship Id="rId1148" Type="http://schemas.openxmlformats.org/officeDocument/2006/relationships/hyperlink" Target="https://tucson.com/news/local/watch-moment-of-silence-tonight-on-house-floor-to-honor/article_0f7c3e24-136e-11e9-9289-93a495a6085b.html" TargetMode="External"/><Relationship Id="rId1355" Type="http://schemas.openxmlformats.org/officeDocument/2006/relationships/hyperlink" Target="https://www.findagrave.com/memorial/148008072/daniel-lee-simmons" TargetMode="External"/><Relationship Id="rId1562" Type="http://schemas.openxmlformats.org/officeDocument/2006/relationships/hyperlink" Target="https://obituaries.starbeacon.com/obituary/mary-amzibel-867307132" TargetMode="External"/><Relationship Id="rId1008" Type="http://schemas.openxmlformats.org/officeDocument/2006/relationships/hyperlink" Target="https://www.nytimes.com/2008/09/04/us/04spree.html" TargetMode="External"/><Relationship Id="rId1215" Type="http://schemas.openxmlformats.org/officeDocument/2006/relationships/hyperlink" Target="https://www.cnn.com/2013/07/19/us/colorado-theater-shooting-fast-facts/index.html" TargetMode="External"/><Relationship Id="rId1422" Type="http://schemas.openxmlformats.org/officeDocument/2006/relationships/hyperlink" Target="https://www.washingtonpost.com/graphics/national/san-bernardino-calif-shooting-victims/?itid=lk_inline_manual_20" TargetMode="External"/><Relationship Id="rId1867" Type="http://schemas.openxmlformats.org/officeDocument/2006/relationships/hyperlink" Target="https://www.timesofisrael.com/how-the-pittsburgh-synagogue-shooting-unfolded/" TargetMode="External"/><Relationship Id="rId61" Type="http://schemas.openxmlformats.org/officeDocument/2006/relationships/hyperlink" Target="https://www.nydailynews.com/news/crime/fullerton-massacre-shooter-begs-freed-psych-hospital-article-1.2669940" TargetMode="External"/><Relationship Id="rId1727" Type="http://schemas.openxmlformats.org/officeDocument/2006/relationships/hyperlink" Target="https://www.findagrave.com/memorial/184994011/marc-daniel-holcombe" TargetMode="External"/><Relationship Id="rId1934" Type="http://schemas.openxmlformats.org/officeDocument/2006/relationships/hyperlink" Target="https://www.npr.org/2019/06/01/728903700/what-we-know-about-the-virginia-beach-mass-shooting-victims" TargetMode="External"/><Relationship Id="rId19" Type="http://schemas.openxmlformats.org/officeDocument/2006/relationships/hyperlink" Target="https://www.newspapers.com/image/?clipping_id=3420707&amp;fcfToken=eyJhbGciOiJIUzI1NiIsInR5cCI6IkpXVCJ9.eyJmcmVlLXZpZXctaWQiOjE5NTc1MDI1LCJpYXQiOjE1ODIyMTQyMjIsImV4cCI6MTU4MjMwMDYyMn0.zDflTsX9-OOvCv1GkyBlfCYAJG_vqITVra0HZfGKX94" TargetMode="External"/><Relationship Id="rId168" Type="http://schemas.openxmlformats.org/officeDocument/2006/relationships/hyperlink" Target="https://www.nytimes.com/1984/06/30/us/6-die-in-dallas-club-as-enraged-man-fires-wildly.html" TargetMode="External"/><Relationship Id="rId375" Type="http://schemas.openxmlformats.org/officeDocument/2006/relationships/hyperlink" Target="https://books.google.com/books?id=FdtZf_Ns9QwC&amp;pg=PA104&amp;lpg=PA104&amp;dq=thomas+mcilvane&amp;source=bl&amp;ots=jqDpBPxU7N&amp;sig=ACfU3U3qhlxo37tCa8CehCmUlasU5Txe5A&amp;hl=en&amp;sa=X&amp;ved=2ahUKEwia9bD7xczkAhUOEqwKHbX8Dko4ChDoATACegQIBxAB" TargetMode="External"/><Relationship Id="rId582" Type="http://schemas.openxmlformats.org/officeDocument/2006/relationships/hyperlink" Target="https://kfor.com/news/15th-anniversary-of-tragic-columbine-high-school-shooting-heres-the-background/" TargetMode="External"/><Relationship Id="rId3" Type="http://schemas.openxmlformats.org/officeDocument/2006/relationships/hyperlink" Target="https://www.findagrave.com/memorial/14715352/mark-jerome-gabour" TargetMode="External"/><Relationship Id="rId235" Type="http://schemas.openxmlformats.org/officeDocument/2006/relationships/hyperlink" Target="https://www.nytimes.com/1986/08/21/us/mail-carrier-kills-14-in-post-office-then-himself.html" TargetMode="External"/><Relationship Id="rId442" Type="http://schemas.openxmlformats.org/officeDocument/2006/relationships/hyperlink" Target="https://www.latimes.com/archives/la-xpm-1993-12-08-me-65134-story.html" TargetMode="External"/><Relationship Id="rId887" Type="http://schemas.openxmlformats.org/officeDocument/2006/relationships/hyperlink" Target="https://www.sltrib.com/news/crime/2017/02/14/vigil-remembers-trolley-square-shooting-victims-10-years-after-attacks/" TargetMode="External"/><Relationship Id="rId1072" Type="http://schemas.openxmlformats.org/officeDocument/2006/relationships/hyperlink" Target="https://www.kwtx.com/content/news/10-minutes-of-gunfire-10-years-ago-left-13-dead-more-than-30-injured-564365711.html" TargetMode="External"/><Relationship Id="rId302" Type="http://schemas.openxmlformats.org/officeDocument/2006/relationships/hyperlink" Target="https://www.courier-journal.com/story/news/local/2016/01/19/standard-gravure-massacres-scars-remain/79018006/" TargetMode="External"/><Relationship Id="rId747" Type="http://schemas.openxmlformats.org/officeDocument/2006/relationships/hyperlink" Target="https://www.gainesville.com/news/20030226/four-dead-in-ala-shooting-at-job-agency" TargetMode="External"/><Relationship Id="rId954" Type="http://schemas.openxmlformats.org/officeDocument/2006/relationships/hyperlink" Target="https://www.npr.org/2007/04/18/9618673/remembering-virginia-techs-shooting-victims" TargetMode="External"/><Relationship Id="rId1377" Type="http://schemas.openxmlformats.org/officeDocument/2006/relationships/hyperlink" Target="https://www.theguardian.com/us-news/2015/oct/02/oregon-shooting-victims-identified-lucero-alcaraz-rebecka-carnes" TargetMode="External"/><Relationship Id="rId1584" Type="http://schemas.openxmlformats.org/officeDocument/2006/relationships/hyperlink" Target="https://www.usatoday.com/story/news/2018/10/12/wisconsin-rapids-remember-my-name-includes-shooting-victims-husband/1615739002/" TargetMode="External"/><Relationship Id="rId1791" Type="http://schemas.openxmlformats.org/officeDocument/2006/relationships/hyperlink" Target="https://www.cnn.com/2018/02/15/us/florida-shooting-victims-school/index.html" TargetMode="External"/><Relationship Id="rId83" Type="http://schemas.openxmlformats.org/officeDocument/2006/relationships/hyperlink" Target="https://media.kxan.com/nxs-kxantv-media-us-east-1/catalyst/mass-violence/story.html" TargetMode="External"/><Relationship Id="rId607" Type="http://schemas.openxmlformats.org/officeDocument/2006/relationships/hyperlink" Target="https://www.findagrave.com/memorial/95013783/thomas-michael-darnell" TargetMode="External"/><Relationship Id="rId814" Type="http://schemas.openxmlformats.org/officeDocument/2006/relationships/hyperlink" Target="https://www.cnn.com/2013/10/31/us/atlanta-courthouse-shootings-fast-facts/index.html" TargetMode="External"/><Relationship Id="rId1237" Type="http://schemas.openxmlformats.org/officeDocument/2006/relationships/hyperlink" Target="https://www.legacy.com/obituaries/name/ronald-edberg-obituary?pid=160172974" TargetMode="External"/><Relationship Id="rId1444" Type="http://schemas.openxmlformats.org/officeDocument/2006/relationships/hyperlink" Target="https://www.mlive.com/news/kalamazoo/2019/01/families-of-kalamazoo-uber-shooting-victims-prepare-for-trial.html" TargetMode="External"/><Relationship Id="rId1651" Type="http://schemas.openxmlformats.org/officeDocument/2006/relationships/hyperlink" Target="https://www.latimes.com/projects/la-na-las-vegas-shootings-victims-list-20171002/" TargetMode="External"/><Relationship Id="rId1889" Type="http://schemas.openxmlformats.org/officeDocument/2006/relationships/hyperlink" Target="https://www.ajc.com/news/national/thousand-oaks-shooting-what-know-about-the-victims/9QraYxz120zL2OsCfuuuhP/" TargetMode="External"/><Relationship Id="rId1304" Type="http://schemas.openxmlformats.org/officeDocument/2006/relationships/hyperlink" Target="https://www.nytimes.com/2013/07/28/us/6-shot-dead-by-neighbor-at-building-near-miami.html" TargetMode="External"/><Relationship Id="rId1511" Type="http://schemas.openxmlformats.org/officeDocument/2006/relationships/hyperlink" Target="https://www.orlandoweekly.com/orlando/remembering-the-orlando-49-kimberly-kj-morris/Content?oid=3327337" TargetMode="External"/><Relationship Id="rId1749" Type="http://schemas.openxmlformats.org/officeDocument/2006/relationships/hyperlink" Target="https://www.npr.org/2017/11/08/562740147/nobody-there-grandmother-lost-2-grandkids-daughter-in-law-at-texas-church" TargetMode="External"/><Relationship Id="rId1956" Type="http://schemas.openxmlformats.org/officeDocument/2006/relationships/hyperlink" Target="https://nypost.com/2019/08/06/police-identify-all-22-victims-of-the-el-paso-walmart-massacre/" TargetMode="External"/><Relationship Id="rId1609" Type="http://schemas.openxmlformats.org/officeDocument/2006/relationships/hyperlink" Target="https://www.latimes.com/projects/la-na-las-vegas-shootings-victims-list-20171002/" TargetMode="External"/><Relationship Id="rId1816" Type="http://schemas.openxmlformats.org/officeDocument/2006/relationships/hyperlink" Target="https://www.cnn.com/2018/05/18/us/texas-school-shooting-victims/index.html" TargetMode="External"/><Relationship Id="rId10" Type="http://schemas.openxmlformats.org/officeDocument/2006/relationships/hyperlink" Target="http://behindthetower.org/a-brief-history-of-mass-shootings" TargetMode="External"/><Relationship Id="rId94" Type="http://schemas.openxmlformats.org/officeDocument/2006/relationships/hyperlink" Target="https://www.leagle.com/decision/1985350349pasuper11350" TargetMode="External"/><Relationship Id="rId397" Type="http://schemas.openxmlformats.org/officeDocument/2006/relationships/hyperlink" Target="https://books.google.com/books?id=loF2dHl2MJcC&amp;pg=PA199&amp;lpg=PA199&amp;dq=john+miller+mass+shooting+1992+victim+denise&amp;source=bl&amp;ots=bff_VddSUC&amp;sig=ACfU3U2IzdlkeiqFIqtYffObWz8y4Phz9Q&amp;hl=en&amp;ppis=_e&amp;sa=X&amp;ved=2ahUKEwj-8sGh86boAhXPXM0KHUFRBUIQ6AEwA3oECAwQAQ" TargetMode="External"/><Relationship Id="rId520" Type="http://schemas.openxmlformats.org/officeDocument/2006/relationships/hyperlink" Target="https://www.caledonianrecord.com/news/colebrook-shootings-years-later-remembering-the-victims-and-the-resiliency/article_21ef7759-6d41-5f62-9453-bd94c76d3560.html" TargetMode="External"/><Relationship Id="rId618" Type="http://schemas.openxmlformats.org/officeDocument/2006/relationships/hyperlink" Target="https://www.ajc.com/news/local/ajc-deja-news-mark-barton-buckhead-killing-spree-stuns-atlanta-1999/JWrqxO3csx8ifs1mC3GSNJ/" TargetMode="External"/><Relationship Id="rId825" Type="http://schemas.openxmlformats.org/officeDocument/2006/relationships/hyperlink" Target="https://www.cbsnews.com/news/church-police-probe-7-murders/" TargetMode="External"/><Relationship Id="rId1248" Type="http://schemas.openxmlformats.org/officeDocument/2006/relationships/hyperlink" Target="https://www.businessinsider.com/who-were-the-victims-of-the-sandy-hook-shooting-2017-12" TargetMode="External"/><Relationship Id="rId1455" Type="http://schemas.openxmlformats.org/officeDocument/2006/relationships/hyperlink" Target="https://triblive.com/local/pittsburgh-allegheny/cheron-shelton-acquitted-of-murder-in-wilkinsburg-6-mass-shooting-faces-new-gun-charge/" TargetMode="External"/><Relationship Id="rId1662" Type="http://schemas.openxmlformats.org/officeDocument/2006/relationships/hyperlink" Target="https://people.com/crime/las-vegas-shooting-victims-names-photos-tributes/?slide=5952916" TargetMode="External"/><Relationship Id="rId257" Type="http://schemas.openxmlformats.org/officeDocument/2006/relationships/hyperlink" Target="https://books.google.com/books?id=cmTxCQAAQBAJ&amp;pg=PA159&amp;lpg=PA159&amp;dq=wayne+buddy+williams+jr+1988&amp;source=bl&amp;ots=eXXHKUhTrF&amp;sig=ACfU3U2zMT4nouPoSTHtsI0LbranE68U0Q&amp;hl=en&amp;sa=X&amp;ved=2ahUKEwjyr9Kgh6zpAhURK80KHQNUA8QQ6AEwD3oECAsQAQ" TargetMode="External"/><Relationship Id="rId464" Type="http://schemas.openxmlformats.org/officeDocument/2006/relationships/hyperlink" Target="https://abcnews.go.com/US/auroras-massacre-victims-20-year-wait-justice/story?id=16847013" TargetMode="External"/><Relationship Id="rId1010" Type="http://schemas.openxmlformats.org/officeDocument/2006/relationships/hyperlink" Target="https://www.seattlepi.com/seattlenews/article/Isaac-Zamora-10781621.php" TargetMode="External"/><Relationship Id="rId1094" Type="http://schemas.openxmlformats.org/officeDocument/2006/relationships/hyperlink" Target="https://hetq.am/en/article/74067" TargetMode="External"/><Relationship Id="rId1108" Type="http://schemas.openxmlformats.org/officeDocument/2006/relationships/hyperlink" Target="https://www.fox61.com/article/news/local/outreach/awareness-months/vigil-marks-anniversary-of-deadly-workplace-shooting/520-9889e6ab-3d7a-43c1-862d-40160c55a573" TargetMode="External"/><Relationship Id="rId1315" Type="http://schemas.openxmlformats.org/officeDocument/2006/relationships/hyperlink" Target="https://www.cnn.com/2013/09/17/us/dc-navy-yard-victims/index.html" TargetMode="External"/><Relationship Id="rId1967" Type="http://schemas.openxmlformats.org/officeDocument/2006/relationships/hyperlink" Target="https://www.nytimes.com/2019/08/04/us/el-paso-shooting-victims.html" TargetMode="External"/><Relationship Id="rId117" Type="http://schemas.openxmlformats.org/officeDocument/2006/relationships/hyperlink" Target="https://news.google.com/newspapers?id=JA4LAAAAIBAJ&amp;sjid=yVEDAAAAIBAJ&amp;pg=5061,3848480&amp;dq=john+parish" TargetMode="External"/><Relationship Id="rId671" Type="http://schemas.openxmlformats.org/officeDocument/2006/relationships/hyperlink" Target="https://www.deseret.com/1999/12/31/19483268/5-killed-when-hotel-worker-goes-on-rampage-in-florida" TargetMode="External"/><Relationship Id="rId769" Type="http://schemas.openxmlformats.org/officeDocument/2006/relationships/hyperlink" Target="https://www.latimes.com/archives/la-xpm-2003-aug-28-na-shoot28-story.html" TargetMode="External"/><Relationship Id="rId976" Type="http://schemas.openxmlformats.org/officeDocument/2006/relationships/hyperlink" Target="https://www.stltoday.com/news/local/metro/kirkwood-city-hall-shooting-years-after-tragedy-a-community-reflects/article_895f3748-b575-59bb-b02a-719dc551a4d4.html" TargetMode="External"/><Relationship Id="rId1399" Type="http://schemas.openxmlformats.org/officeDocument/2006/relationships/hyperlink" Target="https://www.washingtonpost.com/news/morning-mix/wp/2015/11/18/texas-campsite-massacre-that-claimed-6-caused-by-land-dispute-victims-ex-wife-says/" TargetMode="External"/><Relationship Id="rId324" Type="http://schemas.openxmlformats.org/officeDocument/2006/relationships/hyperlink" Target="https://www.latimes.com/archives/la-xpm-1990-06-19-mn-52-story.html" TargetMode="External"/><Relationship Id="rId531" Type="http://schemas.openxmlformats.org/officeDocument/2006/relationships/hyperlink" Target="https://murderpedia.org/male.W/w1/wise-hastings-photos.htm" TargetMode="External"/><Relationship Id="rId629" Type="http://schemas.openxmlformats.org/officeDocument/2006/relationships/hyperlink" Target="https://www.findagrave.com/memorial/51080997/kevin-middleton-dial" TargetMode="External"/><Relationship Id="rId1161" Type="http://schemas.openxmlformats.org/officeDocument/2006/relationships/hyperlink" Target="https://www.cleveland.com/metro/2011/08/copley_police_release_details.html" TargetMode="External"/><Relationship Id="rId1259" Type="http://schemas.openxmlformats.org/officeDocument/2006/relationships/hyperlink" Target="https://www.ctpost.com/local/article/Chase-Kowalski-wanted-his-front-teeth-back-4122846.php" TargetMode="External"/><Relationship Id="rId1466" Type="http://schemas.openxmlformats.org/officeDocument/2006/relationships/hyperlink" Target="https://www.npr.org/sections/thetwo-way/2016/06/12/481785763/heres-what-we-know-about-the-orlando-shooting-victims" TargetMode="External"/><Relationship Id="rId2005" Type="http://schemas.openxmlformats.org/officeDocument/2006/relationships/hyperlink" Target="https://www.nytimes.com/2019/08/05/us/dayton-shooting-victims.html" TargetMode="External"/><Relationship Id="rId836" Type="http://schemas.openxmlformats.org/officeDocument/2006/relationships/hyperlink" Target="http://www.justicefornativewomen.com/2016/04/michelle-sigana-chanelle-rosebear-and.html" TargetMode="External"/><Relationship Id="rId1021" Type="http://schemas.openxmlformats.org/officeDocument/2006/relationships/hyperlink" Target="https://www.nytimes.com/2009/03/30/us/30shooting.html" TargetMode="External"/><Relationship Id="rId1119" Type="http://schemas.openxmlformats.org/officeDocument/2006/relationships/hyperlink" Target="https://lombardofuneralhome.com/tribute/details/3679/Shawn-Tia-McNeil/obituary.html" TargetMode="External"/><Relationship Id="rId1673" Type="http://schemas.openxmlformats.org/officeDocument/2006/relationships/hyperlink" Target="https://www.latimes.com/projects/la-na-las-vegas-shootings-victims-list-20171002/" TargetMode="External"/><Relationship Id="rId1880" Type="http://schemas.openxmlformats.org/officeDocument/2006/relationships/hyperlink" Target="https://www.ajc.com/news/national/thousand-oaks-shooting-what-know-about-the-victims/9QraYxz120zL2OsCfuuuhP/" TargetMode="External"/><Relationship Id="rId1978" Type="http://schemas.openxmlformats.org/officeDocument/2006/relationships/hyperlink" Target="https://apnews.com/1aa03c4a153f4f6d9881f0f11cd2e89a" TargetMode="External"/><Relationship Id="rId903" Type="http://schemas.openxmlformats.org/officeDocument/2006/relationships/hyperlink" Target="https://www.npr.org/2007/04/18/9618673/remembering-virginia-techs-shooting-victims" TargetMode="External"/><Relationship Id="rId1326" Type="http://schemas.openxmlformats.org/officeDocument/2006/relationships/hyperlink" Target="https://graphics.latimes.com/towergraphic-santa-barbara-shooting/" TargetMode="External"/><Relationship Id="rId1533" Type="http://schemas.openxmlformats.org/officeDocument/2006/relationships/hyperlink" Target="https://www.nytimes.com/interactive/projects/cp/us/orlando-shooting-victims/shane-evan-tomlinson" TargetMode="External"/><Relationship Id="rId1740" Type="http://schemas.openxmlformats.org/officeDocument/2006/relationships/hyperlink" Target="https://www.nbcnews.com/storyline/texas-church-shooting/texas-church-shooting-who-were-victims-sutherland-springs-massacre-n818356" TargetMode="External"/><Relationship Id="rId32" Type="http://schemas.openxmlformats.org/officeDocument/2006/relationships/hyperlink" Target="https://www.nydailynews.com/news/crime/experts-clueless-man-fatally-shot-50-years-article-1.3548519" TargetMode="External"/><Relationship Id="rId1600" Type="http://schemas.openxmlformats.org/officeDocument/2006/relationships/hyperlink" Target="https://people.com/crime/las-vegas-shooting-victims-names-photos-tributes/?slide=5947536" TargetMode="External"/><Relationship Id="rId1838" Type="http://schemas.openxmlformats.org/officeDocument/2006/relationships/hyperlink" Target="https://baltimore.cbslocal.com/2019/06/28/capital-gazette-shooting-year-later/" TargetMode="External"/><Relationship Id="rId181" Type="http://schemas.openxmlformats.org/officeDocument/2006/relationships/hyperlink" Target="https://www.cbs8.com/article/news/locals-remember-san-ysidro-mcdonalds-massacre-35-years-later/509-92e6402f-4864-4259-8e85-3b42ecbedeb8" TargetMode="External"/><Relationship Id="rId1905" Type="http://schemas.openxmlformats.org/officeDocument/2006/relationships/hyperlink" Target="https://time.com/5513090/florida-bank-shooting-victims/" TargetMode="External"/><Relationship Id="rId279" Type="http://schemas.openxmlformats.org/officeDocument/2006/relationships/hyperlink" Target="https://www.chicagotribune.com/news/ct-xpm-1988-09-23-8802010552-story.html" TargetMode="External"/><Relationship Id="rId486" Type="http://schemas.openxmlformats.org/officeDocument/2006/relationships/hyperlink" Target="https://murderpedia.org/male.S/s/simpson-james-daniel.htm" TargetMode="External"/><Relationship Id="rId693" Type="http://schemas.openxmlformats.org/officeDocument/2006/relationships/hyperlink" Target="http://old.post-gazette.com/regionstate/20000429shootings2.asp" TargetMode="External"/><Relationship Id="rId139" Type="http://schemas.openxmlformats.org/officeDocument/2006/relationships/hyperlink" Target="https://www.washingtonpost.com/archive/politics/1983/12/15/after-murder-rampage-a-test-of-survival/08bb8578-7f36-4dde-b3ce-076fbcb61aff/?noredirect=on" TargetMode="External"/><Relationship Id="rId346" Type="http://schemas.openxmlformats.org/officeDocument/2006/relationships/hyperlink" Target="https://www.findagrave.com/memorial/88319210/zona-mae-lynn" TargetMode="External"/><Relationship Id="rId553" Type="http://schemas.openxmlformats.org/officeDocument/2006/relationships/hyperlink" Target="https://www.nytimes.com/1998/03/29/us/from-wild-talk-and-friendship-to-five-deaths-in-a-schoolyard.html?mcubz=0" TargetMode="External"/><Relationship Id="rId760" Type="http://schemas.openxmlformats.org/officeDocument/2006/relationships/hyperlink" Target="https://abcnews.go.com/Primetime/story?id=749286&amp;page=1" TargetMode="External"/><Relationship Id="rId998" Type="http://schemas.openxmlformats.org/officeDocument/2006/relationships/hyperlink" Target="https://www.nytimes.com/2008/06/26/us/26factory.html" TargetMode="External"/><Relationship Id="rId1183" Type="http://schemas.openxmlformats.org/officeDocument/2006/relationships/hyperlink" Target="https://www.ocregister.com/2011/10/14/police-id-victims-in-seal-beach-shooting/" TargetMode="External"/><Relationship Id="rId1390" Type="http://schemas.openxmlformats.org/officeDocument/2006/relationships/hyperlink" Target="https://www.nytimes.com/2015/10/10/us/roseburg-oregon-shooting-christopher-harper-mercer.html" TargetMode="External"/><Relationship Id="rId2027" Type="http://schemas.openxmlformats.org/officeDocument/2006/relationships/hyperlink" Target="https://www.cnn.com/2019/12/10/us/jersey-city-shooting-victims/index.html" TargetMode="External"/><Relationship Id="rId206" Type="http://schemas.openxmlformats.org/officeDocument/2006/relationships/hyperlink" Target="https://apnews.com/c5d8552f56a7d24ddb1d7e57738d8242" TargetMode="External"/><Relationship Id="rId413" Type="http://schemas.openxmlformats.org/officeDocument/2006/relationships/hyperlink" Target="https://www.nytimes.com/1993/07/07/us/victims-of-chance-in-deadly-rampage.html" TargetMode="External"/><Relationship Id="rId858" Type="http://schemas.openxmlformats.org/officeDocument/2006/relationships/hyperlink" Target="https://www.seattlepi.com/local/article/Melissa-Moore-14-Youngest-victim-loved-life-1199580.php" TargetMode="External"/><Relationship Id="rId1043" Type="http://schemas.openxmlformats.org/officeDocument/2006/relationships/hyperlink" Target="https://www.nytimes.com/2009/04/06/nyregion/06victims.html" TargetMode="External"/><Relationship Id="rId1488" Type="http://schemas.openxmlformats.org/officeDocument/2006/relationships/hyperlink" Target="https://www.nytimes.com/interactive/projects/cp/us/orlando-shooting-victims/mercedez-marisol-flores" TargetMode="External"/><Relationship Id="rId1695" Type="http://schemas.openxmlformats.org/officeDocument/2006/relationships/hyperlink" Target="https://www.latimes.com/projects/la-na-las-vegas-shootings-victims-list-20171002/" TargetMode="External"/><Relationship Id="rId620" Type="http://schemas.openxmlformats.org/officeDocument/2006/relationships/hyperlink" Target="https://www.ajc.com/news/local/ajc-deja-news-mark-barton-buckhead-killing-spree-stuns-atlanta-1999/JWrqxO3csx8ifs1mC3GSNJ/" TargetMode="External"/><Relationship Id="rId718" Type="http://schemas.openxmlformats.org/officeDocument/2006/relationships/hyperlink" Target="https://www.findagrave.com/memorial/50621749" TargetMode="External"/><Relationship Id="rId925" Type="http://schemas.openxmlformats.org/officeDocument/2006/relationships/hyperlink" Target="https://www.remembrance.vt.edu/biographies/loganathan.html" TargetMode="External"/><Relationship Id="rId1250" Type="http://schemas.openxmlformats.org/officeDocument/2006/relationships/hyperlink" Target="https://www.businessinsider.com/who-were-the-victims-of-the-sandy-hook-shooting-2017-12" TargetMode="External"/><Relationship Id="rId1348" Type="http://schemas.openxmlformats.org/officeDocument/2006/relationships/hyperlink" Target="https://www.nytimes.com/2015/06/20/us/charleston-shooting-dylann-storm-roof.html" TargetMode="External"/><Relationship Id="rId1555" Type="http://schemas.openxmlformats.org/officeDocument/2006/relationships/hyperlink" Target="https://krcgtv.com/news/nation-world/4-women-shot-killed-at-washington-state-mall-identified" TargetMode="External"/><Relationship Id="rId1762" Type="http://schemas.openxmlformats.org/officeDocument/2006/relationships/hyperlink" Target="https://www.redding.com/story/news/2017/11/15/rancho-tehama-shooting-victims/865057001/" TargetMode="External"/><Relationship Id="rId1110" Type="http://schemas.openxmlformats.org/officeDocument/2006/relationships/hyperlink" Target="https://www.cbsnews.com/news/connecticut-shooting-victims-stories-emerge-after-hartford-distributors-massacre/" TargetMode="External"/><Relationship Id="rId1208" Type="http://schemas.openxmlformats.org/officeDocument/2006/relationships/hyperlink" Target="https://www.seattletimes.com/seattle-news/seattle-shootings-day-of-horror-grief-in-a-shaken-city/" TargetMode="External"/><Relationship Id="rId1415" Type="http://schemas.openxmlformats.org/officeDocument/2006/relationships/hyperlink" Target="https://www.washingtonpost.com/news/post-nation/wp/2016/12/02/one-year-after-san-bernardino-police-offer-a-possible-motive-as-questions-still-linger/" TargetMode="External"/><Relationship Id="rId54" Type="http://schemas.openxmlformats.org/officeDocument/2006/relationships/hyperlink" Target="https://murderpedia.org/male.E/e/essex-mark.htm" TargetMode="External"/><Relationship Id="rId1622" Type="http://schemas.openxmlformats.org/officeDocument/2006/relationships/hyperlink" Target="https://people.com/crime/las-vegas-shooting-victims-names-photos-tributes/?slide=5952530" TargetMode="External"/><Relationship Id="rId1927" Type="http://schemas.openxmlformats.org/officeDocument/2006/relationships/hyperlink" Target="https://www.bwfosterfuneralhome.com/obituary/tara-gallagher" TargetMode="External"/><Relationship Id="rId270" Type="http://schemas.openxmlformats.org/officeDocument/2006/relationships/hyperlink" Target="https://books.google.com/books?id=cmTxCQAAQBAJ&amp;pg=PA159&amp;lpg=PA159&amp;dq=wayne+buddy+williams+jr+1988&amp;source=bl&amp;ots=eXXHKUhTrF&amp;sig=ACfU3U2zMT4nouPoSTHtsI0LbranE68U0Q&amp;hl=en&amp;sa=X&amp;ved=2ahUKEwjyr9Kgh6zpAhURK80KHQNUA8QQ6AEwD3oECAsQAQ" TargetMode="External"/><Relationship Id="rId130" Type="http://schemas.openxmlformats.org/officeDocument/2006/relationships/hyperlink" Target="https://www.nytimes.com/1982/08/21/us/gunman-in-miami-kills-8-in-rampage.html" TargetMode="External"/><Relationship Id="rId368" Type="http://schemas.openxmlformats.org/officeDocument/2006/relationships/hyperlink" Target="https://www.findagrave.com/memorial/75159119/thomas-earl-bannister" TargetMode="External"/><Relationship Id="rId575" Type="http://schemas.openxmlformats.org/officeDocument/2006/relationships/hyperlink" Target="https://www.newspapers.com/image/1923485/" TargetMode="External"/><Relationship Id="rId782" Type="http://schemas.openxmlformats.org/officeDocument/2006/relationships/hyperlink" Target="http://www.nbcnews.com/id/5353964/ns/us_news-crime_and_courts/t/six-dead-kansas-workplace-shooting/" TargetMode="External"/><Relationship Id="rId228"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35" Type="http://schemas.openxmlformats.org/officeDocument/2006/relationships/hyperlink" Target="https://www.fayobserver.com/news/20190806/from-archives-26-years-ago-today-tragedy-at-luigis" TargetMode="External"/><Relationship Id="rId642" Type="http://schemas.openxmlformats.org/officeDocument/2006/relationships/hyperlink" Target="https://www.findagrave.com/memorial/57720220/scott-allyn-webb" TargetMode="External"/><Relationship Id="rId1065" Type="http://schemas.openxmlformats.org/officeDocument/2006/relationships/hyperlink" Target="https://www.pressconnects.com/story/news/local/2019/03/27/aca-american-civic-association-binghamton-shooting-victims-obituaries/3224600002/" TargetMode="External"/><Relationship Id="rId1272" Type="http://schemas.openxmlformats.org/officeDocument/2006/relationships/hyperlink" Target="https://www.businessinsider.com/who-were-the-victims-of-the-sandy-hook-shooting-2017-12" TargetMode="External"/><Relationship Id="rId502" Type="http://schemas.openxmlformats.org/officeDocument/2006/relationships/hyperlink" Target="https://apnews.com/cec11122f0b4c232725599b3ae3d7bcf" TargetMode="External"/><Relationship Id="rId947" Type="http://schemas.openxmlformats.org/officeDocument/2006/relationships/hyperlink" Target="https://www.remembrance.vt.edu/biographies/samaha.html" TargetMode="External"/><Relationship Id="rId1132" Type="http://schemas.openxmlformats.org/officeDocument/2006/relationships/hyperlink" Target="https://www.kentucky.com/news/state/kentucky/article44049051.html" TargetMode="External"/><Relationship Id="rId1577" Type="http://schemas.openxmlformats.org/officeDocument/2006/relationships/hyperlink" Target="https://www.wjtv.com/news/jpd-u-s-marshals-arrest-man-wanted-in-connection-with-yazoo-city-murders/" TargetMode="External"/><Relationship Id="rId1784" Type="http://schemas.openxmlformats.org/officeDocument/2006/relationships/hyperlink" Target="https://www.cnn.com/2018/02/15/us/florida-shooting-victims-school/index.html" TargetMode="External"/><Relationship Id="rId1991" Type="http://schemas.openxmlformats.org/officeDocument/2006/relationships/hyperlink" Target="https://www.theguardian.com/us-news/2019/aug/09/el-paso-shooting-victims" TargetMode="External"/><Relationship Id="rId76" Type="http://schemas.openxmlformats.org/officeDocument/2006/relationships/hyperlink" Target="https://fultonhistory.com/Newspaper%2011/Geneva%20NY%20Finger%20Lake%20Times/Geneva%20NY%20Finger%20Lake%20Times%201980%20Feb%201980/Geneva%20NY%20Finger%20Lake%20Times%201980%20Feb%201980%20-%200064.pdf" TargetMode="External"/><Relationship Id="rId807" Type="http://schemas.openxmlformats.org/officeDocument/2006/relationships/hyperlink" Target="https://www.rollingstone.com/music/music-news/behind-the-murder-of-dimebag-darrell-233541/" TargetMode="External"/><Relationship Id="rId1437" Type="http://schemas.openxmlformats.org/officeDocument/2006/relationships/hyperlink" Target="https://www.battlecreekenquirer.com/story/news/local/2016/02/22/shooting-victim-judy-brown-compassionate-gentle-soul/80765152/" TargetMode="External"/><Relationship Id="rId1644" Type="http://schemas.openxmlformats.org/officeDocument/2006/relationships/hyperlink" Target="https://people.com/crime/las-vegas-shooting-victims-names-photos-tributes/?slide=5952846" TargetMode="External"/><Relationship Id="rId1851" Type="http://schemas.openxmlformats.org/officeDocument/2006/relationships/hyperlink" Target="https://www.bakersfield.com/ex-wife-in-mass-shooting-had-just-filed-for-child/article_8d7510c2-bc38-11e8-bc73-c3793e2ec681.html" TargetMode="External"/><Relationship Id="rId1504" Type="http://schemas.openxmlformats.org/officeDocument/2006/relationships/hyperlink" Target="https://www.npr.org/sections/thetwo-way/2016/06/12/481785763/heres-what-we-know-about-the-orlando-shooting-victims" TargetMode="External"/><Relationship Id="rId1711" Type="http://schemas.openxmlformats.org/officeDocument/2006/relationships/hyperlink" Target="https://www.latimes.com/projects/la-na-las-vegas-shootings-victims-list-20171002/" TargetMode="External"/><Relationship Id="rId1949" Type="http://schemas.openxmlformats.org/officeDocument/2006/relationships/hyperlink" Target="https://www.findagrave.com/memorial/201791615/jordan-kae-anchondo" TargetMode="External"/><Relationship Id="rId292" Type="http://schemas.openxmlformats.org/officeDocument/2006/relationships/hyperlink" Target="https://www.abc10.com/article/news/local/stockton/need-to-know-the-1989-cleveland-school-shooting/103-bf6463b2-ce78-4ba1-9216-fc2c79907f82" TargetMode="External"/><Relationship Id="rId1809" Type="http://schemas.openxmlformats.org/officeDocument/2006/relationships/hyperlink" Target="https://www.cbsnews.com/news/waffle-house-nashville-shooting-reopens-today-2018-04-25/" TargetMode="External"/><Relationship Id="rId597" Type="http://schemas.openxmlformats.org/officeDocument/2006/relationships/hyperlink" Target="https://www.rollingstone.com/culture/culture-features/how-they-got-the-guns-175676/" TargetMode="External"/><Relationship Id="rId152" Type="http://schemas.openxmlformats.org/officeDocument/2006/relationships/hyperlink" Target="https://www.upi.com/Archives/1983/10/12/Multiple-charges-filed-in-murder-kidnapping-spree/9012434779200/" TargetMode="External"/><Relationship Id="rId457" Type="http://schemas.openxmlformats.org/officeDocument/2006/relationships/hyperlink" Target="https://www.findagrave.com/memorial/11890/dennis-f_-mccarthy" TargetMode="External"/><Relationship Id="rId1087" Type="http://schemas.openxmlformats.org/officeDocument/2006/relationships/hyperlink" Target="https://www.spokesman.com/blogs/sirens/2010/dec/07/mixed-verdicts-police-shooting-trial/" TargetMode="External"/><Relationship Id="rId1294" Type="http://schemas.openxmlformats.org/officeDocument/2006/relationships/hyperlink" Target="https://www.latimes.com/local/lanow/la-xpm-2013-jun-09-la-me-ln-santa-monica-shootings-death-toll-five-marcela-franco-20130609-story.html" TargetMode="External"/><Relationship Id="rId2040" Type="http://schemas.openxmlformats.org/officeDocument/2006/relationships/printerSettings" Target="../printerSettings/printerSettings8.bin"/><Relationship Id="rId664" Type="http://schemas.openxmlformats.org/officeDocument/2006/relationships/hyperlink" Target="https://www.latimes.com/archives/la-xpm-1999-nov-03-mn-29234-story.html" TargetMode="External"/><Relationship Id="rId871" Type="http://schemas.openxmlformats.org/officeDocument/2006/relationships/hyperlink" Target="https://www.wafb.com/story/4931012/gunman-accused-of-church-shooting-makes-court-appearance/" TargetMode="External"/><Relationship Id="rId969" Type="http://schemas.openxmlformats.org/officeDocument/2006/relationships/hyperlink" Target="https://www.stltoday.com/news/local/metro/kirkwood-city-hall-shooting-years-after-tragedy-a-community-reflects/article_895f3748-b575-59bb-b02a-719dc551a4d4.html" TargetMode="External"/><Relationship Id="rId1599" Type="http://schemas.openxmlformats.org/officeDocument/2006/relationships/hyperlink" Target="https://www.latimes.com/projects/la-na-las-vegas-shootings-victims-list-20171002/" TargetMode="External"/><Relationship Id="rId317" Type="http://schemas.openxmlformats.org/officeDocument/2006/relationships/hyperlink" Target="https://www.latimes.com/archives/la-xpm-1990-06-19-mn-52-story.html" TargetMode="External"/><Relationship Id="rId524" Type="http://schemas.openxmlformats.org/officeDocument/2006/relationships/hyperlink" Target="http://content.time.com/time/magazine/article/0,9171,138219,00.html" TargetMode="External"/><Relationship Id="rId731" Type="http://schemas.openxmlformats.org/officeDocument/2006/relationships/hyperlink" Target="https://www.latimes.com/archives/la-xpm-2001-sep-10-mn-44103-story.html" TargetMode="External"/><Relationship Id="rId1154" Type="http://schemas.openxmlformats.org/officeDocument/2006/relationships/hyperlink" Target="https://www.beaconjournal.com/article/20120615/NEWS/306159412" TargetMode="External"/><Relationship Id="rId1361" Type="http://schemas.openxmlformats.org/officeDocument/2006/relationships/hyperlink" Target="https://www.nbcnews.com/storyline/chattanooga-shooting/chattanooga-shooting-wounded-navy-petty-officer-dies-n394356" TargetMode="External"/><Relationship Id="rId1459" Type="http://schemas.openxmlformats.org/officeDocument/2006/relationships/hyperlink" Target="https://www.npr.org/sections/thetwo-way/2016/06/12/481785763/heres-what-we-know-about-the-orlando-shooting-victims" TargetMode="External"/><Relationship Id="rId98" Type="http://schemas.openxmlformats.org/officeDocument/2006/relationships/hyperlink" Target="https://news.google.com/newspapers?nid=2002&amp;dat=19870812&amp;id=P1QuAAAAIBAJ&amp;sjid=LdoFAAAAIBAJ&amp;pg=966,2114218" TargetMode="External"/><Relationship Id="rId829" Type="http://schemas.openxmlformats.org/officeDocument/2006/relationships/hyperlink" Target="https://www.cbsnews.com/news/church-police-probe-7-murders/" TargetMode="External"/><Relationship Id="rId1014" Type="http://schemas.openxmlformats.org/officeDocument/2006/relationships/hyperlink" Target="https://www.seattlepi.com/seattlenews/article/Isaac-Zamora-10781621.php" TargetMode="External"/><Relationship Id="rId1221" Type="http://schemas.openxmlformats.org/officeDocument/2006/relationships/hyperlink" Target="https://www.cbsnews.com/pictures/the-aurora-shooting-victims/3/" TargetMode="External"/><Relationship Id="rId1666" Type="http://schemas.openxmlformats.org/officeDocument/2006/relationships/hyperlink" Target="https://www.findagrave.com/memorial/183916435/adrian-allan-murfitt" TargetMode="External"/><Relationship Id="rId1873" Type="http://schemas.openxmlformats.org/officeDocument/2006/relationships/hyperlink" Target="https://www.timesofisrael.com/how-the-pittsburgh-synagogue-shooting-unfolded/" TargetMode="External"/><Relationship Id="rId1319" Type="http://schemas.openxmlformats.org/officeDocument/2006/relationships/hyperlink" Target="https://www.cnn.com/2013/09/17/us/dc-navy-yard-victims/index.html" TargetMode="External"/><Relationship Id="rId1526" Type="http://schemas.openxmlformats.org/officeDocument/2006/relationships/hyperlink" Target="https://www.npr.org/sections/thetwo-way/2016/06/12/481785763/heres-what-we-know-about-the-orlando-shooting-victims" TargetMode="External"/><Relationship Id="rId1733" Type="http://schemas.openxmlformats.org/officeDocument/2006/relationships/hyperlink" Target="https://www.nbcnews.com/storyline/texas-church-shooting/texas-church-shooting-who-were-victims-sutherland-springs-massacre-n818356" TargetMode="External"/><Relationship Id="rId1940" Type="http://schemas.openxmlformats.org/officeDocument/2006/relationships/hyperlink" Target="https://www.npr.org/2019/06/01/728903700/what-we-know-about-the-virginia-beach-mass-shooting-victims" TargetMode="External"/><Relationship Id="rId25" Type="http://schemas.openxmlformats.org/officeDocument/2006/relationships/hyperlink" Target="https://www.newspapers.com/image/?clipping_id=3420707&amp;fcfToken=eyJhbGciOiJIUzI1NiIsInR5cCI6IkpXVCJ9.eyJmcmVlLXZpZXctaWQiOjE5NTc1MDI1LCJpYXQiOjE1ODIyMTQyMjIsImV4cCI6MTU4MjMwMDYyMn0.zDflTsX9-OOvCv1GkyBlfCYAJG_vqITVra0HZfGKX94" TargetMode="External"/><Relationship Id="rId1800" Type="http://schemas.openxmlformats.org/officeDocument/2006/relationships/hyperlink" Target="https://www.fox2detroit.com/news/suspect-in-gas-station-triple-murder-suspect-dies-by-suicide-in-ohio" TargetMode="External"/><Relationship Id="rId174" Type="http://schemas.openxmlformats.org/officeDocument/2006/relationships/hyperlink" Target="https://www.findagrave.com/virtual-cemetery/459281" TargetMode="External"/><Relationship Id="rId381" Type="http://schemas.openxmlformats.org/officeDocument/2006/relationships/hyperlink" Target="https://www.pressreader.com/usa/the-detroit-news/20111114/281505043015872" TargetMode="External"/><Relationship Id="rId241" Type="http://schemas.openxmlformats.org/officeDocument/2006/relationships/hyperlink" Target="https://www.nytimes.com/1986/08/21/us/mail-carrier-kills-14-in-post-office-then-himself.html" TargetMode="External"/><Relationship Id="rId479" Type="http://schemas.openxmlformats.org/officeDocument/2006/relationships/hyperlink" Target="https://apnews.com/d0126666cf574fca9f1e9c109cb4c923" TargetMode="External"/><Relationship Id="rId686" Type="http://schemas.openxmlformats.org/officeDocument/2006/relationships/hyperlink" Target="http://old.post-gazette.com/regionstate/20000429shootings2.asp" TargetMode="External"/><Relationship Id="rId893" Type="http://schemas.openxmlformats.org/officeDocument/2006/relationships/hyperlink" Target="https://www.nytimes.com/2007/04/20/us/20english.html" TargetMode="External"/><Relationship Id="rId339" Type="http://schemas.openxmlformats.org/officeDocument/2006/relationships/hyperlink" Target="https://kdhnews.com/news/survivors-reflect-on-oct-luby-s-shooting/article_e2660bfc-d24a-5566-a65f-a67a9fe6365b.html" TargetMode="External"/><Relationship Id="rId546" Type="http://schemas.openxmlformats.org/officeDocument/2006/relationships/hyperlink" Target="https://www.nytimes.com/1997/12/20/us/dismissed-worker-kills-4-and-then-is-slain.html?mcubz=3" TargetMode="External"/><Relationship Id="rId753" Type="http://schemas.openxmlformats.org/officeDocument/2006/relationships/hyperlink" Target="https://www.nytimes.com/2003/02/26/us/gunman-kills-four-at-alabama-job-agency.html" TargetMode="External"/><Relationship Id="rId1176" Type="http://schemas.openxmlformats.org/officeDocument/2006/relationships/hyperlink" Target="https://www.ocregister.com/2011/10/14/police-id-victims-in-seal-beach-shooting/" TargetMode="External"/><Relationship Id="rId1383" Type="http://schemas.openxmlformats.org/officeDocument/2006/relationships/hyperlink" Target="https://www.findagrave.com/memorial/153150294/jason-dale-johnson" TargetMode="External"/><Relationship Id="rId101" Type="http://schemas.openxmlformats.org/officeDocument/2006/relationships/hyperlink" Target="https://www.nytimes.com/1981/05/09/us/four-slain-and-20-wounded-in-bar-as-oregon-man-shoots-into-crowd.html" TargetMode="External"/><Relationship Id="rId406" Type="http://schemas.openxmlformats.org/officeDocument/2006/relationships/hyperlink" Target="https://www.latimes.com/archives/la-xpm-1992-11-09-mn-151-story.html" TargetMode="External"/><Relationship Id="rId960" Type="http://schemas.openxmlformats.org/officeDocument/2006/relationships/hyperlink" Target="https://www.omaha.com/news/local/von-maur-victims-angie-schuster-met-her-fiance-at-store/article_ec808982-c348-11e7-bdeb-5bca8c190a01.html" TargetMode="External"/><Relationship Id="rId1036" Type="http://schemas.openxmlformats.org/officeDocument/2006/relationships/hyperlink" Target="https://www.nytimes.com/2009/04/12/nyregion/12binghamton.html" TargetMode="External"/><Relationship Id="rId1243" Type="http://schemas.openxmlformats.org/officeDocument/2006/relationships/hyperlink" Target="https://www.businessinsider.com/who-were-the-victims-of-the-sandy-hook-shooting-2017-12" TargetMode="External"/><Relationship Id="rId1590" Type="http://schemas.openxmlformats.org/officeDocument/2006/relationships/hyperlink" Target="https://www.washingtonpost.com/news/post-nation/wp/2017/06/05/multiple-people-killed-in-shooting-at-florida-business/" TargetMode="External"/><Relationship Id="rId1688" Type="http://schemas.openxmlformats.org/officeDocument/2006/relationships/hyperlink" Target="https://www.latimes.com/projects/la-na-las-vegas-shootings-victims-list-20171002/" TargetMode="External"/><Relationship Id="rId1895" Type="http://schemas.openxmlformats.org/officeDocument/2006/relationships/hyperlink" Target="https://www.ajc.com/news/national/thousand-oaks-shooting-what-know-about-the-victims/9QraYxz120zL2OsCfuuuhP/" TargetMode="External"/><Relationship Id="rId613" Type="http://schemas.openxmlformats.org/officeDocument/2006/relationships/hyperlink" Target="https://www.latimes.com/archives/la-xpm-1999-jun-05-mn-44403-story.html" TargetMode="External"/><Relationship Id="rId820" Type="http://schemas.openxmlformats.org/officeDocument/2006/relationships/hyperlink" Target="https://www.findagrave.com/memorial/139782569/james-isaac-gregory" TargetMode="External"/><Relationship Id="rId918" Type="http://schemas.openxmlformats.org/officeDocument/2006/relationships/hyperlink" Target="https://www.npr.org/2007/04/18/9618673/remembering-virginia-techs-shooting-victims" TargetMode="External"/><Relationship Id="rId1450" Type="http://schemas.openxmlformats.org/officeDocument/2006/relationships/hyperlink" Target="https://pittsburgh.cbslocal.com/2020/02/14/families-of-wilkinsburg-mass-shooting-justice/" TargetMode="External"/><Relationship Id="rId1548" Type="http://schemas.openxmlformats.org/officeDocument/2006/relationships/hyperlink" Target="https://www.nytimes.com/2016/07/09/us/dallas-police-shooting.html" TargetMode="External"/><Relationship Id="rId1755" Type="http://schemas.openxmlformats.org/officeDocument/2006/relationships/hyperlink" Target="https://www.expressnews.com/news/local/article/Exclusive-Guilt-and-grief-overwhelm-the-12556616.php" TargetMode="External"/><Relationship Id="rId1103" Type="http://schemas.openxmlformats.org/officeDocument/2006/relationships/hyperlink" Target="https://www.nytimes.com/2010/08/04/nyregion/04shooting.html" TargetMode="External"/><Relationship Id="rId1310" Type="http://schemas.openxmlformats.org/officeDocument/2006/relationships/hyperlink" Target="https://www.cnn.com/2013/09/17/us/dc-navy-yard-victims/index.html" TargetMode="External"/><Relationship Id="rId1408" Type="http://schemas.openxmlformats.org/officeDocument/2006/relationships/hyperlink" Target="https://www.washingtonpost.com/news/post-nation/wp/2016/12/02/one-year-after-san-bernardino-police-offer-a-possible-motive-as-questions-still-linger/" TargetMode="External"/><Relationship Id="rId1962" Type="http://schemas.openxmlformats.org/officeDocument/2006/relationships/hyperlink" Target="https://time.com/5643420/victims-el-paso-shooting/" TargetMode="External"/><Relationship Id="rId47" Type="http://schemas.openxmlformats.org/officeDocument/2006/relationships/hyperlink" Target="https://newspaperarchive.com/ironwood-daily-globe-mar-18-1968-p-1/" TargetMode="External"/><Relationship Id="rId1615" Type="http://schemas.openxmlformats.org/officeDocument/2006/relationships/hyperlink" Target="https://www.latimes.com/projects/la-na-las-vegas-shootings-victims-list-20171002/" TargetMode="External"/><Relationship Id="rId1822" Type="http://schemas.openxmlformats.org/officeDocument/2006/relationships/hyperlink" Target="https://www.cnn.com/2018/05/18/us/texas-school-shooting-victims/index.html" TargetMode="External"/><Relationship Id="rId196" Type="http://schemas.openxmlformats.org/officeDocument/2006/relationships/hyperlink" Target="https://newspaperarchive.com/fayetteville-northwest-arkansas-times-jul-25-1984-p-1/" TargetMode="External"/><Relationship Id="rId263" Type="http://schemas.openxmlformats.org/officeDocument/2006/relationships/hyperlink" Target="https://www.leagle.com/decision/incaco20090702055" TargetMode="External"/><Relationship Id="rId470" Type="http://schemas.openxmlformats.org/officeDocument/2006/relationships/hyperlink" Target="https://www.nytimes.com/1994/06/22/us/an-airman-s-revenge-5-minutes-of-terror.html" TargetMode="External"/><Relationship Id="rId123" Type="http://schemas.openxmlformats.org/officeDocument/2006/relationships/hyperlink" Target="https://www.nytimes.com/1982/08/21/us/gunman-in-miami-kills-8-in-rampage.html" TargetMode="External"/><Relationship Id="rId330" Type="http://schemas.openxmlformats.org/officeDocument/2006/relationships/hyperlink" Target="https://kdhnews.com/news/survivors-reflect-on-oct-luby-s-shooting/article_e2660bfc-d24a-5566-a65f-a67a9fe6365b.html" TargetMode="External"/><Relationship Id="rId568" Type="http://schemas.openxmlformats.org/officeDocument/2006/relationships/hyperlink" Target="https://www.klcc.org/post/klcc-special-documentary-thurston-high-school-shooting-20-years-later" TargetMode="External"/><Relationship Id="rId775" Type="http://schemas.openxmlformats.org/officeDocument/2006/relationships/hyperlink" Target="https://www.latimes.com/archives/la-xpm-2003-aug-28-na-shoot28-story.html" TargetMode="External"/><Relationship Id="rId982" Type="http://schemas.openxmlformats.org/officeDocument/2006/relationships/hyperlink" Target="https://www.nytimes.com/2008/02/15/us/15cnd-shoot.html" TargetMode="External"/><Relationship Id="rId1198" Type="http://schemas.openxmlformats.org/officeDocument/2006/relationships/hyperlink" Target="https://www.sfgate.com/crime/article/Oikos-shooting-victim-Tshering-Rinzing-Bhutia-3457013.php" TargetMode="External"/><Relationship Id="rId2011" Type="http://schemas.openxmlformats.org/officeDocument/2006/relationships/hyperlink" Target="https://www.npr.org/2019/09/02/756772750/texas-gunman-who-killed-7-had-been-fired-just-hours-before-shootings-reports" TargetMode="External"/><Relationship Id="rId428" Type="http://schemas.openxmlformats.org/officeDocument/2006/relationships/hyperlink" Target="https://www.nbcbayarea.com/news/local/101-california-shooting-20-years-later/1948118/" TargetMode="External"/><Relationship Id="rId635" Type="http://schemas.openxmlformats.org/officeDocument/2006/relationships/hyperlink" Target="https://www.findagrave.com/memorial/94886850/vadewattee-muralidhara" TargetMode="External"/><Relationship Id="rId842" Type="http://schemas.openxmlformats.org/officeDocument/2006/relationships/hyperlink" Target="https://www.myplainview.com/news/article/Gunman-kills-self-after-shooting-four-at-rural-8725414.php" TargetMode="External"/><Relationship Id="rId1058" Type="http://schemas.openxmlformats.org/officeDocument/2006/relationships/hyperlink" Target="https://www.nytimes.com/2009/04/06/nyregion/06victims.html" TargetMode="External"/><Relationship Id="rId1265" Type="http://schemas.openxmlformats.org/officeDocument/2006/relationships/hyperlink" Target="https://www.ctpost.com/news/article/Jack-Pinto-loved-sports-4122887.php" TargetMode="External"/><Relationship Id="rId1472" Type="http://schemas.openxmlformats.org/officeDocument/2006/relationships/hyperlink" Target="https://www.npr.org/sections/thetwo-way/2016/06/12/481785763/heres-what-we-know-about-the-orlando-shooting-victims" TargetMode="External"/><Relationship Id="rId702" Type="http://schemas.openxmlformats.org/officeDocument/2006/relationships/hyperlink" Target="https://www.gettyimages.com/detail/news-photo/brian-britney-walks-back-to-his-seat-after-placing-a-flower-news-photo/51972772?adppopup=true" TargetMode="External"/><Relationship Id="rId1125" Type="http://schemas.openxmlformats.org/officeDocument/2006/relationships/hyperlink" Target="https://lombardofuneralhome.com/tribute/details/3678/Tiffany-Wilhite/obituary.html" TargetMode="External"/><Relationship Id="rId1332" Type="http://schemas.openxmlformats.org/officeDocument/2006/relationships/hyperlink" Target="https://abc7.com/76775/" TargetMode="External"/><Relationship Id="rId1777" Type="http://schemas.openxmlformats.org/officeDocument/2006/relationships/hyperlink" Target="https://www.theguardian.com/us-news/2018/jan/28/five-dead-shooting-pennsylvania-car-wash-melcroft-saltlick-township" TargetMode="External"/><Relationship Id="rId1984" Type="http://schemas.openxmlformats.org/officeDocument/2006/relationships/hyperlink" Target="https://www.gofundme.com/f/teresa-sanchez-family-el-paso-shooting-victim" TargetMode="External"/><Relationship Id="rId69" Type="http://schemas.openxmlformats.org/officeDocument/2006/relationships/hyperlink" Target="https://www.nytimes.com/1977/02/15/archives/nazi-admirer-also-wounds-5-in-wild-attack-followed-by-a-siege-at.html" TargetMode="External"/><Relationship Id="rId1637" Type="http://schemas.openxmlformats.org/officeDocument/2006/relationships/hyperlink" Target="https://www.latimes.com/projects/la-na-las-vegas-shootings-victims-list-20171002/" TargetMode="External"/><Relationship Id="rId1844" Type="http://schemas.openxmlformats.org/officeDocument/2006/relationships/hyperlink" Target="https://www.bakersfield.com/ex-wife-in-mass-shooting-had-just-filed-for-child/article_8d7510c2-bc38-11e8-bc73-c3793e2ec681.html" TargetMode="External"/><Relationship Id="rId1704" Type="http://schemas.openxmlformats.org/officeDocument/2006/relationships/hyperlink" Target="https://people.com/crime/las-vegas-shooting-victims-names-photos-tributes/?slide=5951925" TargetMode="External"/><Relationship Id="rId285" Type="http://schemas.openxmlformats.org/officeDocument/2006/relationships/hyperlink" Target="https://www.nytimes.com/1989/01/18/us/five-children-killed-as-gunman-attacks-a-california-school.html" TargetMode="External"/><Relationship Id="rId1911" Type="http://schemas.openxmlformats.org/officeDocument/2006/relationships/hyperlink" Target="https://www.chicagotribune.com/suburbs/aurora-beacon-news/ct-met-cb-aurora-illinois-shooting-updates-20190216-story.html" TargetMode="External"/><Relationship Id="rId492" Type="http://schemas.openxmlformats.org/officeDocument/2006/relationships/hyperlink" Target="https://www.latimes.com/archives/la-xpm-1995-07-20-mn-26055-story.html" TargetMode="External"/><Relationship Id="rId797" Type="http://schemas.openxmlformats.org/officeDocument/2006/relationships/hyperlink" Target="https://chippewa.com/news/sixth-hunter-dies-from-shooting/article_d22e4fca-621a-5bd1-a457-83d0af47bf18.html" TargetMode="External"/><Relationship Id="rId145" Type="http://schemas.openxmlformats.org/officeDocument/2006/relationships/hyperlink" Target="https://www.washingtonpost.com/archive/politics/1983/12/15/after-murder-rampage-a-test-of-survival/08bb8578-7f36-4dde-b3ce-076fbcb61aff/?noredirect=on" TargetMode="External"/><Relationship Id="rId352" Type="http://schemas.openxmlformats.org/officeDocument/2006/relationships/hyperlink" Target="https://www.findagrave.com/memorial/1134585/john-raymond-romero" TargetMode="External"/><Relationship Id="rId1287" Type="http://schemas.openxmlformats.org/officeDocument/2006/relationships/hyperlink" Target="https://www.dailymail.co.uk/news/article-2339359/John-Zawahri-Santa-Monica-College-gunmans-mother-Randa-Abdou-threatened-father.html" TargetMode="External"/><Relationship Id="rId2033" Type="http://schemas.openxmlformats.org/officeDocument/2006/relationships/hyperlink" Target="https://www.nbcnews.com/news/us-news/victims-shooter-molson-coors-attack-identified-milwaukee-police-n1144551" TargetMode="External"/><Relationship Id="rId212" Type="http://schemas.openxmlformats.org/officeDocument/2006/relationships/hyperlink" Target="https://www.findagrave.com/memorial/51401423/judy-s_-denney" TargetMode="External"/><Relationship Id="rId657" Type="http://schemas.openxmlformats.org/officeDocument/2006/relationships/hyperlink" Target="https://www.khon2.com/xerox-murders/" TargetMode="External"/><Relationship Id="rId864" Type="http://schemas.openxmlformats.org/officeDocument/2006/relationships/hyperlink" Target="https://archive.seattletimes.com/archive/?date=20060718&amp;slug=huff18m" TargetMode="External"/><Relationship Id="rId1494" Type="http://schemas.openxmlformats.org/officeDocument/2006/relationships/hyperlink" Target="https://www.nytimes.com/interactive/projects/cp/us/orlando-shooting-victims/frank-hernandez" TargetMode="External"/><Relationship Id="rId1799" Type="http://schemas.openxmlformats.org/officeDocument/2006/relationships/hyperlink" Target="https://www.cnn.com/2018/02/15/us/florida-shooting-victims-school/index.html" TargetMode="External"/><Relationship Id="rId517" Type="http://schemas.openxmlformats.org/officeDocument/2006/relationships/hyperlink" Target="https://www.latimes.com/archives/la-xpm-1996-04-25-mn-62698-story.html" TargetMode="External"/><Relationship Id="rId724" Type="http://schemas.openxmlformats.org/officeDocument/2006/relationships/hyperlink" Target="https://www.findagrave.com/memorial/96899153" TargetMode="External"/><Relationship Id="rId931" Type="http://schemas.openxmlformats.org/officeDocument/2006/relationships/hyperlink" Target="https://www.remembrance.vt.edu/biographies/oneil.html" TargetMode="External"/><Relationship Id="rId1147" Type="http://schemas.openxmlformats.org/officeDocument/2006/relationships/hyperlink" Target="https://www.cnn.com/2013/06/10/us/arizona-safeway-shootings-fast-facts/index.html" TargetMode="External"/><Relationship Id="rId1354" Type="http://schemas.openxmlformats.org/officeDocument/2006/relationships/hyperlink" Target="https://www.nytimes.com/2015/06/20/us/charleston-shooting-dylann-storm-roof.html" TargetMode="External"/><Relationship Id="rId1561" Type="http://schemas.openxmlformats.org/officeDocument/2006/relationships/hyperlink" Target="https://www.latimes.com/nation/la-na-florida-airport-shooting-20180523-story.html" TargetMode="External"/><Relationship Id="rId60" Type="http://schemas.openxmlformats.org/officeDocument/2006/relationships/hyperlink" Target="https://www.latimes.com/socal/weekend/news/tn-wknd-et-0703-cal-state-fullerton-memorial-20160702-story.html" TargetMode="External"/><Relationship Id="rId1007" Type="http://schemas.openxmlformats.org/officeDocument/2006/relationships/hyperlink" Target="https://www.seattlepi.com/seattlenews/article/Isaac-Zamora-10781621.php" TargetMode="External"/><Relationship Id="rId1214" Type="http://schemas.openxmlformats.org/officeDocument/2006/relationships/hyperlink" Target="https://www.cbsnews.com/pictures/the-aurora-shooting-victims/10/" TargetMode="External"/><Relationship Id="rId1421" Type="http://schemas.openxmlformats.org/officeDocument/2006/relationships/hyperlink" Target="https://www.latimes.com/local/lanow/la-me-ln-san-bernardino-shooting-victims-htmlstory.html" TargetMode="External"/><Relationship Id="rId1659" Type="http://schemas.openxmlformats.org/officeDocument/2006/relationships/hyperlink" Target="https://www.latimes.com/projects/la-na-las-vegas-shootings-victims-list-20171002/" TargetMode="External"/><Relationship Id="rId1866" Type="http://schemas.openxmlformats.org/officeDocument/2006/relationships/hyperlink" Target="https://www.npr.org/2018/10/28/661530860/pittsburgh-synagogue-shooting-victims-identified" TargetMode="External"/><Relationship Id="rId1519" Type="http://schemas.openxmlformats.org/officeDocument/2006/relationships/hyperlink" Target="https://www.nytimes.com/interactive/projects/cp/us/orlando-shooting-victims/joel-rayon-paniagua" TargetMode="External"/><Relationship Id="rId1726" Type="http://schemas.openxmlformats.org/officeDocument/2006/relationships/hyperlink" Target="https://www.nbcnews.com/storyline/texas-church-shooting/texas-church-shooting-who-were-victims-sutherland-springs-massacre-n818356" TargetMode="External"/><Relationship Id="rId1933" Type="http://schemas.openxmlformats.org/officeDocument/2006/relationships/hyperlink" Target="https://www.wavy.com/virginia-beach-mass-shooting/victim-profile-joshua-hardy/" TargetMode="External"/><Relationship Id="rId18" Type="http://schemas.openxmlformats.org/officeDocument/2006/relationships/hyperlink" Target="https://www.nydailynews.com/news/crime/beauty-salon-massacre-article-1.273663" TargetMode="External"/><Relationship Id="rId167" Type="http://schemas.openxmlformats.org/officeDocument/2006/relationships/hyperlink" Target="https://www.nytimes.com/1984/06/30/us/6-die-in-dallas-club-as-enraged-man-fires-wildly.html" TargetMode="External"/><Relationship Id="rId374" Type="http://schemas.openxmlformats.org/officeDocument/2006/relationships/hyperlink" Target="https://www.nytimes.com/1991/11/15/us/ex-postal-worker-kills-3-and-wounds-6-in-michigan.html" TargetMode="External"/><Relationship Id="rId581" Type="http://schemas.openxmlformats.org/officeDocument/2006/relationships/hyperlink" Target="https://www.dispatch.com/photogallery/oh/20180419/news/419009991/PH/1" TargetMode="External"/><Relationship Id="rId234" Type="http://schemas.openxmlformats.org/officeDocument/2006/relationships/hyperlink" Target="https://books.google.com/books?id=Jv1pCwAAQBAJ&amp;pg=PA65&amp;lpg=PA65&amp;dq=%22patty+jean+husband%22+1986&amp;source=bl&amp;ots=5TrfeSufgJ&amp;sig=ACfU3U3iCH_mmRdwLuBKrR7OyV9iMuELGQ&amp;hl=en&amp;sa=X&amp;ved=2ahUKEwjwkLWi8aTpAhVLOs0KHRSpDJgQ6AEwCnoECAoQAQ" TargetMode="External"/><Relationship Id="rId679" Type="http://schemas.openxmlformats.org/officeDocument/2006/relationships/hyperlink" Target="https://www.dallasnews.com/news/2012/09/20/texas-executes-man-who-murdered-5-at-irving-car-wash-12-years-ago/" TargetMode="External"/><Relationship Id="rId886" Type="http://schemas.openxmlformats.org/officeDocument/2006/relationships/hyperlink" Target="https://www.deseret.com/2007/2/16/20001904/more-details-emerging-on-trolley-square-gunman-and-victims" TargetMode="External"/><Relationship Id="rId2" Type="http://schemas.openxmlformats.org/officeDocument/2006/relationships/hyperlink" Target="http://joscottcoe.com/blog/2016/04/30/charles-whitmans-wife-her-untold-story/" TargetMode="External"/><Relationship Id="rId441" Type="http://schemas.openxmlformats.org/officeDocument/2006/relationships/hyperlink" Target="https://www.latimes.com/archives/la-xpm-1993-10-15-mn-45964-story.html" TargetMode="External"/><Relationship Id="rId539" Type="http://schemas.openxmlformats.org/officeDocument/2006/relationships/hyperlink" Target="https://www.seattletimes.com/nation-world/families-still-mourning-from-bartow-mass-murder-20-years-ago/" TargetMode="External"/><Relationship Id="rId746" Type="http://schemas.openxmlformats.org/officeDocument/2006/relationships/hyperlink" Target="https://www.nytimes.com/2003/02/26/us/gunman-kills-four-at-alabama-job-agency.html" TargetMode="External"/><Relationship Id="rId1071" Type="http://schemas.openxmlformats.org/officeDocument/2006/relationships/hyperlink" Target="https://www.kwtx.com/content/news/10-minutes-of-gunfire-10-years-ago-left-13-dead-more-than-30-injured-564365711.html" TargetMode="External"/><Relationship Id="rId1169" Type="http://schemas.openxmlformats.org/officeDocument/2006/relationships/hyperlink" Target="http://www.ktvn.com/story/19478467/one-year-anniversary-of-ihop-shooting" TargetMode="External"/><Relationship Id="rId1376" Type="http://schemas.openxmlformats.org/officeDocument/2006/relationships/hyperlink" Target="https://www.nytimes.com/2015/10/10/us/roseburg-oregon-shooting-christopher-harper-mercer.html" TargetMode="External"/><Relationship Id="rId1583" Type="http://schemas.openxmlformats.org/officeDocument/2006/relationships/hyperlink" Target="https://www.wausaudailyherald.com/story/news/2018/03/21/wausau-shooting-victims-barclay-look-quirt-sann-weiland-remembered-how-they-lived/421375002/" TargetMode="External"/><Relationship Id="rId301" Type="http://schemas.openxmlformats.org/officeDocument/2006/relationships/hyperlink" Target="https://apnews.com/d8fdf15390c4d3e614ca83a0d49ab018" TargetMode="External"/><Relationship Id="rId953" Type="http://schemas.openxmlformats.org/officeDocument/2006/relationships/hyperlink" Target="https://www.remembrance.vt.edu/biographies/turner.html" TargetMode="External"/><Relationship Id="rId1029" Type="http://schemas.openxmlformats.org/officeDocument/2006/relationships/hyperlink" Target="https://www.pressconnects.com/story/news/local/2019/03/27/aca-american-civic-association-binghamton-shooting-victims-obituaries/3224600002/" TargetMode="External"/><Relationship Id="rId1236" Type="http://schemas.openxmlformats.org/officeDocument/2006/relationships/hyperlink" Target="http://www.startribune.com/andrew-engeldinger-lost-his-job-then-opened-fire-killing-5/171774461/" TargetMode="External"/><Relationship Id="rId1790" Type="http://schemas.openxmlformats.org/officeDocument/2006/relationships/hyperlink" Target="https://www.cnn.com/2018/02/15/us/florida-shooting-victims-school/index.html" TargetMode="External"/><Relationship Id="rId1888" Type="http://schemas.openxmlformats.org/officeDocument/2006/relationships/hyperlink" Target="https://losangeles.cbslocal.com/2019/11/07/1-year-anniversary-thousand-oaks-borderline-bar-shooting/" TargetMode="External"/><Relationship Id="rId82" Type="http://schemas.openxmlformats.org/officeDocument/2006/relationships/hyperlink" Target="https://www.kltv.com/story/12679815/exclusive-east-texans-remember-church-shooting/" TargetMode="External"/><Relationship Id="rId606" Type="http://schemas.openxmlformats.org/officeDocument/2006/relationships/hyperlink" Target="https://www.latimes.com/archives/la-xpm-1999-jun-05-mn-44403-story.html" TargetMode="External"/><Relationship Id="rId813" Type="http://schemas.openxmlformats.org/officeDocument/2006/relationships/hyperlink" Target="https://www.cnn.com/2013/10/31/us/atlanta-courthouse-shootings-fast-facts/index.html" TargetMode="External"/><Relationship Id="rId1443" Type="http://schemas.openxmlformats.org/officeDocument/2006/relationships/hyperlink" Target="https://www.nbcnews.com/news/us-news/michigan-uber-driver-jason-dalton-pleads-guilty-kalamazoo-shooting-spree-n955716" TargetMode="External"/><Relationship Id="rId1650" Type="http://schemas.openxmlformats.org/officeDocument/2006/relationships/hyperlink" Target="https://www.legacy.com/obituaries/name/rhonda-lerocque-obituary?pid=186868709" TargetMode="External"/><Relationship Id="rId1748" Type="http://schemas.openxmlformats.org/officeDocument/2006/relationships/hyperlink" Target="https://www.nbcnews.com/storyline/texas-church-shooting/texas-church-shooting-who-were-victims-sutherland-springs-massacre-n818356" TargetMode="External"/><Relationship Id="rId1303" Type="http://schemas.openxmlformats.org/officeDocument/2006/relationships/hyperlink" Target="https://www.dailymail.co.uk/news/article-2380010/Florida-gunman-Pedro-Vargas-kills-Florida-apartment-complex.html" TargetMode="External"/><Relationship Id="rId1510" Type="http://schemas.openxmlformats.org/officeDocument/2006/relationships/hyperlink" Target="https://www.npr.org/sections/thetwo-way/2016/06/12/481785763/heres-what-we-know-about-the-orlando-shooting-victims" TargetMode="External"/><Relationship Id="rId1955" Type="http://schemas.openxmlformats.org/officeDocument/2006/relationships/hyperlink" Target="https://www.tributearchive.com/obituaries/5645323/Leonardo-Campos-Jr" TargetMode="External"/><Relationship Id="rId1608" Type="http://schemas.openxmlformats.org/officeDocument/2006/relationships/hyperlink" Target="https://www.findagrave.com/memorial/183925263/jack-reginald-beaton" TargetMode="External"/><Relationship Id="rId1815" Type="http://schemas.openxmlformats.org/officeDocument/2006/relationships/hyperlink" Target="https://time.com/5283251/sante-fe-high-school-shooting-victims/" TargetMode="External"/><Relationship Id="rId189" Type="http://schemas.openxmlformats.org/officeDocument/2006/relationships/hyperlink" Target="https://archive.org/details/541408-james-oliver-huberty/page/n1/mode/2up" TargetMode="External"/><Relationship Id="rId396" Type="http://schemas.openxmlformats.org/officeDocument/2006/relationships/hyperlink" Target="https://schoolshooters.info/sites/default/files/California-v-Houston-2007.pdf" TargetMode="External"/><Relationship Id="rId256" Type="http://schemas.openxmlformats.org/officeDocument/2006/relationships/hyperlink" Target="https://www.leagle.com/decision/incaco20090702055" TargetMode="External"/><Relationship Id="rId463" Type="http://schemas.openxmlformats.org/officeDocument/2006/relationships/hyperlink" Target="https://www.findagrave.com/memorial/69092460/benjamin-j_-grant" TargetMode="External"/><Relationship Id="rId670" Type="http://schemas.openxmlformats.org/officeDocument/2006/relationships/hyperlink" Target="https://www.deseret.com/1999/12/31/19483268/5-killed-when-hotel-worker-goes-on-rampage-in-florida" TargetMode="External"/><Relationship Id="rId1093" Type="http://schemas.openxmlformats.org/officeDocument/2006/relationships/hyperlink" Target="https://www.latimes.com/local/lanow/la-me-ln-man-convicted-of-killing-four--20160315-story.html" TargetMode="External"/><Relationship Id="rId116" Type="http://schemas.openxmlformats.org/officeDocument/2006/relationships/hyperlink" Target="https://news.google.com/newspapers?id=JA4LAAAAIBAJ&amp;sjid=yVEDAAAAIBAJ&amp;pg=5061,3848480&amp;dq=john+parish" TargetMode="External"/><Relationship Id="rId323" Type="http://schemas.openxmlformats.org/officeDocument/2006/relationships/hyperlink" Target="https://www.latimes.com/archives/la-xpm-1990-06-19-mn-52-story.html" TargetMode="External"/><Relationship Id="rId530" Type="http://schemas.openxmlformats.org/officeDocument/2006/relationships/hyperlink" Target="https://www.aikenstandard.com/news/twenty-years-later-remembering-the-shooting-at-phelon-plant-in/article_4b5b7132-9983-11e7-b425-9f5c8ce770f8.html" TargetMode="External"/><Relationship Id="rId768" Type="http://schemas.openxmlformats.org/officeDocument/2006/relationships/hyperlink" Target="https://www.latimes.com/archives/la-xpm-2003-aug-28-na-shoot28-story.html" TargetMode="External"/><Relationship Id="rId975" Type="http://schemas.openxmlformats.org/officeDocument/2006/relationships/hyperlink" Target="https://www.stltoday.com/news/local/crime-and-courts/assailant-had-history-of-disputes-with-city/article_fc73d090-77da-11df-be3c-0017a4a78c22.html" TargetMode="External"/><Relationship Id="rId1160" Type="http://schemas.openxmlformats.org/officeDocument/2006/relationships/hyperlink" Target="https://www.beaconjournal.com/article/20120615/NEWS/306159412" TargetMode="External"/><Relationship Id="rId1398" Type="http://schemas.openxmlformats.org/officeDocument/2006/relationships/hyperlink" Target="https://www.dallasnews.com/news/crime/2017/11/08/killer-quickly-convicted-for-slaughtering-6-at-east-texas-campsite/" TargetMode="External"/><Relationship Id="rId2004" Type="http://schemas.openxmlformats.org/officeDocument/2006/relationships/hyperlink" Target="https://gunmemorial.org/2019/08/04/derrick-r-fudge" TargetMode="External"/><Relationship Id="rId628" Type="http://schemas.openxmlformats.org/officeDocument/2006/relationships/hyperlink" Target="https://www.nytimes.com/1999/07/31/us/shootings-in-atlanta-the-victims-drawn-to-their-deaths-by-lives-in-day-trading.html" TargetMode="External"/><Relationship Id="rId835" Type="http://schemas.openxmlformats.org/officeDocument/2006/relationships/hyperlink" Target="https://www.mprnews.org/story/2015/03/18/red-lake-victims" TargetMode="External"/><Relationship Id="rId1258" Type="http://schemas.openxmlformats.org/officeDocument/2006/relationships/hyperlink" Target="https://www.businessinsider.com/who-were-the-victims-of-the-sandy-hook-shooting-2017-12" TargetMode="External"/><Relationship Id="rId1465" Type="http://schemas.openxmlformats.org/officeDocument/2006/relationships/hyperlink" Target="https://www.nytimes.com/interactive/projects/cp/us/orlando-shooting-victims/alejandro-barrios-martinez" TargetMode="External"/><Relationship Id="rId1672" Type="http://schemas.openxmlformats.org/officeDocument/2006/relationships/hyperlink" Target="https://people.com/crime/las-vegas-shooting-victims-names-photos-tributes/?slide=5952618" TargetMode="External"/><Relationship Id="rId1020" Type="http://schemas.openxmlformats.org/officeDocument/2006/relationships/hyperlink" Target="https://www.fayobserver.com/photogallery/NC/20190329/NEWS/329009991/PH/1" TargetMode="External"/><Relationship Id="rId1118" Type="http://schemas.openxmlformats.org/officeDocument/2006/relationships/hyperlink" Target="https://buffalonews.com/2017/10/21/seven-years-city-grill-shootings-fifth-victim-dies/" TargetMode="External"/><Relationship Id="rId1325" Type="http://schemas.openxmlformats.org/officeDocument/2006/relationships/hyperlink" Target="https://abc7.com/76775/" TargetMode="External"/><Relationship Id="rId1532" Type="http://schemas.openxmlformats.org/officeDocument/2006/relationships/hyperlink" Target="https://www.npr.org/sections/thetwo-way/2016/06/12/481785763/heres-what-we-know-about-the-orlando-shooting-victims" TargetMode="External"/><Relationship Id="rId1977" Type="http://schemas.openxmlformats.org/officeDocument/2006/relationships/hyperlink" Target="https://www.nytimes.com/2019/08/04/us/el-paso-shooting-victims.html" TargetMode="External"/><Relationship Id="rId902" Type="http://schemas.openxmlformats.org/officeDocument/2006/relationships/hyperlink" Target="https://www.remembrance.vt.edu/biographies/couture-nowak.html" TargetMode="External"/><Relationship Id="rId1837" Type="http://schemas.openxmlformats.org/officeDocument/2006/relationships/hyperlink" Target="https://www.washingtonpost.com/local/public-safety/jarrod-ramos-admits-guilt-in-capital-gazette-shooting-that-killed-5/2019/10/28/39bcd226-f990-11e9-ac8c-8eced29ca6ef_story.html" TargetMode="External"/><Relationship Id="rId31" Type="http://schemas.openxmlformats.org/officeDocument/2006/relationships/hyperlink" Target="https://www.nydailynews.com/news/crime/experts-clueless-man-fatally-shot-50-years-article-1.3548519" TargetMode="External"/><Relationship Id="rId180" Type="http://schemas.openxmlformats.org/officeDocument/2006/relationships/hyperlink" Target="https://www.findagrave.com/memorial/39821562/matao-herrera" TargetMode="External"/><Relationship Id="rId278" Type="http://schemas.openxmlformats.org/officeDocument/2006/relationships/hyperlink" Target="https://www.the-dispatch.com/article/NC/20130712/news/605035055/LD" TargetMode="External"/><Relationship Id="rId1904" Type="http://schemas.openxmlformats.org/officeDocument/2006/relationships/hyperlink" Target="https://time.com/5513090/florida-bank-shooting-victims/" TargetMode="External"/><Relationship Id="rId485" Type="http://schemas.openxmlformats.org/officeDocument/2006/relationships/hyperlink" Target="https://www.nytimes.com/1995/04/04/us/6-die-in-texas-office-shooting.html" TargetMode="External"/><Relationship Id="rId692" Type="http://schemas.openxmlformats.org/officeDocument/2006/relationships/hyperlink" Target="http://old.post-gazette.com/obituaries/20000430pham4.asp" TargetMode="External"/><Relationship Id="rId138" Type="http://schemas.openxmlformats.org/officeDocument/2006/relationships/hyperlink" Target="https://www.washingtonpost.com/archive/politics/1983/12/15/after-murder-rampage-a-test-of-survival/08bb8578-7f36-4dde-b3ce-076fbcb61aff/?noredirect=on" TargetMode="External"/><Relationship Id="rId345" Type="http://schemas.openxmlformats.org/officeDocument/2006/relationships/hyperlink" Target="https://kdhnews.com/news/survivors-reflect-on-oct-luby-s-shooting/article_e2660bfc-d24a-5566-a65f-a67a9fe6365b.html" TargetMode="External"/><Relationship Id="rId552" Type="http://schemas.openxmlformats.org/officeDocument/2006/relationships/hyperlink" Target="https://www.latimes.com/archives/la-xpm-1998-mar-07-mn-26407-story.html" TargetMode="External"/><Relationship Id="rId997" Type="http://schemas.openxmlformats.org/officeDocument/2006/relationships/hyperlink" Target="https://lompocrecord.com/news/local/murder-charges-filed-in-salvage-yard-killings/article_49b0ac19-ca6c-5723-aa70-60fd86d7f70b.html" TargetMode="External"/><Relationship Id="rId1182" Type="http://schemas.openxmlformats.org/officeDocument/2006/relationships/hyperlink" Target="https://www.latimes.com/local/lanow/la-me-ln-scott-dekraai-sentencing-20170922-story.html" TargetMode="External"/><Relationship Id="rId2026" Type="http://schemas.openxmlformats.org/officeDocument/2006/relationships/hyperlink" Target="https://www.nytimes.com/2019/12/11/nyregion/jersey-city-victims.html" TargetMode="External"/><Relationship Id="rId205" Type="http://schemas.openxmlformats.org/officeDocument/2006/relationships/hyperlink" Target="https://apnews.com/c5d8552f56a7d24ddb1d7e57738d8242" TargetMode="External"/><Relationship Id="rId412" Type="http://schemas.openxmlformats.org/officeDocument/2006/relationships/hyperlink" Target="https://www.nytimes.com/1993/07/03/us/the-broker-who-killed-8-gunman-s-motives-a-puzzle.html" TargetMode="External"/><Relationship Id="rId857" Type="http://schemas.openxmlformats.org/officeDocument/2006/relationships/hyperlink" Target="https://alchetron.com/Capitol-Hill-massacre" TargetMode="External"/><Relationship Id="rId1042" Type="http://schemas.openxmlformats.org/officeDocument/2006/relationships/hyperlink" Target="https://www.nytimes.com/2009/04/12/nyregion/12binghamton.html" TargetMode="External"/><Relationship Id="rId1487" Type="http://schemas.openxmlformats.org/officeDocument/2006/relationships/hyperlink" Target="https://www.npr.org/sections/thetwo-way/2016/06/12/481785763/heres-what-we-know-about-the-orlando-shooting-victims" TargetMode="External"/><Relationship Id="rId1694" Type="http://schemas.openxmlformats.org/officeDocument/2006/relationships/hyperlink" Target="https://www.latimes.com/projects/la-na-las-vegas-shootings-victims-list-20171002/" TargetMode="External"/><Relationship Id="rId717" Type="http://schemas.openxmlformats.org/officeDocument/2006/relationships/hyperlink" Target="https://www.cbsnews.com/news/workers-grieve-after-rampage/" TargetMode="External"/><Relationship Id="rId924" Type="http://schemas.openxmlformats.org/officeDocument/2006/relationships/hyperlink" Target="https://www.npr.org/2007/04/18/9618673/remembering-virginia-techs-shooting-victims" TargetMode="External"/><Relationship Id="rId1347" Type="http://schemas.openxmlformats.org/officeDocument/2006/relationships/hyperlink" Target="https://www.cbsnews.com/news/charleston-church-shooting-victims-remembered-dylann-roof-trial/" TargetMode="External"/><Relationship Id="rId1554" Type="http://schemas.openxmlformats.org/officeDocument/2006/relationships/hyperlink" Target="https://mynorthwest.com/401336/cascade-mall-shooting-victims/" TargetMode="External"/><Relationship Id="rId1761" Type="http://schemas.openxmlformats.org/officeDocument/2006/relationships/hyperlink" Target="https://www.actionnewsnow.com/content/news/We-have-learned-the-names-of-the-victims-in-the-horrible-Tehama-County-tragedy-458110053.html" TargetMode="External"/><Relationship Id="rId1999" Type="http://schemas.openxmlformats.org/officeDocument/2006/relationships/hyperlink" Target="https://epgn.com/2019/08/15/news-analysis-dayton-shooter-s-sibling-continues-to-be-misgendered-by-media/" TargetMode="External"/><Relationship Id="rId53" Type="http://schemas.openxmlformats.org/officeDocument/2006/relationships/hyperlink" Target="https://books.google.com/books?id=8TgDAAAAMBAJ&amp;pg=PA47&amp;lpg=PA46&amp;focus=viewport&amp;dq=donald+lambright+%2B+shooting" TargetMode="External"/><Relationship Id="rId1207" Type="http://schemas.openxmlformats.org/officeDocument/2006/relationships/hyperlink" Target="https://www.seattletimes.com/seattle-news/gunman-a-life-full-of-rage-a-shocking-final-act/" TargetMode="External"/><Relationship Id="rId1414" Type="http://schemas.openxmlformats.org/officeDocument/2006/relationships/hyperlink" Target="https://www.latimes.com/local/lanow/la-me-ln-san-bernardino-shooting-victims-htmlstory.html" TargetMode="External"/><Relationship Id="rId1621" Type="http://schemas.openxmlformats.org/officeDocument/2006/relationships/hyperlink" Target="https://www.latimes.com/projects/la-na-las-vegas-shootings-victims-list-20171002/" TargetMode="External"/><Relationship Id="rId1859" Type="http://schemas.openxmlformats.org/officeDocument/2006/relationships/hyperlink" Target="https://www.timesofisrael.com/how-the-pittsburgh-synagogue-shooting-unfolded/" TargetMode="External"/><Relationship Id="rId1719" Type="http://schemas.openxmlformats.org/officeDocument/2006/relationships/hyperlink" Target="https://time.com/5064666/texas-church-shooting-holcombe-christmas/" TargetMode="External"/><Relationship Id="rId1926" Type="http://schemas.openxmlformats.org/officeDocument/2006/relationships/hyperlink" Target="https://www.npr.org/2019/06/01/728903700/what-we-know-about-the-virginia-beach-mass-shooting-victims" TargetMode="External"/><Relationship Id="rId367" Type="http://schemas.openxmlformats.org/officeDocument/2006/relationships/hyperlink" Target="https://www.washingtonpost.com/archive/politics/1991/11/11/gunman-kills-four-and-self-in-kentucky/c3111990-c0ec-48f8-9200-4fa837a1dba4/" TargetMode="External"/><Relationship Id="rId574" Type="http://schemas.openxmlformats.org/officeDocument/2006/relationships/hyperlink" Target="https://www.nytimes.com/1999/03/12/us/louisiana-shooting-kills-3-at-church-and-one-at-home.html" TargetMode="External"/><Relationship Id="rId227"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781" Type="http://schemas.openxmlformats.org/officeDocument/2006/relationships/hyperlink" Target="https://pendoreillerivervalley.com/four-killed-in-oldtown-shooting-p111-119.htm" TargetMode="External"/><Relationship Id="rId879" Type="http://schemas.openxmlformats.org/officeDocument/2006/relationships/hyperlink" Target="https://ashlandtidings.com/archive/amish-families-bury-shooting-victims" TargetMode="External"/><Relationship Id="rId434" Type="http://schemas.openxmlformats.org/officeDocument/2006/relationships/hyperlink" Target="https://www.nytimes.com/1993/08/08/us/soldier-kills-4-people-and-hurts-6-in-a-restaurant-in-north-carolina.html" TargetMode="External"/><Relationship Id="rId641" Type="http://schemas.openxmlformats.org/officeDocument/2006/relationships/hyperlink" Target="https://www.nytimes.com/1999/07/31/us/shootings-in-atlanta-the-overview-killer-confessed-in-a-letter-spiked-with-rage.html" TargetMode="External"/><Relationship Id="rId739" Type="http://schemas.openxmlformats.org/officeDocument/2006/relationships/hyperlink" Target="https://www.sfgate.com/news/article/Sacramento-rampage-5-shot-dead-Slayer-kills-2881164.php" TargetMode="External"/><Relationship Id="rId1064" Type="http://schemas.openxmlformats.org/officeDocument/2006/relationships/hyperlink" Target="https://www.nytimes.com/2009/04/06/nyregion/06victims.html" TargetMode="External"/><Relationship Id="rId1271" Type="http://schemas.openxmlformats.org/officeDocument/2006/relationships/hyperlink" Target="http://www.legacy.com/ns/benjamin-wheeler-obituary/161726386" TargetMode="External"/><Relationship Id="rId1369" Type="http://schemas.openxmlformats.org/officeDocument/2006/relationships/hyperlink" Target="https://www.theguardian.com/us-news/2015/oct/02/oregon-shooting-victims-identified-lucero-alcaraz-rebecka-carnes" TargetMode="External"/><Relationship Id="rId1576" Type="http://schemas.openxmlformats.org/officeDocument/2006/relationships/hyperlink" Target="https://www.clarionledger.com/story/news/local/2017/02/06/4-killed-yazoo-city-nightclub-shooting/97541814/" TargetMode="External"/><Relationship Id="rId501" Type="http://schemas.openxmlformats.org/officeDocument/2006/relationships/hyperlink" Target="https://apnews.com/cec11122f0b4c232725599b3ae3d7bcf" TargetMode="External"/><Relationship Id="rId946" Type="http://schemas.openxmlformats.org/officeDocument/2006/relationships/hyperlink" Target="https://www.npr.org/2007/04/18/9618673/remembering-virginia-techs-shooting-victims" TargetMode="External"/><Relationship Id="rId1131" Type="http://schemas.openxmlformats.org/officeDocument/2006/relationships/hyperlink" Target="https://www.theguardian.com/world/2010/sep/12/man-shot-wife-cooked-eggs" TargetMode="External"/><Relationship Id="rId1229" Type="http://schemas.openxmlformats.org/officeDocument/2006/relationships/hyperlink" Target="https://www.cnn.com/2012/08/06/us/wisconsin-temple-shooting/index.html" TargetMode="External"/><Relationship Id="rId1783" Type="http://schemas.openxmlformats.org/officeDocument/2006/relationships/hyperlink" Target="https://www.cnn.com/2018/02/15/us/florida-shooting-victims-school/index.html" TargetMode="External"/><Relationship Id="rId1990" Type="http://schemas.openxmlformats.org/officeDocument/2006/relationships/hyperlink" Target="https://www.cbsnews.com/news/el-paso-shooting-victims-what-we-know-about-the-victims-at-texas-walmart-mass-shooting-2019-08-05/" TargetMode="External"/><Relationship Id="rId75" Type="http://schemas.openxmlformats.org/officeDocument/2006/relationships/hyperlink" Target="https://fultonhistory.com/Newspaper%2011/Geneva%20NY%20Finger%20Lake%20Times/Geneva%20NY%20Finger%20Lake%20Times%201980%20Feb%201980/Geneva%20NY%20Finger%20Lake%20Times%201980%20Feb%201980%20-%200064.pdf" TargetMode="External"/><Relationship Id="rId806" Type="http://schemas.openxmlformats.org/officeDocument/2006/relationships/hyperlink" Target="https://www.rollingstone.com/music/music-news/behind-the-murder-of-dimebag-darrell-233541/" TargetMode="External"/><Relationship Id="rId1436" Type="http://schemas.openxmlformats.org/officeDocument/2006/relationships/hyperlink" Target="https://www.mlive.com/news/kalamazoo/2019/01/families-of-kalamazoo-uber-shooting-victims-prepare-for-trial.html" TargetMode="External"/><Relationship Id="rId1643" Type="http://schemas.openxmlformats.org/officeDocument/2006/relationships/hyperlink" Target="https://www.latimes.com/projects/la-na-las-vegas-shootings-victims-list-20171002/" TargetMode="External"/><Relationship Id="rId1850" Type="http://schemas.openxmlformats.org/officeDocument/2006/relationships/hyperlink" Target="https://www.ajc.com/news/national/bakersfield-mass-shooter-believed-wife-cheated-him-court-documents-say/Ibt8va2Lsdta0d6PYyLAKM/" TargetMode="External"/><Relationship Id="rId1503" Type="http://schemas.openxmlformats.org/officeDocument/2006/relationships/hyperlink" Target="https://www.npr.org/sections/thetwo-way/2016/06/12/481785763/heres-what-we-know-about-the-orlando-shooting-victims" TargetMode="External"/><Relationship Id="rId1710" Type="http://schemas.openxmlformats.org/officeDocument/2006/relationships/hyperlink" Target="https://www.azcentral.com/story/news/nation/2017/10/05/michelle-vo-las-vegas-shooting-victim/733803001/" TargetMode="External"/><Relationship Id="rId1948" Type="http://schemas.openxmlformats.org/officeDocument/2006/relationships/hyperlink" Target="https://time.com/5643420/victims-el-paso-shooting/" TargetMode="External"/><Relationship Id="rId291" Type="http://schemas.openxmlformats.org/officeDocument/2006/relationships/hyperlink" Target="http://clevelandschoolremembers.org/about/cleveland-school-incident/" TargetMode="External"/><Relationship Id="rId1808" Type="http://schemas.openxmlformats.org/officeDocument/2006/relationships/hyperlink" Target="https://www.nytimes.com/2018/04/23/us/waffle-house-victims.html" TargetMode="External"/><Relationship Id="rId151" Type="http://schemas.openxmlformats.org/officeDocument/2006/relationships/hyperlink" Target="https://www.newspapers.com/image/?clipping_id=2903989&amp;fcfToken=eyJhbGciOiJIUzI1NiIsInR5cCI6IkpXVCJ9.eyJmcmVlLXZpZXctaWQiOjE0MjU2MjI1LCJpYXQiOjE1ODg5NTU1OTUsImV4cCI6MTU4OTA0MTk5NX0.8c9JHj_PT6C_IuMQnVtqWD4qNYNw0WV3yr0UewHDEGg" TargetMode="External"/><Relationship Id="rId389" Type="http://schemas.openxmlformats.org/officeDocument/2006/relationships/hyperlink" Target="https://www.findagrave.com/memorial/27618286/judith-marion-davis" TargetMode="External"/><Relationship Id="rId596" Type="http://schemas.openxmlformats.org/officeDocument/2006/relationships/hyperlink" Target="https://www.dispatch.com/photogallery/oh/20180419/news/419009991/PH/1" TargetMode="External"/><Relationship Id="rId249" Type="http://schemas.openxmlformats.org/officeDocument/2006/relationships/hyperlink" Target="https://www.latimes.com/archives/la-xpm-1987-04-25-mn-990-story.html" TargetMode="External"/><Relationship Id="rId456" Type="http://schemas.openxmlformats.org/officeDocument/2006/relationships/hyperlink" Target="https://apnews.com/3d7d387169b7a94f5e6d1ec3c7cc00af" TargetMode="External"/><Relationship Id="rId663" Type="http://schemas.openxmlformats.org/officeDocument/2006/relationships/hyperlink" Target="https://www.khon2.com/xerox-murders/" TargetMode="External"/><Relationship Id="rId870" Type="http://schemas.openxmlformats.org/officeDocument/2006/relationships/hyperlink" Target="https://www.wafb.com/story/4931012/gunman-accused-of-church-shooting-makes-court-appearance/" TargetMode="External"/><Relationship Id="rId1086" Type="http://schemas.openxmlformats.org/officeDocument/2006/relationships/hyperlink" Target="https://www.spokesman.com/blogs/sirens/2010/dec/07/mixed-verdicts-police-shooting-trial/" TargetMode="External"/><Relationship Id="rId1293" Type="http://schemas.openxmlformats.org/officeDocument/2006/relationships/hyperlink" Target="https://www.nydailynews.com/news/national/short-article-1.1372515" TargetMode="External"/><Relationship Id="rId109" Type="http://schemas.openxmlformats.org/officeDocument/2006/relationships/hyperlink" Target="https://books.google.com/books?id=DIG_9oBssrAC&amp;pg=PA51&amp;lpg=PA51&amp;dq=charles+meach&amp;source=bl&amp;ots=fgCGwyJsod&amp;sig=ACfU3U2wd_Re8Gj71lbgOQtDv7Qpp7RMHg&amp;hl=en&amp;sa=X&amp;ved=2ahUKEwiNuf7X2q7pAhWQXM0KHVNsAJgQ6AEwEHoECBIQAQ" TargetMode="External"/><Relationship Id="rId316" Type="http://schemas.openxmlformats.org/officeDocument/2006/relationships/hyperlink" Target="https://www.upi.com/Archives/1990/06/27/Tenth-person-dies-in-GMAC-massacre/6157646459200/" TargetMode="External"/><Relationship Id="rId523" Type="http://schemas.openxmlformats.org/officeDocument/2006/relationships/hyperlink" Target="https://www.unionleader.com/news/politics/town_meeting/library-named-for-victim-of-spree-killer-carl-drega-to/article_cbefe7c1-aff8-5106-8244-0880382bfa58.html" TargetMode="External"/><Relationship Id="rId968" Type="http://schemas.openxmlformats.org/officeDocument/2006/relationships/hyperlink" Target="https://abcnews.go.com/GMA/story?id=3982722&amp;page=1" TargetMode="External"/><Relationship Id="rId1153" Type="http://schemas.openxmlformats.org/officeDocument/2006/relationships/hyperlink" Target="https://abcnews.go.com/US/ohio-gunman-hunted-child-shooting-rampage-girlfriend-lone/story?id=14255204" TargetMode="External"/><Relationship Id="rId1598" Type="http://schemas.openxmlformats.org/officeDocument/2006/relationships/hyperlink" Target="https://www.cbsnews.com/news/friend-orlando-victim-feared-workplace-shooter-would-seek-revenge-over-firing/" TargetMode="External"/><Relationship Id="rId97" Type="http://schemas.openxmlformats.org/officeDocument/2006/relationships/hyperlink" Target="https://www.upi.com/Archives/1981/08/20/The-closest-friend-in-the-Army-of-accused-sniper/1977367128000/" TargetMode="External"/><Relationship Id="rId730" Type="http://schemas.openxmlformats.org/officeDocument/2006/relationships/hyperlink" Target="https://www.denverpost.com/2015/04/03/insanity-ruling-angers-families-of-rifile-shooting-victims/" TargetMode="External"/><Relationship Id="rId828" Type="http://schemas.openxmlformats.org/officeDocument/2006/relationships/hyperlink" Target="https://www.findagrave.com/memorial/35558228/bart-j-oliver" TargetMode="External"/><Relationship Id="rId1013" Type="http://schemas.openxmlformats.org/officeDocument/2006/relationships/hyperlink" Target="https://www.goskagit.com/all_access/zamora-victims-settle-with-state-for-9-million/article_f87d09d2-40ea-507a-8719-7ca44e05e861.html" TargetMode="External"/><Relationship Id="rId1360" Type="http://schemas.openxmlformats.org/officeDocument/2006/relationships/hyperlink" Target="https://www.washingtonpost.com/graphics/national/chattanooga-tennessee-shooting-victims/" TargetMode="External"/><Relationship Id="rId1458" Type="http://schemas.openxmlformats.org/officeDocument/2006/relationships/hyperlink" Target="https://www.nytimes.com/interactive/projects/cp/us/orlando-shooting-victims/stanley-almodovar-iii" TargetMode="External"/><Relationship Id="rId1665" Type="http://schemas.openxmlformats.org/officeDocument/2006/relationships/hyperlink" Target="https://www.latimes.com/projects/la-na-las-vegas-shootings-victims-list-20171002/" TargetMode="External"/><Relationship Id="rId1872" Type="http://schemas.openxmlformats.org/officeDocument/2006/relationships/hyperlink" Target="https://www.npr.org/2018/10/28/661530860/pittsburgh-synagogue-shooting-victims-identified" TargetMode="External"/><Relationship Id="rId1220" Type="http://schemas.openxmlformats.org/officeDocument/2006/relationships/hyperlink" Target="https://www.denverpost.com/2012/07/19/family-identifies-27-year-old-victim-of-aurora-theater-shooting/" TargetMode="External"/><Relationship Id="rId1318" Type="http://schemas.openxmlformats.org/officeDocument/2006/relationships/hyperlink" Target="https://www.fallenheroesproject.org/united-states/gerald-l-read/" TargetMode="External"/><Relationship Id="rId1525" Type="http://schemas.openxmlformats.org/officeDocument/2006/relationships/hyperlink" Target="https://www.nytimes.com/interactive/projects/cp/us/orlando-shooting-victims/yilmary-rodriguez-solivan" TargetMode="External"/><Relationship Id="rId1732" Type="http://schemas.openxmlformats.org/officeDocument/2006/relationships/hyperlink" Target="https://www.nbcnews.com/storyline/texas-church-shooting/texas-church-shooting-who-were-victims-sutherland-springs-massacre-n818356" TargetMode="External"/><Relationship Id="rId24" Type="http://schemas.openxmlformats.org/officeDocument/2006/relationships/hyperlink" Target="https://www.nydailynews.com/news/crime/beauty-salon-massacre-article-1.273663" TargetMode="External"/><Relationship Id="rId173" Type="http://schemas.openxmlformats.org/officeDocument/2006/relationships/hyperlink" Target="https://www.findagrave.com/virtual-cemetery/459281" TargetMode="External"/><Relationship Id="rId380" Type="http://schemas.openxmlformats.org/officeDocument/2006/relationships/hyperlink" Target="https://books.google.com/books?id=FdtZf_Ns9QwC&amp;pg=PA104&amp;lpg=PA104&amp;dq=thomas+mcilvane&amp;source=bl&amp;ots=jqDpBPxU7N&amp;sig=ACfU3U3qhlxo37tCa8CehCmUlasU5Txe5A&amp;hl=en&amp;sa=X&amp;ved=2ahUKEwia9bD7xczkAhUOEqwKHbX8Dko4ChDoATACegQIBxAB" TargetMode="External"/><Relationship Id="rId240" Type="http://schemas.openxmlformats.org/officeDocument/2006/relationships/hyperlink" Target="https://books.google.com/books?id=Jv1pCwAAQBAJ&amp;pg=PA65&amp;lpg=PA65&amp;dq=%22patty+jean+husband%22+1986&amp;source=bl&amp;ots=5TrfeSufgJ&amp;sig=ACfU3U3iCH_mmRdwLuBKrR7OyV9iMuELGQ&amp;hl=en&amp;sa=X&amp;ved=2ahUKEwjwkLWi8aTpAhVLOs0KHRSpDJgQ6AEwCnoECAoQAQ" TargetMode="External"/><Relationship Id="rId478" Type="http://schemas.openxmlformats.org/officeDocument/2006/relationships/hyperlink" Target="https://apnews.com/d0126666cf574fca9f1e9c109cb4c923" TargetMode="External"/><Relationship Id="rId685" Type="http://schemas.openxmlformats.org/officeDocument/2006/relationships/hyperlink" Target="https://old.post-gazette.com/obituaries/20000430gordon3.asp" TargetMode="External"/><Relationship Id="rId892" Type="http://schemas.openxmlformats.org/officeDocument/2006/relationships/hyperlink" Target="http://www.nbcnews.com/id/18143312/ns/us_news-crime_and_courts/t/profiles-victims-virginia-tech-massacre/" TargetMode="External"/><Relationship Id="rId100" Type="http://schemas.openxmlformats.org/officeDocument/2006/relationships/hyperlink" Target="https://www.nytimes.com/1981/05/09/us/four-slain-and-20-wounded-in-bar-as-oregon-man-shoots-into-crowd.html" TargetMode="External"/><Relationship Id="rId338" Type="http://schemas.openxmlformats.org/officeDocument/2006/relationships/hyperlink" Target="https://kdhnews.com/news/survivors-reflect-on-oct-luby-s-shooting/article_e2660bfc-d24a-5566-a65f-a67a9fe6365b.html" TargetMode="External"/><Relationship Id="rId545" Type="http://schemas.openxmlformats.org/officeDocument/2006/relationships/hyperlink" Target="https://www.nytimes.com/1997/12/20/us/dismissed-worker-kills-4-and-then-is-slain.html?mcubz=3" TargetMode="External"/><Relationship Id="rId752" Type="http://schemas.openxmlformats.org/officeDocument/2006/relationships/hyperlink" Target="https://www.gainesville.com/news/20030226/four-dead-in-ala-shooting-at-job-agency" TargetMode="External"/><Relationship Id="rId1175" Type="http://schemas.openxmlformats.org/officeDocument/2006/relationships/hyperlink" Target="https://www.latimes.com/local/lanow/la-me-ln-scott-dekraai-sentencing-20170922-story.html" TargetMode="External"/><Relationship Id="rId1382" Type="http://schemas.openxmlformats.org/officeDocument/2006/relationships/hyperlink" Target="https://www.theguardian.com/us-news/2015/oct/04/oregon-shooting-one-of-victims-was-british-mother-attending-college" TargetMode="External"/><Relationship Id="rId2019" Type="http://schemas.openxmlformats.org/officeDocument/2006/relationships/hyperlink" Target="https://www.nbc12.com/2019/09/03/victims-odessa-mass-shooting/" TargetMode="External"/><Relationship Id="rId405" Type="http://schemas.openxmlformats.org/officeDocument/2006/relationships/hyperlink" Target="https://www.latimes.com/archives/la-xpm-1992-11-09-mn-151-story.html" TargetMode="External"/><Relationship Id="rId612" Type="http://schemas.openxmlformats.org/officeDocument/2006/relationships/hyperlink" Target="https://www.findagrave.com/memorial/35744518/dennis-troy-sargent" TargetMode="External"/><Relationship Id="rId1035" Type="http://schemas.openxmlformats.org/officeDocument/2006/relationships/hyperlink" Target="https://www.pressconnects.com/story/news/local/2019/03/27/aca-american-civic-association-binghamton-shooting-victims-obituaries/3224600002/" TargetMode="External"/><Relationship Id="rId1242" Type="http://schemas.openxmlformats.org/officeDocument/2006/relationships/hyperlink" Target="https://www.businessinsider.com/who-were-the-victims-of-the-sandy-hook-shooting-2017-12" TargetMode="External"/><Relationship Id="rId1687" Type="http://schemas.openxmlformats.org/officeDocument/2006/relationships/hyperlink" Target="https://people.com/crime/las-vegas-shooting-victims-names-photos-tributes/?slide=5953106" TargetMode="External"/><Relationship Id="rId1894" Type="http://schemas.openxmlformats.org/officeDocument/2006/relationships/hyperlink" Target="https://heavy.com/news/2018/11/mark-meza-jr/" TargetMode="External"/><Relationship Id="rId917" Type="http://schemas.openxmlformats.org/officeDocument/2006/relationships/hyperlink" Target="https://www.remembrance.vt.edu/biographies/lane.html" TargetMode="External"/><Relationship Id="rId1102" Type="http://schemas.openxmlformats.org/officeDocument/2006/relationships/hyperlink" Target="https://www.fox61.com/article/news/local/outreach/awareness-months/vigil-marks-anniversary-of-deadly-workplace-shooting/520-9889e6ab-3d7a-43c1-862d-40160c55a573" TargetMode="External"/><Relationship Id="rId1547" Type="http://schemas.openxmlformats.org/officeDocument/2006/relationships/hyperlink" Target="https://www.washingtonpost.com/news/post-nation/wp/2016/07/08/newly-married-transit-officer-brent-thompson-mourned-after-shooting-in-dallas/" TargetMode="External"/><Relationship Id="rId1754" Type="http://schemas.openxmlformats.org/officeDocument/2006/relationships/hyperlink" Target="https://nypost.com/2017/11/06/texas-shooter-killed-wifes-grandmother-in-massacre/" TargetMode="External"/><Relationship Id="rId1961" Type="http://schemas.openxmlformats.org/officeDocument/2006/relationships/hyperlink" Target="https://www.nytimes.com/2019/08/04/us/el-paso-shooting-victims.html" TargetMode="External"/><Relationship Id="rId46" Type="http://schemas.openxmlformats.org/officeDocument/2006/relationships/hyperlink" Target="https://news.google.com/newspapers?id=ZRgMAAAAIBAJ&amp;sjid=rlwDAAAAIBAJ&amp;pg=6550,4991780&amp;dq=&amp;hl=en" TargetMode="External"/><Relationship Id="rId1407" Type="http://schemas.openxmlformats.org/officeDocument/2006/relationships/hyperlink" Target="https://www.latimes.com/local/lanow/la-me-ln-san-bernardino-shooting-victims-htmlstory.html" TargetMode="External"/><Relationship Id="rId1614" Type="http://schemas.openxmlformats.org/officeDocument/2006/relationships/hyperlink" Target="https://people.com/crime/las-vegas-shooting-victims-names-photos-tributes/?slide=5947623" TargetMode="External"/><Relationship Id="rId1821" Type="http://schemas.openxmlformats.org/officeDocument/2006/relationships/hyperlink" Target="https://www.houstonchronicle.com/news/houston-texas/houston/article/Ten-months-after-Santa-Fe-High-shooting-families-13685169.php" TargetMode="External"/><Relationship Id="rId195" Type="http://schemas.openxmlformats.org/officeDocument/2006/relationships/hyperlink" Target="https://www.findagrave.com/memorial/39822605/laurence-herman-versluis" TargetMode="External"/><Relationship Id="rId1919" Type="http://schemas.openxmlformats.org/officeDocument/2006/relationships/hyperlink" Target="https://www.washingtonpost.com/nation/2019/02/16/man-kills-five-warehouse-shooting-spree-shortly-after-being-fired-illinois-police-say/" TargetMode="External"/><Relationship Id="rId262" Type="http://schemas.openxmlformats.org/officeDocument/2006/relationships/hyperlink" Target="https://www.washingtonpost.com/archive/politics/1988/02/18/sudden-death-in-sunnyvale/4f50e5d7-0804-4a56-a2af-ced693c3b577/" TargetMode="External"/><Relationship Id="rId567" Type="http://schemas.openxmlformats.org/officeDocument/2006/relationships/hyperlink" Target="https://www.registerguard.com/news/20180519/remembering-victims-of-may-1998-thurston-shooting" TargetMode="External"/><Relationship Id="rId1197" Type="http://schemas.openxmlformats.org/officeDocument/2006/relationships/hyperlink" Target="https://www.wibw.com/home/headlines/Authorities_Name_6_Of_7_Murder_Victims_In_Oakland_College_Shooting_146157145.html" TargetMode="External"/><Relationship Id="rId122" Type="http://schemas.openxmlformats.org/officeDocument/2006/relationships/hyperlink" Target="https://www.nytimes.com/1982/08/21/us/gunman-in-miami-kills-8-in-rampage.html" TargetMode="External"/><Relationship Id="rId774" Type="http://schemas.openxmlformats.org/officeDocument/2006/relationships/hyperlink" Target="https://www.latimes.com/archives/la-xpm-2003-aug-28-na-shoot28-story.html" TargetMode="External"/><Relationship Id="rId981" Type="http://schemas.openxmlformats.org/officeDocument/2006/relationships/hyperlink" Target="https://www.stltoday.com/news/local/crime-and-courts/assailant-had-history-of-disputes-with-city/article_fc73d090-77da-11df-be3c-0017a4a78c22.html" TargetMode="External"/><Relationship Id="rId1057" Type="http://schemas.openxmlformats.org/officeDocument/2006/relationships/hyperlink" Target="https://www.nytimes.com/2009/04/12/nyregion/12binghamton.html" TargetMode="External"/><Relationship Id="rId2010" Type="http://schemas.openxmlformats.org/officeDocument/2006/relationships/hyperlink" Target="https://www.nytimes.com/2019/08/05/us/dayton-shooting-victims.html" TargetMode="External"/><Relationship Id="rId427" Type="http://schemas.openxmlformats.org/officeDocument/2006/relationships/hyperlink" Target="https://www.nytimes.com/1993/07/03/us/the-broker-who-killed-8-gunman-s-motives-a-puzzle.html" TargetMode="External"/><Relationship Id="rId634" Type="http://schemas.openxmlformats.org/officeDocument/2006/relationships/hyperlink" Target="https://www.nytimes.com/1999/07/31/us/shootings-in-atlanta-the-victims-drawn-to-their-deaths-by-lives-in-day-trading.html" TargetMode="External"/><Relationship Id="rId841" Type="http://schemas.openxmlformats.org/officeDocument/2006/relationships/hyperlink" Target="https://www.chron.com/news/houston-texas/article/Gunman-kills-himself-after-deadly-rampage-1916640.php" TargetMode="External"/><Relationship Id="rId1264" Type="http://schemas.openxmlformats.org/officeDocument/2006/relationships/hyperlink" Target="https://www.businessinsider.com/who-were-the-victims-of-the-sandy-hook-shooting-2017-12" TargetMode="External"/><Relationship Id="rId1471" Type="http://schemas.openxmlformats.org/officeDocument/2006/relationships/hyperlink" Target="https://www.nytimes.com/interactive/projects/cp/us/orlando-shooting-victims/jonathan-antonio-camuy-vega" TargetMode="External"/><Relationship Id="rId1569" Type="http://schemas.openxmlformats.org/officeDocument/2006/relationships/hyperlink" Target="https://www.latimes.com/nation/la-na-florida-airport-shooting-20180523-story.html" TargetMode="External"/><Relationship Id="rId701" Type="http://schemas.openxmlformats.org/officeDocument/2006/relationships/hyperlink" Target="https://www.nytimes.com/2000/12/28/us/a-deadly-turn-to-a-normal-work-day.html" TargetMode="External"/><Relationship Id="rId939" Type="http://schemas.openxmlformats.org/officeDocument/2006/relationships/hyperlink" Target="https://www.remembrance.vt.edu/biographies/peterson.html" TargetMode="External"/><Relationship Id="rId1124" Type="http://schemas.openxmlformats.org/officeDocument/2006/relationships/hyperlink" Target="https://buffalonews.com/2017/10/21/seven-years-city-grill-shootings-fifth-victim-dies/" TargetMode="External"/><Relationship Id="rId1331" Type="http://schemas.openxmlformats.org/officeDocument/2006/relationships/hyperlink" Target="https://abc7.com/76775/" TargetMode="External"/><Relationship Id="rId1776" Type="http://schemas.openxmlformats.org/officeDocument/2006/relationships/hyperlink" Target="https://www.foxnews.com/us/pennsylvania-car-wash-alleged-gunman-had-run-in-with-target-before-deadly-shooting-family-says" TargetMode="External"/><Relationship Id="rId1983" Type="http://schemas.openxmlformats.org/officeDocument/2006/relationships/hyperlink" Target="https://www.cnn.com/2019/08/04/us/el-paso-shooting-victims/index.html" TargetMode="External"/><Relationship Id="rId68" Type="http://schemas.openxmlformats.org/officeDocument/2006/relationships/hyperlink" Target="https://www.latimes.com/socal/weekend/news/tn-wknd-et-0703-cal-state-fullerton-memorial-20160702-story.html" TargetMode="External"/><Relationship Id="rId1429" Type="http://schemas.openxmlformats.org/officeDocument/2006/relationships/hyperlink" Target="https://www.washingtonpost.com/news/post-nation/wp/2016/12/02/one-year-after-san-bernardino-police-offer-a-possible-motive-as-questions-still-linger/" TargetMode="External"/><Relationship Id="rId1636" Type="http://schemas.openxmlformats.org/officeDocument/2006/relationships/hyperlink" Target="https://www.legacy.com/obituaries/pe/obituary.aspx?n=angela-christine-gomez-angie&amp;pid=186947064&amp;fhid=2518" TargetMode="External"/><Relationship Id="rId1843" Type="http://schemas.openxmlformats.org/officeDocument/2006/relationships/hyperlink" Target="https://www.fresnobee.com/news/local/crime/article218331035.html" TargetMode="External"/><Relationship Id="rId1703" Type="http://schemas.openxmlformats.org/officeDocument/2006/relationships/hyperlink" Target="https://www.latimes.com/projects/la-na-las-vegas-shootings-victims-list-20171002/" TargetMode="External"/><Relationship Id="rId1910" Type="http://schemas.openxmlformats.org/officeDocument/2006/relationships/hyperlink" Target="https://www.washingtonpost.com/nation/2019/02/16/man-kills-five-warehouse-shooting-spree-shortly-after-being-fired-illinois-police-say/" TargetMode="External"/><Relationship Id="rId284" Type="http://schemas.openxmlformats.org/officeDocument/2006/relationships/hyperlink" Target="https://www.odmp.org/officer/11612-police-officer-irma-c-ruiz" TargetMode="External"/><Relationship Id="rId491" Type="http://schemas.openxmlformats.org/officeDocument/2006/relationships/hyperlink" Target="https://murderpedia.org/male.S/s/simpson-james-daniel.htm" TargetMode="External"/><Relationship Id="rId144" Type="http://schemas.openxmlformats.org/officeDocument/2006/relationships/hyperlink" Target="https://www.findagrave.com/memorial/130487647/charles-timothy-nash" TargetMode="External"/><Relationship Id="rId589" Type="http://schemas.openxmlformats.org/officeDocument/2006/relationships/hyperlink" Target="https://www.dispatch.com/photogallery/oh/20180419/news/419009991/PH/1" TargetMode="External"/><Relationship Id="rId796" Type="http://schemas.openxmlformats.org/officeDocument/2006/relationships/hyperlink" Target="http://news.minnesota.publicradio.org/features/2004/11/22_kelleherb_huntershooting/" TargetMode="External"/><Relationship Id="rId351" Type="http://schemas.openxmlformats.org/officeDocument/2006/relationships/hyperlink" Target="https://apnews.com/178201fa52edf751489ca0bdf15ca772" TargetMode="External"/><Relationship Id="rId449" Type="http://schemas.openxmlformats.org/officeDocument/2006/relationships/hyperlink" Target="https://www.latimes.com/archives/la-xpm-1993-12-04-me-63798-story.html" TargetMode="External"/><Relationship Id="rId656" Type="http://schemas.openxmlformats.org/officeDocument/2006/relationships/hyperlink" Target="https://www.latimes.com/archives/la-xpm-1999-nov-03-mn-29234-story.html" TargetMode="External"/><Relationship Id="rId863" Type="http://schemas.openxmlformats.org/officeDocument/2006/relationships/hyperlink" Target="https://www.seattlepi.com/local/article/Suzanne-Thorne-15-A-gregarious-teen-who-liked-1199571.php" TargetMode="External"/><Relationship Id="rId1079" Type="http://schemas.openxmlformats.org/officeDocument/2006/relationships/hyperlink" Target="https://www.kwtx.com/content/news/10-minutes-of-gunfire-10-years-ago-left-13-dead-more-than-30-injured-564365711.html" TargetMode="External"/><Relationship Id="rId1286" Type="http://schemas.openxmlformats.org/officeDocument/2006/relationships/hyperlink" Target="https://www.cnn.com/2013/06/09/justice/california-college-gunman/index.html" TargetMode="External"/><Relationship Id="rId1493" Type="http://schemas.openxmlformats.org/officeDocument/2006/relationships/hyperlink" Target="https://www.npr.org/sections/thetwo-way/2016/06/12/481785763/heres-what-we-know-about-the-orlando-shooting-victims" TargetMode="External"/><Relationship Id="rId2032" Type="http://schemas.openxmlformats.org/officeDocument/2006/relationships/hyperlink" Target="https://abcnews.go.com/US/molson-coors-reopens-increased-security-mass-shooting-killed/story?id=69333618" TargetMode="External"/><Relationship Id="rId211" Type="http://schemas.openxmlformats.org/officeDocument/2006/relationships/hyperlink" Target="https://www.nytimes.com/1986/08/21/us/mail-carrier-kills-14-in-post-office-then-himself.html" TargetMode="External"/><Relationship Id="rId309" Type="http://schemas.openxmlformats.org/officeDocument/2006/relationships/hyperlink" Target="https://apnews.com/d8fdf15390c4d3e614ca83a0d49ab018" TargetMode="External"/><Relationship Id="rId516" Type="http://schemas.openxmlformats.org/officeDocument/2006/relationships/hyperlink" Target="https://www.wlbt.com/story/18995724/new-book-details-shooting-rampage-at-jackson-fire-station/" TargetMode="External"/><Relationship Id="rId1146" Type="http://schemas.openxmlformats.org/officeDocument/2006/relationships/hyperlink" Target="https://tucson.com/news/local/watch-moment-of-silence-tonight-on-house-floor-to-honor/article_0f7c3e24-136e-11e9-9289-93a495a6085b.html" TargetMode="External"/><Relationship Id="rId1798" Type="http://schemas.openxmlformats.org/officeDocument/2006/relationships/hyperlink" Target="https://www.cnn.com/2018/02/15/us/florida-shooting-victims-school/index.html" TargetMode="External"/><Relationship Id="rId723" Type="http://schemas.openxmlformats.org/officeDocument/2006/relationships/hyperlink" Target="https://www.cbsnews.com/news/workers-grieve-after-rampage/" TargetMode="External"/><Relationship Id="rId930" Type="http://schemas.openxmlformats.org/officeDocument/2006/relationships/hyperlink" Target="https://www.npr.org/2007/04/18/9618673/remembering-virginia-techs-shooting-victims" TargetMode="External"/><Relationship Id="rId1006" Type="http://schemas.openxmlformats.org/officeDocument/2006/relationships/hyperlink" Target="https://www.seattlepi.com/seattlenews/article/Isaac-Zamora-10781621.php" TargetMode="External"/><Relationship Id="rId1353" Type="http://schemas.openxmlformats.org/officeDocument/2006/relationships/hyperlink" Target="https://www.cbsnews.com/news/charleston-church-shooting-victims-remembered-dylann-roof-trial/" TargetMode="External"/><Relationship Id="rId1560" Type="http://schemas.openxmlformats.org/officeDocument/2006/relationships/hyperlink" Target="https://www.seattletimes.com/seattle-news/crime/burlington-mall-shooting-victims-officially-identified/" TargetMode="External"/><Relationship Id="rId1658" Type="http://schemas.openxmlformats.org/officeDocument/2006/relationships/hyperlink" Target="https://www.findagrave.com/memorial/183937341/calla_marie-medig" TargetMode="External"/><Relationship Id="rId1865" Type="http://schemas.openxmlformats.org/officeDocument/2006/relationships/hyperlink" Target="https://www.timesofisrael.com/how-the-pittsburgh-synagogue-shooting-unfolded/" TargetMode="External"/><Relationship Id="rId1213" Type="http://schemas.openxmlformats.org/officeDocument/2006/relationships/hyperlink" Target="https://www.cbsnews.com/pictures/the-aurora-shooting-victims/13/" TargetMode="External"/><Relationship Id="rId1420" Type="http://schemas.openxmlformats.org/officeDocument/2006/relationships/hyperlink" Target="https://www.washingtonpost.com/news/post-nation/wp/2016/12/02/one-year-after-san-bernardino-police-offer-a-possible-motive-as-questions-still-linger/" TargetMode="External"/><Relationship Id="rId1518" Type="http://schemas.openxmlformats.org/officeDocument/2006/relationships/hyperlink" Target="https://www.npr.org/sections/thetwo-way/2016/06/12/481785763/heres-what-we-know-about-the-orlando-shooting-victims" TargetMode="External"/><Relationship Id="rId1725" Type="http://schemas.openxmlformats.org/officeDocument/2006/relationships/hyperlink" Target="https://www.ksat.com/news/2017/11/08/karla-plain-holcombe/" TargetMode="External"/><Relationship Id="rId1932" Type="http://schemas.openxmlformats.org/officeDocument/2006/relationships/hyperlink" Target="https://www.npr.org/2019/06/01/728903700/what-we-know-about-the-virginia-beach-mass-shooting-victims" TargetMode="External"/><Relationship Id="rId17" Type="http://schemas.openxmlformats.org/officeDocument/2006/relationships/hyperlink" Target="https://www.newspapers.com/image/?clipping_id=3420707&amp;fcfToken=eyJhbGciOiJIUzI1NiIsInR5cCI6IkpXVCJ9.eyJmcmVlLXZpZXctaWQiOjE5NTc1MDI1LCJpYXQiOjE1ODIyMTQyMjIsImV4cCI6MTU4MjMwMDYyMn0.zDflTsX9-OOvCv1GkyBlfCYAJG_vqITVra0HZfGKX94" TargetMode="External"/><Relationship Id="rId166" Type="http://schemas.openxmlformats.org/officeDocument/2006/relationships/hyperlink" Target="https://www.nytimes.com/1984/06/30/us/6-die-in-dallas-club-as-enraged-man-fires-wildly.html" TargetMode="External"/><Relationship Id="rId373" Type="http://schemas.openxmlformats.org/officeDocument/2006/relationships/hyperlink" Target="https://www.findagrave.com/memorial/51444428/mary-ellen-benincasa" TargetMode="External"/><Relationship Id="rId580" Type="http://schemas.openxmlformats.org/officeDocument/2006/relationships/hyperlink" Target="https://kfor.com/news/15th-anniversary-of-tragic-columbine-high-school-shooting-heres-the-background/" TargetMode="External"/><Relationship Id="rId1" Type="http://schemas.openxmlformats.org/officeDocument/2006/relationships/hyperlink" Target="http://joscottcoe.com/blog/2016/04/30/charles-whitmans-wife-her-untold-story/" TargetMode="External"/><Relationship Id="rId233"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40" Type="http://schemas.openxmlformats.org/officeDocument/2006/relationships/hyperlink" Target="https://www.latimes.com/archives/la-xpm-1993-10-15-mn-45964-story.html" TargetMode="External"/><Relationship Id="rId678" Type="http://schemas.openxmlformats.org/officeDocument/2006/relationships/hyperlink" Target="https://murderpedia.org/male.H/h/harris-robert-wayne-photos.htm" TargetMode="External"/><Relationship Id="rId885" Type="http://schemas.openxmlformats.org/officeDocument/2006/relationships/hyperlink" Target="https://www.sltrib.com/news/crime/2017/02/14/vigil-remembers-trolley-square-shooting-victims-10-years-after-attacks/" TargetMode="External"/><Relationship Id="rId1070" Type="http://schemas.openxmlformats.org/officeDocument/2006/relationships/hyperlink" Target="https://www.wxii12.com/article/4-victims-in-mount-airy-shooting-related-police-say/2036349" TargetMode="External"/><Relationship Id="rId300" Type="http://schemas.openxmlformats.org/officeDocument/2006/relationships/hyperlink" Target="https://www.courier-journal.com/in-depth/news/local/2019/09/12/louisvilles-standard-gravure-shooting-anniversary-all-victims/2284348001/" TargetMode="External"/><Relationship Id="rId538" Type="http://schemas.openxmlformats.org/officeDocument/2006/relationships/hyperlink" Target="https://www.theledger.com/news/20170512/fla-supreme-court-sets-aside-death-sentence-for-mass-murderer-nelson-serrano-in-bartow-slayings" TargetMode="External"/><Relationship Id="rId745" Type="http://schemas.openxmlformats.org/officeDocument/2006/relationships/hyperlink" Target="https://www.chicagotribune.com/news/ct-xpm-2002-03-23-0203230127-story.html" TargetMode="External"/><Relationship Id="rId952" Type="http://schemas.openxmlformats.org/officeDocument/2006/relationships/hyperlink" Target="http://www.nbcnews.com/id/18143312/ns/us_news-crime_and_courts/t/profiles-victims-virginia-tech-massacre/" TargetMode="External"/><Relationship Id="rId1168" Type="http://schemas.openxmlformats.org/officeDocument/2006/relationships/hyperlink" Target="https://www.latimes.com/world/la-xpm-2011-sep-08-la-na-carson-shooting-20110908-story.html" TargetMode="External"/><Relationship Id="rId1375" Type="http://schemas.openxmlformats.org/officeDocument/2006/relationships/hyperlink" Target="https://www.theguardian.com/us-news/2015/oct/02/oregon-shooting-victims-identified-lucero-alcaraz-rebecka-carnes" TargetMode="External"/><Relationship Id="rId1582" Type="http://schemas.openxmlformats.org/officeDocument/2006/relationships/hyperlink" Target="https://www.clarionledger.com/story/news/local/2017/02/06/4-killed-yazoo-city-nightclub-shooting/97541814/" TargetMode="External"/><Relationship Id="rId81" Type="http://schemas.openxmlformats.org/officeDocument/2006/relationships/hyperlink" Target="https://www.findagrave.com/memorial/73090177/mary-regina-linam" TargetMode="External"/><Relationship Id="rId605" Type="http://schemas.openxmlformats.org/officeDocument/2006/relationships/hyperlink" Target="http://www.acolumbinesite.com/victim/kyle.php" TargetMode="External"/><Relationship Id="rId812" Type="http://schemas.openxmlformats.org/officeDocument/2006/relationships/hyperlink" Target="https://www.cnn.com/2013/10/31/us/atlanta-courthouse-shootings-fast-facts/index.html" TargetMode="External"/><Relationship Id="rId1028" Type="http://schemas.openxmlformats.org/officeDocument/2006/relationships/hyperlink" Target="https://www.nytimes.com/2009/04/06/nyregion/06victims.html" TargetMode="External"/><Relationship Id="rId1235" Type="http://schemas.openxmlformats.org/officeDocument/2006/relationships/hyperlink" Target="https://www.mprnews.org/story/2013/09/27/a-year-after-accent-signage-shootings-debate-shifts-from-gun-control-to-mental-health" TargetMode="External"/><Relationship Id="rId1442" Type="http://schemas.openxmlformats.org/officeDocument/2006/relationships/hyperlink" Target="https://www.mlive.com/news/kalamazoo/2019/01/families-of-kalamazoo-uber-shooting-victims-prepare-for-trial.html" TargetMode="External"/><Relationship Id="rId1887" Type="http://schemas.openxmlformats.org/officeDocument/2006/relationships/hyperlink" Target="https://www.ajc.com/news/national/thousand-oaks-shooting-what-know-about-the-victims/9QraYxz120zL2OsCfuuuhP/" TargetMode="External"/><Relationship Id="rId1302" Type="http://schemas.openxmlformats.org/officeDocument/2006/relationships/hyperlink" Target="https://www.nytimes.com/2013/07/28/us/6-shot-dead-by-neighbor-at-building-near-miami.html" TargetMode="External"/><Relationship Id="rId1747" Type="http://schemas.openxmlformats.org/officeDocument/2006/relationships/hyperlink" Target="https://www.npr.org/2017/11/08/562740147/nobody-there-grandmother-lost-2-grandkids-daughter-in-law-at-texas-church" TargetMode="External"/><Relationship Id="rId1954" Type="http://schemas.openxmlformats.org/officeDocument/2006/relationships/hyperlink" Target="https://nypost.com/2019/08/06/police-identify-all-22-victims-of-the-el-paso-walmart-massacre/" TargetMode="External"/><Relationship Id="rId39" Type="http://schemas.openxmlformats.org/officeDocument/2006/relationships/hyperlink" Target="https://newspaperarchive.com/lock-haven-express-oct-24-1967-p-1/" TargetMode="External"/><Relationship Id="rId1607" Type="http://schemas.openxmlformats.org/officeDocument/2006/relationships/hyperlink" Target="https://www.latimes.com/projects/la-na-las-vegas-shootings-victims-list-20171002/" TargetMode="External"/><Relationship Id="rId1814" Type="http://schemas.openxmlformats.org/officeDocument/2006/relationships/hyperlink" Target="https://www.cnn.com/2018/05/18/us/texas-school-shooting-victims/index.html" TargetMode="External"/><Relationship Id="rId188" Type="http://schemas.openxmlformats.org/officeDocument/2006/relationships/hyperlink" Target="https://www.findagrave.com/memorial/39822035/jackie-lynn-reyes" TargetMode="External"/><Relationship Id="rId395" Type="http://schemas.openxmlformats.org/officeDocument/2006/relationships/hyperlink" Target="https://www.findagrave.com/memorial/28472122/jason-edward-white" TargetMode="External"/><Relationship Id="rId255" Type="http://schemas.openxmlformats.org/officeDocument/2006/relationships/hyperlink" Target="https://www.washingtonpost.com/archive/politics/1988/02/18/sudden-death-in-sunnyvale/4f50e5d7-0804-4a56-a2af-ced693c3b577/" TargetMode="External"/><Relationship Id="rId462" Type="http://schemas.openxmlformats.org/officeDocument/2006/relationships/hyperlink" Target="https://www.nytimes.com/1993/12/16/us/gunman-kills-4-workers-at-colorado-restaurant.html" TargetMode="External"/><Relationship Id="rId1092" Type="http://schemas.openxmlformats.org/officeDocument/2006/relationships/hyperlink" Target="https://hetq.am/en/article/74067" TargetMode="External"/><Relationship Id="rId1397" Type="http://schemas.openxmlformats.org/officeDocument/2006/relationships/hyperlink" Target="https://www.washingtonpost.com/news/morning-mix/wp/2015/11/18/texas-campsite-massacre-that-claimed-6-caused-by-land-dispute-victims-ex-wife-says/" TargetMode="External"/><Relationship Id="rId115" Type="http://schemas.openxmlformats.org/officeDocument/2006/relationships/hyperlink" Target="https://www.upi.com/Archives/1982/08/09/Yes-I-know-hes-killing-people/2899397713600/" TargetMode="External"/><Relationship Id="rId322" Type="http://schemas.openxmlformats.org/officeDocument/2006/relationships/hyperlink" Target="https://www.latimes.com/archives/la-xpm-1990-06-19-mn-52-story.html" TargetMode="External"/><Relationship Id="rId767" Type="http://schemas.openxmlformats.org/officeDocument/2006/relationships/hyperlink" Target="https://abcnews.go.com/Primetime/story?id=749286&amp;page=1" TargetMode="External"/><Relationship Id="rId974" Type="http://schemas.openxmlformats.org/officeDocument/2006/relationships/hyperlink" Target="https://www.findagrave.com/memorial/24482558/connie-karr" TargetMode="External"/><Relationship Id="rId2003" Type="http://schemas.openxmlformats.org/officeDocument/2006/relationships/hyperlink" Target="https://www.nytimes.com/2019/08/05/us/dayton-shooting-victims.html" TargetMode="External"/><Relationship Id="rId627" Type="http://schemas.openxmlformats.org/officeDocument/2006/relationships/hyperlink" Target="https://www.nytimes.com/1999/07/31/us/shootings-in-atlanta-the-overview-killer-confessed-in-a-letter-spiked-with-rage.html" TargetMode="External"/><Relationship Id="rId834" Type="http://schemas.openxmlformats.org/officeDocument/2006/relationships/hyperlink" Target="https://www.mprnews.org/story/2015/03/18/red-lake-victims" TargetMode="External"/><Relationship Id="rId1257" Type="http://schemas.openxmlformats.org/officeDocument/2006/relationships/hyperlink" Target="https://www.businessinsider.com/who-were-the-victims-of-the-sandy-hook-shooting-2017-12" TargetMode="External"/><Relationship Id="rId1464" Type="http://schemas.openxmlformats.org/officeDocument/2006/relationships/hyperlink" Target="https://www.npr.org/sections/thetwo-way/2016/06/12/481785763/heres-what-we-know-about-the-orlando-shooting-victims" TargetMode="External"/><Relationship Id="rId1671" Type="http://schemas.openxmlformats.org/officeDocument/2006/relationships/hyperlink" Target="https://www.latimes.com/projects/la-na-las-vegas-shootings-victims-list-20171002/" TargetMode="External"/><Relationship Id="rId901" Type="http://schemas.openxmlformats.org/officeDocument/2006/relationships/hyperlink" Target="https://www.remembrance.vt.edu/biographies/cloyd.html" TargetMode="External"/><Relationship Id="rId1117" Type="http://schemas.openxmlformats.org/officeDocument/2006/relationships/hyperlink" Target="https://www.fox61.com/article/news/local/outreach/awareness-months/vigil-marks-anniversary-of-deadly-workplace-shooting/520-9889e6ab-3d7a-43c1-862d-40160c55a573" TargetMode="External"/><Relationship Id="rId1324" Type="http://schemas.openxmlformats.org/officeDocument/2006/relationships/hyperlink" Target="https://www.latimes.com/local/lanow/la-me-isle-vista-massacre-alt-right-20180206-story.html" TargetMode="External"/><Relationship Id="rId1531" Type="http://schemas.openxmlformats.org/officeDocument/2006/relationships/hyperlink" Target="https://www.npr.org/sections/thetwo-way/2016/06/12/481785763/heres-what-we-know-about-the-orlando-shooting-victims" TargetMode="External"/><Relationship Id="rId1769" Type="http://schemas.openxmlformats.org/officeDocument/2006/relationships/hyperlink" Target="https://pittsburgh.cbslocal.com/2018/01/28/fatalities-confirmed-fayette-shooting/" TargetMode="External"/><Relationship Id="rId1976" Type="http://schemas.openxmlformats.org/officeDocument/2006/relationships/hyperlink" Target="https://www.ktsm.com/news/juarez/funeral-held-in-juarez-for-mexican-couple-killed-in-el-paso-walmart-shooting/" TargetMode="External"/><Relationship Id="rId30" Type="http://schemas.openxmlformats.org/officeDocument/2006/relationships/hyperlink" Target="https://newspaperarchive.com/lock-haven-express-oct-24-1967-p-1/" TargetMode="External"/><Relationship Id="rId1629" Type="http://schemas.openxmlformats.org/officeDocument/2006/relationships/hyperlink" Target="https://www.latimes.com/projects/la-na-las-vegas-shootings-victims-list-20171002/" TargetMode="External"/><Relationship Id="rId1836" Type="http://schemas.openxmlformats.org/officeDocument/2006/relationships/hyperlink" Target="https://baltimore.cbslocal.com/2019/06/28/capital-gazette-shooting-year-later/" TargetMode="External"/><Relationship Id="rId1903" Type="http://schemas.openxmlformats.org/officeDocument/2006/relationships/hyperlink" Target="https://time.com/5513090/florida-bank-shooting-victims/" TargetMode="External"/><Relationship Id="rId277" Type="http://schemas.openxmlformats.org/officeDocument/2006/relationships/hyperlink" Target="https://www.upi.com/Archives/1988/07/19/Hospital-denies-commitment-sought-for-gunman/1978585288000/" TargetMode="External"/><Relationship Id="rId484" Type="http://schemas.openxmlformats.org/officeDocument/2006/relationships/hyperlink" Target="https://murderpedia.org/male.S/s/simpson-james-daniel.htm" TargetMode="External"/><Relationship Id="rId137" Type="http://schemas.openxmlformats.org/officeDocument/2006/relationships/hyperlink" Target="https://newspaperarchive.com/burlington-daily-times-news-feb-04-1983-p-3/" TargetMode="External"/><Relationship Id="rId344" Type="http://schemas.openxmlformats.org/officeDocument/2006/relationships/hyperlink" Target="https://www.findagrave.com/memorial/78628434/sylvia-m_-king" TargetMode="External"/><Relationship Id="rId691" Type="http://schemas.openxmlformats.org/officeDocument/2006/relationships/hyperlink" Target="http://old.post-gazette.com/regionstate/20000429shootings2.asp" TargetMode="External"/><Relationship Id="rId789" Type="http://schemas.openxmlformats.org/officeDocument/2006/relationships/hyperlink" Target="http://www.nbcnews.com/id/5353964/ns/us_news-crime_and_courts/t/six-dead-kansas-workplace-shooting/" TargetMode="External"/><Relationship Id="rId996" Type="http://schemas.openxmlformats.org/officeDocument/2006/relationships/hyperlink" Target="https://www.newspapers.com/clip/27575578/santa-maria-times/" TargetMode="External"/><Relationship Id="rId2025" Type="http://schemas.openxmlformats.org/officeDocument/2006/relationships/hyperlink" Target="https://www.cnn.com/2019/12/10/us/jersey-city-shooting-victims/index.html'" TargetMode="External"/><Relationship Id="rId551" Type="http://schemas.openxmlformats.org/officeDocument/2006/relationships/hyperlink" Target="https://www.latimes.com/archives/la-xpm-1998-mar-07-mn-26407-story.html" TargetMode="External"/><Relationship Id="rId649" Type="http://schemas.openxmlformats.org/officeDocument/2006/relationships/hyperlink" Target="http://www.sbclife.net/article/521/remembering-the-slain" TargetMode="External"/><Relationship Id="rId856" Type="http://schemas.openxmlformats.org/officeDocument/2006/relationships/hyperlink" Target="https://archive.seattletimes.com/archive/?date=20060718&amp;slug=huff18m" TargetMode="External"/><Relationship Id="rId1181" Type="http://schemas.openxmlformats.org/officeDocument/2006/relationships/hyperlink" Target="https://www.ocregister.com/2011/10/14/police-id-victims-in-seal-beach-shooting/" TargetMode="External"/><Relationship Id="rId1279" Type="http://schemas.openxmlformats.org/officeDocument/2006/relationships/hyperlink" Target="https://www.timestelegram.com/news/20180313/its-time-to-heal-walk-remembers-shooting-victims-survivors" TargetMode="External"/><Relationship Id="rId1486" Type="http://schemas.openxmlformats.org/officeDocument/2006/relationships/hyperlink" Target="https://www.findagrave.com/memorial/164755021/deonka-deidra-drayton" TargetMode="External"/><Relationship Id="rId204" Type="http://schemas.openxmlformats.org/officeDocument/2006/relationships/hyperlink" Target="https://www.findagrave.com/memorial/90474391/paul-edward-gabelt" TargetMode="External"/><Relationship Id="rId411" Type="http://schemas.openxmlformats.org/officeDocument/2006/relationships/hyperlink" Target="https://www.nytimes.com/1992/11/09/us/gunman-kills-6-then-himself-in-california.html" TargetMode="External"/><Relationship Id="rId509" Type="http://schemas.openxmlformats.org/officeDocument/2006/relationships/hyperlink" Target="https://apnews.com/cec11122f0b4c232725599b3ae3d7bcf" TargetMode="External"/><Relationship Id="rId1041" Type="http://schemas.openxmlformats.org/officeDocument/2006/relationships/hyperlink" Target="https://www.pressconnects.com/story/news/local/2019/03/27/aca-american-civic-association-binghamton-shooting-victims-obituaries/3224600002/" TargetMode="External"/><Relationship Id="rId1139" Type="http://schemas.openxmlformats.org/officeDocument/2006/relationships/hyperlink" Target="https://www.cnn.com/2013/06/10/us/arizona-safeway-shootings-fast-facts/index.html" TargetMode="External"/><Relationship Id="rId1346" Type="http://schemas.openxmlformats.org/officeDocument/2006/relationships/hyperlink" Target="https://www.nytimes.com/2015/06/20/us/charleston-shooting-dylann-storm-roof.html" TargetMode="External"/><Relationship Id="rId1693" Type="http://schemas.openxmlformats.org/officeDocument/2006/relationships/hyperlink" Target="https://people.com/crime/las-vegas-shooting-victims-names-photos-tributes/?slide=5953083" TargetMode="External"/><Relationship Id="rId1998" Type="http://schemas.openxmlformats.org/officeDocument/2006/relationships/hyperlink" Target="https://www.dailykos.com/stories/2019/8/8/1877792/-His-Name-is-Jordan-Cofer-Not-Megan-Betts" TargetMode="External"/><Relationship Id="rId716" Type="http://schemas.openxmlformats.org/officeDocument/2006/relationships/hyperlink" Target="https://www.latimes.com/archives/la-xpm-2001-feb-06-mn-21695-story.html" TargetMode="External"/><Relationship Id="rId923" Type="http://schemas.openxmlformats.org/officeDocument/2006/relationships/hyperlink" Target="https://www.remembrance.vt.edu/biographies/librescu.html" TargetMode="External"/><Relationship Id="rId1553" Type="http://schemas.openxmlformats.org/officeDocument/2006/relationships/hyperlink" Target="https://www.seattletimes.com/seattle-news/crime/accused-cascade-mall-shooter-dies-in-snohomish-county-jail/" TargetMode="External"/><Relationship Id="rId1760" Type="http://schemas.openxmlformats.org/officeDocument/2006/relationships/hyperlink" Target="https://www.cbsnews.com/news/california-shooting-gunman-kevin-janson-neal-threatened-victim-son-neighbor/" TargetMode="External"/><Relationship Id="rId1858" Type="http://schemas.openxmlformats.org/officeDocument/2006/relationships/hyperlink" Target="https://www.npr.org/2018/10/28/661530860/pittsburgh-synagogue-shooting-victims-identified" TargetMode="External"/><Relationship Id="rId52" Type="http://schemas.openxmlformats.org/officeDocument/2006/relationships/hyperlink" Target="https://newspaperarchive.com/lebanon-daily-news-apr-07-1969-p-1/" TargetMode="External"/><Relationship Id="rId1206" Type="http://schemas.openxmlformats.org/officeDocument/2006/relationships/hyperlink" Target="https://abcnews.go.com/US/ian-stawicki-seattle-cafe-racer-shooter-kills-shoots-citywide/story?id=16463885" TargetMode="External"/><Relationship Id="rId1413" Type="http://schemas.openxmlformats.org/officeDocument/2006/relationships/hyperlink" Target="https://www.washingtonpost.com/news/post-nation/wp/2016/12/02/one-year-after-san-bernardino-police-offer-a-possible-motive-as-questions-still-linger/" TargetMode="External"/><Relationship Id="rId1620" Type="http://schemas.openxmlformats.org/officeDocument/2006/relationships/hyperlink" Target="https://www.reviewjournal.com/crime/homicides/las-vegas-shooting-victim-remembe" TargetMode="External"/><Relationship Id="rId1718" Type="http://schemas.openxmlformats.org/officeDocument/2006/relationships/hyperlink" Target="https://www.nbcnews.com/storyline/texas-church-shooting/texas-church-shooting-who-were-victims-sutherland-springs-massacre-n818356" TargetMode="External"/><Relationship Id="rId1925" Type="http://schemas.openxmlformats.org/officeDocument/2006/relationships/hyperlink" Target="https://www.beachfuneralandcremationservices.com/obituary/Ryan-Cox" TargetMode="External"/><Relationship Id="rId299" Type="http://schemas.openxmlformats.org/officeDocument/2006/relationships/hyperlink" Target="https://apnews.com/d8fdf15390c4d3e614ca83a0d49ab018" TargetMode="External"/><Relationship Id="rId159"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366" Type="http://schemas.openxmlformats.org/officeDocument/2006/relationships/hyperlink" Target="https://www.findagrave.com/memorial/8286824/fred-marion-alsman" TargetMode="External"/><Relationship Id="rId573" Type="http://schemas.openxmlformats.org/officeDocument/2006/relationships/hyperlink" Target="https://www.newspapers.com/image/1923485/" TargetMode="External"/><Relationship Id="rId780" Type="http://schemas.openxmlformats.org/officeDocument/2006/relationships/hyperlink" Target="https://www.findagrave.com/memorial/98126200" TargetMode="External"/><Relationship Id="rId226" Type="http://schemas.openxmlformats.org/officeDocument/2006/relationships/hyperlink" Target="https://www.nytimes.com/1986/08/21/us/mail-carrier-kills-14-in-post-office-then-himself.html" TargetMode="External"/><Relationship Id="rId433" Type="http://schemas.openxmlformats.org/officeDocument/2006/relationships/hyperlink" Target="https://www.fayobserver.com/news/20190806/from-archives-26-years-ago-today-tragedy-at-luigis" TargetMode="External"/><Relationship Id="rId878" Type="http://schemas.openxmlformats.org/officeDocument/2006/relationships/hyperlink" Target="https://www.findagrave.com/memorial/15981699/lena-zook-miller" TargetMode="External"/><Relationship Id="rId1063" Type="http://schemas.openxmlformats.org/officeDocument/2006/relationships/hyperlink" Target="https://www.nytimes.com/2009/04/12/nyregion/12binghamton.html" TargetMode="External"/><Relationship Id="rId1270" Type="http://schemas.openxmlformats.org/officeDocument/2006/relationships/hyperlink" Target="https://www.businessinsider.com/who-were-the-victims-of-the-sandy-hook-shooting-2017-12" TargetMode="External"/><Relationship Id="rId640" Type="http://schemas.openxmlformats.org/officeDocument/2006/relationships/hyperlink" Target="https://www.gettyimages.com/detail/news-photo/30jul99-atlanta-georgia-atlanta-shooting-fatality-allen-news-photo/51066644" TargetMode="External"/><Relationship Id="rId738" Type="http://schemas.openxmlformats.org/officeDocument/2006/relationships/hyperlink" Target="https://murderpedia.org/male.F/f/ferguson-joseph.htm" TargetMode="External"/><Relationship Id="rId945" Type="http://schemas.openxmlformats.org/officeDocument/2006/relationships/hyperlink" Target="https://www.remembrance.vt.edu/biographies/read.html" TargetMode="External"/><Relationship Id="rId1368" Type="http://schemas.openxmlformats.org/officeDocument/2006/relationships/hyperlink" Target="https://www.nytimes.com/2015/10/10/us/roseburg-oregon-shooting-christopher-harper-mercer.html" TargetMode="External"/><Relationship Id="rId1575" Type="http://schemas.openxmlformats.org/officeDocument/2006/relationships/hyperlink" Target="https://www.wlbt.com/story/34450224/family-believes-yazoo-city-quadruple-shooting-is-not-a-coincidence/" TargetMode="External"/><Relationship Id="rId1782" Type="http://schemas.openxmlformats.org/officeDocument/2006/relationships/hyperlink" Target="https://www.cnn.com/2018/02/15/us/florida-shooting-victims-school/index.html" TargetMode="External"/><Relationship Id="rId74" Type="http://schemas.openxmlformats.org/officeDocument/2006/relationships/hyperlink" Target="https://media.kxan.com/nxs-kxantv-media-us-east-1/catalyst/mass-violence/story.html" TargetMode="External"/><Relationship Id="rId500" Type="http://schemas.openxmlformats.org/officeDocument/2006/relationships/hyperlink" Target="https://www.nytimes.com/1995/12/21/nyregion/bronx-gunman-was-under-treatment-for-schizophrenia.html" TargetMode="External"/><Relationship Id="rId805" Type="http://schemas.openxmlformats.org/officeDocument/2006/relationships/hyperlink" Target="https://www.rollingstone.com/music/music-news/behind-the-murder-of-dimebag-darrell-233541/" TargetMode="External"/><Relationship Id="rId1130" Type="http://schemas.openxmlformats.org/officeDocument/2006/relationships/hyperlink" Target="https://www.kentucky.com/news/state/kentucky/article44049051.html" TargetMode="External"/><Relationship Id="rId1228" Type="http://schemas.openxmlformats.org/officeDocument/2006/relationships/hyperlink" Target="https://www.cnn.com/2012/08/06/us/wisconsin-temple-shooting/index.html" TargetMode="External"/><Relationship Id="rId1435" Type="http://schemas.openxmlformats.org/officeDocument/2006/relationships/hyperlink" Target="https://www.battlecreekenquirer.com/story/news/local/2016/02/22/shooting-victim-judy-brown-compassionate-gentle-soul/80765152/" TargetMode="External"/><Relationship Id="rId1642" Type="http://schemas.openxmlformats.org/officeDocument/2006/relationships/hyperlink" Target="https://people.com/crime/las-vegas-shooting-victims-names-photos-tributes/?slide=5948033" TargetMode="External"/><Relationship Id="rId1947" Type="http://schemas.openxmlformats.org/officeDocument/2006/relationships/hyperlink" Target="https://www.npr.org/2019/06/01/728903700/what-we-know-about-the-virginia-beach-mass-shooting-victims" TargetMode="External"/><Relationship Id="rId1502" Type="http://schemas.openxmlformats.org/officeDocument/2006/relationships/hyperlink" Target="https://www.npr.org/sections/thetwo-way/2016/06/12/481785763/heres-what-we-know-about-the-orlando-shooting-victims" TargetMode="External"/><Relationship Id="rId1807" Type="http://schemas.openxmlformats.org/officeDocument/2006/relationships/hyperlink" Target="https://www.cbsnews.com/news/waffle-house-nashville-shooting-reopens-today-2018-04-25/" TargetMode="External"/><Relationship Id="rId290" Type="http://schemas.openxmlformats.org/officeDocument/2006/relationships/hyperlink" Target="https://www.abc10.com/article/news/local/stockton/need-to-know-the-1989-cleveland-school-shooting/103-bf6463b2-ce78-4ba1-9216-fc2c79907f82" TargetMode="External"/><Relationship Id="rId388" Type="http://schemas.openxmlformats.org/officeDocument/2006/relationships/hyperlink" Target="https://www.sacbee.com/news/local/crime/article203031444.html" TargetMode="External"/><Relationship Id="rId150" Type="http://schemas.openxmlformats.org/officeDocument/2006/relationships/hyperlink" Target="https://www.upi.com/Archives/1983/10/12/Multiple-charges-filed-in-murder-kidnapping-spree/9012434779200/" TargetMode="External"/><Relationship Id="rId595" Type="http://schemas.openxmlformats.org/officeDocument/2006/relationships/hyperlink" Target="https://kfor.com/news/15th-anniversary-of-tragic-columbine-high-school-shooting-heres-the-background/" TargetMode="External"/><Relationship Id="rId248"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55" Type="http://schemas.openxmlformats.org/officeDocument/2006/relationships/hyperlink" Target="https://www.nytimes.com/1993/12/09/nyregion/death-lirr-overview-portrait-suspect-emerges-shooting-li-train.html" TargetMode="External"/><Relationship Id="rId662" Type="http://schemas.openxmlformats.org/officeDocument/2006/relationships/hyperlink" Target="https://www.latimes.com/archives/la-xpm-1999-nov-03-mn-29234-story.html" TargetMode="External"/><Relationship Id="rId1085" Type="http://schemas.openxmlformats.org/officeDocument/2006/relationships/hyperlink" Target="https://www.spokesman.com/blogs/sirens/2010/dec/07/mixed-verdicts-police-shooting-trial/" TargetMode="External"/><Relationship Id="rId1292" Type="http://schemas.openxmlformats.org/officeDocument/2006/relationships/hyperlink" Target="https://www.latimes.com/local/lanow/la-xpm-2013-jun-09-la-me-ln-santa-monica-shootings-death-toll-five-marcela-franco-20130609-story.html" TargetMode="External"/><Relationship Id="rId108" Type="http://schemas.openxmlformats.org/officeDocument/2006/relationships/hyperlink" Target="https://www.nytimes.com/1982/06/22/us/new-law-on-insanity-plea-stirs-dispute-in-alaska.html" TargetMode="External"/><Relationship Id="rId315" Type="http://schemas.openxmlformats.org/officeDocument/2006/relationships/hyperlink" Target="https://www.latimes.com/archives/la-xpm-1990-06-19-mn-52-story.html" TargetMode="External"/><Relationship Id="rId522" Type="http://schemas.openxmlformats.org/officeDocument/2006/relationships/hyperlink" Target="https://www.caledonianrecord.com/news/colebrook-shootings-years-later-remembering-the-victims-and-the-resiliency/article_21ef7759-6d41-5f62-9453-bd94c76d3560.html" TargetMode="External"/><Relationship Id="rId967" Type="http://schemas.openxmlformats.org/officeDocument/2006/relationships/hyperlink" Target="https://abcnews.go.com/GMA/story?id=3982722&amp;page=1" TargetMode="External"/><Relationship Id="rId1152" Type="http://schemas.openxmlformats.org/officeDocument/2006/relationships/hyperlink" Target="https://www.beaconjournal.com/article/20120615/NEWS/306159412" TargetMode="External"/><Relationship Id="rId1597" Type="http://schemas.openxmlformats.org/officeDocument/2006/relationships/hyperlink" Target="https://www.clickorlando.com/news/2018/03/15/5-takeaways-from-the-final-report-for-the-fiamma-workplace-shooting/" TargetMode="External"/><Relationship Id="rId96" Type="http://schemas.openxmlformats.org/officeDocument/2006/relationships/hyperlink" Target="https://www.leagle.com/decision/1985350349pasuper11350" TargetMode="External"/><Relationship Id="rId827" Type="http://schemas.openxmlformats.org/officeDocument/2006/relationships/hyperlink" Target="https://www.cbsnews.com/news/church-police-probe-7-murders/" TargetMode="External"/><Relationship Id="rId1012" Type="http://schemas.openxmlformats.org/officeDocument/2006/relationships/hyperlink" Target="https://www.seattlepi.com/seattlenews/article/Isaac-Zamora-10781621.php" TargetMode="External"/><Relationship Id="rId1457" Type="http://schemas.openxmlformats.org/officeDocument/2006/relationships/hyperlink" Target="https://www.npr.org/sections/thetwo-way/2016/06/12/481785763/heres-what-we-know-about-the-orlando-shooting-victims" TargetMode="External"/><Relationship Id="rId1664" Type="http://schemas.openxmlformats.org/officeDocument/2006/relationships/hyperlink" Target="https://www.altavistamortuary.com/obituary/5335779" TargetMode="External"/><Relationship Id="rId1871" Type="http://schemas.openxmlformats.org/officeDocument/2006/relationships/hyperlink" Target="https://www.timesofisrael.com/how-the-pittsburgh-synagogue-shooting-unfolded/" TargetMode="External"/><Relationship Id="rId1317" Type="http://schemas.openxmlformats.org/officeDocument/2006/relationships/hyperlink" Target="https://www.cnn.com/2013/09/17/us/dc-navy-yard-victims/index.html" TargetMode="External"/><Relationship Id="rId1524" Type="http://schemas.openxmlformats.org/officeDocument/2006/relationships/hyperlink" Target="https://www.npr.org/sections/thetwo-way/2016/06/12/481785763/heres-what-we-know-about-the-orlando-shooting-victims" TargetMode="External"/><Relationship Id="rId1731" Type="http://schemas.openxmlformats.org/officeDocument/2006/relationships/hyperlink" Target="https://www.nbcnews.com/storyline/texas-church-shooting/texas-church-shooting-who-were-victims-sutherland-springs-massacre-n818356" TargetMode="External"/><Relationship Id="rId1969" Type="http://schemas.openxmlformats.org/officeDocument/2006/relationships/hyperlink" Target="https://time.com/5643420/victims-el-paso-shooting/" TargetMode="External"/><Relationship Id="rId23" Type="http://schemas.openxmlformats.org/officeDocument/2006/relationships/hyperlink" Target="https://www.newspapers.com/image/?clipping_id=3420707&amp;fcfToken=eyJhbGciOiJIUzI1NiIsInR5cCI6IkpXVCJ9.eyJmcmVlLXZpZXctaWQiOjE5NTc1MDI1LCJpYXQiOjE1ODIyMTQyMjIsImV4cCI6MTU4MjMwMDYyMn0.zDflTsX9-OOvCv1GkyBlfCYAJG_vqITVra0HZfGKX94" TargetMode="External"/><Relationship Id="rId1829" Type="http://schemas.openxmlformats.org/officeDocument/2006/relationships/hyperlink" Target="https://www.houstonchronicle.com/news/houston-texas/houston/article/Ten-months-after-Santa-Fe-High-shooting-families-13685169.php" TargetMode="External"/><Relationship Id="rId172" Type="http://schemas.openxmlformats.org/officeDocument/2006/relationships/hyperlink" Target="https://www.findagrave.com/virtual-cemetery/459281" TargetMode="External"/><Relationship Id="rId477" Type="http://schemas.openxmlformats.org/officeDocument/2006/relationships/hyperlink" Target="https://caselaw.findlaw.com/nc-court-of-appeals/1359423.html" TargetMode="External"/><Relationship Id="rId684" Type="http://schemas.openxmlformats.org/officeDocument/2006/relationships/hyperlink" Target="https://murderpedia.org/male.H/h/harris-robert-wayne-photos.htm" TargetMode="External"/><Relationship Id="rId337" Type="http://schemas.openxmlformats.org/officeDocument/2006/relationships/hyperlink" Target="https://kdhnews.com/news/survivors-reflect-on-oct-luby-s-shooting/article_e2660bfc-d24a-5566-a65f-a67a9fe6365b.html" TargetMode="External"/><Relationship Id="rId891" Type="http://schemas.openxmlformats.org/officeDocument/2006/relationships/hyperlink" Target="http://www.nbcnews.com/id/18143312/ns/us_news-crime_and_courts/t/profiles-victims-virginia-tech-massacre/" TargetMode="External"/><Relationship Id="rId989" Type="http://schemas.openxmlformats.org/officeDocument/2006/relationships/hyperlink" Target="http://www.nbcnews.com/id/29199551/ns/us_news-crime_and_courts/t/niu-shooting-victims-mourn-lives-lost/" TargetMode="External"/><Relationship Id="rId2018" Type="http://schemas.openxmlformats.org/officeDocument/2006/relationships/hyperlink" Target="https://www.washingtonpost.com/politics/2019/09/01/texass-second-mass-shooting-august-kills-least/" TargetMode="External"/><Relationship Id="rId544" Type="http://schemas.openxmlformats.org/officeDocument/2006/relationships/hyperlink" Target="https://www.nytimes.com/1997/12/20/us/dismissed-worker-kills-4-and-then-is-slain.html?mcubz=3" TargetMode="External"/><Relationship Id="rId751" Type="http://schemas.openxmlformats.org/officeDocument/2006/relationships/hyperlink" Target="https://www.nytimes.com/2003/02/26/us/gunman-kills-four-at-alabama-job-agency.html" TargetMode="External"/><Relationship Id="rId849" Type="http://schemas.openxmlformats.org/officeDocument/2006/relationships/hyperlink" Target="https://www.cbsnews.com/news/postal-shooters-bizarre-behavior/" TargetMode="External"/><Relationship Id="rId1174" Type="http://schemas.openxmlformats.org/officeDocument/2006/relationships/hyperlink" Target="http://www.ktvn.com/story/19478467/one-year-anniversary-of-ihop-shooting" TargetMode="External"/><Relationship Id="rId1381" Type="http://schemas.openxmlformats.org/officeDocument/2006/relationships/hyperlink" Target="https://www.nytimes.com/2015/10/10/us/roseburg-oregon-shooting-christopher-harper-mercer.html" TargetMode="External"/><Relationship Id="rId1479" Type="http://schemas.openxmlformats.org/officeDocument/2006/relationships/hyperlink" Target="https://www.nytimes.com/interactive/projects/cp/us/orlando-shooting-victims/luis-daniel-conde" TargetMode="External"/><Relationship Id="rId1686" Type="http://schemas.openxmlformats.org/officeDocument/2006/relationships/hyperlink" Target="https://people.com/crime/las-vegas-shooting-victims-names-photos-tributes/?slide=5949667" TargetMode="External"/><Relationship Id="rId404" Type="http://schemas.openxmlformats.org/officeDocument/2006/relationships/hyperlink" Target="https://www.nytimes.com/1992/11/09/us/gunman-kills-6-then-himself-in-california.html" TargetMode="External"/><Relationship Id="rId611" Type="http://schemas.openxmlformats.org/officeDocument/2006/relationships/hyperlink" Target="https://www.latimes.com/archives/la-xpm-1999-jun-05-mn-44403-story.html" TargetMode="External"/><Relationship Id="rId1034" Type="http://schemas.openxmlformats.org/officeDocument/2006/relationships/hyperlink" Target="https://www.nytimes.com/2009/04/06/nyregion/06victims.html" TargetMode="External"/><Relationship Id="rId1241" Type="http://schemas.openxmlformats.org/officeDocument/2006/relationships/hyperlink" Target="https://www.twincities.com/2012/10/11/minneapolis-accent-signage-victim-dies-after-being-removed-from-life-support/" TargetMode="External"/><Relationship Id="rId1339" Type="http://schemas.openxmlformats.org/officeDocument/2006/relationships/hyperlink" Target="https://www.nbcnews.com/storyline/marysville-school-shooting/third-marysville-high-school-shooting-victim-dies-n238911" TargetMode="External"/><Relationship Id="rId1893" Type="http://schemas.openxmlformats.org/officeDocument/2006/relationships/hyperlink" Target="http://www.coastalview.com/news/carpinteria-man-among-victims-in-borderline-massacre/article_5824e74e-e45b-11e8-8a93-8338b87aa4f6.html" TargetMode="External"/><Relationship Id="rId709" Type="http://schemas.openxmlformats.org/officeDocument/2006/relationships/hyperlink" Target="https://www.gettyimages.com/detail/news-photo/brian-britney-walks-back-to-his-seat-after-placing-a-flower-news-photo/51972772?adppopup=true" TargetMode="External"/><Relationship Id="rId916" Type="http://schemas.openxmlformats.org/officeDocument/2006/relationships/hyperlink" Target="https://www.npr.org/2007/04/18/9618673/remembering-virginia-techs-shooting-victims" TargetMode="External"/><Relationship Id="rId1101" Type="http://schemas.openxmlformats.org/officeDocument/2006/relationships/hyperlink" Target="https://www.findagrave.com/memorial/55838231/william-carl-ackerman" TargetMode="External"/><Relationship Id="rId1546" Type="http://schemas.openxmlformats.org/officeDocument/2006/relationships/hyperlink" Target="https://www.nytimes.com/2016/07/09/us/dallas-police-shooting.html" TargetMode="External"/><Relationship Id="rId1753" Type="http://schemas.openxmlformats.org/officeDocument/2006/relationships/hyperlink" Target="https://www.nbcnews.com/storyline/texas-church-shooting/texas-church-shooting-who-were-victims-sutherland-springs-massacre-n818356" TargetMode="External"/><Relationship Id="rId1960" Type="http://schemas.openxmlformats.org/officeDocument/2006/relationships/hyperlink" Target="https://www.latimes.com/world-nation/story/2019-08-09/funerals-begin-for-shooting-victims-in-el-paso" TargetMode="External"/><Relationship Id="rId45" Type="http://schemas.openxmlformats.org/officeDocument/2006/relationships/hyperlink" Target="https://newspaperarchive.com/ironwood-daily-globe-mar-18-1968-p-1/" TargetMode="External"/><Relationship Id="rId1406" Type="http://schemas.openxmlformats.org/officeDocument/2006/relationships/hyperlink" Target="https://www.washingtonpost.com/news/post-nation/wp/2016/12/02/one-year-after-san-bernardino-police-offer-a-possible-motive-as-questions-still-linger/" TargetMode="External"/><Relationship Id="rId1613" Type="http://schemas.openxmlformats.org/officeDocument/2006/relationships/hyperlink" Target="https://www.latimes.com/projects/la-na-las-vegas-shootings-victims-list-20171002/" TargetMode="External"/><Relationship Id="rId1820" Type="http://schemas.openxmlformats.org/officeDocument/2006/relationships/hyperlink" Target="https://time.com/5283251/sante-fe-high-school-shooting-victims/" TargetMode="External"/><Relationship Id="rId194" Type="http://schemas.openxmlformats.org/officeDocument/2006/relationships/hyperlink" Target="https://www.findagrave.com/memorial/39822605/laurence-herman-versluis" TargetMode="External"/><Relationship Id="rId1918" Type="http://schemas.openxmlformats.org/officeDocument/2006/relationships/hyperlink" Target="https://abc7chicago.com/5141989" TargetMode="External"/><Relationship Id="rId261" Type="http://schemas.openxmlformats.org/officeDocument/2006/relationships/hyperlink" Target="https://www.leagle.com/decision/incaco20090702055" TargetMode="External"/><Relationship Id="rId499" Type="http://schemas.openxmlformats.org/officeDocument/2006/relationships/hyperlink" Target="https://www.nytimes.com/1995/12/20/us/5-are-killed-by-gunman-in-bronx-shoe-store.html" TargetMode="External"/><Relationship Id="rId359" Type="http://schemas.openxmlformats.org/officeDocument/2006/relationships/hyperlink" Target="https://kdhnews.com/news/survivors-reflect-on-oct-luby-s-shooting/article_e2660bfc-d24a-5566-a65f-a67a9fe6365b.html" TargetMode="External"/><Relationship Id="rId566" Type="http://schemas.openxmlformats.org/officeDocument/2006/relationships/hyperlink" Target="https://www.klcc.org/post/klcc-special-documentary-thurston-high-school-shooting-20-years-later" TargetMode="External"/><Relationship Id="rId773" Type="http://schemas.openxmlformats.org/officeDocument/2006/relationships/hyperlink" Target="https://www.latimes.com/archives/la-xpm-2003-aug-28-na-shoot28-story.html" TargetMode="External"/><Relationship Id="rId1196" Type="http://schemas.openxmlformats.org/officeDocument/2006/relationships/hyperlink" Target="https://www.cbsnews.com/news/the-gates-of-hell-flew-open-hair-salon-mass-killer-scott-dekraai-sentenced-at-emotional-hearing/" TargetMode="External"/><Relationship Id="rId121" Type="http://schemas.openxmlformats.org/officeDocument/2006/relationships/hyperlink" Target="https://www.newspapers.com/image/?clipping_id=36003733&amp;fcfToken=eyJhbGciOiJIUzI1NiIsInR5cCI6IkpXVCJ9.eyJmcmVlLXZpZXctaWQiOjMwMzAwNjg4NywiaWF0IjoxNTg5MzAwODg0LCJleHAiOjE1ODkzODcyODR9.j1-Dk-Px3745MeI8Xlv5fTWi4Ed_kN8LKxSsJtgnIbc" TargetMode="External"/><Relationship Id="rId219" Type="http://schemas.openxmlformats.org/officeDocument/2006/relationships/hyperlink" Target="https://www.nytimes.com/1986/08/21/us/mail-carrier-kills-14-in-post-office-then-himself.html" TargetMode="External"/><Relationship Id="rId426" Type="http://schemas.openxmlformats.org/officeDocument/2006/relationships/hyperlink" Target="https://www.nytimes.com/1993/07/07/us/victims-of-chance-in-deadly-rampage.html" TargetMode="External"/><Relationship Id="rId633" Type="http://schemas.openxmlformats.org/officeDocument/2006/relationships/hyperlink" Target="https://www.nytimes.com/1999/07/31/us/shootings-in-atlanta-the-overview-killer-confessed-in-a-letter-spiked-with-rage.html" TargetMode="External"/><Relationship Id="rId980" Type="http://schemas.openxmlformats.org/officeDocument/2006/relationships/hyperlink" Target="https://www.stltoday.com/news/local/metro/kirkwood-city-hall-shooting-years-after-tragedy-a-community-reflects/article_895f3748-b575-59bb-b02a-719dc551a4d4.html" TargetMode="External"/><Relationship Id="rId1056" Type="http://schemas.openxmlformats.org/officeDocument/2006/relationships/hyperlink" Target="https://www.pressconnects.com/story/news/local/2019/03/27/aca-american-civic-association-binghamton-shooting-victims-obituaries/3224600002/" TargetMode="External"/><Relationship Id="rId1263" Type="http://schemas.openxmlformats.org/officeDocument/2006/relationships/hyperlink" Target="https://www.businessinsider.com/who-were-the-victims-of-the-sandy-hook-shooting-2017-12" TargetMode="External"/><Relationship Id="rId840" Type="http://schemas.openxmlformats.org/officeDocument/2006/relationships/hyperlink" Target="https://www.myplainview.com/news/article/Gunman-kills-self-after-shooting-four-at-rural-8725414.php" TargetMode="External"/><Relationship Id="rId938" Type="http://schemas.openxmlformats.org/officeDocument/2006/relationships/hyperlink" Target="http://www.nbcnews.com/id/18143312/ns/us_news-crime_and_courts/t/profiles-victims-virginia-tech-massacre/" TargetMode="External"/><Relationship Id="rId1470" Type="http://schemas.openxmlformats.org/officeDocument/2006/relationships/hyperlink" Target="https://www.npr.org/sections/thetwo-way/2016/06/12/481785763/heres-what-we-know-about-the-orlando-shooting-victims" TargetMode="External"/><Relationship Id="rId1568" Type="http://schemas.openxmlformats.org/officeDocument/2006/relationships/hyperlink" Target="https://www.sun-sentinel.com/local/broward/fl-reg-esteban-santiago-pleads-guilty-airport-shooting-20180523-story.html" TargetMode="External"/><Relationship Id="rId1775" Type="http://schemas.openxmlformats.org/officeDocument/2006/relationships/hyperlink" Target="https://pittsburgh.cbslocal.com/2018/01/28/fatalities-confirmed-fayette-shooting/" TargetMode="External"/><Relationship Id="rId67" Type="http://schemas.openxmlformats.org/officeDocument/2006/relationships/hyperlink" Target="https://www.nydailynews.com/news/crime/fullerton-massacre-shooter-begs-freed-psych-hospital-article-1.2669940" TargetMode="External"/><Relationship Id="rId700" Type="http://schemas.openxmlformats.org/officeDocument/2006/relationships/hyperlink" Target="https://www.nytimes.com/2000/12/28/us/a-deadly-turn-to-a-normal-work-day.html" TargetMode="External"/><Relationship Id="rId1123" Type="http://schemas.openxmlformats.org/officeDocument/2006/relationships/hyperlink" Target="https://nypost.com/2010/08/15/death-do-they-part/" TargetMode="External"/><Relationship Id="rId1330" Type="http://schemas.openxmlformats.org/officeDocument/2006/relationships/hyperlink" Target="https://www.latimes.com/local/lanow/la-me-isle-vista-massacre-alt-right-20180206-story.html" TargetMode="External"/><Relationship Id="rId1428" Type="http://schemas.openxmlformats.org/officeDocument/2006/relationships/hyperlink" Target="https://usa.greekreporter.com/2015/12/03/greek-american-nicholas-thalasinos-among-the-dead-at-san-bernardino-shooting/" TargetMode="External"/><Relationship Id="rId1635" Type="http://schemas.openxmlformats.org/officeDocument/2006/relationships/hyperlink" Target="https://www.latimes.com/projects/la-na-las-vegas-shootings-victims-list-20171002/" TargetMode="External"/><Relationship Id="rId1982" Type="http://schemas.openxmlformats.org/officeDocument/2006/relationships/hyperlink" Target="https://www.theguardian.com/us-news/2019/aug/09/el-paso-shooting-victims" TargetMode="External"/><Relationship Id="rId1842" Type="http://schemas.openxmlformats.org/officeDocument/2006/relationships/hyperlink" Target="https://baltimore.cbslocal.com/2019/06/28/capital-gazette-shooting-year-later/" TargetMode="External"/><Relationship Id="rId1702" Type="http://schemas.openxmlformats.org/officeDocument/2006/relationships/hyperlink" Target="https://aftercarecremation.com/tribute/details/877/Susan-Smith/obituary.html" TargetMode="External"/><Relationship Id="rId283" Type="http://schemas.openxmlformats.org/officeDocument/2006/relationships/hyperlink" Target="https://www.chicagotribune.com/news/ct-xpm-1988-09-23-8802010552-story.html" TargetMode="External"/><Relationship Id="rId490" Type="http://schemas.openxmlformats.org/officeDocument/2006/relationships/hyperlink" Target="https://www.nytimes.com/1995/04/04/us/6-die-in-texas-office-shooting.html" TargetMode="External"/><Relationship Id="rId143" Type="http://schemas.openxmlformats.org/officeDocument/2006/relationships/hyperlink" Target="https://www.washingtonpost.com/archive/politics/1983/12/15/after-murder-rampage-a-test-of-survival/08bb8578-7f36-4dde-b3ce-076fbcb61aff/?noredirect=on" TargetMode="External"/><Relationship Id="rId350" Type="http://schemas.openxmlformats.org/officeDocument/2006/relationships/hyperlink" Target="https://apnews.com/178201fa52edf751489ca0bdf15ca772" TargetMode="External"/><Relationship Id="rId588" Type="http://schemas.openxmlformats.org/officeDocument/2006/relationships/hyperlink" Target="https://kfor.com/news/15th-anniversary-of-tragic-columbine-high-school-shooting-heres-the-background/" TargetMode="External"/><Relationship Id="rId795" Type="http://schemas.openxmlformats.org/officeDocument/2006/relationships/hyperlink" Target="https://chippewa.com/news/sixth-hunter-dies-from-shooting/article_d22e4fca-621a-5bd1-a457-83d0af47bf18.html" TargetMode="External"/><Relationship Id="rId2031" Type="http://schemas.openxmlformats.org/officeDocument/2006/relationships/hyperlink" Target="https://www.nbcnews.com/news/us-news/victims-shooter-molson-coors-attack-identified-milwaukee-police-n1144551" TargetMode="External"/><Relationship Id="rId9" Type="http://schemas.openxmlformats.org/officeDocument/2006/relationships/hyperlink" Target="http://behindthetower.org/the-victims/" TargetMode="External"/><Relationship Id="rId210" Type="http://schemas.openxmlformats.org/officeDocument/2006/relationships/hyperlink" Target="https://books.google.com/books?id=Jv1pCwAAQBAJ&amp;pg=PA65&amp;lpg=PA65&amp;dq=%22patty+jean+husband%22+1986&amp;source=bl&amp;ots=5TrfeSufgJ&amp;sig=ACfU3U3iCH_mmRdwLuBKrR7OyV9iMuELGQ&amp;hl=en&amp;sa=X&amp;ved=2ahUKEwjwkLWi8aTpAhVLOs0KHRSpDJgQ6AEwCnoECAoQAQ" TargetMode="External"/><Relationship Id="rId448" Type="http://schemas.openxmlformats.org/officeDocument/2006/relationships/hyperlink" Target="https://www.latimes.com/archives/la-xpm-1993-12-03-mn-63506-story.html" TargetMode="External"/><Relationship Id="rId655" Type="http://schemas.openxmlformats.org/officeDocument/2006/relationships/hyperlink" Target="http://www.sbclife.net/article/521/remembering-the-slain" TargetMode="External"/><Relationship Id="rId862" Type="http://schemas.openxmlformats.org/officeDocument/2006/relationships/hyperlink" Target="https://archive.seattletimes.com/archive/?date=20060718&amp;slug=huff18m" TargetMode="External"/><Relationship Id="rId1078" Type="http://schemas.openxmlformats.org/officeDocument/2006/relationships/hyperlink" Target="https://www.kwtx.com/content/news/10-minutes-of-gunfire-10-years-ago-left-13-dead-more-than-30-injured-564365711.html" TargetMode="External"/><Relationship Id="rId1285" Type="http://schemas.openxmlformats.org/officeDocument/2006/relationships/hyperlink" Target="https://www.dignitymemorial.com/obituaries/sumner-wa/ceasar-valdovinos-5509073" TargetMode="External"/><Relationship Id="rId1492" Type="http://schemas.openxmlformats.org/officeDocument/2006/relationships/hyperlink" Target="https://www.nytimes.com/interactive/projects/cp/us/orlando-shooting-victims/paul-terrell-henry" TargetMode="External"/><Relationship Id="rId308" Type="http://schemas.openxmlformats.org/officeDocument/2006/relationships/hyperlink" Target="https://www.courier-journal.com/in-depth/news/local/2019/09/12/louisvilles-standard-gravure-shooting-anniversary-all-victims/2284348001/" TargetMode="External"/><Relationship Id="rId515" Type="http://schemas.openxmlformats.org/officeDocument/2006/relationships/hyperlink" Target="https://www.latimes.com/archives/la-xpm-1996-04-25-mn-62698-story.html" TargetMode="External"/><Relationship Id="rId722" Type="http://schemas.openxmlformats.org/officeDocument/2006/relationships/hyperlink" Target="https://www.latimes.com/archives/la-xpm-2001-feb-06-mn-21695-story.html" TargetMode="External"/><Relationship Id="rId1145" Type="http://schemas.openxmlformats.org/officeDocument/2006/relationships/hyperlink" Target="https://www.nytimes.com/2011/01/09/us/politics/09giffords.html" TargetMode="External"/><Relationship Id="rId1352" Type="http://schemas.openxmlformats.org/officeDocument/2006/relationships/hyperlink" Target="https://www.nytimes.com/2015/06/20/us/charleston-shooting-dylann-storm-roof.html" TargetMode="External"/><Relationship Id="rId1797" Type="http://schemas.openxmlformats.org/officeDocument/2006/relationships/hyperlink" Target="https://www.cnn.com/2018/02/15/us/florida-shooting-victims-school/index.html" TargetMode="External"/><Relationship Id="rId89" Type="http://schemas.openxmlformats.org/officeDocument/2006/relationships/hyperlink" Target="https://books.google.com/books?id=S2_sCTYDA8cC&amp;pg=PR11&amp;lpg=PR11&amp;dq=kenneth+truitt+1980&amp;source=bl&amp;ots=eDc7RrDzXE&amp;sig=ACfU3U3k4vtPtpQDucJ1OSi83JjNIYOang&amp;hl=en&amp;sa=X&amp;ved=2ahUKEwj33_3s067pAhWEKM0KHYvPCJ4Q6AEwEnoECAoQAQ" TargetMode="External"/><Relationship Id="rId1005" Type="http://schemas.openxmlformats.org/officeDocument/2006/relationships/hyperlink" Target="https://murderpedia.org/male.H/h/higdon-wesley-photos.htm" TargetMode="External"/><Relationship Id="rId1212" Type="http://schemas.openxmlformats.org/officeDocument/2006/relationships/hyperlink" Target="https://www.cbsnews.com/pictures/the-aurora-shooting-victims/6/" TargetMode="External"/><Relationship Id="rId1657" Type="http://schemas.openxmlformats.org/officeDocument/2006/relationships/hyperlink" Target="https://www.latimes.com/projects/la-na-las-vegas-shootings-victims-list-20171002/" TargetMode="External"/><Relationship Id="rId1864" Type="http://schemas.openxmlformats.org/officeDocument/2006/relationships/hyperlink" Target="https://www.npr.org/2018/10/28/661530860/pittsburgh-synagogue-shooting-victims-identified" TargetMode="External"/><Relationship Id="rId1517" Type="http://schemas.openxmlformats.org/officeDocument/2006/relationships/hyperlink" Target="https://www.npr.org/sections/thetwo-way/2016/06/12/481785763/heres-what-we-know-about-the-orlando-shooting-victims" TargetMode="External"/><Relationship Id="rId1724" Type="http://schemas.openxmlformats.org/officeDocument/2006/relationships/hyperlink" Target="https://www.nbcnews.com/storyline/texas-church-shooting/texas-church-shooting-who-were-victims-sutherland-springs-massacre-n818356" TargetMode="External"/><Relationship Id="rId16" Type="http://schemas.openxmlformats.org/officeDocument/2006/relationships/hyperlink" Target="https://www.nydailynews.com/news/crime/beauty-salon-massacre-article-1.273663" TargetMode="External"/><Relationship Id="rId1931" Type="http://schemas.openxmlformats.org/officeDocument/2006/relationships/hyperlink" Target="https://www.dignitymemorial.com/obituaries/virginia-beach-va/alexander-gusev-8731053" TargetMode="External"/><Relationship Id="rId165" Type="http://schemas.openxmlformats.org/officeDocument/2006/relationships/hyperlink" Target="https://www.leagle.com/decision/19851408699sw2d70911316" TargetMode="External"/><Relationship Id="rId372" Type="http://schemas.openxmlformats.org/officeDocument/2006/relationships/hyperlink" Target="https://www.washingtonpost.com/archive/politics/1991/11/11/gunman-kills-four-and-self-in-kentucky/c3111990-c0ec-48f8-9200-4fa837a1dba4/" TargetMode="External"/><Relationship Id="rId677" Type="http://schemas.openxmlformats.org/officeDocument/2006/relationships/hyperlink" Target="https://www.dallasnews.com/news/2012/09/20/texas-executes-man-who-murdered-5-at-irving-car-wash-12-years-ago/" TargetMode="External"/><Relationship Id="rId232" Type="http://schemas.openxmlformats.org/officeDocument/2006/relationships/hyperlink" Target="https://www.nytimes.com/1986/08/21/us/mail-carrier-kills-14-in-post-office-then-himself.html" TargetMode="External"/><Relationship Id="rId884" Type="http://schemas.openxmlformats.org/officeDocument/2006/relationships/hyperlink" Target="https://www.ksl.com/index.php?&amp;sid=891728" TargetMode="External"/><Relationship Id="rId537" Type="http://schemas.openxmlformats.org/officeDocument/2006/relationships/hyperlink" Target="https://www.seattletimes.com/nation-world/families-still-mourning-from-bartow-mass-murder-20-years-ago/" TargetMode="External"/><Relationship Id="rId744" Type="http://schemas.openxmlformats.org/officeDocument/2006/relationships/hyperlink" Target="https://www.chicagotribune.com/news/ct-xpm-2002-03-23-0203230127-story.html" TargetMode="External"/><Relationship Id="rId951" Type="http://schemas.openxmlformats.org/officeDocument/2006/relationships/hyperlink" Target="https://www.remembrance.vt.edu/biographies/sherman.html" TargetMode="External"/><Relationship Id="rId1167" Type="http://schemas.openxmlformats.org/officeDocument/2006/relationships/hyperlink" Target="https://www.muhleisen.com/obituaries/Heath-Kelly/" TargetMode="External"/><Relationship Id="rId1374" Type="http://schemas.openxmlformats.org/officeDocument/2006/relationships/hyperlink" Target="https://www.theguardian.com/us-news/2015/oct/04/oregon-shooting-one-of-victims-was-british-mother-attending-college" TargetMode="External"/><Relationship Id="rId1581" Type="http://schemas.openxmlformats.org/officeDocument/2006/relationships/hyperlink" Target="https://www.wlbt.com/story/34450224/family-believes-yazoo-city-quadruple-shooting-is-not-a-coincidence/" TargetMode="External"/><Relationship Id="rId1679" Type="http://schemas.openxmlformats.org/officeDocument/2006/relationships/hyperlink" Target="https://www.latimes.com/projects/la-na-las-vegas-shootings-victims-list-20171002/" TargetMode="External"/><Relationship Id="rId80" Type="http://schemas.openxmlformats.org/officeDocument/2006/relationships/hyperlink" Target="https://books.google.com/books?id=S2_sCTYDA8cC&amp;pg=PR11&amp;lpg=PR11&amp;dq=kenneth+truitt+1980&amp;source=bl&amp;ots=eDc7RrDzXE&amp;sig=ACfU3U3k4vtPtpQDucJ1OSi83JjNIYOang&amp;hl=en&amp;sa=X&amp;ved=2ahUKEwj33_3s067pAhWEKM0KHYvPCJ4Q6AEwEnoECAoQAQ" TargetMode="External"/><Relationship Id="rId604" Type="http://schemas.openxmlformats.org/officeDocument/2006/relationships/hyperlink" Target="https://kfor.com/news/15th-anniversary-of-tragic-columbine-high-school-shooting-heres-the-background/" TargetMode="External"/><Relationship Id="rId811" Type="http://schemas.openxmlformats.org/officeDocument/2006/relationships/hyperlink" Target="https://www.newyorker.com/magazine/2008/02/04/death-in-georgia" TargetMode="External"/><Relationship Id="rId1027" Type="http://schemas.openxmlformats.org/officeDocument/2006/relationships/hyperlink" Target="https://www.thepilot.com/news/dispatches-from-the-deadliest-mass-shooting-in-n-c-history/article_590664de-33bd-11e8-ad8b-6b7c2c1fa20d.html" TargetMode="External"/><Relationship Id="rId1234" Type="http://schemas.openxmlformats.org/officeDocument/2006/relationships/hyperlink" Target="http://www.startribune.com/andrew-engeldinger-lost-his-job-then-opened-fire-killing-5/171774461/" TargetMode="External"/><Relationship Id="rId1441" Type="http://schemas.openxmlformats.org/officeDocument/2006/relationships/hyperlink" Target="https://www.battlecreekenquirer.com/story/news/local/2016/02/22/shooting-victim-judy-brown-compassionate-gentle-soul/80765152/" TargetMode="External"/><Relationship Id="rId1886" Type="http://schemas.openxmlformats.org/officeDocument/2006/relationships/hyperlink" Target="https://www.ajc.com/news/national/thousand-oaks-shooting-what-know-about-the-victims/9QraYxz120zL2OsCfuuuhP/" TargetMode="External"/><Relationship Id="rId909" Type="http://schemas.openxmlformats.org/officeDocument/2006/relationships/hyperlink" Target="https://www.npr.org/2007/04/18/9618673/remembering-virginia-techs-shooting-victims" TargetMode="External"/><Relationship Id="rId1301" Type="http://schemas.openxmlformats.org/officeDocument/2006/relationships/hyperlink" Target="https://www.dailymail.co.uk/news/article-2380010/Florida-gunman-Pedro-Vargas-kills-Florida-apartment-complex.html" TargetMode="External"/><Relationship Id="rId1539" Type="http://schemas.openxmlformats.org/officeDocument/2006/relationships/hyperlink" Target="https://www.npr.org/sections/thetwo-way/2016/06/12/481785763/heres-what-we-know-about-the-orlando-shooting-victims" TargetMode="External"/><Relationship Id="rId1746" Type="http://schemas.openxmlformats.org/officeDocument/2006/relationships/hyperlink" Target="https://www.nbcnews.com/storyline/texas-church-shooting/texas-church-shooting-who-were-victims-sutherland-springs-massacre-n818356" TargetMode="External"/><Relationship Id="rId1953" Type="http://schemas.openxmlformats.org/officeDocument/2006/relationships/hyperlink" Target="https://www.ktsm.com/news/el-paso-strong/family-identifies-walmart-shooting-victim-as-arturo-benavides/" TargetMode="External"/><Relationship Id="rId38" Type="http://schemas.openxmlformats.org/officeDocument/2006/relationships/hyperlink" Target="https://www.nydailynews.com/news/crime/experts-clueless-man-fatally-shot-50-years-article-1.3548519" TargetMode="External"/><Relationship Id="rId1606" Type="http://schemas.openxmlformats.org/officeDocument/2006/relationships/hyperlink" Target="https://www.findagrave.com/memorial/183931123/carrie-rae-barnette" TargetMode="External"/><Relationship Id="rId1813" Type="http://schemas.openxmlformats.org/officeDocument/2006/relationships/hyperlink" Target="https://www.essence.com/news/waffle-house-massacre-victims/" TargetMode="External"/><Relationship Id="rId187" Type="http://schemas.openxmlformats.org/officeDocument/2006/relationships/hyperlink" Target="https://www.findagrave.com/memorial/39822035/jackie-lynn-reyes" TargetMode="External"/><Relationship Id="rId394" Type="http://schemas.openxmlformats.org/officeDocument/2006/relationships/hyperlink" Target="https://www.sacbee.com/news/local/crime/article203031444.html" TargetMode="External"/><Relationship Id="rId254" Type="http://schemas.openxmlformats.org/officeDocument/2006/relationships/hyperlink" Target="https://www.theledger.com/article/LK/20070430/News/608097071/LL" TargetMode="External"/><Relationship Id="rId699" Type="http://schemas.openxmlformats.org/officeDocument/2006/relationships/hyperlink" Target="https://www.gettyimages.com/detail/news-photo/brian-britney-walks-back-to-his-seat-after-placing-a-flower-news-photo/51972772?adppopup=true" TargetMode="External"/><Relationship Id="rId1091" Type="http://schemas.openxmlformats.org/officeDocument/2006/relationships/hyperlink" Target="https://www.latimes.com/local/lanow/la-me-ln-man-convicted-of-killing-four--20160315-story.html" TargetMode="External"/><Relationship Id="rId114" Type="http://schemas.openxmlformats.org/officeDocument/2006/relationships/hyperlink" Target="https://news.google.com/newspapers?id=JA4LAAAAIBAJ&amp;sjid=yVEDAAAAIBAJ&amp;pg=5061,3848480&amp;dq=john+parish" TargetMode="External"/><Relationship Id="rId461" Type="http://schemas.openxmlformats.org/officeDocument/2006/relationships/hyperlink" Target="https://www.denverpost.com/2013/02/21/slaughter-in-aurora-the-victims/" TargetMode="External"/><Relationship Id="rId559" Type="http://schemas.openxmlformats.org/officeDocument/2006/relationships/hyperlink" Target="https://www.findagrave.com/memorial/6438590/britthney-ryen-varner_wilson" TargetMode="External"/><Relationship Id="rId766" Type="http://schemas.openxmlformats.org/officeDocument/2006/relationships/hyperlink" Target="https://www.nytimes.com/2003/07/09/us/man-kills-5-co-workers-at-plant-and-himself.html" TargetMode="External"/><Relationship Id="rId1189" Type="http://schemas.openxmlformats.org/officeDocument/2006/relationships/hyperlink" Target="https://www.ocregister.com/2011/10/14/police-id-victims-in-seal-beach-shooting/" TargetMode="External"/><Relationship Id="rId1396" Type="http://schemas.openxmlformats.org/officeDocument/2006/relationships/hyperlink" Target="https://www.dallasnews.com/news/crime/2017/11/08/killer-quickly-convicted-for-slaughtering-6-at-east-texas-campsite/" TargetMode="External"/><Relationship Id="rId321" Type="http://schemas.openxmlformats.org/officeDocument/2006/relationships/hyperlink" Target="https://www.latimes.com/archives/la-xpm-1990-06-19-mn-52-story.html" TargetMode="External"/><Relationship Id="rId419" Type="http://schemas.openxmlformats.org/officeDocument/2006/relationships/hyperlink" Target="http://www.zpub.com/sf/1993/ferrib.html" TargetMode="External"/><Relationship Id="rId626" Type="http://schemas.openxmlformats.org/officeDocument/2006/relationships/hyperlink" Target="https://www.nytimes.com/1999/07/31/us/shootings-in-atlanta-the-victims-drawn-to-their-deaths-by-lives-in-day-trading.html" TargetMode="External"/><Relationship Id="rId973" Type="http://schemas.openxmlformats.org/officeDocument/2006/relationships/hyperlink" Target="https://www.chicagotribune.com/news/ct-xpm-2008-02-10-0802090484-story.html" TargetMode="External"/><Relationship Id="rId1049" Type="http://schemas.openxmlformats.org/officeDocument/2006/relationships/hyperlink" Target="https://www.nytimes.com/2009/04/06/nyregion/06victims.html" TargetMode="External"/><Relationship Id="rId1256" Type="http://schemas.openxmlformats.org/officeDocument/2006/relationships/hyperlink" Target="https://www.scmp.com/news/world/article/1106985/parents-pay-tribute-children-killed-connecticut-school-massacre" TargetMode="External"/><Relationship Id="rId2002" Type="http://schemas.openxmlformats.org/officeDocument/2006/relationships/hyperlink" Target="https://www.nytimes.com/2019/08/05/us/dayton-shooting-victims.html" TargetMode="External"/><Relationship Id="rId833" Type="http://schemas.openxmlformats.org/officeDocument/2006/relationships/hyperlink" Target="https://www.mprnews.org/story/2015/03/18/red-lake-victims" TargetMode="External"/><Relationship Id="rId1116" Type="http://schemas.openxmlformats.org/officeDocument/2006/relationships/hyperlink" Target="https://www.findagrave.com/memorial/55848006?search=true" TargetMode="External"/><Relationship Id="rId1463" Type="http://schemas.openxmlformats.org/officeDocument/2006/relationships/hyperlink" Target="https://www.nytimes.com/interactive/projects/cp/us/orlando-shooting-victims/rodolfo-ayala-ayala" TargetMode="External"/><Relationship Id="rId1670" Type="http://schemas.openxmlformats.org/officeDocument/2006/relationships/hyperlink" Target="https://people.com/crime/las-vegas-shooting-victims-names-photos-tributes/?slide=5947109" TargetMode="External"/><Relationship Id="rId1768" Type="http://schemas.openxmlformats.org/officeDocument/2006/relationships/hyperlink" Target="https://www.theguardian.com/us-news/2018/jan/28/five-dead-shooting-pennsylvania-car-wash-melcroft-saltlick-township" TargetMode="External"/><Relationship Id="rId900" Type="http://schemas.openxmlformats.org/officeDocument/2006/relationships/hyperlink" Target="http://www.nbcnews.com/id/18143312/ns/us_news-crime_and_courts/t/profiles-victims-virginia-tech-massacre/" TargetMode="External"/><Relationship Id="rId1323" Type="http://schemas.openxmlformats.org/officeDocument/2006/relationships/hyperlink" Target="https://www.nbcnews.com/news/us-news/ex-tribe-leader-accused-kill-spree-has-first-court-appearance-n38751" TargetMode="External"/><Relationship Id="rId1530" Type="http://schemas.openxmlformats.org/officeDocument/2006/relationships/hyperlink" Target="https://www.npr.org/sections/thetwo-way/2016/06/12/481785763/heres-what-we-know-about-the-orlando-shooting-victims" TargetMode="External"/><Relationship Id="rId1628" Type="http://schemas.openxmlformats.org/officeDocument/2006/relationships/hyperlink" Target="https://people.com/crime/las-vegas-shooting-victims-names-photos-tributes/?slide=5948471" TargetMode="External"/><Relationship Id="rId1975" Type="http://schemas.openxmlformats.org/officeDocument/2006/relationships/hyperlink" Target="https://www.cnn.com/2019/08/04/us/el-paso-shooting-victims/index.html" TargetMode="External"/><Relationship Id="rId1835" Type="http://schemas.openxmlformats.org/officeDocument/2006/relationships/hyperlink" Target="https://www.washingtonpost.com/local/public-safety/jarrod-ramos-admits-guilt-in-capital-gazette-shooting-that-killed-5/2019/10/28/39bcd226-f990-11e9-ac8c-8eced29ca6ef_story.html" TargetMode="External"/><Relationship Id="rId1902" Type="http://schemas.openxmlformats.org/officeDocument/2006/relationships/hyperlink" Target="https://time.com/5513090/florida-bank-shooting-victims/" TargetMode="External"/><Relationship Id="rId276" Type="http://schemas.openxmlformats.org/officeDocument/2006/relationships/hyperlink" Target="https://www.upi.com/Archives/1988/07/19/Hospital-denies-commitment-sought-for-gunman/1978585288000/" TargetMode="External"/><Relationship Id="rId483" Type="http://schemas.openxmlformats.org/officeDocument/2006/relationships/hyperlink" Target="https://www.nytimes.com/1995/04/04/us/6-die-in-texas-office-shooting.html" TargetMode="External"/><Relationship Id="rId690" Type="http://schemas.openxmlformats.org/officeDocument/2006/relationships/hyperlink" Target="http://old.post-gazette.com/regionstate/20000429shootings2.asp" TargetMode="External"/><Relationship Id="rId136" Type="http://schemas.openxmlformats.org/officeDocument/2006/relationships/hyperlink" Target="https://www.nytimes.com/1983/02/04/nyregion/gunman-kills-four-and-wounds-a-fifth-at-a-west-side-hotel.html" TargetMode="External"/><Relationship Id="rId343" Type="http://schemas.openxmlformats.org/officeDocument/2006/relationships/hyperlink" Target="https://kdhnews.com/news/survivors-reflect-on-oct-luby-s-shooting/article_e2660bfc-d24a-5566-a65f-a67a9fe6365b.html" TargetMode="External"/><Relationship Id="rId550" Type="http://schemas.openxmlformats.org/officeDocument/2006/relationships/hyperlink" Target="https://www.nhregister.com/news/article/Connecticut-Lottery-shootings-20-years-ago-12731552.php" TargetMode="External"/><Relationship Id="rId788" Type="http://schemas.openxmlformats.org/officeDocument/2006/relationships/hyperlink" Target="http://www.nbcnews.com/id/5353964/ns/us_news-crime_and_courts/t/six-dead-kansas-workplace-shooting/" TargetMode="External"/><Relationship Id="rId995" Type="http://schemas.openxmlformats.org/officeDocument/2006/relationships/hyperlink" Target="https://www.newspapers.com/clip/27575578/santa-maria-times/" TargetMode="External"/><Relationship Id="rId1180" Type="http://schemas.openxmlformats.org/officeDocument/2006/relationships/hyperlink" Target="https://www.latimes.com/local/lanow/la-me-ln-scott-dekraai-sentencing-20170922-story.html" TargetMode="External"/><Relationship Id="rId2024" Type="http://schemas.openxmlformats.org/officeDocument/2006/relationships/hyperlink" Target="https://www.nytimes.com/2019/12/11/nyregion/jersey-city-victims.html" TargetMode="External"/><Relationship Id="rId203" Type="http://schemas.openxmlformats.org/officeDocument/2006/relationships/hyperlink" Target="https://apnews.com/c5d8552f56a7d24ddb1d7e57738d8242" TargetMode="External"/><Relationship Id="rId648" Type="http://schemas.openxmlformats.org/officeDocument/2006/relationships/hyperlink" Target="https://www.abc10.com/article/news/local/those-who-were-at-wedgwood-baptist-church-attack-remember-but-arent-haunted/287-411382472" TargetMode="External"/><Relationship Id="rId855" Type="http://schemas.openxmlformats.org/officeDocument/2006/relationships/hyperlink" Target="https://www.findagrave.com/memorial/13754512/jeremy-robert-martin" TargetMode="External"/><Relationship Id="rId1040" Type="http://schemas.openxmlformats.org/officeDocument/2006/relationships/hyperlink" Target="https://www.nytimes.com/2009/04/06/nyregion/06victims.html" TargetMode="External"/><Relationship Id="rId1278" Type="http://schemas.openxmlformats.org/officeDocument/2006/relationships/hyperlink" Target="https://www.wktv.com/content/news/Memorial-Walk-planned-to-honor-the-victims-of-the-Mohawk-and-Herkimer-shootings-in-2013-476605513.html" TargetMode="External"/><Relationship Id="rId1485" Type="http://schemas.openxmlformats.org/officeDocument/2006/relationships/hyperlink" Target="https://www.npr.org/sections/thetwo-way/2016/06/12/481785763/heres-what-we-know-about-the-orlando-shooting-victims" TargetMode="External"/><Relationship Id="rId1692" Type="http://schemas.openxmlformats.org/officeDocument/2006/relationships/hyperlink" Target="https://www.findagrave.com/memorial/183925374/christopher-louis-roybal" TargetMode="External"/><Relationship Id="rId410" Type="http://schemas.openxmlformats.org/officeDocument/2006/relationships/hyperlink" Target="https://www.latimes.com/archives/la-xpm-1992-11-09-mn-151-story.html" TargetMode="External"/><Relationship Id="rId508" Type="http://schemas.openxmlformats.org/officeDocument/2006/relationships/hyperlink" Target="https://apnews.com/cec11122f0b4c232725599b3ae3d7bcf" TargetMode="External"/><Relationship Id="rId715" Type="http://schemas.openxmlformats.org/officeDocument/2006/relationships/hyperlink" Target="https://www.latimes.com/archives/la-xpm-2001-jan-10-mn-10586-story.html" TargetMode="External"/><Relationship Id="rId922" Type="http://schemas.openxmlformats.org/officeDocument/2006/relationships/hyperlink" Target="https://www.npr.org/2007/04/18/9618673/remembering-virginia-techs-shooting-victims" TargetMode="External"/><Relationship Id="rId1138" Type="http://schemas.openxmlformats.org/officeDocument/2006/relationships/hyperlink" Target="https://tucson.com/news/local/watch-moment-of-silence-tonight-on-house-floor-to-honor/article_0f7c3e24-136e-11e9-9289-93a495a6085b.html" TargetMode="External"/><Relationship Id="rId1345" Type="http://schemas.openxmlformats.org/officeDocument/2006/relationships/hyperlink" Target="https://www.cbsnews.com/news/charleston-church-shooting-victims-remembered-dylann-roof-trial/" TargetMode="External"/><Relationship Id="rId1552" Type="http://schemas.openxmlformats.org/officeDocument/2006/relationships/hyperlink" Target="https://www.nydailynews.com/news/national/washington-mall-shooting-suspect-captured-24-hour-manhunt-article-1.2804917" TargetMode="External"/><Relationship Id="rId1997" Type="http://schemas.openxmlformats.org/officeDocument/2006/relationships/hyperlink" Target="https://kvia.com/news/el-paso/2020/04/26/last-remaining-hospital-patient-from-aug-3-el-paso-mass-shooting-has-died/" TargetMode="External"/><Relationship Id="rId1205" Type="http://schemas.openxmlformats.org/officeDocument/2006/relationships/hyperlink" Target="https://www.seattletimes.com/seattle-news/gunman-a-life-full-of-rage-a-shocking-final-act/" TargetMode="External"/><Relationship Id="rId1857" Type="http://schemas.openxmlformats.org/officeDocument/2006/relationships/hyperlink" Target="https://www.timesofisrael.com/how-the-pittsburgh-synagogue-shooting-unfolded/" TargetMode="External"/><Relationship Id="rId51" Type="http://schemas.openxmlformats.org/officeDocument/2006/relationships/hyperlink" Target="https://newspaperarchive.com/ironwood-daily-globe-mar-18-1968-p-1/" TargetMode="External"/><Relationship Id="rId1412" Type="http://schemas.openxmlformats.org/officeDocument/2006/relationships/hyperlink" Target="https://www.latimes.com/local/lanow/la-me-ln-san-bernardino-shooting-victims-htmlstory.html" TargetMode="External"/><Relationship Id="rId1717" Type="http://schemas.openxmlformats.org/officeDocument/2006/relationships/hyperlink" Target="https://www.nbcnews.com/storyline/texas-church-shooting/texas-church-shooting-who-were-victims-sutherland-springs-massacre-n818356" TargetMode="External"/><Relationship Id="rId1924" Type="http://schemas.openxmlformats.org/officeDocument/2006/relationships/hyperlink" Target="https://www.npr.org/2019/06/01/728903700/what-we-know-about-the-virginia-beach-mass-shooting-victims" TargetMode="External"/><Relationship Id="rId298" Type="http://schemas.openxmlformats.org/officeDocument/2006/relationships/hyperlink" Target="https://www.courier-journal.com/in-depth/news/local/2019/09/12/louisvilles-standard-gravure-shooting-anniversary-all-victims/2284348001/" TargetMode="External"/><Relationship Id="rId158"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365" Type="http://schemas.openxmlformats.org/officeDocument/2006/relationships/hyperlink" Target="https://www.desmoinesregister.com/story/news/2018/11/01/gang-lu-shooting-university-iowa-campus-iowa-city-guns-handgun-jessup-hall-van-allen-jessup-hall/1847462002/" TargetMode="External"/><Relationship Id="rId572" Type="http://schemas.openxmlformats.org/officeDocument/2006/relationships/hyperlink" Target="https://www.nytimes.com/1999/03/12/us/louisiana-shooting-kills-3-at-church-and-one-at-home.html" TargetMode="External"/><Relationship Id="rId225" Type="http://schemas.openxmlformats.org/officeDocument/2006/relationships/hyperlink" Target="https://books.google.com/books?id=Jv1pCwAAQBAJ&amp;pg=PA65&amp;lpg=PA65&amp;dq=%22patty+jean+husband%22+1986&amp;source=bl&amp;ots=5TrfeSufgJ&amp;sig=ACfU3U3iCH_mmRdwLuBKrR7OyV9iMuELGQ&amp;hl=en&amp;sa=X&amp;ved=2ahUKEwjwkLWi8aTpAhVLOs0KHRSpDJgQ6AEwCnoECAoQAQ" TargetMode="External"/><Relationship Id="rId432" Type="http://schemas.openxmlformats.org/officeDocument/2006/relationships/hyperlink" Target="https://www.nytimes.com/1993/08/08/us/soldier-kills-4-people-and-hurts-6-in-a-restaurant-in-north-carolina.html" TargetMode="External"/><Relationship Id="rId877" Type="http://schemas.openxmlformats.org/officeDocument/2006/relationships/hyperlink" Target="https://www.pennlive.com/crime/2019/10/remembering-the-west-nickel-mines-amish-school-shooting-in-2006.html" TargetMode="External"/><Relationship Id="rId1062" Type="http://schemas.openxmlformats.org/officeDocument/2006/relationships/hyperlink" Target="https://www.pressconnects.com/story/news/local/2019/03/27/aca-american-civic-association-binghamton-shooting-victims-obituaries/3224600002/" TargetMode="External"/><Relationship Id="rId737" Type="http://schemas.openxmlformats.org/officeDocument/2006/relationships/hyperlink" Target="https://www.theguardian.com/world/2001/sep/11/duncancampbell" TargetMode="External"/><Relationship Id="rId944" Type="http://schemas.openxmlformats.org/officeDocument/2006/relationships/hyperlink" Target="https://www.npr.org/2007/04/18/9618673/remembering-virginia-techs-shooting-victims" TargetMode="External"/><Relationship Id="rId1367" Type="http://schemas.openxmlformats.org/officeDocument/2006/relationships/hyperlink" Target="https://www.nbcnews.com/news/latino/oregon-victim-lucero-alcaraz-19-would-have-been-great-pediatric-n438721" TargetMode="External"/><Relationship Id="rId1574" Type="http://schemas.openxmlformats.org/officeDocument/2006/relationships/hyperlink" Target="https://www.wjtv.com/news/jpd-u-s-marshals-arrest-man-wanted-in-connection-with-yazoo-city-murders/" TargetMode="External"/><Relationship Id="rId1781" Type="http://schemas.openxmlformats.org/officeDocument/2006/relationships/hyperlink" Target="https://www.jta.org/2018/02/15/united-states/remembering-the-lives-of-the-parkland-shootings-jewish-victims" TargetMode="External"/><Relationship Id="rId73" Type="http://schemas.openxmlformats.org/officeDocument/2006/relationships/hyperlink" Target="https://www.nytimes.com/1978/06/19/archives/new-jersey-pages-rhode-island-cook-is-arraigned-in-4-shooting.html" TargetMode="External"/><Relationship Id="rId804" Type="http://schemas.openxmlformats.org/officeDocument/2006/relationships/hyperlink" Target="https://alchetron.com/Chai-Vang" TargetMode="External"/><Relationship Id="rId1227" Type="http://schemas.openxmlformats.org/officeDocument/2006/relationships/hyperlink" Target="https://www.cnn.com/2012/08/06/us/wisconsin-temple-shooting/index.html" TargetMode="External"/><Relationship Id="rId1434" Type="http://schemas.openxmlformats.org/officeDocument/2006/relationships/hyperlink" Target="https://www.washingtonpost.com/news/post-nation/wp/2016/12/02/one-year-after-san-bernardino-police-offer-a-possible-motive-as-questions-still-linger/" TargetMode="External"/><Relationship Id="rId1641" Type="http://schemas.openxmlformats.org/officeDocument/2006/relationships/hyperlink" Target="https://www.latimes.com/projects/la-na-las-vegas-shootings-victims-list-20171002/" TargetMode="External"/><Relationship Id="rId1879" Type="http://schemas.openxmlformats.org/officeDocument/2006/relationships/hyperlink" Target="https://losangeles.cbslocal.com/2019/11/07/1-year-anniversary-thousand-oaks-borderline-bar-shooting/" TargetMode="External"/><Relationship Id="rId1501" Type="http://schemas.openxmlformats.org/officeDocument/2006/relationships/hyperlink" Target="https://www.nytimes.com/interactive/projects/cp/us/orlando-shooting-victims/eddie-jamoldroy-justice" TargetMode="External"/><Relationship Id="rId1739" Type="http://schemas.openxmlformats.org/officeDocument/2006/relationships/hyperlink" Target="https://www.everhere.com/us/obituaries/tx/floresville/tara-e-mcnulty-6395798" TargetMode="External"/><Relationship Id="rId1946" Type="http://schemas.openxmlformats.org/officeDocument/2006/relationships/hyperlink" Target="https://www.legacy.com/obituaries/name/robert-williams-sr-obituary?pid=193095650" TargetMode="External"/><Relationship Id="rId1806" Type="http://schemas.openxmlformats.org/officeDocument/2006/relationships/hyperlink" Target="https://www.nytimes.com/2018/04/23/us/waffle-house-victims.html" TargetMode="External"/><Relationship Id="rId387" Type="http://schemas.openxmlformats.org/officeDocument/2006/relationships/hyperlink" Target="https://schoolshooters.info/sites/default/files/California-v-Houston-2007.pdf" TargetMode="External"/><Relationship Id="rId594" Type="http://schemas.openxmlformats.org/officeDocument/2006/relationships/hyperlink" Target="https://www.dispatch.com/photogallery/oh/20180419/news/419009991/PH/1" TargetMode="External"/><Relationship Id="rId247" Type="http://schemas.openxmlformats.org/officeDocument/2006/relationships/hyperlink" Target="https://www.nytimes.com/1986/08/21/us/mail-carrier-kills-14-in-post-office-then-himself.html" TargetMode="External"/><Relationship Id="rId899" Type="http://schemas.openxmlformats.org/officeDocument/2006/relationships/hyperlink" Target="https://www.remembrance.vt.edu/biographies/clark.html" TargetMode="External"/><Relationship Id="rId1084" Type="http://schemas.openxmlformats.org/officeDocument/2006/relationships/hyperlink" Target="https://www.kwtx.com/content/news/10-minutes-of-gunfire-10-years-ago-left-13-dead-more-than-30-injured-564365711.html" TargetMode="External"/><Relationship Id="rId107" Type="http://schemas.openxmlformats.org/officeDocument/2006/relationships/hyperlink" Target="https://books.google.com/books?id=DIG_9oBssrAC&amp;pg=PA51&amp;lpg=PA51&amp;dq=charles+meach&amp;source=bl&amp;ots=fgCGwyJsod&amp;sig=ACfU3U2wd_Re8Gj71lbgOQtDv7Qpp7RMHg&amp;hl=en&amp;sa=X&amp;ved=2ahUKEwiNuf7X2q7pAhWQXM0KHVNsAJgQ6AEwEHoECBIQAQ" TargetMode="External"/><Relationship Id="rId454" Type="http://schemas.openxmlformats.org/officeDocument/2006/relationships/hyperlink" Target="https://www.nytimes.com/1993/12/11/nyregion/death-on-lirr-gathering-to-mourn-lives-lost-on-train.html" TargetMode="External"/><Relationship Id="rId661" Type="http://schemas.openxmlformats.org/officeDocument/2006/relationships/hyperlink" Target="https://www.khon2.com/xerox-murders/" TargetMode="External"/><Relationship Id="rId759" Type="http://schemas.openxmlformats.org/officeDocument/2006/relationships/hyperlink" Target="https://www.meridianstar.com/news/local_news/street-to-be-renamed/article_76e15169-48e9-5445-977c-0298ceb67d73.html" TargetMode="External"/><Relationship Id="rId966" Type="http://schemas.openxmlformats.org/officeDocument/2006/relationships/hyperlink" Target="http://bpnews.net/27000/wedgwood-prays-for-families-of-colorado-shooting-victims" TargetMode="External"/><Relationship Id="rId1291" Type="http://schemas.openxmlformats.org/officeDocument/2006/relationships/hyperlink" Target="https://losangeles.cbslocal.com/2013/06/13/coroner-releases-report-in-santa-monica-shootings/" TargetMode="External"/><Relationship Id="rId1389" Type="http://schemas.openxmlformats.org/officeDocument/2006/relationships/hyperlink" Target="https://www.oregonlive.com/pacific-northwest-news/2015/10/oregon_school_shooting_sarena.html" TargetMode="External"/><Relationship Id="rId1596" Type="http://schemas.openxmlformats.org/officeDocument/2006/relationships/hyperlink" Target="https://www.washingtonpost.com/news/post-nation/wp/2017/06/05/multiple-people-killed-in-shooting-at-florida-business/" TargetMode="External"/><Relationship Id="rId314" Type="http://schemas.openxmlformats.org/officeDocument/2006/relationships/hyperlink" Target="https://www.latimes.com/archives/la-xpm-1990-06-19-mn-52-story.html" TargetMode="External"/><Relationship Id="rId521" Type="http://schemas.openxmlformats.org/officeDocument/2006/relationships/hyperlink" Target="http://content.time.com/time/magazine/article/0,9171,138219,00.html" TargetMode="External"/><Relationship Id="rId619" Type="http://schemas.openxmlformats.org/officeDocument/2006/relationships/hyperlink" Target="https://books.google.com/books?id=cmTxCQAAQBAJ&amp;pg=PA54&amp;lpg=PA54&amp;dq=mark+barton+mass+shooting+1999+victims+vadewattee&amp;source=bl&amp;ots=eXXCR-fOtz&amp;sig=ACfU3U0niaqr9dHu3TQf8KQPlGYI9Wqi7g&amp;hl=en&amp;ppis=_e&amp;sa=X&amp;ved=2ahUKEwiB0u6B8LDoAhXRU80KHSv0AoYQ6AEwA3oECAoQAQ" TargetMode="External"/><Relationship Id="rId1151" Type="http://schemas.openxmlformats.org/officeDocument/2006/relationships/hyperlink" Target="https://abcnews.go.com/US/ohio-gunman-hunted-child-shooting-rampage-girlfriend-lone/story?id=14255204" TargetMode="External"/><Relationship Id="rId1249" Type="http://schemas.openxmlformats.org/officeDocument/2006/relationships/hyperlink" Target="https://www.businessinsider.com/who-were-the-victims-of-the-sandy-hook-shooting-2017-12" TargetMode="External"/><Relationship Id="rId95" Type="http://schemas.openxmlformats.org/officeDocument/2006/relationships/hyperlink" Target="https://www.upi.com/Archives/1981/08/20/The-closest-friend-in-the-Army-of-accused-sniper/1977367128000/" TargetMode="External"/><Relationship Id="rId826" Type="http://schemas.openxmlformats.org/officeDocument/2006/relationships/hyperlink" Target="http://www.nbcnews.com/id/7167861/ns/us_news-crime_and_courts/t/relatives-struggle-answers-after-shooting/" TargetMode="External"/><Relationship Id="rId1011" Type="http://schemas.openxmlformats.org/officeDocument/2006/relationships/hyperlink" Target="https://www.seattlepi.com/seattlenews/article/Isaac-Zamora-10781621.php" TargetMode="External"/><Relationship Id="rId1109" Type="http://schemas.openxmlformats.org/officeDocument/2006/relationships/hyperlink" Target="https://www.nytimes.com/2010/08/04/nyregion/04shooting.html?mtrref=www.google.com" TargetMode="External"/><Relationship Id="rId1456" Type="http://schemas.openxmlformats.org/officeDocument/2006/relationships/hyperlink" Target="https://pittsburgh.cbslocal.com/2020/02/14/families-of-wilkinsburg-mass-shooting-justice/" TargetMode="External"/><Relationship Id="rId1663" Type="http://schemas.openxmlformats.org/officeDocument/2006/relationships/hyperlink" Target="https://www.latimes.com/projects/la-na-las-vegas-shootings-victims-list-20171002/" TargetMode="External"/><Relationship Id="rId1870" Type="http://schemas.openxmlformats.org/officeDocument/2006/relationships/hyperlink" Target="https://www.npr.org/2018/10/28/661530860/pittsburgh-synagogue-shooting-victims-identified" TargetMode="External"/><Relationship Id="rId1968" Type="http://schemas.openxmlformats.org/officeDocument/2006/relationships/hyperlink" Target="https://www.cbsnews.com/news/el-paso-shooting-victims-what-we-know-about-the-victims-at-texas-walmart-mass-shooting-2019-08-05/" TargetMode="External"/><Relationship Id="rId1316" Type="http://schemas.openxmlformats.org/officeDocument/2006/relationships/hyperlink" Target="https://www.findagrave.com/memorial/117210420/vishnu-shalchendia-pandit" TargetMode="External"/><Relationship Id="rId1523" Type="http://schemas.openxmlformats.org/officeDocument/2006/relationships/hyperlink" Target="https://www.nytimes.com/interactive/projects/cp/us/orlando-shooting-victims/juanp-rivera-velazquez" TargetMode="External"/><Relationship Id="rId1730" Type="http://schemas.openxmlformats.org/officeDocument/2006/relationships/hyperlink" Target="https://www.findagrave.com/memorial/184994052/noah-grace-holcombe" TargetMode="External"/><Relationship Id="rId22" Type="http://schemas.openxmlformats.org/officeDocument/2006/relationships/hyperlink" Target="https://www.nydailynews.com/news/crime/beauty-salon-massacre-article-1.273663" TargetMode="External"/><Relationship Id="rId1828" Type="http://schemas.openxmlformats.org/officeDocument/2006/relationships/hyperlink" Target="https://www.crowderfuneralhome.com/obituaries/christopher-jake-stone/" TargetMode="External"/><Relationship Id="rId171" Type="http://schemas.openxmlformats.org/officeDocument/2006/relationships/hyperlink" Target="https://www.findagrave.com/memorial/39820884/elsa-herlinda-borboa_firro" TargetMode="External"/><Relationship Id="rId269" Type="http://schemas.openxmlformats.org/officeDocument/2006/relationships/hyperlink" Target="https://www.leagle.com/decision/incaco20090702055" TargetMode="External"/><Relationship Id="rId476" Type="http://schemas.openxmlformats.org/officeDocument/2006/relationships/hyperlink" Target="https://apnews.com/d0126666cf574fca9f1e9c109cb4c923" TargetMode="External"/><Relationship Id="rId683" Type="http://schemas.openxmlformats.org/officeDocument/2006/relationships/hyperlink" Target="https://www.dallasnews.com/news/2012/09/20/texas-executes-man-who-murdered-5-at-irving-car-wash-12-years-ago/" TargetMode="External"/><Relationship Id="rId890" Type="http://schemas.openxmlformats.org/officeDocument/2006/relationships/hyperlink" Target="https://www.goodhousekeeping.com/life/inspirational-stories/a25825/vickie-walker-circle-the-wagons/" TargetMode="External"/><Relationship Id="rId129" Type="http://schemas.openxmlformats.org/officeDocument/2006/relationships/hyperlink" Target="https://www.newspapers.com/image/?clipping_id=36003733&amp;fcfToken=eyJhbGciOiJIUzI1NiIsInR5cCI6IkpXVCJ9.eyJmcmVlLXZpZXctaWQiOjMwMzAwNjg4NywiaWF0IjoxNTg5MzAwODg0LCJleHAiOjE1ODkzODcyODR9.j1-Dk-Px3745MeI8Xlv5fTWi4Ed_kN8LKxSsJtgnIbc" TargetMode="External"/><Relationship Id="rId336" Type="http://schemas.openxmlformats.org/officeDocument/2006/relationships/hyperlink" Target="https://www.findagrave.com/memorial/716462/alphonse-gratia" TargetMode="External"/><Relationship Id="rId543" Type="http://schemas.openxmlformats.org/officeDocument/2006/relationships/hyperlink" Target="https://www.ocregister.com/2011/10/13/seal-beach-shooting-worst-in-oc-history-2/" TargetMode="External"/><Relationship Id="rId988" Type="http://schemas.openxmlformats.org/officeDocument/2006/relationships/hyperlink" Target="https://www.nytimes.com/2008/02/15/us/15cnd-shoot.html" TargetMode="External"/><Relationship Id="rId1173" Type="http://schemas.openxmlformats.org/officeDocument/2006/relationships/hyperlink" Target="https://www.latimes.com/world/la-xpm-2011-sep-08-la-na-carson-shooting-20110908-story.html" TargetMode="External"/><Relationship Id="rId1380" Type="http://schemas.openxmlformats.org/officeDocument/2006/relationships/hyperlink" Target="https://www.theguardian.com/us-news/2015/oct/02/oregon-shooting-victims-identified-lucero-alcaraz-rebecka-carnes" TargetMode="External"/><Relationship Id="rId2017" Type="http://schemas.openxmlformats.org/officeDocument/2006/relationships/hyperlink" Target="https://www.usatoday.com/story/news/nation/2019/09/02/texas-shootings-midland-odessa-what-we-know-rampage-victims/2190982001/" TargetMode="External"/><Relationship Id="rId403" Type="http://schemas.openxmlformats.org/officeDocument/2006/relationships/hyperlink" Target="https://www.nytimes.com/1992/10/16/nyregion/gunman-kills-4-who-collected-child-payments.html" TargetMode="External"/><Relationship Id="rId750" Type="http://schemas.openxmlformats.org/officeDocument/2006/relationships/hyperlink" Target="https://www.legacy.com/obituaries/name/billy-knox-obituary?pid=826495" TargetMode="External"/><Relationship Id="rId848" Type="http://schemas.openxmlformats.org/officeDocument/2006/relationships/hyperlink" Target="https://www.findagrave.com/memorial/51488189/nicola-michelle-grant" TargetMode="External"/><Relationship Id="rId1033" Type="http://schemas.openxmlformats.org/officeDocument/2006/relationships/hyperlink" Target="https://www.nytimes.com/2009/04/12/nyregion/12binghamton.html" TargetMode="External"/><Relationship Id="rId1478" Type="http://schemas.openxmlformats.org/officeDocument/2006/relationships/hyperlink" Target="https://www.npr.org/sections/thetwo-way/2016/06/12/481785763/heres-what-we-know-about-the-orlando-shooting-victims" TargetMode="External"/><Relationship Id="rId1685" Type="http://schemas.openxmlformats.org/officeDocument/2006/relationships/hyperlink" Target="https://www.latimes.com/projects/la-na-las-vegas-shootings-victims-list-20171002/" TargetMode="External"/><Relationship Id="rId1892" Type="http://schemas.openxmlformats.org/officeDocument/2006/relationships/hyperlink" Target="https://losangeles.cbslocal.com/2019/11/07/1-year-anniversary-thousand-oaks-borderline-bar-shooting/" TargetMode="External"/><Relationship Id="rId610" Type="http://schemas.openxmlformats.org/officeDocument/2006/relationships/hyperlink" Target="https://murderpedia.org/male.F/f/floyd-zane-photos.htm" TargetMode="External"/><Relationship Id="rId708" Type="http://schemas.openxmlformats.org/officeDocument/2006/relationships/hyperlink" Target="https://www.nytimes.com/2000/12/28/us/a-deadly-turn-to-a-normal-work-day.html" TargetMode="External"/><Relationship Id="rId915" Type="http://schemas.openxmlformats.org/officeDocument/2006/relationships/hyperlink" Target="https://www.standard.co.uk/news/massacre-gunmans-deadly-infatuation-with-emily-7238319.html" TargetMode="External"/><Relationship Id="rId1240" Type="http://schemas.openxmlformats.org/officeDocument/2006/relationships/hyperlink" Target="https://www.mprnews.org/story/2012/10/11/sixth-victim-in-shooting-rampage-dies" TargetMode="External"/><Relationship Id="rId1338" Type="http://schemas.openxmlformats.org/officeDocument/2006/relationships/hyperlink" Target="https://www.kiro7.com/news/survivor-marysville-school-shooting-told-police-gi/27079664/" TargetMode="External"/><Relationship Id="rId1545" Type="http://schemas.openxmlformats.org/officeDocument/2006/relationships/hyperlink" Target="https://www.latimes.com/nation/la-na-dallas-police-shooting-20160708-snap-story.html" TargetMode="External"/><Relationship Id="rId1100" Type="http://schemas.openxmlformats.org/officeDocument/2006/relationships/hyperlink" Target="https://www.cbsnews.com/news/florida-man-kills-four-women-in-restaurant-shooting-police-say/" TargetMode="External"/><Relationship Id="rId1405" Type="http://schemas.openxmlformats.org/officeDocument/2006/relationships/hyperlink" Target="https://www.latimes.com/local/lanow/la-me-ln-san-bernardino-shooting-victims-htmlstory.html" TargetMode="External"/><Relationship Id="rId1752" Type="http://schemas.openxmlformats.org/officeDocument/2006/relationships/hyperlink" Target="https://www.nbcnews.com/storyline/texas-church-shooting/texas-church-shooting-who-were-victims-sutherland-springs-massacre-n818356" TargetMode="External"/><Relationship Id="rId44" Type="http://schemas.openxmlformats.org/officeDocument/2006/relationships/hyperlink" Target="https://newspaperarchive.com/ironwood-daily-globe-mar-18-1968-p-1/" TargetMode="External"/><Relationship Id="rId1612" Type="http://schemas.openxmlformats.org/officeDocument/2006/relationships/hyperlink" Target="https://people.com/crime/las-vegas-shooting-victims-names-photos-tributes/?slide=5952821" TargetMode="External"/><Relationship Id="rId1917" Type="http://schemas.openxmlformats.org/officeDocument/2006/relationships/hyperlink" Target="https://www.chicagotribune.com/suburbs/aurora-beacon-news/ct-met-cb-aurora-illinois-shooting-updates-20190216-story.html" TargetMode="External"/><Relationship Id="rId193" Type="http://schemas.openxmlformats.org/officeDocument/2006/relationships/hyperlink" Target="https://archive.org/details/541408-james-oliver-huberty/page/n1/mode/2up" TargetMode="External"/><Relationship Id="rId498" Type="http://schemas.openxmlformats.org/officeDocument/2006/relationships/hyperlink" Target="https://www.nytimes.com/1995/12/20/us/5-are-killed-by-gunman-in-bronx-shoe-store.html" TargetMode="External"/><Relationship Id="rId260" Type="http://schemas.openxmlformats.org/officeDocument/2006/relationships/hyperlink" Target="https://www.washingtonpost.com/archive/politics/1988/02/18/sudden-death-in-sunnyvale/4f50e5d7-0804-4a56-a2af-ced693c3b577/" TargetMode="External"/><Relationship Id="rId120" Type="http://schemas.openxmlformats.org/officeDocument/2006/relationships/hyperlink" Target="https://www.nytimes.com/1982/08/21/us/gunman-in-miami-kills-8-in-rampage.html" TargetMode="External"/><Relationship Id="rId358" Type="http://schemas.openxmlformats.org/officeDocument/2006/relationships/hyperlink" Target="https://apnews.com/178201fa52edf751489ca0bdf15ca772" TargetMode="External"/><Relationship Id="rId565" Type="http://schemas.openxmlformats.org/officeDocument/2006/relationships/hyperlink" Target="https://www.registerguard.com/news/20180519/remembering-victims-of-may-1998-thurston-shooting" TargetMode="External"/><Relationship Id="rId772" Type="http://schemas.openxmlformats.org/officeDocument/2006/relationships/hyperlink" Target="https://www.findagrave.com/memorial/150807806/alan-earl-weiner" TargetMode="External"/><Relationship Id="rId1195" Type="http://schemas.openxmlformats.org/officeDocument/2006/relationships/hyperlink" Target="https://www.ocregister.com/2011/10/14/police-id-victims-in-seal-beach-shooting/" TargetMode="External"/><Relationship Id="rId2039" Type="http://schemas.openxmlformats.org/officeDocument/2006/relationships/hyperlink" Target="https://www.nbcnews.com/news/us-news/victims-shooter-molson-coors-attack-identified-milwaukee-police-n1144551" TargetMode="External"/><Relationship Id="rId218" Type="http://schemas.openxmlformats.org/officeDocument/2006/relationships/hyperlink" Target="https://www.findagrave.com/memorial/51397556/patricia-ann-gabbard" TargetMode="External"/><Relationship Id="rId425" Type="http://schemas.openxmlformats.org/officeDocument/2006/relationships/hyperlink" Target="https://www.sfchronicle.com/nation/article/legacy-of-93-SF-rampage-13038894.php" TargetMode="External"/><Relationship Id="rId632" Type="http://schemas.openxmlformats.org/officeDocument/2006/relationships/hyperlink" Target="https://www.findagrave.com/memorial/45301827/jamshid-havash" TargetMode="External"/><Relationship Id="rId1055" Type="http://schemas.openxmlformats.org/officeDocument/2006/relationships/hyperlink" Target="https://www.nytimes.com/2009/04/06/nyregion/06victims.html" TargetMode="External"/><Relationship Id="rId1262" Type="http://schemas.openxmlformats.org/officeDocument/2006/relationships/hyperlink" Target="https://www.businessinsider.com/who-were-the-victims-of-the-sandy-hook-shooting-2017-12" TargetMode="External"/><Relationship Id="rId937" Type="http://schemas.openxmlformats.org/officeDocument/2006/relationships/hyperlink" Target="https://www.remembrance.vt.edu/biographies/perez.html" TargetMode="External"/><Relationship Id="rId1122" Type="http://schemas.openxmlformats.org/officeDocument/2006/relationships/hyperlink" Target="https://buffalonews.com/2017/10/21/seven-years-city-grill-shootings-fifth-victim-dies/" TargetMode="External"/><Relationship Id="rId1567" Type="http://schemas.openxmlformats.org/officeDocument/2006/relationships/hyperlink" Target="https://www.latimes.com/nation/la-na-florida-airport-shooting-20180523-story.html" TargetMode="External"/><Relationship Id="rId1774" Type="http://schemas.openxmlformats.org/officeDocument/2006/relationships/hyperlink" Target="https://www.theguardian.com/us-news/2018/jan/28/five-dead-shooting-pennsylvania-car-wash-melcroft-saltlick-township" TargetMode="External"/><Relationship Id="rId1981" Type="http://schemas.openxmlformats.org/officeDocument/2006/relationships/hyperlink" Target="https://www.cbsnews.com/news/el-paso-shooting-victims-what-we-know-about-the-victims-at-texas-walmart-mass-shooting-2019-08-05/" TargetMode="External"/><Relationship Id="rId66" Type="http://schemas.openxmlformats.org/officeDocument/2006/relationships/hyperlink" Target="https://www.latimes.com/socal/weekend/news/tn-wknd-et-0703-cal-state-fullerton-memorial-20160702-story.html" TargetMode="External"/><Relationship Id="rId1427" Type="http://schemas.openxmlformats.org/officeDocument/2006/relationships/hyperlink" Target="https://www.latimes.com/local/lanow/la-me-ln-san-bernardino-shooting-victims-htmlstory.html" TargetMode="External"/><Relationship Id="rId1634" Type="http://schemas.openxmlformats.org/officeDocument/2006/relationships/hyperlink" Target="https://www.findagrave.com/memorial/183921964/dana-leann-gardner" TargetMode="External"/><Relationship Id="rId1841" Type="http://schemas.openxmlformats.org/officeDocument/2006/relationships/hyperlink" Target="https://www.washingtonpost.com/local/public-safety/jarrod-ramos-admits-guilt-in-capital-gazette-shooting-that-killed-5/2019/10/28/39bcd226-f990-11e9-ac8c-8eced29ca6ef_story.html" TargetMode="External"/><Relationship Id="rId1939" Type="http://schemas.openxmlformats.org/officeDocument/2006/relationships/hyperlink" Target="https://www.hollomon-brown.com/obituaries/Katherine-Anne-Marie-Lusich-Nixon?obId=4443739" TargetMode="External"/><Relationship Id="rId1701" Type="http://schemas.openxmlformats.org/officeDocument/2006/relationships/hyperlink" Target="https://www.latimes.com/projects/la-na-las-vegas-shootings-victims-list-20171002/" TargetMode="External"/><Relationship Id="rId282" Type="http://schemas.openxmlformats.org/officeDocument/2006/relationships/hyperlink" Target="https://www.chicagotribune.com/news/ct-met-irma-ruiz-30-years-20180928-story.html" TargetMode="External"/><Relationship Id="rId587" Type="http://schemas.openxmlformats.org/officeDocument/2006/relationships/hyperlink" Target="https://www.dispatch.com/photogallery/oh/20180419/news/419009991/PH/1" TargetMode="External"/><Relationship Id="rId8" Type="http://schemas.openxmlformats.org/officeDocument/2006/relationships/hyperlink" Target="http://behindthetower.org/the-victims/" TargetMode="External"/><Relationship Id="rId142" Type="http://schemas.openxmlformats.org/officeDocument/2006/relationships/hyperlink" Target="https://www.findagrave.com/memorial/130487739/amy-lou-nash" TargetMode="External"/><Relationship Id="rId447" Type="http://schemas.openxmlformats.org/officeDocument/2006/relationships/hyperlink" Target="http://archive.vcstar.com/news/shattered-lives-ep-371064179-352927291.html/" TargetMode="External"/><Relationship Id="rId794" Type="http://schemas.openxmlformats.org/officeDocument/2006/relationships/hyperlink" Target="http://news.minnesota.publicradio.org/features/2004/11/22_kelleherb_huntershooting/" TargetMode="External"/><Relationship Id="rId1077" Type="http://schemas.openxmlformats.org/officeDocument/2006/relationships/hyperlink" Target="https://www.kwtx.com/content/news/10-minutes-of-gunfire-10-years-ago-left-13-dead-more-than-30-injured-564365711.html" TargetMode="External"/><Relationship Id="rId2030" Type="http://schemas.openxmlformats.org/officeDocument/2006/relationships/hyperlink" Target="https://abcnews.go.com/US/molson-coors-reopens-increased-security-mass-shooting-killed/story?id=69333618" TargetMode="External"/><Relationship Id="rId654" Type="http://schemas.openxmlformats.org/officeDocument/2006/relationships/hyperlink" Target="https://www.star-telegram.com/news/local/fort-worth/article234218492.html" TargetMode="External"/><Relationship Id="rId861" Type="http://schemas.openxmlformats.org/officeDocument/2006/relationships/hyperlink" Target="https://www.indianz.com/News/2006/03/28/alaska_native_m_1.asp" TargetMode="External"/><Relationship Id="rId959" Type="http://schemas.openxmlformats.org/officeDocument/2006/relationships/hyperlink" Target="https://www.omaha.com/news/local/von-maur-victims-gary-scharf-was-a-grown-up-boy/article_b47bc34e-c348-11e7-a2ac-2f00563c97fa.html" TargetMode="External"/><Relationship Id="rId1284" Type="http://schemas.openxmlformats.org/officeDocument/2006/relationships/hyperlink" Target="https://www.seattletimes.com/seattle-news/witnesses-among-5-dead-in-federal-way/" TargetMode="External"/><Relationship Id="rId1491" Type="http://schemas.openxmlformats.org/officeDocument/2006/relationships/hyperlink" Target="https://www.npr.org/sections/thetwo-way/2016/06/12/481785763/heres-what-we-know-about-the-orlando-shooting-victims" TargetMode="External"/><Relationship Id="rId1589" Type="http://schemas.openxmlformats.org/officeDocument/2006/relationships/hyperlink" Target="https://www.clickorlando.com/news/2018/03/15/5-takeaways-from-the-final-report-for-the-fiamma-workplace-shooting/" TargetMode="External"/><Relationship Id="rId307" Type="http://schemas.openxmlformats.org/officeDocument/2006/relationships/hyperlink" Target="https://apnews.com/d8fdf15390c4d3e614ca83a0d49ab018" TargetMode="External"/><Relationship Id="rId514" Type="http://schemas.openxmlformats.org/officeDocument/2006/relationships/hyperlink" Target="https://www.wlbt.com/story/18995724/new-book-details-shooting-rampage-at-jackson-fire-station/" TargetMode="External"/><Relationship Id="rId721" Type="http://schemas.openxmlformats.org/officeDocument/2006/relationships/hyperlink" Target="https://www.findagrave.com/memorial/5197534" TargetMode="External"/><Relationship Id="rId1144" Type="http://schemas.openxmlformats.org/officeDocument/2006/relationships/hyperlink" Target="https://tucson.com/news/local/watch-moment-of-silence-tonight-on-house-floor-to-honor/article_0f7c3e24-136e-11e9-9289-93a495a6085b.html" TargetMode="External"/><Relationship Id="rId1351" Type="http://schemas.openxmlformats.org/officeDocument/2006/relationships/hyperlink" Target="https://www.nytimes.com/2015/06/26/us/clementa-pinckney-felt-called-to-spiritual-and-political-service.html" TargetMode="External"/><Relationship Id="rId1449" Type="http://schemas.openxmlformats.org/officeDocument/2006/relationships/hyperlink" Target="https://triblive.com/local/pittsburgh-allegheny/cheron-shelton-acquitted-of-murder-in-wilkinsburg-6-mass-shooting-faces-new-gun-charge/" TargetMode="External"/><Relationship Id="rId1796" Type="http://schemas.openxmlformats.org/officeDocument/2006/relationships/hyperlink" Target="https://www.miamiherald.com/news/local/community/broward/article200978539.html" TargetMode="External"/><Relationship Id="rId88" Type="http://schemas.openxmlformats.org/officeDocument/2006/relationships/hyperlink" Target="https://news.google.com/newspapers?id=xtNWAAAAIBAJ&amp;sjid=O_kDAAAAIBAJ&amp;pg=5283%2C2408948" TargetMode="External"/><Relationship Id="rId819" Type="http://schemas.openxmlformats.org/officeDocument/2006/relationships/hyperlink" Target="https://www.google.com/books/edition/Martyrdom_in_Milwaukee/MzhVs1852I0C?hl=en&amp;gbpv=1&amp;bsq=picture" TargetMode="External"/><Relationship Id="rId1004" Type="http://schemas.openxmlformats.org/officeDocument/2006/relationships/hyperlink" Target="https://www.nytimes.com/2008/06/26/us/26factory.html" TargetMode="External"/><Relationship Id="rId1211" Type="http://schemas.openxmlformats.org/officeDocument/2006/relationships/hyperlink" Target="https://www.cbsnews.com/pictures/the-aurora-shooting-victims/15/" TargetMode="External"/><Relationship Id="rId1656" Type="http://schemas.openxmlformats.org/officeDocument/2006/relationships/hyperlink" Target="https://www.findagrave.com/memorial/183977935/kelsey-breanne-meadows" TargetMode="External"/><Relationship Id="rId1863" Type="http://schemas.openxmlformats.org/officeDocument/2006/relationships/hyperlink" Target="https://www.timesofisrael.com/how-the-pittsburgh-synagogue-shooting-unfolded/" TargetMode="External"/><Relationship Id="rId1309" Type="http://schemas.openxmlformats.org/officeDocument/2006/relationships/hyperlink" Target="https://www.cnn.com/2013/09/17/us/dc-navy-yard-victims/index.html" TargetMode="External"/><Relationship Id="rId1516" Type="http://schemas.openxmlformats.org/officeDocument/2006/relationships/hyperlink" Target="https://www.nytimes.com/interactive/projects/cp/us/orlando-shooting-victims/geraldoa-ortiz-jimenez" TargetMode="External"/><Relationship Id="rId1723" Type="http://schemas.openxmlformats.org/officeDocument/2006/relationships/hyperlink" Target="https://www.findagrave.com/memorial/184993786/gregory-lynn-hill" TargetMode="External"/><Relationship Id="rId1930" Type="http://schemas.openxmlformats.org/officeDocument/2006/relationships/hyperlink" Target="https://www.npr.org/2019/06/01/728903700/what-we-know-about-the-virginia-beach-mass-shooting-victims" TargetMode="External"/><Relationship Id="rId15" Type="http://schemas.openxmlformats.org/officeDocument/2006/relationships/hyperlink" Target="http://behindthetower.org/the-victims/" TargetMode="External"/><Relationship Id="rId164" Type="http://schemas.openxmlformats.org/officeDocument/2006/relationships/hyperlink" Target="https://www.google.com/books/edition/Worse_Than_Death/Hr3OBwP-lbUC?hl=en&amp;gbpv=1&amp;dq=abdelkrim+belachheb+marcell+mae+ford&amp;pg=PA93&amp;printsec=frontcover" TargetMode="External"/><Relationship Id="rId371" Type="http://schemas.openxmlformats.org/officeDocument/2006/relationships/hyperlink" Target="https://www.findagrave.com/memorial/8286811/palmer-lee-rousey" TargetMode="External"/><Relationship Id="rId469" Type="http://schemas.openxmlformats.org/officeDocument/2006/relationships/hyperlink" Target="https://www.spokesman.com/galleries/2010/jun/17/looking-back-fairchild-shootings/" TargetMode="External"/><Relationship Id="rId676" Type="http://schemas.openxmlformats.org/officeDocument/2006/relationships/hyperlink" Target="https://murderpedia.org/male.H/h/harris-robert-wayne-photos.htm" TargetMode="External"/><Relationship Id="rId883" Type="http://schemas.openxmlformats.org/officeDocument/2006/relationships/hyperlink" Target="https://www.sltrib.com/news/crime/2017/02/14/vigil-remembers-trolley-square-shooting-victims-10-years-after-attacks/" TargetMode="External"/><Relationship Id="rId1099" Type="http://schemas.openxmlformats.org/officeDocument/2006/relationships/hyperlink" Target="https://www.cbsnews.com/news/florida-man-kills-four-women-in-restaurant-shooting-police-say/" TargetMode="External"/><Relationship Id="rId231" Type="http://schemas.openxmlformats.org/officeDocument/2006/relationships/hyperlink" Target="https://books.google.com/books?id=Jv1pCwAAQBAJ&amp;pg=PA65&amp;lpg=PA65&amp;dq=%22patty+jean+husband%22+1986&amp;source=bl&amp;ots=5TrfeSufgJ&amp;sig=ACfU3U3iCH_mmRdwLuBKrR7OyV9iMuELGQ&amp;hl=en&amp;sa=X&amp;ved=2ahUKEwjwkLWi8aTpAhVLOs0KHRSpDJgQ6AEwCnoECAoQAQ" TargetMode="External"/><Relationship Id="rId329" Type="http://schemas.openxmlformats.org/officeDocument/2006/relationships/hyperlink" Target="https://www.nytimes.com/1991/10/11/nyregion/4-slain-in-2-new-jersey-attacks-and-former-postal-clerk-is-held.html?auth=login-email&amp;login=email" TargetMode="External"/><Relationship Id="rId536" Type="http://schemas.openxmlformats.org/officeDocument/2006/relationships/hyperlink" Target="https://www.theledger.com/news/20170512/fla-supreme-court-sets-aside-death-sentence-for-mass-murderer-nelson-serrano-in-bartow-slayings" TargetMode="External"/><Relationship Id="rId1166" Type="http://schemas.openxmlformats.org/officeDocument/2006/relationships/hyperlink" Target="http://www.ktvn.com/story/19478467/one-year-anniversary-of-ihop-shooting" TargetMode="External"/><Relationship Id="rId1373" Type="http://schemas.openxmlformats.org/officeDocument/2006/relationships/hyperlink" Target="https://www.nytimes.com/2015/10/10/us/roseburg-oregon-shooting-christopher-harper-mercer.html" TargetMode="External"/><Relationship Id="rId743" Type="http://schemas.openxmlformats.org/officeDocument/2006/relationships/hyperlink" Target="https://www.chicagotribune.com/news/ct-xpm-2002-03-23-0203230127-story.html" TargetMode="External"/><Relationship Id="rId950" Type="http://schemas.openxmlformats.org/officeDocument/2006/relationships/hyperlink" Target="http://www.nbcnews.com/id/18143312/ns/us_news-crime_and_courts/t/profiles-victims-virginia-tech-massacre/" TargetMode="External"/><Relationship Id="rId1026" Type="http://schemas.openxmlformats.org/officeDocument/2006/relationships/hyperlink" Target="https://www.nytimes.com/2009/03/30/us/30shooting.html" TargetMode="External"/><Relationship Id="rId1580" Type="http://schemas.openxmlformats.org/officeDocument/2006/relationships/hyperlink" Target="https://www.wjtv.com/news/jpd-u-s-marshals-arrest-man-wanted-in-connection-with-yazoo-city-murders/" TargetMode="External"/><Relationship Id="rId1678" Type="http://schemas.openxmlformats.org/officeDocument/2006/relationships/hyperlink" Target="https://people.com/crime/las-vegas-shooting-victims-names-photos-tributes/?slide=5953110" TargetMode="External"/><Relationship Id="rId1885" Type="http://schemas.openxmlformats.org/officeDocument/2006/relationships/hyperlink" Target="https://www.legacy.com/obituaries/venturacountystar/obituary.aspx?n=jacob-kenneth-dunham&amp;pid=190883966&amp;fhid=20243" TargetMode="External"/><Relationship Id="rId603" Type="http://schemas.openxmlformats.org/officeDocument/2006/relationships/hyperlink" Target="https://www.dispatch.com/photogallery/oh/20180419/news/419009991/PH/1" TargetMode="External"/><Relationship Id="rId810" Type="http://schemas.openxmlformats.org/officeDocument/2006/relationships/hyperlink" Target="https://www.cnn.com/2013/10/31/us/atlanta-courthouse-shootings-fast-facts/index.html" TargetMode="External"/><Relationship Id="rId908" Type="http://schemas.openxmlformats.org/officeDocument/2006/relationships/hyperlink" Target="https://www.remembrance.vt.edu/biographies/hammaren.html" TargetMode="External"/><Relationship Id="rId1233" Type="http://schemas.openxmlformats.org/officeDocument/2006/relationships/hyperlink" Target="https://www.mprnews.org/story/2012/10/03/friends-family-attend-service-for-shooting-victim" TargetMode="External"/><Relationship Id="rId1440" Type="http://schemas.openxmlformats.org/officeDocument/2006/relationships/hyperlink" Target="https://www.mlive.com/news/kalamazoo/2019/01/families-of-kalamazoo-uber-shooting-victims-prepare-for-trial.html" TargetMode="External"/><Relationship Id="rId1538" Type="http://schemas.openxmlformats.org/officeDocument/2006/relationships/hyperlink" Target="https://www.nytimes.com/interactive/projects/cp/us/orlando-shooting-victims/luis-daniel-wilson-leon" TargetMode="External"/><Relationship Id="rId1300" Type="http://schemas.openxmlformats.org/officeDocument/2006/relationships/hyperlink" Target="https://www.nytimes.com/2013/07/28/us/6-shot-dead-by-neighbor-at-building-near-miami.html" TargetMode="External"/><Relationship Id="rId1745" Type="http://schemas.openxmlformats.org/officeDocument/2006/relationships/hyperlink" Target="https://www.npr.org/2017/11/08/562740147/nobody-there-grandmother-lost-2-grandkids-daughter-in-law-at-texas-church" TargetMode="External"/><Relationship Id="rId1952" Type="http://schemas.openxmlformats.org/officeDocument/2006/relationships/hyperlink" Target="https://www.cbsnews.com/news/el-paso-shooting-victims-what-we-know-about-the-victims-at-texas-walmart-mass-shooting-2019-08-05/" TargetMode="External"/><Relationship Id="rId37" Type="http://schemas.openxmlformats.org/officeDocument/2006/relationships/hyperlink" Target="https://www.nydailynews.com/news/crime/experts-clueless-man-fatally-shot-50-years-article-1.3548519" TargetMode="External"/><Relationship Id="rId1605" Type="http://schemas.openxmlformats.org/officeDocument/2006/relationships/hyperlink" Target="https://www.latimes.com/projects/la-na-las-vegas-shootings-victims-list-20171002/" TargetMode="External"/><Relationship Id="rId1812" Type="http://schemas.openxmlformats.org/officeDocument/2006/relationships/hyperlink" Target="https://www.nytimes.com/2018/04/23/us/waffle-house-victims.html" TargetMode="External"/><Relationship Id="rId186" Type="http://schemas.openxmlformats.org/officeDocument/2006/relationships/hyperlink" Target="https://www.findagrave.com/memorial/39821871/jose-ruben-lozano_perez" TargetMode="External"/><Relationship Id="rId393" Type="http://schemas.openxmlformats.org/officeDocument/2006/relationships/hyperlink" Target="https://schoolshooters.info/sites/default/files/California-v-Houston-2007.pdf" TargetMode="External"/><Relationship Id="rId253" Type="http://schemas.openxmlformats.org/officeDocument/2006/relationships/hyperlink" Target="https://www.theledger.com/article/LK/20070430/News/608097071/LL" TargetMode="External"/><Relationship Id="rId460" Type="http://schemas.openxmlformats.org/officeDocument/2006/relationships/hyperlink" Target="https://www.nytimes.com/1993/12/16/us/gunman-kills-4-workers-at-colorado-restaurant.html" TargetMode="External"/><Relationship Id="rId698" Type="http://schemas.openxmlformats.org/officeDocument/2006/relationships/hyperlink" Target="https://www.nytimes.com/2000/12/28/us/a-deadly-turn-to-a-normal-work-day.html" TargetMode="External"/><Relationship Id="rId1090" Type="http://schemas.openxmlformats.org/officeDocument/2006/relationships/hyperlink" Target="https://hetq.am/en/article/74067" TargetMode="External"/><Relationship Id="rId113" Type="http://schemas.openxmlformats.org/officeDocument/2006/relationships/hyperlink" Target="https://www.upi.com/Archives/1982/08/09/Yes-I-know-hes-killing-people/2899397713600/" TargetMode="External"/><Relationship Id="rId320" Type="http://schemas.openxmlformats.org/officeDocument/2006/relationships/hyperlink" Target="https://apnews.com/c4f728f658582f5f99c5df0f906ec81a" TargetMode="External"/><Relationship Id="rId558" Type="http://schemas.openxmlformats.org/officeDocument/2006/relationships/hyperlink" Target="https://metro.co.uk/2019/07/29/school-shooter-murdered-four-kids-teacher-11-dies-head-car-crash-10480495/" TargetMode="External"/><Relationship Id="rId765" Type="http://schemas.openxmlformats.org/officeDocument/2006/relationships/hyperlink" Target="https://www.meridianstar.com/news/local_news/family-of-shooting-victim-places-focus-on-reconciliation/article_37129706-3fc4-11e6-bfa8-9b50a9fcbbe0.html" TargetMode="External"/><Relationship Id="rId972" Type="http://schemas.openxmlformats.org/officeDocument/2006/relationships/hyperlink" Target="https://www.stltoday.com/news/local/crime-and-courts/assailant-had-history-of-disputes-with-city/article_fc73d090-77da-11df-be3c-0017a4a78c22.html" TargetMode="External"/><Relationship Id="rId1188" Type="http://schemas.openxmlformats.org/officeDocument/2006/relationships/hyperlink" Target="https://www.latimes.com/local/lanow/la-me-ln-scott-dekraai-sentencing-20170922-story.html" TargetMode="External"/><Relationship Id="rId1395" Type="http://schemas.openxmlformats.org/officeDocument/2006/relationships/hyperlink" Target="https://www.washingtonpost.com/news/morning-mix/wp/2015/11/18/texas-campsite-massacre-that-claimed-6-caused-by-land-dispute-victims-ex-wife-says/" TargetMode="External"/><Relationship Id="rId2001" Type="http://schemas.openxmlformats.org/officeDocument/2006/relationships/hyperlink" Target="https://www.newcomerdayton.com/Obituary/174580/Monica-Brickhouse/Dayton-OH" TargetMode="External"/><Relationship Id="rId418" Type="http://schemas.openxmlformats.org/officeDocument/2006/relationships/hyperlink" Target="https://www.nytimes.com/1993/07/03/us/the-broker-who-killed-8-gunman-s-motives-a-puzzle.html" TargetMode="External"/><Relationship Id="rId625" Type="http://schemas.openxmlformats.org/officeDocument/2006/relationships/hyperlink" Target="https://www.nytimes.com/1999/07/31/us/shootings-in-atlanta-the-overview-killer-confessed-in-a-letter-spiked-with-rage.html" TargetMode="External"/><Relationship Id="rId832" Type="http://schemas.openxmlformats.org/officeDocument/2006/relationships/hyperlink" Target="https://www.mprnews.org/story/2015/03/18/red-lake-victims" TargetMode="External"/><Relationship Id="rId1048" Type="http://schemas.openxmlformats.org/officeDocument/2006/relationships/hyperlink" Target="https://schoolshooters.info/sites/default/files/Al-Salihi_v_Gander_Mountain.pdf" TargetMode="External"/><Relationship Id="rId1255" Type="http://schemas.openxmlformats.org/officeDocument/2006/relationships/hyperlink" Target="https://www.newsday.com/long-island/towns/islip-playground-honors-madeleine-hsu-sandy-hook-victim-1.8313226" TargetMode="External"/><Relationship Id="rId1462" Type="http://schemas.openxmlformats.org/officeDocument/2006/relationships/hyperlink" Target="https://www.npr.org/sections/thetwo-way/2016/06/12/481785763/heres-what-we-know-about-the-orlando-shooting-victims" TargetMode="External"/><Relationship Id="rId1115" Type="http://schemas.openxmlformats.org/officeDocument/2006/relationships/hyperlink" Target="https://www.fox61.com/article/news/local/outreach/awareness-months/vigil-marks-anniversary-of-deadly-workplace-shooting/520-9889e6ab-3d7a-43c1-862d-40160c55a573" TargetMode="External"/><Relationship Id="rId1322" Type="http://schemas.openxmlformats.org/officeDocument/2006/relationships/hyperlink" Target="https://www.nbcnews.com/news/us-news/ex-tribe-leader-accused-kill-spree-has-first-court-appearance-n38751" TargetMode="External"/><Relationship Id="rId1767" Type="http://schemas.openxmlformats.org/officeDocument/2006/relationships/hyperlink" Target="https://www.cbsnews.com/news/california-shooting-gunman-kevin-janson-neal-threatened-victim-son-neighbor/" TargetMode="External"/><Relationship Id="rId1974" Type="http://schemas.openxmlformats.org/officeDocument/2006/relationships/hyperlink" Target="https://www.nytimes.com/2019/08/04/us/el-paso-shooting-victims.html" TargetMode="External"/><Relationship Id="rId59" Type="http://schemas.openxmlformats.org/officeDocument/2006/relationships/hyperlink" Target="https://www.nydailynews.com/news/crime/fullerton-massacre-shooter-begs-freed-psych-hospital-article-1.2669940" TargetMode="External"/><Relationship Id="rId1627" Type="http://schemas.openxmlformats.org/officeDocument/2006/relationships/hyperlink" Target="https://www.latimes.com/projects/la-na-las-vegas-shootings-victims-list-20171002/" TargetMode="External"/><Relationship Id="rId1834" Type="http://schemas.openxmlformats.org/officeDocument/2006/relationships/hyperlink" Target="https://baltimore.cbslocal.com/2019/06/28/capital-gazette-shooting-year-later/" TargetMode="External"/><Relationship Id="rId1901" Type="http://schemas.openxmlformats.org/officeDocument/2006/relationships/hyperlink" Target="https://time.com/5513090/florida-bank-shooting-victims/" TargetMode="External"/><Relationship Id="rId275" Type="http://schemas.openxmlformats.org/officeDocument/2006/relationships/hyperlink" Target="https://www.upi.com/Archives/1988/07/19/Hospital-denies-commitment-sought-for-gunman/1978585288000/" TargetMode="External"/><Relationship Id="rId482" Type="http://schemas.openxmlformats.org/officeDocument/2006/relationships/hyperlink" Target="https://murderpedia.org/male.S/s/simpson-james-daniel.htm" TargetMode="External"/><Relationship Id="rId135" Type="http://schemas.openxmlformats.org/officeDocument/2006/relationships/hyperlink" Target="https://www.newspapers.com/newspage/144291821/" TargetMode="External"/><Relationship Id="rId342" Type="http://schemas.openxmlformats.org/officeDocument/2006/relationships/hyperlink" Target="https://www.findagrave.com/memorial/11074194/clodine-delphia-humphrey" TargetMode="External"/><Relationship Id="rId787" Type="http://schemas.openxmlformats.org/officeDocument/2006/relationships/hyperlink" Target="https://www.cbsnews.com/news/sixth-death-in-kc-rampage/" TargetMode="External"/><Relationship Id="rId994" Type="http://schemas.openxmlformats.org/officeDocument/2006/relationships/hyperlink" Target="https://lompocrecord.com/news/local/murder-charges-filed-in-salvage-yard-killings/article_49b0ac19-ca6c-5723-aa70-60fd86d7f70b.html" TargetMode="External"/><Relationship Id="rId2023" Type="http://schemas.openxmlformats.org/officeDocument/2006/relationships/hyperlink" Target="https://www.nbc12.com/2019/09/03/victims-odessa-mass-shooting/" TargetMode="External"/><Relationship Id="rId202" Type="http://schemas.openxmlformats.org/officeDocument/2006/relationships/hyperlink" Target="https://apnews.com/c5d8552f56a7d24ddb1d7e57738d8242" TargetMode="External"/><Relationship Id="rId647" Type="http://schemas.openxmlformats.org/officeDocument/2006/relationships/hyperlink" Target="https://www.abc10.com/article/news/local/those-who-were-at-wedgwood-baptist-church-attack-remember-but-arent-haunted/287-411382472" TargetMode="External"/><Relationship Id="rId854" Type="http://schemas.openxmlformats.org/officeDocument/2006/relationships/hyperlink" Target="https://lompocrecord.com/news/local/five-victims-of-goleta-killings-had-lompoc-connections/article_0908b84b-76d3-583e-ae72-b6bf2e891442.html" TargetMode="External"/><Relationship Id="rId1277" Type="http://schemas.openxmlformats.org/officeDocument/2006/relationships/hyperlink" Target="https://www.timestelegram.com/news/20180313/its-time-to-heal-walk-remembers-shooting-victims-survivors" TargetMode="External"/><Relationship Id="rId1484" Type="http://schemas.openxmlformats.org/officeDocument/2006/relationships/hyperlink" Target="https://www.npr.org/sections/thetwo-way/2016/06/12/481785763/heres-what-we-know-about-the-orlando-shooting-victims" TargetMode="External"/><Relationship Id="rId1691" Type="http://schemas.openxmlformats.org/officeDocument/2006/relationships/hyperlink" Target="https://www.latimes.com/projects/la-na-las-vegas-shootings-victims-list-20171002/" TargetMode="External"/><Relationship Id="rId507" Type="http://schemas.openxmlformats.org/officeDocument/2006/relationships/hyperlink" Target="https://apnews.com/cec11122f0b4c232725599b3ae3d7bcf" TargetMode="External"/><Relationship Id="rId714" Type="http://schemas.openxmlformats.org/officeDocument/2006/relationships/hyperlink" Target="https://books.google.com/books?id=1Tc7DwAAQBAJ&amp;pg=PT211&amp;lpg=PT211&amp;dq=ki+park+mass+shooting+2001+victim+kathy+chang&amp;source=bl&amp;ots=onImqEHmd_&amp;sig=ACfU3U14yOQ6I_KDzTd9lQppGKXxkqpqEA&amp;hl=en&amp;ppis=_e&amp;sa=X&amp;ved=2ahUKEwipyYbdvLHoAhWWZM0KHZnCDoEQ6AEwAXoECAoQAQ" TargetMode="External"/><Relationship Id="rId921" Type="http://schemas.openxmlformats.org/officeDocument/2006/relationships/hyperlink" Target="https://www.remembrance.vt.edu/biographies/lee.html" TargetMode="External"/><Relationship Id="rId1137" Type="http://schemas.openxmlformats.org/officeDocument/2006/relationships/hyperlink" Target="https://www.cnn.com/2013/06/10/us/arizona-safeway-shootings-fast-facts/index.html" TargetMode="External"/><Relationship Id="rId1344" Type="http://schemas.openxmlformats.org/officeDocument/2006/relationships/hyperlink" Target="https://www.nytimes.com/2015/06/20/us/charleston-shooting-dylann-storm-roof.html" TargetMode="External"/><Relationship Id="rId1551" Type="http://schemas.openxmlformats.org/officeDocument/2006/relationships/hyperlink" Target="https://www.seattletimes.com/seattle-news/crime/accused-cascade-mall-shooter-dies-in-snohomish-county-jail/" TargetMode="External"/><Relationship Id="rId1789" Type="http://schemas.openxmlformats.org/officeDocument/2006/relationships/hyperlink" Target="https://www.cnn.com/2018/02/15/us/florida-shooting-victims-school/index.html" TargetMode="External"/><Relationship Id="rId1996" Type="http://schemas.openxmlformats.org/officeDocument/2006/relationships/hyperlink" Target="https://www.theguardian.com/us-news/2019/aug/12/god-decided-to-take-them-together-el-paso-funeral-for-couple-married-for-60-years" TargetMode="External"/><Relationship Id="rId50" Type="http://schemas.openxmlformats.org/officeDocument/2006/relationships/hyperlink" Target="https://newspaperarchive.com/ironwood-daily-globe-mar-18-1968-p-1/" TargetMode="External"/><Relationship Id="rId1204" Type="http://schemas.openxmlformats.org/officeDocument/2006/relationships/hyperlink" Target="https://abcnews.go.com/US/ian-stawicki-seattle-cafe-racer-shooter-kills-shoots-citywide/story?id=16463885" TargetMode="External"/><Relationship Id="rId1411" Type="http://schemas.openxmlformats.org/officeDocument/2006/relationships/hyperlink" Target="https://www.washingtonpost.com/news/post-nation/wp/2016/12/02/one-year-after-san-bernardino-police-offer-a-possible-motive-as-questions-still-linger/" TargetMode="External"/><Relationship Id="rId1649" Type="http://schemas.openxmlformats.org/officeDocument/2006/relationships/hyperlink" Target="https://www.latimes.com/projects/la-na-las-vegas-shootings-victims-list-20171002/" TargetMode="External"/><Relationship Id="rId1856" Type="http://schemas.openxmlformats.org/officeDocument/2006/relationships/hyperlink" Target="https://www.npr.org/2018/10/28/661530860/pittsburgh-synagogue-shooting-victims-identified" TargetMode="External"/><Relationship Id="rId1509" Type="http://schemas.openxmlformats.org/officeDocument/2006/relationships/hyperlink" Target="https://www.nytimes.com/interactive/projects/cp/us/orlando-shooting-victims/akyra-monet-murray" TargetMode="External"/><Relationship Id="rId1716" Type="http://schemas.openxmlformats.org/officeDocument/2006/relationships/hyperlink" Target="https://www.nbcnews.com/storyline/texas-church-shooting/texas-church-shooting-who-were-victims-sutherland-springs-massacre-n818356" TargetMode="External"/><Relationship Id="rId1923" Type="http://schemas.openxmlformats.org/officeDocument/2006/relationships/hyperlink" Target="https://www.pretlowandsons.com/obituary/laquita-brown" TargetMode="External"/><Relationship Id="rId297" Type="http://schemas.openxmlformats.org/officeDocument/2006/relationships/hyperlink" Target="https://www.courier-journal.com/story/news/local/2016/01/19/standard-gravure-massacres-scars-remain/79018006/" TargetMode="External"/><Relationship Id="rId157" Type="http://schemas.openxmlformats.org/officeDocument/2006/relationships/hyperlink" Target="https://www.nytimes.com/1984/05/21/us/bodies-of-seven-sought-after-shootout-in-alaska.html" TargetMode="External"/><Relationship Id="rId364" Type="http://schemas.openxmlformats.org/officeDocument/2006/relationships/hyperlink" Target="https://www.desmoinesregister.com/story/news/2018/11/01/gang-lu-shooting-university-iowa-campus-iowa-city-guns-handgun-jessup-hall-van-allen-jessup-hall/1847462002/" TargetMode="External"/><Relationship Id="rId571" Type="http://schemas.openxmlformats.org/officeDocument/2006/relationships/hyperlink" Target="https://www.nytimes.com/1999/03/12/us/louisiana-shooting-kills-3-at-church-and-one-at-home.html" TargetMode="External"/><Relationship Id="rId669" Type="http://schemas.openxmlformats.org/officeDocument/2006/relationships/hyperlink" Target="https://www.khon2.com/xerox-murders/" TargetMode="External"/><Relationship Id="rId876" Type="http://schemas.openxmlformats.org/officeDocument/2006/relationships/hyperlink" Target="https://ashlandtidings.com/archive/amish-families-bury-shooting-victims" TargetMode="External"/><Relationship Id="rId1299" Type="http://schemas.openxmlformats.org/officeDocument/2006/relationships/hyperlink" Target="https://www.dailymail.co.uk/news/article-2380010/Florida-gunman-Pedro-Vargas-kills-Florida-apartment-complex.html" TargetMode="External"/><Relationship Id="rId224"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31" Type="http://schemas.openxmlformats.org/officeDocument/2006/relationships/hyperlink" Target="https://www.nytimes.com/1993/07/07/us/victims-of-chance-in-deadly-rampage.html" TargetMode="External"/><Relationship Id="rId529" Type="http://schemas.openxmlformats.org/officeDocument/2006/relationships/hyperlink" Target="https://www.aikenstandard.com/news/twenty-years-later-remembering-the-shooting-at-phelon-plant-in/article_4b5b7132-9983-11e7-b425-9f5c8ce770f8.html" TargetMode="External"/><Relationship Id="rId736" Type="http://schemas.openxmlformats.org/officeDocument/2006/relationships/hyperlink" Target="https://www.sfgate.com/news/article/Sacramento-rampage-5-shot-dead-Slayer-kills-2881164.php" TargetMode="External"/><Relationship Id="rId1061" Type="http://schemas.openxmlformats.org/officeDocument/2006/relationships/hyperlink" Target="https://www.nytimes.com/2009/04/06/nyregion/06victims.html" TargetMode="External"/><Relationship Id="rId1159" Type="http://schemas.openxmlformats.org/officeDocument/2006/relationships/hyperlink" Target="https://www.cleveland.com/metro/2011/08/copley_police_release_details.html" TargetMode="External"/><Relationship Id="rId1366" Type="http://schemas.openxmlformats.org/officeDocument/2006/relationships/hyperlink" Target="https://www.theguardian.com/us-news/2015/oct/02/oregon-shooting-victims-identified-lucero-alcaraz-rebecka-carnes" TargetMode="External"/><Relationship Id="rId943" Type="http://schemas.openxmlformats.org/officeDocument/2006/relationships/hyperlink" Target="https://www.remembrance.vt.edu/biographies/pryde.html" TargetMode="External"/><Relationship Id="rId1019" Type="http://schemas.openxmlformats.org/officeDocument/2006/relationships/hyperlink" Target="https://www.nytimes.com/2009/03/30/us/30shooting.html" TargetMode="External"/><Relationship Id="rId1573" Type="http://schemas.openxmlformats.org/officeDocument/2006/relationships/hyperlink" Target="https://www.clarionledger.com/story/news/local/2017/02/06/4-killed-yazoo-city-nightclub-shooting/97541814/" TargetMode="External"/><Relationship Id="rId1780" Type="http://schemas.openxmlformats.org/officeDocument/2006/relationships/hyperlink" Target="https://www.cnn.com/2018/02/15/us/florida-shooting-victims-school/index.html" TargetMode="External"/><Relationship Id="rId1878" Type="http://schemas.openxmlformats.org/officeDocument/2006/relationships/hyperlink" Target="https://www.ajc.com/news/national/thousand-oaks-shooting-what-know-about-the-victims/9QraYxz120zL2OsCfuuuhP/" TargetMode="External"/><Relationship Id="rId72" Type="http://schemas.openxmlformats.org/officeDocument/2006/relationships/hyperlink" Target="https://www.nytimes.com/1978/06/19/archives/new-jersey-pages-rhode-island-cook-is-arraigned-in-4-shooting.html" TargetMode="External"/><Relationship Id="rId803" Type="http://schemas.openxmlformats.org/officeDocument/2006/relationships/hyperlink" Target="http://news.minnesota.publicradio.org/features/2004/11/22_kelleherb_huntershooting/" TargetMode="External"/><Relationship Id="rId1226" Type="http://schemas.openxmlformats.org/officeDocument/2006/relationships/hyperlink" Target="https://www.cnn.com/2012/08/06/us/wisconsin-temple-shooting/index.html" TargetMode="External"/><Relationship Id="rId1433" Type="http://schemas.openxmlformats.org/officeDocument/2006/relationships/hyperlink" Target="https://www.latimes.com/local/lanow/la-me-ln-san-bernardino-shooting-victims-htmlstory.html" TargetMode="External"/><Relationship Id="rId1640" Type="http://schemas.openxmlformats.org/officeDocument/2006/relationships/hyperlink" Target="https://www.findagrave.com/memorial/183980176/christopher-james-hazencomb" TargetMode="External"/><Relationship Id="rId1738" Type="http://schemas.openxmlformats.org/officeDocument/2006/relationships/hyperlink" Target="https://www.nbcnews.com/storyline/texas-church-shooting/texas-church-shooting-who-were-victims-sutherland-springs-massacre-n818356" TargetMode="External"/><Relationship Id="rId1500" Type="http://schemas.openxmlformats.org/officeDocument/2006/relationships/hyperlink" Target="https://www.npr.org/sections/thetwo-way/2016/06/12/481785763/heres-what-we-know-about-the-orlando-shooting-victims" TargetMode="External"/><Relationship Id="rId1945" Type="http://schemas.openxmlformats.org/officeDocument/2006/relationships/hyperlink" Target="https://www.nytimes.com/2019/06/02/us/virginia-beach-dewayne-craddock.html?module=inline" TargetMode="External"/><Relationship Id="rId1805" Type="http://schemas.openxmlformats.org/officeDocument/2006/relationships/hyperlink" Target="https://www.hendersonshp.com/obituary/Kristin-Thomas" TargetMode="External"/><Relationship Id="rId179" Type="http://schemas.openxmlformats.org/officeDocument/2006/relationships/hyperlink" Target="https://www.cbs8.com/article/news/locals-remember-san-ysidro-mcdonalds-massacre-35-years-later/509-92e6402f-4864-4259-8e85-3b42ecbedeb8" TargetMode="External"/><Relationship Id="rId386" Type="http://schemas.openxmlformats.org/officeDocument/2006/relationships/hyperlink" Target="https://www.findagrave.com/memorial/28472116/robert-brens" TargetMode="External"/><Relationship Id="rId593" Type="http://schemas.openxmlformats.org/officeDocument/2006/relationships/hyperlink" Target="https://kfor.com/news/15th-anniversary-of-tragic-columbine-high-school-shooting-heres-the-background/" TargetMode="External"/><Relationship Id="rId246" Type="http://schemas.openxmlformats.org/officeDocument/2006/relationships/hyperlink" Target="https://books.google.com/books?id=Jv1pCwAAQBAJ&amp;pg=PA65&amp;lpg=PA65&amp;dq=%22patty+jean+husband%22+1986&amp;source=bl&amp;ots=5TrfeSufgJ&amp;sig=ACfU3U3iCH_mmRdwLuBKrR7OyV9iMuELGQ&amp;hl=en&amp;sa=X&amp;ved=2ahUKEwjwkLWi8aTpAhVLOs0KHRSpDJgQ6AEwCnoECAoQAQ" TargetMode="External"/><Relationship Id="rId453" Type="http://schemas.openxmlformats.org/officeDocument/2006/relationships/hyperlink" Target="https://nypost.com/2013/11/24/victims-families-still-in-mouring-20-years-after-lirr-massacre/" TargetMode="External"/><Relationship Id="rId660" Type="http://schemas.openxmlformats.org/officeDocument/2006/relationships/hyperlink" Target="https://www.latimes.com/archives/la-xpm-1999-nov-03-mn-29234-story.html" TargetMode="External"/><Relationship Id="rId898" Type="http://schemas.openxmlformats.org/officeDocument/2006/relationships/hyperlink" Target="https://www.npr.org/2007/04/18/9618673/remembering-virginia-techs-shooting-victims" TargetMode="External"/><Relationship Id="rId1083" Type="http://schemas.openxmlformats.org/officeDocument/2006/relationships/hyperlink" Target="https://www.kwtx.com/content/news/10-minutes-of-gunfire-10-years-ago-left-13-dead-more-than-30-injured-564365711.html" TargetMode="External"/><Relationship Id="rId1290" Type="http://schemas.openxmlformats.org/officeDocument/2006/relationships/hyperlink" Target="https://www.latimes.com/local/lanow/la-me-ln-santa-monica-shooting-20130613-story.html" TargetMode="External"/><Relationship Id="rId106" Type="http://schemas.openxmlformats.org/officeDocument/2006/relationships/hyperlink" Target="https://www.upi.com/Archives/1981/10/22/Suspect-in-mass-murder-convicted-in-1929-killing/7383372571200/" TargetMode="External"/><Relationship Id="rId313" Type="http://schemas.openxmlformats.org/officeDocument/2006/relationships/hyperlink" Target="https://www.wdrb.com/news/standard-gravure-shooting-marks-25-years/article_adf3c963-56c0-5fec-a27a-f65afd765513.html" TargetMode="External"/><Relationship Id="rId758" Type="http://schemas.openxmlformats.org/officeDocument/2006/relationships/hyperlink" Target="https://www.nytimes.com/2003/07/09/us/man-kills-5-co-workers-at-plant-and-himself.html" TargetMode="External"/><Relationship Id="rId965" Type="http://schemas.openxmlformats.org/officeDocument/2006/relationships/hyperlink" Target="https://abcnews.go.com/GMA/story?id=3982722&amp;page=1" TargetMode="External"/><Relationship Id="rId1150" Type="http://schemas.openxmlformats.org/officeDocument/2006/relationships/hyperlink" Target="https://www.beaconjournal.com/article/20120615/NEWS/306159412" TargetMode="External"/><Relationship Id="rId1388" Type="http://schemas.openxmlformats.org/officeDocument/2006/relationships/hyperlink" Target="https://www.theguardian.com/us-news/2015/oct/04/oregon-shooting-one-of-victims-was-british-mother-attending-college" TargetMode="External"/><Relationship Id="rId1595" Type="http://schemas.openxmlformats.org/officeDocument/2006/relationships/hyperlink" Target="https://www.clickorlando.com/news/2018/03/15/5-takeaways-from-the-final-report-for-the-fiamma-workplace-shooting/"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google.com/maps/dir/223+Martin+Luther+King+Drive,+Jersey+City,+NJ/Jersey+City+Medical+Center,+355+Grand+St,+Jersey+City,+NJ+07302/@40.7107257,-74.0750791,15z/data=!4m15!4m14!1m5!1m1!1s0x89c25119259744b1:0xe63cc5f95238b4cf!2m2!1d-74.0837047!2d4%22&amp;%220.7070672!1m5!1m1!1s0x89c250b9d8655a9d:0x15bfa142a6bab2ed!2m2!1d-74.0509185!2d40.7154444!3e0!5i1" TargetMode="External"/><Relationship Id="rId3" Type="http://schemas.openxmlformats.org/officeDocument/2006/relationships/hyperlink" Target="https://www.google.com/maps/dir/3939+W+Highland+Blvd,+Milwaukee,+WI+53208/945+N+12th+St,+Milwaukee,+WI+53233/@43.042398,-87.9538594,15z/data=!3m1!4b1!4m14!4m13!1m5!1m1!1s0x88051bb20cc75bc5:0x763601cd386b09d9!2m2!1d-87.9624248!2d43.0440562!1m5!1m1!1s0x88051979232b79cd:0x905e19b746c46eb3!2m2!1d-87.9275222!2d43.0426642!3e0" TargetMode="External"/><Relationship Id="rId7" Type="http://schemas.openxmlformats.org/officeDocument/2006/relationships/hyperlink" Target="https://www.macrotrends.net/cities/us/wi/milwaukee/murder-homicide-rate-statistics" TargetMode="External"/><Relationship Id="rId2" Type="http://schemas.openxmlformats.org/officeDocument/2006/relationships/hyperlink" Target="https://heavy.com/news/2020/02/anthony-ferrill/" TargetMode="External"/><Relationship Id="rId1" Type="http://schemas.openxmlformats.org/officeDocument/2006/relationships/hyperlink" Target="https://apnews.com/c5d64fb2550a715629ac692ae1c700b3" TargetMode="External"/><Relationship Id="rId6" Type="http://schemas.openxmlformats.org/officeDocument/2006/relationships/hyperlink" Target="https://en.wikipedia.org/wiki/Milwaukee_Police_Department" TargetMode="External"/><Relationship Id="rId5" Type="http://schemas.openxmlformats.org/officeDocument/2006/relationships/hyperlink" Target="https://www.google.com/maps/search/gun+stores+in+53208/@43.0454938,-87.9734615,14.04z" TargetMode="External"/><Relationship Id="rId10" Type="http://schemas.openxmlformats.org/officeDocument/2006/relationships/printerSettings" Target="../printerSettings/printerSettings9.bin"/><Relationship Id="rId4" Type="http://schemas.openxmlformats.org/officeDocument/2006/relationships/hyperlink" Target="https://www.google.com/maps/search/mental+health+services+in+53208/@43.0484504,-87.965502,14.26z" TargetMode="External"/><Relationship Id="rId9" Type="http://schemas.openxmlformats.org/officeDocument/2006/relationships/hyperlink" Target="https://www.google.com/maps/dir/223+Martin+Luther+King+Drive,+Jersey+City,+NJ/Jersey+City+Medical+Center,+355+Grand+St,+Jersey+City,+NJ+07302/@40.7107257,-74.0750791,15z/data=!4m15!4m14!1m5!1m1!1s0x89c25119259744b1:0xe63cc5f95238b4cf!2m2!1d-74.0837047!2d4%22&amp;%220.7070672!1m5!1m1!1s0x89c250b9d8655a9d:0x15bfa142a6bab2ed!2m2!1d-74.0509185!2d40.7154444!3e0!5i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outlinePr summaryBelow="0" summaryRight="0"/>
  </sheetPr>
  <dimension ref="A1:W1005"/>
  <sheetViews>
    <sheetView tabSelected="1" workbookViewId="0"/>
  </sheetViews>
  <sheetFormatPr baseColWidth="10" defaultColWidth="14.5" defaultRowHeight="15" customHeight="1"/>
  <cols>
    <col min="1" max="1" width="20" customWidth="1"/>
    <col min="2" max="2" width="54.33203125" customWidth="1"/>
    <col min="3" max="3" width="81.5" customWidth="1"/>
    <col min="4" max="6" width="14.5" customWidth="1"/>
  </cols>
  <sheetData>
    <row r="1" spans="1:23" ht="22.5" customHeight="1">
      <c r="A1" s="245" t="s">
        <v>3433</v>
      </c>
      <c r="B1" s="246"/>
      <c r="C1" s="1"/>
      <c r="D1" s="2"/>
      <c r="E1" s="2"/>
      <c r="F1" s="2"/>
      <c r="G1" s="2"/>
      <c r="H1" s="2"/>
      <c r="I1" s="2"/>
      <c r="J1" s="2"/>
      <c r="K1" s="2"/>
      <c r="L1" s="2"/>
      <c r="M1" s="2"/>
      <c r="N1" s="2"/>
      <c r="O1" s="2"/>
      <c r="P1" s="2"/>
      <c r="Q1" s="2"/>
      <c r="R1" s="2"/>
      <c r="S1" s="2"/>
      <c r="T1" s="2"/>
      <c r="U1" s="2"/>
      <c r="V1" s="2"/>
      <c r="W1" s="2"/>
    </row>
    <row r="2" spans="1:23" s="26" customFormat="1" ht="22.5" customHeight="1">
      <c r="A2" s="245" t="s">
        <v>3432</v>
      </c>
      <c r="B2" s="246"/>
      <c r="C2" s="1"/>
      <c r="D2" s="25"/>
      <c r="E2" s="25"/>
      <c r="F2" s="25"/>
      <c r="G2" s="25"/>
      <c r="H2" s="25"/>
      <c r="I2" s="25"/>
      <c r="J2" s="25"/>
      <c r="K2" s="25"/>
      <c r="L2" s="25"/>
      <c r="M2" s="25"/>
      <c r="N2" s="25"/>
      <c r="O2" s="25"/>
      <c r="P2" s="25"/>
      <c r="Q2" s="25"/>
      <c r="R2" s="25"/>
      <c r="S2" s="25"/>
      <c r="T2" s="25"/>
      <c r="U2" s="25"/>
      <c r="V2" s="25"/>
      <c r="W2" s="25"/>
    </row>
    <row r="3" spans="1:23" ht="21" customHeight="1">
      <c r="A3" s="247" t="s">
        <v>3459</v>
      </c>
      <c r="B3" s="246"/>
      <c r="C3" s="1"/>
      <c r="D3" s="2"/>
      <c r="E3" s="2"/>
      <c r="F3" s="2"/>
      <c r="G3" s="2"/>
      <c r="H3" s="2"/>
      <c r="I3" s="2"/>
      <c r="J3" s="2"/>
      <c r="K3" s="2"/>
      <c r="L3" s="2"/>
      <c r="M3" s="2"/>
      <c r="N3" s="2"/>
      <c r="O3" s="2"/>
      <c r="P3" s="2"/>
      <c r="Q3" s="2"/>
      <c r="R3" s="2"/>
      <c r="S3" s="2"/>
      <c r="T3" s="2"/>
      <c r="U3" s="2"/>
      <c r="V3" s="2"/>
      <c r="W3" s="2"/>
    </row>
    <row r="4" spans="1:23">
      <c r="A4" s="2"/>
      <c r="B4" s="2"/>
      <c r="C4" s="2"/>
      <c r="D4" s="2"/>
      <c r="E4" s="2"/>
      <c r="F4" s="2"/>
      <c r="G4" s="2"/>
      <c r="H4" s="2"/>
      <c r="I4" s="2"/>
      <c r="J4" s="2"/>
      <c r="K4" s="2"/>
      <c r="L4" s="2"/>
      <c r="M4" s="2"/>
      <c r="N4" s="2"/>
      <c r="O4" s="2"/>
      <c r="P4" s="2"/>
      <c r="Q4" s="2"/>
      <c r="R4" s="2"/>
      <c r="S4" s="2"/>
      <c r="T4" s="2"/>
      <c r="U4" s="2"/>
      <c r="V4" s="2"/>
      <c r="W4" s="2"/>
    </row>
    <row r="5" spans="1:23">
      <c r="A5" s="2"/>
      <c r="B5" s="2"/>
      <c r="C5" s="2"/>
      <c r="D5" s="2"/>
      <c r="E5" s="2"/>
      <c r="F5" s="2"/>
      <c r="G5" s="2"/>
      <c r="H5" s="2"/>
      <c r="I5" s="2"/>
      <c r="J5" s="2"/>
      <c r="K5" s="2"/>
      <c r="L5" s="2"/>
      <c r="M5" s="2"/>
      <c r="N5" s="2"/>
      <c r="O5" s="2"/>
      <c r="P5" s="2"/>
      <c r="Q5" s="2"/>
      <c r="R5" s="2"/>
      <c r="S5" s="2"/>
      <c r="T5" s="2"/>
      <c r="U5" s="2"/>
      <c r="V5" s="2"/>
      <c r="W5" s="2"/>
    </row>
    <row r="6" spans="1:23">
      <c r="A6" s="233" t="s">
        <v>0</v>
      </c>
      <c r="B6" s="233" t="s">
        <v>1</v>
      </c>
      <c r="C6" s="233" t="s">
        <v>2</v>
      </c>
      <c r="D6" s="2"/>
      <c r="E6" s="2"/>
      <c r="F6" s="2"/>
      <c r="G6" s="2"/>
      <c r="H6" s="2"/>
      <c r="I6" s="2"/>
      <c r="J6" s="2"/>
      <c r="K6" s="2"/>
      <c r="L6" s="2"/>
      <c r="M6" s="2"/>
      <c r="N6" s="2"/>
      <c r="O6" s="2"/>
      <c r="P6" s="2"/>
      <c r="Q6" s="2"/>
      <c r="R6" s="2"/>
      <c r="S6" s="2"/>
      <c r="T6" s="2"/>
      <c r="U6" s="2"/>
      <c r="V6" s="2"/>
      <c r="W6" s="2"/>
    </row>
    <row r="7" spans="1:23">
      <c r="A7" s="234" t="s">
        <v>3</v>
      </c>
      <c r="B7" s="3" t="s">
        <v>4</v>
      </c>
      <c r="C7" s="3"/>
      <c r="D7" s="2"/>
      <c r="E7" s="2"/>
      <c r="F7" s="2"/>
      <c r="G7" s="2"/>
      <c r="H7" s="2"/>
      <c r="I7" s="2"/>
      <c r="J7" s="2"/>
      <c r="K7" s="2"/>
      <c r="L7" s="2"/>
      <c r="M7" s="2"/>
      <c r="N7" s="2"/>
      <c r="O7" s="2"/>
      <c r="P7" s="2"/>
      <c r="Q7" s="2"/>
      <c r="R7" s="2"/>
      <c r="S7" s="2"/>
      <c r="T7" s="2"/>
      <c r="U7" s="2"/>
      <c r="V7" s="2"/>
      <c r="W7" s="2"/>
    </row>
    <row r="8" spans="1:23">
      <c r="A8" s="235" t="s">
        <v>5</v>
      </c>
      <c r="B8" s="3" t="s">
        <v>3428</v>
      </c>
      <c r="C8" s="3" t="s">
        <v>6</v>
      </c>
      <c r="D8" s="2"/>
      <c r="E8" s="2"/>
      <c r="F8" s="2"/>
      <c r="G8" s="2"/>
      <c r="H8" s="2"/>
      <c r="I8" s="2"/>
      <c r="J8" s="2"/>
      <c r="K8" s="2"/>
      <c r="L8" s="2"/>
      <c r="M8" s="2"/>
      <c r="N8" s="2"/>
      <c r="O8" s="2"/>
      <c r="P8" s="2"/>
      <c r="Q8" s="2"/>
      <c r="R8" s="2"/>
      <c r="S8" s="2"/>
      <c r="T8" s="2"/>
      <c r="U8" s="2"/>
      <c r="V8" s="2"/>
      <c r="W8" s="2"/>
    </row>
    <row r="9" spans="1:23" s="26" customFormat="1">
      <c r="A9" s="236" t="s">
        <v>7</v>
      </c>
      <c r="B9" s="3" t="s">
        <v>3430</v>
      </c>
      <c r="C9" s="3" t="s">
        <v>3431</v>
      </c>
      <c r="D9" s="25"/>
      <c r="E9" s="25"/>
      <c r="F9" s="25"/>
      <c r="G9" s="25"/>
      <c r="H9" s="25"/>
      <c r="I9" s="25"/>
      <c r="J9" s="25"/>
      <c r="K9" s="25"/>
      <c r="L9" s="25"/>
      <c r="M9" s="25"/>
      <c r="N9" s="25"/>
      <c r="O9" s="25"/>
      <c r="P9" s="25"/>
      <c r="Q9" s="25"/>
      <c r="R9" s="25"/>
      <c r="S9" s="25"/>
      <c r="T9" s="25"/>
      <c r="U9" s="25"/>
      <c r="V9" s="25"/>
      <c r="W9" s="25"/>
    </row>
    <row r="10" spans="1:23">
      <c r="A10" s="237" t="s">
        <v>8</v>
      </c>
      <c r="B10" s="3" t="s">
        <v>13</v>
      </c>
      <c r="C10" s="3" t="s">
        <v>14</v>
      </c>
      <c r="D10" s="2"/>
      <c r="E10" s="2"/>
      <c r="F10" s="2"/>
      <c r="G10" s="2"/>
      <c r="H10" s="2"/>
      <c r="I10" s="2"/>
      <c r="J10" s="2"/>
      <c r="K10" s="2"/>
      <c r="L10" s="2"/>
      <c r="M10" s="2"/>
      <c r="N10" s="2"/>
      <c r="O10" s="2"/>
      <c r="P10" s="2"/>
      <c r="Q10" s="2"/>
      <c r="R10" s="2"/>
      <c r="S10" s="2"/>
      <c r="T10" s="2"/>
      <c r="U10" s="2"/>
      <c r="V10" s="2"/>
      <c r="W10" s="2"/>
    </row>
    <row r="11" spans="1:23">
      <c r="A11" s="238" t="s">
        <v>10</v>
      </c>
      <c r="B11" s="3" t="s">
        <v>3412</v>
      </c>
      <c r="C11" s="3" t="s">
        <v>3369</v>
      </c>
      <c r="D11" s="2"/>
      <c r="E11" s="2"/>
      <c r="F11" s="2"/>
      <c r="G11" s="2"/>
      <c r="H11" s="2"/>
      <c r="I11" s="2"/>
      <c r="J11" s="2"/>
      <c r="K11" s="2"/>
      <c r="L11" s="2"/>
      <c r="M11" s="2"/>
      <c r="N11" s="2"/>
      <c r="O11" s="2"/>
      <c r="P11" s="2"/>
      <c r="Q11" s="2"/>
      <c r="R11" s="2"/>
      <c r="S11" s="2"/>
      <c r="T11" s="2"/>
      <c r="U11" s="2"/>
      <c r="V11" s="2"/>
      <c r="W11" s="2"/>
    </row>
    <row r="12" spans="1:23">
      <c r="A12" s="239" t="s">
        <v>12</v>
      </c>
      <c r="B12" s="3" t="s">
        <v>9</v>
      </c>
      <c r="C12" s="3" t="s">
        <v>3457</v>
      </c>
      <c r="D12" s="2"/>
      <c r="E12" s="2"/>
      <c r="F12" s="2"/>
      <c r="G12" s="2"/>
      <c r="H12" s="2"/>
      <c r="I12" s="2"/>
      <c r="J12" s="2"/>
      <c r="K12" s="2"/>
      <c r="L12" s="2"/>
      <c r="M12" s="2"/>
      <c r="N12" s="2"/>
      <c r="O12" s="2"/>
      <c r="P12" s="2"/>
      <c r="Q12" s="2"/>
      <c r="R12" s="2"/>
      <c r="S12" s="2"/>
      <c r="T12" s="2"/>
      <c r="U12" s="2"/>
      <c r="V12" s="2"/>
      <c r="W12" s="2"/>
    </row>
    <row r="13" spans="1:23" s="26" customFormat="1">
      <c r="A13" s="240" t="s">
        <v>15</v>
      </c>
      <c r="B13" s="3" t="s">
        <v>3335</v>
      </c>
      <c r="C13" s="3" t="s">
        <v>3370</v>
      </c>
      <c r="D13" s="25"/>
      <c r="E13" s="25"/>
      <c r="F13" s="25"/>
      <c r="G13" s="25"/>
      <c r="H13" s="25"/>
      <c r="I13" s="25"/>
      <c r="J13" s="25"/>
      <c r="K13" s="25"/>
      <c r="L13" s="25"/>
      <c r="M13" s="25"/>
      <c r="N13" s="25"/>
      <c r="O13" s="25"/>
      <c r="P13" s="25"/>
      <c r="Q13" s="25"/>
      <c r="R13" s="25"/>
      <c r="S13" s="25"/>
      <c r="T13" s="25"/>
      <c r="U13" s="25"/>
      <c r="V13" s="25"/>
      <c r="W13" s="25"/>
    </row>
    <row r="14" spans="1:23" s="26" customFormat="1">
      <c r="A14" s="241" t="s">
        <v>18</v>
      </c>
      <c r="B14" s="3" t="s">
        <v>3336</v>
      </c>
      <c r="C14" s="3" t="s">
        <v>3458</v>
      </c>
      <c r="D14" s="25"/>
      <c r="E14" s="25"/>
      <c r="F14" s="25"/>
      <c r="G14" s="25"/>
      <c r="H14" s="25"/>
      <c r="I14" s="25"/>
      <c r="J14" s="25"/>
      <c r="K14" s="25"/>
      <c r="L14" s="25"/>
      <c r="M14" s="25"/>
      <c r="N14" s="25"/>
      <c r="O14" s="25"/>
      <c r="P14" s="25"/>
      <c r="Q14" s="25"/>
      <c r="R14" s="25"/>
      <c r="S14" s="25"/>
      <c r="T14" s="25"/>
      <c r="U14" s="25"/>
      <c r="V14" s="25"/>
      <c r="W14" s="25"/>
    </row>
    <row r="15" spans="1:23">
      <c r="A15" s="242" t="s">
        <v>3337</v>
      </c>
      <c r="B15" s="3" t="s">
        <v>11</v>
      </c>
      <c r="C15" s="3" t="s">
        <v>3429</v>
      </c>
      <c r="D15" s="2"/>
      <c r="E15" s="2"/>
      <c r="F15" s="2"/>
      <c r="G15" s="2"/>
      <c r="H15" s="2"/>
      <c r="I15" s="2"/>
      <c r="J15" s="2"/>
      <c r="K15" s="2"/>
      <c r="L15" s="2"/>
      <c r="M15" s="2"/>
      <c r="N15" s="2"/>
      <c r="O15" s="2"/>
      <c r="P15" s="2"/>
      <c r="Q15" s="2"/>
      <c r="R15" s="2"/>
      <c r="S15" s="2"/>
      <c r="T15" s="2"/>
      <c r="U15" s="2"/>
      <c r="V15" s="2"/>
      <c r="W15" s="2"/>
    </row>
    <row r="16" spans="1:23" s="26" customFormat="1">
      <c r="A16" s="243" t="s">
        <v>3338</v>
      </c>
      <c r="B16" s="3" t="s">
        <v>16</v>
      </c>
      <c r="C16" s="3" t="s">
        <v>17</v>
      </c>
      <c r="D16" s="25"/>
      <c r="E16" s="25"/>
      <c r="F16" s="25"/>
      <c r="G16" s="25"/>
      <c r="H16" s="25"/>
      <c r="I16" s="25"/>
      <c r="J16" s="25"/>
      <c r="K16" s="25"/>
      <c r="L16" s="25"/>
      <c r="M16" s="25"/>
      <c r="N16" s="25"/>
      <c r="O16" s="25"/>
      <c r="P16" s="25"/>
      <c r="Q16" s="25"/>
      <c r="R16" s="25"/>
      <c r="S16" s="25"/>
      <c r="T16" s="25"/>
      <c r="U16" s="25"/>
      <c r="V16" s="25"/>
      <c r="W16" s="25"/>
    </row>
    <row r="17" spans="1:23">
      <c r="A17" s="244" t="s">
        <v>3339</v>
      </c>
      <c r="B17" s="3" t="s">
        <v>19</v>
      </c>
      <c r="C17" s="3" t="s">
        <v>20</v>
      </c>
      <c r="D17" s="2"/>
      <c r="E17" s="2"/>
      <c r="F17" s="2"/>
      <c r="G17" s="2"/>
      <c r="H17" s="2"/>
      <c r="I17" s="2"/>
      <c r="J17" s="2"/>
      <c r="K17" s="2"/>
      <c r="L17" s="2"/>
      <c r="M17" s="2"/>
      <c r="N17" s="2"/>
      <c r="O17" s="2"/>
      <c r="P17" s="2"/>
      <c r="Q17" s="2"/>
      <c r="R17" s="2"/>
      <c r="S17" s="2"/>
      <c r="T17" s="2"/>
      <c r="U17" s="2"/>
      <c r="V17" s="2"/>
      <c r="W17" s="2"/>
    </row>
    <row r="18" spans="1:23">
      <c r="A18" s="2"/>
      <c r="B18" s="2"/>
      <c r="C18" s="2"/>
      <c r="D18" s="2"/>
      <c r="E18" s="2"/>
      <c r="F18" s="2"/>
      <c r="G18" s="2"/>
      <c r="H18" s="2"/>
      <c r="I18" s="2"/>
      <c r="J18" s="2"/>
      <c r="K18" s="2"/>
      <c r="L18" s="2"/>
      <c r="M18" s="2"/>
      <c r="N18" s="2"/>
      <c r="O18" s="2"/>
      <c r="P18" s="2"/>
      <c r="Q18" s="2"/>
      <c r="R18" s="2"/>
      <c r="S18" s="2"/>
      <c r="T18" s="2"/>
      <c r="U18" s="2"/>
      <c r="V18" s="2"/>
      <c r="W18" s="2"/>
    </row>
    <row r="19" spans="1:23">
      <c r="A19" s="2"/>
      <c r="B19" s="2"/>
      <c r="C19" s="2"/>
      <c r="D19" s="2"/>
      <c r="E19" s="2"/>
      <c r="F19" s="2"/>
      <c r="G19" s="2"/>
      <c r="H19" s="2"/>
      <c r="I19" s="2"/>
      <c r="J19" s="2"/>
      <c r="K19" s="2"/>
      <c r="L19" s="2"/>
      <c r="M19" s="2"/>
      <c r="N19" s="2"/>
      <c r="O19" s="2"/>
      <c r="P19" s="2"/>
      <c r="Q19" s="2"/>
      <c r="R19" s="2"/>
      <c r="S19" s="2"/>
      <c r="T19" s="2"/>
      <c r="U19" s="2"/>
      <c r="V19" s="2"/>
      <c r="W19" s="2"/>
    </row>
    <row r="20" spans="1:23">
      <c r="A20" s="2"/>
      <c r="B20" s="2"/>
      <c r="C20" s="2"/>
      <c r="D20" s="2"/>
      <c r="E20" s="2"/>
      <c r="F20" s="2"/>
      <c r="G20" s="2"/>
      <c r="H20" s="2"/>
      <c r="I20" s="2"/>
      <c r="J20" s="2"/>
      <c r="K20" s="2"/>
      <c r="L20" s="2"/>
      <c r="M20" s="2"/>
      <c r="N20" s="2"/>
      <c r="O20" s="2"/>
      <c r="P20" s="2"/>
      <c r="Q20" s="2"/>
      <c r="R20" s="2"/>
      <c r="S20" s="2"/>
      <c r="T20" s="2"/>
      <c r="U20" s="2"/>
      <c r="V20" s="2"/>
      <c r="W20" s="2"/>
    </row>
    <row r="21" spans="1:23">
      <c r="A21" s="2"/>
      <c r="B21" s="2"/>
      <c r="C21" s="2"/>
      <c r="D21" s="2"/>
      <c r="E21" s="2"/>
      <c r="F21" s="2"/>
      <c r="G21" s="2"/>
      <c r="H21" s="2"/>
      <c r="I21" s="2"/>
      <c r="J21" s="2"/>
      <c r="K21" s="2"/>
      <c r="L21" s="2"/>
      <c r="M21" s="2"/>
      <c r="N21" s="2"/>
      <c r="O21" s="2"/>
      <c r="P21" s="2"/>
      <c r="Q21" s="2"/>
      <c r="R21" s="2"/>
      <c r="S21" s="2"/>
      <c r="T21" s="2"/>
      <c r="U21" s="2"/>
      <c r="V21" s="2"/>
      <c r="W21" s="2"/>
    </row>
    <row r="22" spans="1:23">
      <c r="A22" s="2"/>
      <c r="B22" s="2"/>
      <c r="C22" s="2"/>
      <c r="D22" s="2"/>
      <c r="E22" s="2"/>
      <c r="F22" s="2"/>
      <c r="G22" s="2"/>
      <c r="H22" s="2"/>
      <c r="I22" s="2"/>
      <c r="J22" s="2"/>
      <c r="K22" s="2"/>
      <c r="L22" s="2"/>
      <c r="M22" s="2"/>
      <c r="N22" s="2"/>
      <c r="O22" s="2"/>
      <c r="P22" s="2"/>
      <c r="Q22" s="2"/>
      <c r="R22" s="2"/>
      <c r="S22" s="2"/>
      <c r="T22" s="2"/>
      <c r="U22" s="2"/>
      <c r="V22" s="2"/>
      <c r="W22" s="2"/>
    </row>
    <row r="23" spans="1:23">
      <c r="A23" s="2"/>
      <c r="B23" s="2"/>
      <c r="C23" s="2"/>
      <c r="D23" s="2"/>
      <c r="E23" s="2"/>
      <c r="F23" s="2"/>
      <c r="G23" s="2"/>
      <c r="H23" s="2"/>
      <c r="I23" s="2"/>
      <c r="J23" s="2"/>
      <c r="K23" s="2"/>
      <c r="L23" s="2"/>
      <c r="M23" s="2"/>
      <c r="N23" s="2"/>
      <c r="O23" s="2"/>
      <c r="P23" s="2"/>
      <c r="Q23" s="2"/>
      <c r="R23" s="2"/>
      <c r="S23" s="2"/>
      <c r="T23" s="2"/>
      <c r="U23" s="2"/>
      <c r="V23" s="2"/>
      <c r="W23" s="2"/>
    </row>
    <row r="24" spans="1:23">
      <c r="A24" s="2"/>
      <c r="B24" s="2"/>
      <c r="C24" s="2"/>
      <c r="D24" s="2"/>
      <c r="E24" s="2"/>
      <c r="F24" s="2"/>
      <c r="G24" s="2"/>
      <c r="H24" s="2"/>
      <c r="I24" s="2"/>
      <c r="J24" s="2"/>
      <c r="K24" s="2"/>
      <c r="L24" s="2"/>
      <c r="M24" s="2"/>
      <c r="N24" s="2"/>
      <c r="O24" s="2"/>
      <c r="P24" s="2"/>
      <c r="Q24" s="2"/>
      <c r="R24" s="2"/>
      <c r="S24" s="2"/>
      <c r="T24" s="2"/>
      <c r="U24" s="2"/>
      <c r="V24" s="2"/>
      <c r="W24" s="2"/>
    </row>
    <row r="25" spans="1:23">
      <c r="A25" s="2"/>
      <c r="B25" s="2"/>
      <c r="C25" s="2"/>
      <c r="D25" s="2"/>
      <c r="E25" s="2"/>
      <c r="F25" s="2"/>
      <c r="G25" s="2"/>
      <c r="H25" s="2"/>
      <c r="I25" s="2"/>
      <c r="J25" s="2"/>
      <c r="K25" s="2"/>
      <c r="L25" s="2"/>
      <c r="M25" s="2"/>
      <c r="N25" s="2"/>
      <c r="O25" s="2"/>
      <c r="P25" s="2"/>
      <c r="Q25" s="2"/>
      <c r="R25" s="2"/>
      <c r="S25" s="2"/>
      <c r="T25" s="2"/>
      <c r="U25" s="2"/>
      <c r="V25" s="2"/>
      <c r="W25" s="2"/>
    </row>
    <row r="26" spans="1:23" ht="15.75" customHeight="1">
      <c r="A26" s="2"/>
      <c r="B26" s="2"/>
      <c r="C26" s="2"/>
      <c r="D26" s="2"/>
      <c r="E26" s="2"/>
      <c r="F26" s="2"/>
      <c r="G26" s="2"/>
      <c r="H26" s="2"/>
      <c r="I26" s="2"/>
      <c r="J26" s="2"/>
      <c r="K26" s="2"/>
      <c r="L26" s="2"/>
      <c r="M26" s="2"/>
      <c r="N26" s="2"/>
      <c r="O26" s="2"/>
      <c r="P26" s="2"/>
      <c r="Q26" s="2"/>
      <c r="R26" s="2"/>
      <c r="S26" s="2"/>
      <c r="T26" s="2"/>
      <c r="U26" s="2"/>
      <c r="V26" s="2"/>
      <c r="W26" s="2"/>
    </row>
    <row r="27" spans="1:23" ht="15.75" customHeight="1">
      <c r="A27" s="2"/>
      <c r="B27" s="2"/>
      <c r="C27" s="2"/>
      <c r="D27" s="2"/>
      <c r="E27" s="2"/>
      <c r="F27" s="2"/>
      <c r="G27" s="2"/>
      <c r="H27" s="2"/>
      <c r="I27" s="2"/>
      <c r="J27" s="2"/>
      <c r="K27" s="2"/>
      <c r="L27" s="2"/>
      <c r="M27" s="2"/>
      <c r="N27" s="2"/>
      <c r="O27" s="2"/>
      <c r="P27" s="2"/>
      <c r="Q27" s="2"/>
      <c r="R27" s="2"/>
      <c r="S27" s="2"/>
      <c r="T27" s="2"/>
      <c r="U27" s="2"/>
      <c r="V27" s="2"/>
      <c r="W27" s="2"/>
    </row>
    <row r="28" spans="1:23" ht="15.75" customHeight="1">
      <c r="A28" s="2"/>
      <c r="B28" s="2"/>
      <c r="C28" s="2"/>
      <c r="D28" s="2"/>
      <c r="E28" s="2"/>
      <c r="F28" s="2"/>
      <c r="G28" s="2"/>
      <c r="H28" s="2"/>
      <c r="I28" s="2"/>
      <c r="J28" s="2"/>
      <c r="K28" s="2"/>
      <c r="L28" s="2"/>
      <c r="M28" s="2"/>
      <c r="N28" s="2"/>
      <c r="O28" s="2"/>
      <c r="P28" s="2"/>
      <c r="Q28" s="2"/>
      <c r="R28" s="2"/>
      <c r="S28" s="2"/>
      <c r="T28" s="2"/>
      <c r="U28" s="2"/>
      <c r="V28" s="2"/>
      <c r="W28" s="2"/>
    </row>
    <row r="29" spans="1:23" ht="15.75" customHeight="1">
      <c r="A29" s="2"/>
      <c r="B29" s="2"/>
      <c r="C29" s="2"/>
      <c r="D29" s="2"/>
      <c r="E29" s="2"/>
      <c r="F29" s="2"/>
      <c r="G29" s="2"/>
      <c r="H29" s="2"/>
      <c r="I29" s="2"/>
      <c r="J29" s="2"/>
      <c r="K29" s="2"/>
      <c r="L29" s="2"/>
      <c r="M29" s="2"/>
      <c r="N29" s="2"/>
      <c r="O29" s="2"/>
      <c r="P29" s="2"/>
      <c r="Q29" s="2"/>
      <c r="R29" s="2"/>
      <c r="S29" s="2"/>
      <c r="T29" s="2"/>
      <c r="U29" s="2"/>
      <c r="V29" s="2"/>
      <c r="W29" s="2"/>
    </row>
    <row r="30" spans="1:23" ht="15.75" customHeight="1">
      <c r="A30" s="2"/>
      <c r="B30" s="2"/>
      <c r="C30" s="2"/>
      <c r="D30" s="2"/>
      <c r="E30" s="2"/>
      <c r="F30" s="2"/>
      <c r="G30" s="2"/>
      <c r="H30" s="2"/>
      <c r="I30" s="2"/>
      <c r="J30" s="2"/>
      <c r="K30" s="2"/>
      <c r="L30" s="2"/>
      <c r="M30" s="2"/>
      <c r="N30" s="2"/>
      <c r="O30" s="2"/>
      <c r="P30" s="2"/>
      <c r="Q30" s="2"/>
      <c r="R30" s="2"/>
      <c r="S30" s="2"/>
      <c r="T30" s="2"/>
      <c r="U30" s="2"/>
      <c r="V30" s="2"/>
      <c r="W30" s="2"/>
    </row>
    <row r="31" spans="1:23" ht="15.75" customHeight="1">
      <c r="A31" s="2"/>
      <c r="B31" s="2"/>
      <c r="C31" s="2"/>
      <c r="D31" s="2"/>
      <c r="E31" s="2"/>
      <c r="F31" s="2"/>
      <c r="G31" s="2"/>
      <c r="H31" s="2"/>
      <c r="I31" s="2"/>
      <c r="J31" s="2"/>
      <c r="K31" s="2"/>
      <c r="L31" s="2"/>
      <c r="M31" s="2"/>
      <c r="N31" s="2"/>
      <c r="O31" s="2"/>
      <c r="P31" s="2"/>
      <c r="Q31" s="2"/>
      <c r="R31" s="2"/>
      <c r="S31" s="2"/>
      <c r="T31" s="2"/>
      <c r="U31" s="2"/>
      <c r="V31" s="2"/>
      <c r="W31" s="2"/>
    </row>
    <row r="32" spans="1:23" ht="15.75" customHeight="1">
      <c r="A32" s="2"/>
      <c r="B32" s="2"/>
      <c r="C32" s="2"/>
      <c r="D32" s="2"/>
      <c r="E32" s="2"/>
      <c r="F32" s="2"/>
      <c r="G32" s="2"/>
      <c r="H32" s="2"/>
      <c r="I32" s="2"/>
      <c r="J32" s="2"/>
      <c r="K32" s="2"/>
      <c r="L32" s="2"/>
      <c r="M32" s="2"/>
      <c r="N32" s="2"/>
      <c r="O32" s="2"/>
      <c r="P32" s="2"/>
      <c r="Q32" s="2"/>
      <c r="R32" s="2"/>
      <c r="S32" s="2"/>
      <c r="T32" s="2"/>
      <c r="U32" s="2"/>
      <c r="V32" s="2"/>
      <c r="W32" s="2"/>
    </row>
    <row r="33" spans="1:23" ht="15.75" customHeight="1">
      <c r="A33" s="2"/>
      <c r="B33" s="2"/>
      <c r="C33" s="2"/>
      <c r="D33" s="2"/>
      <c r="E33" s="2"/>
      <c r="F33" s="2"/>
      <c r="G33" s="2"/>
      <c r="H33" s="2"/>
      <c r="I33" s="2"/>
      <c r="J33" s="2"/>
      <c r="K33" s="2"/>
      <c r="L33" s="2"/>
      <c r="M33" s="2"/>
      <c r="N33" s="2"/>
      <c r="O33" s="2"/>
      <c r="P33" s="2"/>
      <c r="Q33" s="2"/>
      <c r="R33" s="2"/>
      <c r="S33" s="2"/>
      <c r="T33" s="2"/>
      <c r="U33" s="2"/>
      <c r="V33" s="2"/>
      <c r="W33" s="2"/>
    </row>
    <row r="34" spans="1:23" ht="15.75" customHeight="1">
      <c r="A34" s="2"/>
      <c r="B34" s="2"/>
      <c r="C34" s="2"/>
      <c r="D34" s="2"/>
      <c r="E34" s="2"/>
      <c r="F34" s="2"/>
      <c r="G34" s="2"/>
      <c r="H34" s="2"/>
      <c r="I34" s="2"/>
      <c r="J34" s="2"/>
      <c r="K34" s="2"/>
      <c r="L34" s="2"/>
      <c r="M34" s="2"/>
      <c r="N34" s="2"/>
      <c r="O34" s="2"/>
      <c r="P34" s="2"/>
      <c r="Q34" s="2"/>
      <c r="R34" s="2"/>
      <c r="S34" s="2"/>
      <c r="T34" s="2"/>
      <c r="U34" s="2"/>
      <c r="V34" s="2"/>
      <c r="W34" s="2"/>
    </row>
    <row r="35" spans="1:23" ht="15.75" customHeight="1">
      <c r="A35" s="2"/>
      <c r="B35" s="2"/>
      <c r="C35" s="2"/>
      <c r="D35" s="2"/>
      <c r="E35" s="2"/>
      <c r="F35" s="2"/>
      <c r="G35" s="2"/>
      <c r="H35" s="2"/>
      <c r="I35" s="2"/>
      <c r="J35" s="2"/>
      <c r="K35" s="2"/>
      <c r="L35" s="2"/>
      <c r="M35" s="2"/>
      <c r="N35" s="2"/>
      <c r="O35" s="2"/>
      <c r="P35" s="2"/>
      <c r="Q35" s="2"/>
      <c r="R35" s="2"/>
      <c r="S35" s="2"/>
      <c r="T35" s="2"/>
      <c r="U35" s="2"/>
      <c r="V35" s="2"/>
      <c r="W35" s="2"/>
    </row>
    <row r="36" spans="1:23" ht="15.75" customHeight="1">
      <c r="A36" s="2"/>
      <c r="B36" s="2"/>
      <c r="C36" s="2"/>
      <c r="D36" s="2"/>
      <c r="E36" s="2"/>
      <c r="F36" s="2"/>
      <c r="G36" s="2"/>
      <c r="H36" s="2"/>
      <c r="I36" s="2"/>
      <c r="J36" s="2"/>
      <c r="K36" s="2"/>
      <c r="L36" s="2"/>
      <c r="M36" s="2"/>
      <c r="N36" s="2"/>
      <c r="O36" s="2"/>
      <c r="P36" s="2"/>
      <c r="Q36" s="2"/>
      <c r="R36" s="2"/>
      <c r="S36" s="2"/>
      <c r="T36" s="2"/>
      <c r="U36" s="2"/>
      <c r="V36" s="2"/>
      <c r="W36" s="2"/>
    </row>
    <row r="37" spans="1:23" ht="15.75" customHeight="1">
      <c r="A37" s="2"/>
      <c r="B37" s="2"/>
      <c r="C37" s="2"/>
      <c r="D37" s="2"/>
      <c r="E37" s="2"/>
      <c r="F37" s="2"/>
      <c r="G37" s="2"/>
      <c r="H37" s="2"/>
      <c r="I37" s="2"/>
      <c r="J37" s="2"/>
      <c r="K37" s="2"/>
      <c r="L37" s="2"/>
      <c r="M37" s="2"/>
      <c r="N37" s="2"/>
      <c r="O37" s="2"/>
      <c r="P37" s="2"/>
      <c r="Q37" s="2"/>
      <c r="R37" s="2"/>
      <c r="S37" s="2"/>
      <c r="T37" s="2"/>
      <c r="U37" s="2"/>
      <c r="V37" s="2"/>
      <c r="W37" s="2"/>
    </row>
    <row r="38" spans="1:23" ht="15.75" customHeight="1">
      <c r="A38" s="2"/>
      <c r="B38" s="2"/>
      <c r="C38" s="2"/>
      <c r="D38" s="2"/>
      <c r="E38" s="2"/>
      <c r="F38" s="2"/>
      <c r="G38" s="2"/>
      <c r="H38" s="2"/>
      <c r="I38" s="2"/>
      <c r="J38" s="2"/>
      <c r="K38" s="2"/>
      <c r="L38" s="2"/>
      <c r="M38" s="2"/>
      <c r="N38" s="2"/>
      <c r="O38" s="2"/>
      <c r="P38" s="2"/>
      <c r="Q38" s="2"/>
      <c r="R38" s="2"/>
      <c r="S38" s="2"/>
      <c r="T38" s="2"/>
      <c r="U38" s="2"/>
      <c r="V38" s="2"/>
      <c r="W38" s="2"/>
    </row>
    <row r="39" spans="1:23" ht="15.75" customHeight="1">
      <c r="A39" s="2"/>
      <c r="B39" s="2"/>
      <c r="C39" s="2"/>
      <c r="D39" s="2"/>
      <c r="E39" s="2"/>
      <c r="F39" s="2"/>
      <c r="G39" s="2"/>
      <c r="H39" s="2"/>
      <c r="I39" s="2"/>
      <c r="J39" s="2"/>
      <c r="K39" s="2"/>
      <c r="L39" s="2"/>
      <c r="M39" s="2"/>
      <c r="N39" s="2"/>
      <c r="O39" s="2"/>
      <c r="P39" s="2"/>
      <c r="Q39" s="2"/>
      <c r="R39" s="2"/>
      <c r="S39" s="2"/>
      <c r="T39" s="2"/>
      <c r="U39" s="2"/>
      <c r="V39" s="2"/>
      <c r="W39" s="2"/>
    </row>
    <row r="40" spans="1:23" ht="15.75" customHeight="1">
      <c r="A40" s="2"/>
      <c r="B40" s="2"/>
      <c r="C40" s="2"/>
      <c r="D40" s="2"/>
      <c r="E40" s="2"/>
      <c r="F40" s="2"/>
      <c r="G40" s="2"/>
      <c r="H40" s="2"/>
      <c r="I40" s="2"/>
      <c r="J40" s="2"/>
      <c r="K40" s="2"/>
      <c r="L40" s="2"/>
      <c r="M40" s="2"/>
      <c r="N40" s="2"/>
      <c r="O40" s="2"/>
      <c r="P40" s="2"/>
      <c r="Q40" s="2"/>
      <c r="R40" s="2"/>
      <c r="S40" s="2"/>
      <c r="T40" s="2"/>
      <c r="U40" s="2"/>
      <c r="V40" s="2"/>
      <c r="W40" s="2"/>
    </row>
    <row r="41" spans="1:23" ht="15.75" customHeight="1">
      <c r="A41" s="2"/>
      <c r="B41" s="2"/>
      <c r="C41" s="2"/>
      <c r="D41" s="2"/>
      <c r="E41" s="2"/>
      <c r="F41" s="2"/>
      <c r="G41" s="2"/>
      <c r="H41" s="2"/>
      <c r="I41" s="2"/>
      <c r="J41" s="2"/>
      <c r="K41" s="2"/>
      <c r="L41" s="2"/>
      <c r="M41" s="2"/>
      <c r="N41" s="2"/>
      <c r="O41" s="2"/>
      <c r="P41" s="2"/>
      <c r="Q41" s="2"/>
      <c r="R41" s="2"/>
      <c r="S41" s="2"/>
      <c r="T41" s="2"/>
      <c r="U41" s="2"/>
      <c r="V41" s="2"/>
      <c r="W41" s="2"/>
    </row>
    <row r="42" spans="1:23" ht="15.75" customHeight="1">
      <c r="A42" s="2"/>
      <c r="B42" s="2"/>
      <c r="C42" s="2"/>
      <c r="D42" s="2"/>
      <c r="E42" s="2"/>
      <c r="F42" s="2"/>
      <c r="G42" s="2"/>
      <c r="H42" s="2"/>
      <c r="I42" s="2"/>
      <c r="J42" s="2"/>
      <c r="K42" s="2"/>
      <c r="L42" s="2"/>
      <c r="M42" s="2"/>
      <c r="N42" s="2"/>
      <c r="O42" s="2"/>
      <c r="P42" s="2"/>
      <c r="Q42" s="2"/>
      <c r="R42" s="2"/>
      <c r="S42" s="2"/>
      <c r="T42" s="2"/>
      <c r="U42" s="2"/>
      <c r="V42" s="2"/>
      <c r="W42" s="2"/>
    </row>
    <row r="43" spans="1:23" ht="15.75" customHeight="1">
      <c r="A43" s="2"/>
      <c r="B43" s="2"/>
      <c r="C43" s="2"/>
      <c r="D43" s="2"/>
      <c r="E43" s="2"/>
      <c r="F43" s="2"/>
      <c r="G43" s="2"/>
      <c r="H43" s="2"/>
      <c r="I43" s="2"/>
      <c r="J43" s="2"/>
      <c r="K43" s="2"/>
      <c r="L43" s="2"/>
      <c r="M43" s="2"/>
      <c r="N43" s="2"/>
      <c r="O43" s="2"/>
      <c r="P43" s="2"/>
      <c r="Q43" s="2"/>
      <c r="R43" s="2"/>
      <c r="S43" s="2"/>
      <c r="T43" s="2"/>
      <c r="U43" s="2"/>
      <c r="V43" s="2"/>
      <c r="W43" s="2"/>
    </row>
    <row r="44" spans="1:23" ht="15.75" customHeight="1">
      <c r="A44" s="2"/>
      <c r="B44" s="2"/>
      <c r="C44" s="2"/>
      <c r="D44" s="2"/>
      <c r="E44" s="2"/>
      <c r="F44" s="2"/>
      <c r="G44" s="2"/>
      <c r="H44" s="2"/>
      <c r="I44" s="2"/>
      <c r="J44" s="2"/>
      <c r="K44" s="2"/>
      <c r="L44" s="2"/>
      <c r="M44" s="2"/>
      <c r="N44" s="2"/>
      <c r="O44" s="2"/>
      <c r="P44" s="2"/>
      <c r="Q44" s="2"/>
      <c r="R44" s="2"/>
      <c r="S44" s="2"/>
      <c r="T44" s="2"/>
      <c r="U44" s="2"/>
      <c r="V44" s="2"/>
      <c r="W44" s="2"/>
    </row>
    <row r="45" spans="1:23" ht="15.75" customHeight="1">
      <c r="A45" s="2"/>
      <c r="B45" s="2"/>
      <c r="C45" s="2"/>
      <c r="D45" s="2"/>
      <c r="E45" s="2"/>
      <c r="F45" s="2"/>
      <c r="G45" s="2"/>
      <c r="H45" s="2"/>
      <c r="I45" s="2"/>
      <c r="J45" s="2"/>
      <c r="K45" s="2"/>
      <c r="L45" s="2"/>
      <c r="M45" s="2"/>
      <c r="N45" s="2"/>
      <c r="O45" s="2"/>
      <c r="P45" s="2"/>
      <c r="Q45" s="2"/>
      <c r="R45" s="2"/>
      <c r="S45" s="2"/>
      <c r="T45" s="2"/>
      <c r="U45" s="2"/>
      <c r="V45" s="2"/>
      <c r="W45" s="2"/>
    </row>
    <row r="46" spans="1:23" ht="15.75" customHeight="1">
      <c r="A46" s="2"/>
      <c r="B46" s="2"/>
      <c r="C46" s="2"/>
      <c r="D46" s="2"/>
      <c r="E46" s="2"/>
      <c r="F46" s="2"/>
      <c r="G46" s="2"/>
      <c r="H46" s="2"/>
      <c r="I46" s="2"/>
      <c r="J46" s="2"/>
      <c r="K46" s="2"/>
      <c r="L46" s="2"/>
      <c r="M46" s="2"/>
      <c r="N46" s="2"/>
      <c r="O46" s="2"/>
      <c r="P46" s="2"/>
      <c r="Q46" s="2"/>
      <c r="R46" s="2"/>
      <c r="S46" s="2"/>
      <c r="T46" s="2"/>
      <c r="U46" s="2"/>
      <c r="V46" s="2"/>
      <c r="W46" s="2"/>
    </row>
    <row r="47" spans="1:23" ht="15.75" customHeight="1">
      <c r="A47" s="2"/>
      <c r="B47" s="2"/>
      <c r="C47" s="2"/>
      <c r="D47" s="2"/>
      <c r="E47" s="2"/>
      <c r="F47" s="2"/>
      <c r="G47" s="2"/>
      <c r="H47" s="2"/>
      <c r="I47" s="2"/>
      <c r="J47" s="2"/>
      <c r="K47" s="2"/>
      <c r="L47" s="2"/>
      <c r="M47" s="2"/>
      <c r="N47" s="2"/>
      <c r="O47" s="2"/>
      <c r="P47" s="2"/>
      <c r="Q47" s="2"/>
      <c r="R47" s="2"/>
      <c r="S47" s="2"/>
      <c r="T47" s="2"/>
      <c r="U47" s="2"/>
      <c r="V47" s="2"/>
      <c r="W47" s="2"/>
    </row>
    <row r="48" spans="1:23" ht="15.75" customHeight="1">
      <c r="A48" s="2"/>
      <c r="B48" s="2"/>
      <c r="C48" s="2"/>
      <c r="D48" s="2"/>
      <c r="E48" s="2"/>
      <c r="F48" s="2"/>
      <c r="G48" s="2"/>
      <c r="H48" s="2"/>
      <c r="I48" s="2"/>
      <c r="J48" s="2"/>
      <c r="K48" s="2"/>
      <c r="L48" s="2"/>
      <c r="M48" s="2"/>
      <c r="N48" s="2"/>
      <c r="O48" s="2"/>
      <c r="P48" s="2"/>
      <c r="Q48" s="2"/>
      <c r="R48" s="2"/>
      <c r="S48" s="2"/>
      <c r="T48" s="2"/>
      <c r="U48" s="2"/>
      <c r="V48" s="2"/>
      <c r="W48" s="2"/>
    </row>
    <row r="49" spans="1:23" ht="15.75" customHeight="1">
      <c r="A49" s="2"/>
      <c r="B49" s="2"/>
      <c r="C49" s="2"/>
      <c r="D49" s="2"/>
      <c r="E49" s="2"/>
      <c r="F49" s="2"/>
      <c r="G49" s="2"/>
      <c r="H49" s="2"/>
      <c r="I49" s="2"/>
      <c r="J49" s="2"/>
      <c r="K49" s="2"/>
      <c r="L49" s="2"/>
      <c r="M49" s="2"/>
      <c r="N49" s="2"/>
      <c r="O49" s="2"/>
      <c r="P49" s="2"/>
      <c r="Q49" s="2"/>
      <c r="R49" s="2"/>
      <c r="S49" s="2"/>
      <c r="T49" s="2"/>
      <c r="U49" s="2"/>
      <c r="V49" s="2"/>
      <c r="W49" s="2"/>
    </row>
    <row r="50" spans="1:23" ht="15.75" customHeight="1">
      <c r="A50" s="2"/>
      <c r="B50" s="2"/>
      <c r="C50" s="2"/>
      <c r="D50" s="2"/>
      <c r="E50" s="2"/>
      <c r="F50" s="2"/>
      <c r="G50" s="2"/>
      <c r="H50" s="2"/>
      <c r="I50" s="2"/>
      <c r="J50" s="2"/>
      <c r="K50" s="2"/>
      <c r="L50" s="2"/>
      <c r="M50" s="2"/>
      <c r="N50" s="2"/>
      <c r="O50" s="2"/>
      <c r="P50" s="2"/>
      <c r="Q50" s="2"/>
      <c r="R50" s="2"/>
      <c r="S50" s="2"/>
      <c r="T50" s="2"/>
      <c r="U50" s="2"/>
      <c r="V50" s="2"/>
      <c r="W50" s="2"/>
    </row>
    <row r="51" spans="1:23" ht="15.75" customHeight="1">
      <c r="A51" s="2"/>
      <c r="B51" s="2"/>
      <c r="C51" s="2"/>
      <c r="D51" s="2"/>
      <c r="E51" s="2"/>
      <c r="F51" s="2"/>
      <c r="G51" s="2"/>
      <c r="H51" s="2"/>
      <c r="I51" s="2"/>
      <c r="J51" s="2"/>
      <c r="K51" s="2"/>
      <c r="L51" s="2"/>
      <c r="M51" s="2"/>
      <c r="N51" s="2"/>
      <c r="O51" s="2"/>
      <c r="P51" s="2"/>
      <c r="Q51" s="2"/>
      <c r="R51" s="2"/>
      <c r="S51" s="2"/>
      <c r="T51" s="2"/>
      <c r="U51" s="2"/>
      <c r="V51" s="2"/>
      <c r="W51" s="2"/>
    </row>
    <row r="52" spans="1:23" ht="15.75" customHeight="1">
      <c r="A52" s="2"/>
      <c r="B52" s="2"/>
      <c r="C52" s="2"/>
      <c r="D52" s="2"/>
      <c r="E52" s="2"/>
      <c r="F52" s="2"/>
      <c r="G52" s="2"/>
      <c r="H52" s="2"/>
      <c r="I52" s="2"/>
      <c r="J52" s="2"/>
      <c r="K52" s="2"/>
      <c r="L52" s="2"/>
      <c r="M52" s="2"/>
      <c r="N52" s="2"/>
      <c r="O52" s="2"/>
      <c r="P52" s="2"/>
      <c r="Q52" s="2"/>
      <c r="R52" s="2"/>
      <c r="S52" s="2"/>
      <c r="T52" s="2"/>
      <c r="U52" s="2"/>
      <c r="V52" s="2"/>
      <c r="W52" s="2"/>
    </row>
    <row r="53" spans="1:23" ht="15.75" customHeight="1">
      <c r="A53" s="2"/>
      <c r="B53" s="2"/>
      <c r="C53" s="2"/>
      <c r="D53" s="2"/>
      <c r="E53" s="2"/>
      <c r="F53" s="2"/>
      <c r="G53" s="2"/>
      <c r="H53" s="2"/>
      <c r="I53" s="2"/>
      <c r="J53" s="2"/>
      <c r="K53" s="2"/>
      <c r="L53" s="2"/>
      <c r="M53" s="2"/>
      <c r="N53" s="2"/>
      <c r="O53" s="2"/>
      <c r="P53" s="2"/>
      <c r="Q53" s="2"/>
      <c r="R53" s="2"/>
      <c r="S53" s="2"/>
      <c r="T53" s="2"/>
      <c r="U53" s="2"/>
      <c r="V53" s="2"/>
      <c r="W53" s="2"/>
    </row>
    <row r="54" spans="1:23" ht="15.75" customHeight="1">
      <c r="A54" s="2"/>
      <c r="B54" s="2"/>
      <c r="C54" s="2"/>
      <c r="D54" s="2"/>
      <c r="E54" s="2"/>
      <c r="F54" s="2"/>
      <c r="G54" s="2"/>
      <c r="H54" s="2"/>
      <c r="I54" s="2"/>
      <c r="J54" s="2"/>
      <c r="K54" s="2"/>
      <c r="L54" s="2"/>
      <c r="M54" s="2"/>
      <c r="N54" s="2"/>
      <c r="O54" s="2"/>
      <c r="P54" s="2"/>
      <c r="Q54" s="2"/>
      <c r="R54" s="2"/>
      <c r="S54" s="2"/>
      <c r="T54" s="2"/>
      <c r="U54" s="2"/>
      <c r="V54" s="2"/>
      <c r="W54" s="2"/>
    </row>
    <row r="55" spans="1:23" ht="15.75" customHeight="1">
      <c r="A55" s="2"/>
      <c r="B55" s="2"/>
      <c r="C55" s="2"/>
      <c r="D55" s="2"/>
      <c r="E55" s="2"/>
      <c r="F55" s="2"/>
      <c r="G55" s="2"/>
      <c r="H55" s="2"/>
      <c r="I55" s="2"/>
      <c r="J55" s="2"/>
      <c r="K55" s="2"/>
      <c r="L55" s="2"/>
      <c r="M55" s="2"/>
      <c r="N55" s="2"/>
      <c r="O55" s="2"/>
      <c r="P55" s="2"/>
      <c r="Q55" s="2"/>
      <c r="R55" s="2"/>
      <c r="S55" s="2"/>
      <c r="T55" s="2"/>
      <c r="U55" s="2"/>
      <c r="V55" s="2"/>
      <c r="W55" s="2"/>
    </row>
    <row r="56" spans="1:23" ht="15.75" customHeight="1">
      <c r="A56" s="2"/>
      <c r="B56" s="2"/>
      <c r="C56" s="2"/>
      <c r="D56" s="2"/>
      <c r="E56" s="2"/>
      <c r="F56" s="2"/>
      <c r="G56" s="2"/>
      <c r="H56" s="2"/>
      <c r="I56" s="2"/>
      <c r="J56" s="2"/>
      <c r="K56" s="2"/>
      <c r="L56" s="2"/>
      <c r="M56" s="2"/>
      <c r="N56" s="2"/>
      <c r="O56" s="2"/>
      <c r="P56" s="2"/>
      <c r="Q56" s="2"/>
      <c r="R56" s="2"/>
      <c r="S56" s="2"/>
      <c r="T56" s="2"/>
      <c r="U56" s="2"/>
      <c r="V56" s="2"/>
      <c r="W56" s="2"/>
    </row>
    <row r="57" spans="1:23" ht="15.75" customHeight="1">
      <c r="A57" s="2"/>
      <c r="B57" s="2"/>
      <c r="C57" s="2"/>
      <c r="D57" s="2"/>
      <c r="E57" s="2"/>
      <c r="F57" s="2"/>
      <c r="G57" s="2"/>
      <c r="H57" s="2"/>
      <c r="I57" s="2"/>
      <c r="J57" s="2"/>
      <c r="K57" s="2"/>
      <c r="L57" s="2"/>
      <c r="M57" s="2"/>
      <c r="N57" s="2"/>
      <c r="O57" s="2"/>
      <c r="P57" s="2"/>
      <c r="Q57" s="2"/>
      <c r="R57" s="2"/>
      <c r="S57" s="2"/>
      <c r="T57" s="2"/>
      <c r="U57" s="2"/>
      <c r="V57" s="2"/>
      <c r="W57" s="2"/>
    </row>
    <row r="58" spans="1:23" ht="15.75" customHeight="1">
      <c r="A58" s="2"/>
      <c r="B58" s="2"/>
      <c r="C58" s="2"/>
      <c r="D58" s="2"/>
      <c r="E58" s="2"/>
      <c r="F58" s="2"/>
      <c r="G58" s="2"/>
      <c r="H58" s="2"/>
      <c r="I58" s="2"/>
      <c r="J58" s="2"/>
      <c r="K58" s="2"/>
      <c r="L58" s="2"/>
      <c r="M58" s="2"/>
      <c r="N58" s="2"/>
      <c r="O58" s="2"/>
      <c r="P58" s="2"/>
      <c r="Q58" s="2"/>
      <c r="R58" s="2"/>
      <c r="S58" s="2"/>
      <c r="T58" s="2"/>
      <c r="U58" s="2"/>
      <c r="V58" s="2"/>
      <c r="W58" s="2"/>
    </row>
    <row r="59" spans="1:23" ht="15.75" customHeight="1">
      <c r="A59" s="2"/>
      <c r="B59" s="2"/>
      <c r="C59" s="2"/>
      <c r="D59" s="2"/>
      <c r="E59" s="2"/>
      <c r="F59" s="2"/>
      <c r="G59" s="2"/>
      <c r="H59" s="2"/>
      <c r="I59" s="2"/>
      <c r="J59" s="2"/>
      <c r="K59" s="2"/>
      <c r="L59" s="2"/>
      <c r="M59" s="2"/>
      <c r="N59" s="2"/>
      <c r="O59" s="2"/>
      <c r="P59" s="2"/>
      <c r="Q59" s="2"/>
      <c r="R59" s="2"/>
      <c r="S59" s="2"/>
      <c r="T59" s="2"/>
      <c r="U59" s="2"/>
      <c r="V59" s="2"/>
      <c r="W59" s="2"/>
    </row>
    <row r="60" spans="1:23" ht="15.75" customHeight="1">
      <c r="A60" s="2"/>
      <c r="B60" s="2"/>
      <c r="C60" s="2"/>
      <c r="D60" s="2"/>
      <c r="E60" s="2"/>
      <c r="F60" s="2"/>
      <c r="G60" s="2"/>
      <c r="H60" s="2"/>
      <c r="I60" s="2"/>
      <c r="J60" s="2"/>
      <c r="K60" s="2"/>
      <c r="L60" s="2"/>
      <c r="M60" s="2"/>
      <c r="N60" s="2"/>
      <c r="O60" s="2"/>
      <c r="P60" s="2"/>
      <c r="Q60" s="2"/>
      <c r="R60" s="2"/>
      <c r="S60" s="2"/>
      <c r="T60" s="2"/>
      <c r="U60" s="2"/>
      <c r="V60" s="2"/>
      <c r="W60" s="2"/>
    </row>
    <row r="61" spans="1:23" ht="15.75" customHeight="1">
      <c r="A61" s="2"/>
      <c r="B61" s="2"/>
      <c r="C61" s="2"/>
      <c r="D61" s="2"/>
      <c r="E61" s="2"/>
      <c r="F61" s="2"/>
      <c r="G61" s="2"/>
      <c r="H61" s="2"/>
      <c r="I61" s="2"/>
      <c r="J61" s="2"/>
      <c r="K61" s="2"/>
      <c r="L61" s="2"/>
      <c r="M61" s="2"/>
      <c r="N61" s="2"/>
      <c r="O61" s="2"/>
      <c r="P61" s="2"/>
      <c r="Q61" s="2"/>
      <c r="R61" s="2"/>
      <c r="S61" s="2"/>
      <c r="T61" s="2"/>
      <c r="U61" s="2"/>
      <c r="V61" s="2"/>
      <c r="W61" s="2"/>
    </row>
    <row r="62" spans="1:23" ht="15.75" customHeight="1">
      <c r="A62" s="2"/>
      <c r="B62" s="2"/>
      <c r="C62" s="2"/>
      <c r="D62" s="2"/>
      <c r="E62" s="2"/>
      <c r="F62" s="2"/>
      <c r="G62" s="2"/>
      <c r="H62" s="2"/>
      <c r="I62" s="2"/>
      <c r="J62" s="2"/>
      <c r="K62" s="2"/>
      <c r="L62" s="2"/>
      <c r="M62" s="2"/>
      <c r="N62" s="2"/>
      <c r="O62" s="2"/>
      <c r="P62" s="2"/>
      <c r="Q62" s="2"/>
      <c r="R62" s="2"/>
      <c r="S62" s="2"/>
      <c r="T62" s="2"/>
      <c r="U62" s="2"/>
      <c r="V62" s="2"/>
      <c r="W62" s="2"/>
    </row>
    <row r="63" spans="1:23" ht="15.75" customHeight="1">
      <c r="A63" s="2"/>
      <c r="B63" s="2"/>
      <c r="C63" s="2"/>
      <c r="D63" s="2"/>
      <c r="E63" s="2"/>
      <c r="F63" s="2"/>
      <c r="G63" s="2"/>
      <c r="H63" s="2"/>
      <c r="I63" s="2"/>
      <c r="J63" s="2"/>
      <c r="K63" s="2"/>
      <c r="L63" s="2"/>
      <c r="M63" s="2"/>
      <c r="N63" s="2"/>
      <c r="O63" s="2"/>
      <c r="P63" s="2"/>
      <c r="Q63" s="2"/>
      <c r="R63" s="2"/>
      <c r="S63" s="2"/>
      <c r="T63" s="2"/>
      <c r="U63" s="2"/>
      <c r="V63" s="2"/>
      <c r="W63" s="2"/>
    </row>
    <row r="64" spans="1:23" ht="15.75" customHeight="1">
      <c r="A64" s="2"/>
      <c r="B64" s="2"/>
      <c r="C64" s="2"/>
      <c r="D64" s="2"/>
      <c r="E64" s="2"/>
      <c r="F64" s="2"/>
      <c r="G64" s="2"/>
      <c r="H64" s="2"/>
      <c r="I64" s="2"/>
      <c r="J64" s="2"/>
      <c r="K64" s="2"/>
      <c r="L64" s="2"/>
      <c r="M64" s="2"/>
      <c r="N64" s="2"/>
      <c r="O64" s="2"/>
      <c r="P64" s="2"/>
      <c r="Q64" s="2"/>
      <c r="R64" s="2"/>
      <c r="S64" s="2"/>
      <c r="T64" s="2"/>
      <c r="U64" s="2"/>
      <c r="V64" s="2"/>
      <c r="W64" s="2"/>
    </row>
    <row r="65" spans="1:23" ht="15.75" customHeight="1">
      <c r="A65" s="2"/>
      <c r="B65" s="2"/>
      <c r="C65" s="2"/>
      <c r="D65" s="2"/>
      <c r="E65" s="2"/>
      <c r="F65" s="2"/>
      <c r="G65" s="2"/>
      <c r="H65" s="2"/>
      <c r="I65" s="2"/>
      <c r="J65" s="2"/>
      <c r="K65" s="2"/>
      <c r="L65" s="2"/>
      <c r="M65" s="2"/>
      <c r="N65" s="2"/>
      <c r="O65" s="2"/>
      <c r="P65" s="2"/>
      <c r="Q65" s="2"/>
      <c r="R65" s="2"/>
      <c r="S65" s="2"/>
      <c r="T65" s="2"/>
      <c r="U65" s="2"/>
      <c r="V65" s="2"/>
      <c r="W65" s="2"/>
    </row>
    <row r="66" spans="1:23" ht="15.75" customHeight="1">
      <c r="A66" s="2"/>
      <c r="B66" s="2"/>
      <c r="C66" s="2"/>
      <c r="D66" s="2"/>
      <c r="E66" s="2"/>
      <c r="F66" s="2"/>
      <c r="G66" s="2"/>
      <c r="H66" s="2"/>
      <c r="I66" s="2"/>
      <c r="J66" s="2"/>
      <c r="K66" s="2"/>
      <c r="L66" s="2"/>
      <c r="M66" s="2"/>
      <c r="N66" s="2"/>
      <c r="O66" s="2"/>
      <c r="P66" s="2"/>
      <c r="Q66" s="2"/>
      <c r="R66" s="2"/>
      <c r="S66" s="2"/>
      <c r="T66" s="2"/>
      <c r="U66" s="2"/>
      <c r="V66" s="2"/>
      <c r="W66" s="2"/>
    </row>
    <row r="67" spans="1:23" ht="15.75" customHeight="1">
      <c r="A67" s="2"/>
      <c r="B67" s="2"/>
      <c r="C67" s="2"/>
      <c r="D67" s="2"/>
      <c r="E67" s="2"/>
      <c r="F67" s="2"/>
      <c r="G67" s="2"/>
      <c r="H67" s="2"/>
      <c r="I67" s="2"/>
      <c r="J67" s="2"/>
      <c r="K67" s="2"/>
      <c r="L67" s="2"/>
      <c r="M67" s="2"/>
      <c r="N67" s="2"/>
      <c r="O67" s="2"/>
      <c r="P67" s="2"/>
      <c r="Q67" s="2"/>
      <c r="R67" s="2"/>
      <c r="S67" s="2"/>
      <c r="T67" s="2"/>
      <c r="U67" s="2"/>
      <c r="V67" s="2"/>
      <c r="W67" s="2"/>
    </row>
    <row r="68" spans="1:23" ht="15.75" customHeight="1">
      <c r="A68" s="2"/>
      <c r="B68" s="2"/>
      <c r="C68" s="2"/>
      <c r="D68" s="2"/>
      <c r="E68" s="2"/>
      <c r="F68" s="2"/>
      <c r="G68" s="2"/>
      <c r="H68" s="2"/>
      <c r="I68" s="2"/>
      <c r="J68" s="2"/>
      <c r="K68" s="2"/>
      <c r="L68" s="2"/>
      <c r="M68" s="2"/>
      <c r="N68" s="2"/>
      <c r="O68" s="2"/>
      <c r="P68" s="2"/>
      <c r="Q68" s="2"/>
      <c r="R68" s="2"/>
      <c r="S68" s="2"/>
      <c r="T68" s="2"/>
      <c r="U68" s="2"/>
      <c r="V68" s="2"/>
      <c r="W68" s="2"/>
    </row>
    <row r="69" spans="1:23" ht="15.75" customHeight="1">
      <c r="A69" s="2"/>
      <c r="B69" s="2"/>
      <c r="C69" s="2"/>
      <c r="D69" s="2"/>
      <c r="E69" s="2"/>
      <c r="F69" s="2"/>
      <c r="G69" s="2"/>
      <c r="H69" s="2"/>
      <c r="I69" s="2"/>
      <c r="J69" s="2"/>
      <c r="K69" s="2"/>
      <c r="L69" s="2"/>
      <c r="M69" s="2"/>
      <c r="N69" s="2"/>
      <c r="O69" s="2"/>
      <c r="P69" s="2"/>
      <c r="Q69" s="2"/>
      <c r="R69" s="2"/>
      <c r="S69" s="2"/>
      <c r="T69" s="2"/>
      <c r="U69" s="2"/>
      <c r="V69" s="2"/>
      <c r="W69" s="2"/>
    </row>
    <row r="70" spans="1:23" ht="15.75" customHeight="1">
      <c r="A70" s="2"/>
      <c r="B70" s="2"/>
      <c r="C70" s="2"/>
      <c r="D70" s="2"/>
      <c r="E70" s="2"/>
      <c r="F70" s="2"/>
      <c r="G70" s="2"/>
      <c r="H70" s="2"/>
      <c r="I70" s="2"/>
      <c r="J70" s="2"/>
      <c r="K70" s="2"/>
      <c r="L70" s="2"/>
      <c r="M70" s="2"/>
      <c r="N70" s="2"/>
      <c r="O70" s="2"/>
      <c r="P70" s="2"/>
      <c r="Q70" s="2"/>
      <c r="R70" s="2"/>
      <c r="S70" s="2"/>
      <c r="T70" s="2"/>
      <c r="U70" s="2"/>
      <c r="V70" s="2"/>
      <c r="W70" s="2"/>
    </row>
    <row r="71" spans="1:23" ht="15.75" customHeight="1">
      <c r="A71" s="2"/>
      <c r="B71" s="2"/>
      <c r="C71" s="2"/>
      <c r="D71" s="2"/>
      <c r="E71" s="2"/>
      <c r="F71" s="2"/>
      <c r="G71" s="2"/>
      <c r="H71" s="2"/>
      <c r="I71" s="2"/>
      <c r="J71" s="2"/>
      <c r="K71" s="2"/>
      <c r="L71" s="2"/>
      <c r="M71" s="2"/>
      <c r="N71" s="2"/>
      <c r="O71" s="2"/>
      <c r="P71" s="2"/>
      <c r="Q71" s="2"/>
      <c r="R71" s="2"/>
      <c r="S71" s="2"/>
      <c r="T71" s="2"/>
      <c r="U71" s="2"/>
      <c r="V71" s="2"/>
      <c r="W71" s="2"/>
    </row>
    <row r="72" spans="1:23" ht="15.75" customHeight="1">
      <c r="A72" s="2"/>
      <c r="B72" s="2"/>
      <c r="C72" s="2"/>
      <c r="D72" s="2"/>
      <c r="E72" s="2"/>
      <c r="F72" s="2"/>
      <c r="G72" s="2"/>
      <c r="H72" s="2"/>
      <c r="I72" s="2"/>
      <c r="J72" s="2"/>
      <c r="K72" s="2"/>
      <c r="L72" s="2"/>
      <c r="M72" s="2"/>
      <c r="N72" s="2"/>
      <c r="O72" s="2"/>
      <c r="P72" s="2"/>
      <c r="Q72" s="2"/>
      <c r="R72" s="2"/>
      <c r="S72" s="2"/>
      <c r="T72" s="2"/>
      <c r="U72" s="2"/>
      <c r="V72" s="2"/>
      <c r="W72" s="2"/>
    </row>
    <row r="73" spans="1:23" ht="15.75" customHeight="1">
      <c r="A73" s="2"/>
      <c r="B73" s="2"/>
      <c r="C73" s="2"/>
      <c r="D73" s="2"/>
      <c r="E73" s="2"/>
      <c r="F73" s="2"/>
      <c r="G73" s="2"/>
      <c r="H73" s="2"/>
      <c r="I73" s="2"/>
      <c r="J73" s="2"/>
      <c r="K73" s="2"/>
      <c r="L73" s="2"/>
      <c r="M73" s="2"/>
      <c r="N73" s="2"/>
      <c r="O73" s="2"/>
      <c r="P73" s="2"/>
      <c r="Q73" s="2"/>
      <c r="R73" s="2"/>
      <c r="S73" s="2"/>
      <c r="T73" s="2"/>
      <c r="U73" s="2"/>
      <c r="V73" s="2"/>
      <c r="W73" s="2"/>
    </row>
    <row r="74" spans="1:23" ht="15.75" customHeight="1">
      <c r="A74" s="2"/>
      <c r="B74" s="2"/>
      <c r="C74" s="2"/>
      <c r="D74" s="2"/>
      <c r="E74" s="2"/>
      <c r="F74" s="2"/>
      <c r="G74" s="2"/>
      <c r="H74" s="2"/>
      <c r="I74" s="2"/>
      <c r="J74" s="2"/>
      <c r="K74" s="2"/>
      <c r="L74" s="2"/>
      <c r="M74" s="2"/>
      <c r="N74" s="2"/>
      <c r="O74" s="2"/>
      <c r="P74" s="2"/>
      <c r="Q74" s="2"/>
      <c r="R74" s="2"/>
      <c r="S74" s="2"/>
      <c r="T74" s="2"/>
      <c r="U74" s="2"/>
      <c r="V74" s="2"/>
      <c r="W74" s="2"/>
    </row>
    <row r="75" spans="1:23" ht="15.75" customHeight="1">
      <c r="A75" s="2"/>
      <c r="B75" s="2"/>
      <c r="C75" s="2"/>
      <c r="D75" s="2"/>
      <c r="E75" s="2"/>
      <c r="F75" s="2"/>
      <c r="G75" s="2"/>
      <c r="H75" s="2"/>
      <c r="I75" s="2"/>
      <c r="J75" s="2"/>
      <c r="K75" s="2"/>
      <c r="L75" s="2"/>
      <c r="M75" s="2"/>
      <c r="N75" s="2"/>
      <c r="O75" s="2"/>
      <c r="P75" s="2"/>
      <c r="Q75" s="2"/>
      <c r="R75" s="2"/>
      <c r="S75" s="2"/>
      <c r="T75" s="2"/>
      <c r="U75" s="2"/>
      <c r="V75" s="2"/>
      <c r="W75" s="2"/>
    </row>
    <row r="76" spans="1:23" ht="15.75" customHeight="1">
      <c r="A76" s="2"/>
      <c r="B76" s="2"/>
      <c r="C76" s="2"/>
      <c r="D76" s="2"/>
      <c r="E76" s="2"/>
      <c r="F76" s="2"/>
      <c r="G76" s="2"/>
      <c r="H76" s="2"/>
      <c r="I76" s="2"/>
      <c r="J76" s="2"/>
      <c r="K76" s="2"/>
      <c r="L76" s="2"/>
      <c r="M76" s="2"/>
      <c r="N76" s="2"/>
      <c r="O76" s="2"/>
      <c r="P76" s="2"/>
      <c r="Q76" s="2"/>
      <c r="R76" s="2"/>
      <c r="S76" s="2"/>
      <c r="T76" s="2"/>
      <c r="U76" s="2"/>
      <c r="V76" s="2"/>
      <c r="W76" s="2"/>
    </row>
    <row r="77" spans="1:23" ht="15.75" customHeight="1">
      <c r="A77" s="2"/>
      <c r="B77" s="2"/>
      <c r="C77" s="2"/>
      <c r="D77" s="2"/>
      <c r="E77" s="2"/>
      <c r="F77" s="2"/>
      <c r="G77" s="2"/>
      <c r="H77" s="2"/>
      <c r="I77" s="2"/>
      <c r="J77" s="2"/>
      <c r="K77" s="2"/>
      <c r="L77" s="2"/>
      <c r="M77" s="2"/>
      <c r="N77" s="2"/>
      <c r="O77" s="2"/>
      <c r="P77" s="2"/>
      <c r="Q77" s="2"/>
      <c r="R77" s="2"/>
      <c r="S77" s="2"/>
      <c r="T77" s="2"/>
      <c r="U77" s="2"/>
      <c r="V77" s="2"/>
      <c r="W77" s="2"/>
    </row>
    <row r="78" spans="1:23" ht="15.75" customHeight="1">
      <c r="A78" s="2"/>
      <c r="B78" s="2"/>
      <c r="C78" s="2"/>
      <c r="D78" s="2"/>
      <c r="E78" s="2"/>
      <c r="F78" s="2"/>
      <c r="G78" s="2"/>
      <c r="H78" s="2"/>
      <c r="I78" s="2"/>
      <c r="J78" s="2"/>
      <c r="K78" s="2"/>
      <c r="L78" s="2"/>
      <c r="M78" s="2"/>
      <c r="N78" s="2"/>
      <c r="O78" s="2"/>
      <c r="P78" s="2"/>
      <c r="Q78" s="2"/>
      <c r="R78" s="2"/>
      <c r="S78" s="2"/>
      <c r="T78" s="2"/>
      <c r="U78" s="2"/>
      <c r="V78" s="2"/>
      <c r="W78" s="2"/>
    </row>
    <row r="79" spans="1:23" ht="15.75" customHeight="1">
      <c r="A79" s="2"/>
      <c r="B79" s="2"/>
      <c r="C79" s="2"/>
      <c r="D79" s="2"/>
      <c r="E79" s="2"/>
      <c r="F79" s="2"/>
      <c r="G79" s="2"/>
      <c r="H79" s="2"/>
      <c r="I79" s="2"/>
      <c r="J79" s="2"/>
      <c r="K79" s="2"/>
      <c r="L79" s="2"/>
      <c r="M79" s="2"/>
      <c r="N79" s="2"/>
      <c r="O79" s="2"/>
      <c r="P79" s="2"/>
      <c r="Q79" s="2"/>
      <c r="R79" s="2"/>
      <c r="S79" s="2"/>
      <c r="T79" s="2"/>
      <c r="U79" s="2"/>
      <c r="V79" s="2"/>
      <c r="W79" s="2"/>
    </row>
    <row r="80" spans="1:23" ht="15.75" customHeight="1">
      <c r="A80" s="2"/>
      <c r="B80" s="2"/>
      <c r="C80" s="2"/>
      <c r="D80" s="2"/>
      <c r="E80" s="2"/>
      <c r="F80" s="2"/>
      <c r="G80" s="2"/>
      <c r="H80" s="2"/>
      <c r="I80" s="2"/>
      <c r="J80" s="2"/>
      <c r="K80" s="2"/>
      <c r="L80" s="2"/>
      <c r="M80" s="2"/>
      <c r="N80" s="2"/>
      <c r="O80" s="2"/>
      <c r="P80" s="2"/>
      <c r="Q80" s="2"/>
      <c r="R80" s="2"/>
      <c r="S80" s="2"/>
      <c r="T80" s="2"/>
      <c r="U80" s="2"/>
      <c r="V80" s="2"/>
      <c r="W80" s="2"/>
    </row>
    <row r="81" spans="1:23" ht="15.75" customHeight="1">
      <c r="A81" s="2"/>
      <c r="B81" s="2"/>
      <c r="C81" s="2"/>
      <c r="D81" s="2"/>
      <c r="E81" s="2"/>
      <c r="F81" s="2"/>
      <c r="G81" s="2"/>
      <c r="H81" s="2"/>
      <c r="I81" s="2"/>
      <c r="J81" s="2"/>
      <c r="K81" s="2"/>
      <c r="L81" s="2"/>
      <c r="M81" s="2"/>
      <c r="N81" s="2"/>
      <c r="O81" s="2"/>
      <c r="P81" s="2"/>
      <c r="Q81" s="2"/>
      <c r="R81" s="2"/>
      <c r="S81" s="2"/>
      <c r="T81" s="2"/>
      <c r="U81" s="2"/>
      <c r="V81" s="2"/>
      <c r="W81" s="2"/>
    </row>
    <row r="82" spans="1:23" ht="15.75" customHeight="1">
      <c r="A82" s="2"/>
      <c r="B82" s="2"/>
      <c r="C82" s="2"/>
      <c r="D82" s="2"/>
      <c r="E82" s="2"/>
      <c r="F82" s="2"/>
      <c r="G82" s="2"/>
      <c r="H82" s="2"/>
      <c r="I82" s="2"/>
      <c r="J82" s="2"/>
      <c r="K82" s="2"/>
      <c r="L82" s="2"/>
      <c r="M82" s="2"/>
      <c r="N82" s="2"/>
      <c r="O82" s="2"/>
      <c r="P82" s="2"/>
      <c r="Q82" s="2"/>
      <c r="R82" s="2"/>
      <c r="S82" s="2"/>
      <c r="T82" s="2"/>
      <c r="U82" s="2"/>
      <c r="V82" s="2"/>
      <c r="W82" s="2"/>
    </row>
    <row r="83" spans="1:23" ht="15.75" customHeight="1">
      <c r="A83" s="2"/>
      <c r="B83" s="2"/>
      <c r="C83" s="2"/>
      <c r="D83" s="2"/>
      <c r="E83" s="2"/>
      <c r="F83" s="2"/>
      <c r="G83" s="2"/>
      <c r="H83" s="2"/>
      <c r="I83" s="2"/>
      <c r="J83" s="2"/>
      <c r="K83" s="2"/>
      <c r="L83" s="2"/>
      <c r="M83" s="2"/>
      <c r="N83" s="2"/>
      <c r="O83" s="2"/>
      <c r="P83" s="2"/>
      <c r="Q83" s="2"/>
      <c r="R83" s="2"/>
      <c r="S83" s="2"/>
      <c r="T83" s="2"/>
      <c r="U83" s="2"/>
      <c r="V83" s="2"/>
      <c r="W83" s="2"/>
    </row>
    <row r="84" spans="1:23" ht="15.75" customHeight="1">
      <c r="A84" s="2"/>
      <c r="B84" s="2"/>
      <c r="C84" s="2"/>
      <c r="D84" s="2"/>
      <c r="E84" s="2"/>
      <c r="F84" s="2"/>
      <c r="G84" s="2"/>
      <c r="H84" s="2"/>
      <c r="I84" s="2"/>
      <c r="J84" s="2"/>
      <c r="K84" s="2"/>
      <c r="L84" s="2"/>
      <c r="M84" s="2"/>
      <c r="N84" s="2"/>
      <c r="O84" s="2"/>
      <c r="P84" s="2"/>
      <c r="Q84" s="2"/>
      <c r="R84" s="2"/>
      <c r="S84" s="2"/>
      <c r="T84" s="2"/>
      <c r="U84" s="2"/>
      <c r="V84" s="2"/>
      <c r="W84" s="2"/>
    </row>
    <row r="85" spans="1:23" ht="15.75" customHeight="1">
      <c r="A85" s="2"/>
      <c r="B85" s="2"/>
      <c r="C85" s="2"/>
      <c r="D85" s="2"/>
      <c r="E85" s="2"/>
      <c r="F85" s="2"/>
      <c r="G85" s="2"/>
      <c r="H85" s="2"/>
      <c r="I85" s="2"/>
      <c r="J85" s="2"/>
      <c r="K85" s="2"/>
      <c r="L85" s="2"/>
      <c r="M85" s="2"/>
      <c r="N85" s="2"/>
      <c r="O85" s="2"/>
      <c r="P85" s="2"/>
      <c r="Q85" s="2"/>
      <c r="R85" s="2"/>
      <c r="S85" s="2"/>
      <c r="T85" s="2"/>
      <c r="U85" s="2"/>
      <c r="V85" s="2"/>
      <c r="W85" s="2"/>
    </row>
    <row r="86" spans="1:23" ht="15.75" customHeight="1">
      <c r="A86" s="2"/>
      <c r="B86" s="2"/>
      <c r="C86" s="2"/>
      <c r="D86" s="2"/>
      <c r="E86" s="2"/>
      <c r="F86" s="2"/>
      <c r="G86" s="2"/>
      <c r="H86" s="2"/>
      <c r="I86" s="2"/>
      <c r="J86" s="2"/>
      <c r="K86" s="2"/>
      <c r="L86" s="2"/>
      <c r="M86" s="2"/>
      <c r="N86" s="2"/>
      <c r="O86" s="2"/>
      <c r="P86" s="2"/>
      <c r="Q86" s="2"/>
      <c r="R86" s="2"/>
      <c r="S86" s="2"/>
      <c r="T86" s="2"/>
      <c r="U86" s="2"/>
      <c r="V86" s="2"/>
      <c r="W86" s="2"/>
    </row>
    <row r="87" spans="1:23" ht="15.75" customHeight="1">
      <c r="A87" s="2"/>
      <c r="B87" s="2"/>
      <c r="C87" s="2"/>
      <c r="D87" s="2"/>
      <c r="E87" s="2"/>
      <c r="F87" s="2"/>
      <c r="G87" s="2"/>
      <c r="H87" s="2"/>
      <c r="I87" s="2"/>
      <c r="J87" s="2"/>
      <c r="K87" s="2"/>
      <c r="L87" s="2"/>
      <c r="M87" s="2"/>
      <c r="N87" s="2"/>
      <c r="O87" s="2"/>
      <c r="P87" s="2"/>
      <c r="Q87" s="2"/>
      <c r="R87" s="2"/>
      <c r="S87" s="2"/>
      <c r="T87" s="2"/>
      <c r="U87" s="2"/>
      <c r="V87" s="2"/>
      <c r="W87" s="2"/>
    </row>
    <row r="88" spans="1:23" ht="15.75" customHeight="1">
      <c r="A88" s="2"/>
      <c r="B88" s="2"/>
      <c r="C88" s="2"/>
      <c r="D88" s="2"/>
      <c r="E88" s="2"/>
      <c r="F88" s="2"/>
      <c r="G88" s="2"/>
      <c r="H88" s="2"/>
      <c r="I88" s="2"/>
      <c r="J88" s="2"/>
      <c r="K88" s="2"/>
      <c r="L88" s="2"/>
      <c r="M88" s="2"/>
      <c r="N88" s="2"/>
      <c r="O88" s="2"/>
      <c r="P88" s="2"/>
      <c r="Q88" s="2"/>
      <c r="R88" s="2"/>
      <c r="S88" s="2"/>
      <c r="T88" s="2"/>
      <c r="U88" s="2"/>
      <c r="V88" s="2"/>
      <c r="W88" s="2"/>
    </row>
    <row r="89" spans="1:23" ht="15.75" customHeight="1">
      <c r="A89" s="2"/>
      <c r="B89" s="2"/>
      <c r="C89" s="2"/>
      <c r="D89" s="2"/>
      <c r="E89" s="2"/>
      <c r="F89" s="2"/>
      <c r="G89" s="2"/>
      <c r="H89" s="2"/>
      <c r="I89" s="2"/>
      <c r="J89" s="2"/>
      <c r="K89" s="2"/>
      <c r="L89" s="2"/>
      <c r="M89" s="2"/>
      <c r="N89" s="2"/>
      <c r="O89" s="2"/>
      <c r="P89" s="2"/>
      <c r="Q89" s="2"/>
      <c r="R89" s="2"/>
      <c r="S89" s="2"/>
      <c r="T89" s="2"/>
      <c r="U89" s="2"/>
      <c r="V89" s="2"/>
      <c r="W89" s="2"/>
    </row>
    <row r="90" spans="1:23" ht="15.75" customHeight="1">
      <c r="A90" s="2"/>
      <c r="B90" s="2"/>
      <c r="C90" s="2"/>
      <c r="D90" s="2"/>
      <c r="E90" s="2"/>
      <c r="F90" s="2"/>
      <c r="G90" s="2"/>
      <c r="H90" s="2"/>
      <c r="I90" s="2"/>
      <c r="J90" s="2"/>
      <c r="K90" s="2"/>
      <c r="L90" s="2"/>
      <c r="M90" s="2"/>
      <c r="N90" s="2"/>
      <c r="O90" s="2"/>
      <c r="P90" s="2"/>
      <c r="Q90" s="2"/>
      <c r="R90" s="2"/>
      <c r="S90" s="2"/>
      <c r="T90" s="2"/>
      <c r="U90" s="2"/>
      <c r="V90" s="2"/>
      <c r="W90" s="2"/>
    </row>
    <row r="91" spans="1:23" ht="15.75" customHeight="1">
      <c r="A91" s="2"/>
      <c r="B91" s="2"/>
      <c r="C91" s="2"/>
      <c r="D91" s="2"/>
      <c r="E91" s="2"/>
      <c r="F91" s="2"/>
      <c r="G91" s="2"/>
      <c r="H91" s="2"/>
      <c r="I91" s="2"/>
      <c r="J91" s="2"/>
      <c r="K91" s="2"/>
      <c r="L91" s="2"/>
      <c r="M91" s="2"/>
      <c r="N91" s="2"/>
      <c r="O91" s="2"/>
      <c r="P91" s="2"/>
      <c r="Q91" s="2"/>
      <c r="R91" s="2"/>
      <c r="S91" s="2"/>
      <c r="T91" s="2"/>
      <c r="U91" s="2"/>
      <c r="V91" s="2"/>
      <c r="W91" s="2"/>
    </row>
    <row r="92" spans="1:23" ht="15.75" customHeight="1">
      <c r="A92" s="2"/>
      <c r="B92" s="2"/>
      <c r="C92" s="2"/>
      <c r="D92" s="2"/>
      <c r="E92" s="2"/>
      <c r="F92" s="2"/>
      <c r="G92" s="2"/>
      <c r="H92" s="2"/>
      <c r="I92" s="2"/>
      <c r="J92" s="2"/>
      <c r="K92" s="2"/>
      <c r="L92" s="2"/>
      <c r="M92" s="2"/>
      <c r="N92" s="2"/>
      <c r="O92" s="2"/>
      <c r="P92" s="2"/>
      <c r="Q92" s="2"/>
      <c r="R92" s="2"/>
      <c r="S92" s="2"/>
      <c r="T92" s="2"/>
      <c r="U92" s="2"/>
      <c r="V92" s="2"/>
      <c r="W92" s="2"/>
    </row>
    <row r="93" spans="1:23" ht="15.75" customHeight="1">
      <c r="A93" s="2"/>
      <c r="B93" s="2"/>
      <c r="C93" s="2"/>
      <c r="D93" s="2"/>
      <c r="E93" s="2"/>
      <c r="F93" s="2"/>
      <c r="G93" s="2"/>
      <c r="H93" s="2"/>
      <c r="I93" s="2"/>
      <c r="J93" s="2"/>
      <c r="K93" s="2"/>
      <c r="L93" s="2"/>
      <c r="M93" s="2"/>
      <c r="N93" s="2"/>
      <c r="O93" s="2"/>
      <c r="P93" s="2"/>
      <c r="Q93" s="2"/>
      <c r="R93" s="2"/>
      <c r="S93" s="2"/>
      <c r="T93" s="2"/>
      <c r="U93" s="2"/>
      <c r="V93" s="2"/>
      <c r="W93" s="2"/>
    </row>
    <row r="94" spans="1:23" ht="15.75" customHeight="1">
      <c r="A94" s="2"/>
      <c r="B94" s="2"/>
      <c r="C94" s="2"/>
      <c r="D94" s="2"/>
      <c r="E94" s="2"/>
      <c r="F94" s="2"/>
      <c r="G94" s="2"/>
      <c r="H94" s="2"/>
      <c r="I94" s="2"/>
      <c r="J94" s="2"/>
      <c r="K94" s="2"/>
      <c r="L94" s="2"/>
      <c r="M94" s="2"/>
      <c r="N94" s="2"/>
      <c r="O94" s="2"/>
      <c r="P94" s="2"/>
      <c r="Q94" s="2"/>
      <c r="R94" s="2"/>
      <c r="S94" s="2"/>
      <c r="T94" s="2"/>
      <c r="U94" s="2"/>
      <c r="V94" s="2"/>
      <c r="W94" s="2"/>
    </row>
    <row r="95" spans="1:23" ht="15.75" customHeight="1">
      <c r="A95" s="2"/>
      <c r="B95" s="2"/>
      <c r="C95" s="2"/>
      <c r="D95" s="2"/>
      <c r="E95" s="2"/>
      <c r="F95" s="2"/>
      <c r="G95" s="2"/>
      <c r="H95" s="2"/>
      <c r="I95" s="2"/>
      <c r="J95" s="2"/>
      <c r="K95" s="2"/>
      <c r="L95" s="2"/>
      <c r="M95" s="2"/>
      <c r="N95" s="2"/>
      <c r="O95" s="2"/>
      <c r="P95" s="2"/>
      <c r="Q95" s="2"/>
      <c r="R95" s="2"/>
      <c r="S95" s="2"/>
      <c r="T95" s="2"/>
      <c r="U95" s="2"/>
      <c r="V95" s="2"/>
      <c r="W95" s="2"/>
    </row>
    <row r="96" spans="1:23" ht="15.75" customHeight="1">
      <c r="A96" s="2"/>
      <c r="B96" s="2"/>
      <c r="C96" s="2"/>
      <c r="D96" s="2"/>
      <c r="E96" s="2"/>
      <c r="F96" s="2"/>
      <c r="G96" s="2"/>
      <c r="H96" s="2"/>
      <c r="I96" s="2"/>
      <c r="J96" s="2"/>
      <c r="K96" s="2"/>
      <c r="L96" s="2"/>
      <c r="M96" s="2"/>
      <c r="N96" s="2"/>
      <c r="O96" s="2"/>
      <c r="P96" s="2"/>
      <c r="Q96" s="2"/>
      <c r="R96" s="2"/>
      <c r="S96" s="2"/>
      <c r="T96" s="2"/>
      <c r="U96" s="2"/>
      <c r="V96" s="2"/>
      <c r="W96" s="2"/>
    </row>
    <row r="97" spans="1:23" ht="15.75" customHeight="1">
      <c r="A97" s="2"/>
      <c r="B97" s="2"/>
      <c r="C97" s="2"/>
      <c r="D97" s="2"/>
      <c r="E97" s="2"/>
      <c r="F97" s="2"/>
      <c r="G97" s="2"/>
      <c r="H97" s="2"/>
      <c r="I97" s="2"/>
      <c r="J97" s="2"/>
      <c r="K97" s="2"/>
      <c r="L97" s="2"/>
      <c r="M97" s="2"/>
      <c r="N97" s="2"/>
      <c r="O97" s="2"/>
      <c r="P97" s="2"/>
      <c r="Q97" s="2"/>
      <c r="R97" s="2"/>
      <c r="S97" s="2"/>
      <c r="T97" s="2"/>
      <c r="U97" s="2"/>
      <c r="V97" s="2"/>
      <c r="W97" s="2"/>
    </row>
    <row r="98" spans="1:23" ht="15.75" customHeight="1">
      <c r="A98" s="2"/>
      <c r="B98" s="2"/>
      <c r="C98" s="2"/>
      <c r="D98" s="2"/>
      <c r="E98" s="2"/>
      <c r="F98" s="2"/>
      <c r="G98" s="2"/>
      <c r="H98" s="2"/>
      <c r="I98" s="2"/>
      <c r="J98" s="2"/>
      <c r="K98" s="2"/>
      <c r="L98" s="2"/>
      <c r="M98" s="2"/>
      <c r="N98" s="2"/>
      <c r="O98" s="2"/>
      <c r="P98" s="2"/>
      <c r="Q98" s="2"/>
      <c r="R98" s="2"/>
      <c r="S98" s="2"/>
      <c r="T98" s="2"/>
      <c r="U98" s="2"/>
      <c r="V98" s="2"/>
      <c r="W98" s="2"/>
    </row>
    <row r="99" spans="1:23" ht="15.75" customHeight="1">
      <c r="A99" s="2"/>
      <c r="B99" s="2"/>
      <c r="C99" s="2"/>
      <c r="D99" s="2"/>
      <c r="E99" s="2"/>
      <c r="F99" s="2"/>
      <c r="G99" s="2"/>
      <c r="H99" s="2"/>
      <c r="I99" s="2"/>
      <c r="J99" s="2"/>
      <c r="K99" s="2"/>
      <c r="L99" s="2"/>
      <c r="M99" s="2"/>
      <c r="N99" s="2"/>
      <c r="O99" s="2"/>
      <c r="P99" s="2"/>
      <c r="Q99" s="2"/>
      <c r="R99" s="2"/>
      <c r="S99" s="2"/>
      <c r="T99" s="2"/>
      <c r="U99" s="2"/>
      <c r="V99" s="2"/>
      <c r="W99" s="2"/>
    </row>
    <row r="100" spans="1:23" ht="15.75" customHeight="1">
      <c r="A100" s="2"/>
      <c r="B100" s="2"/>
      <c r="C100" s="2"/>
      <c r="D100" s="2"/>
      <c r="E100" s="2"/>
      <c r="F100" s="2"/>
      <c r="G100" s="2"/>
      <c r="H100" s="2"/>
      <c r="I100" s="2"/>
      <c r="J100" s="2"/>
      <c r="K100" s="2"/>
      <c r="L100" s="2"/>
      <c r="M100" s="2"/>
      <c r="N100" s="2"/>
      <c r="O100" s="2"/>
      <c r="P100" s="2"/>
      <c r="Q100" s="2"/>
      <c r="R100" s="2"/>
      <c r="S100" s="2"/>
      <c r="T100" s="2"/>
      <c r="U100" s="2"/>
      <c r="V100" s="2"/>
      <c r="W100" s="2"/>
    </row>
    <row r="101" spans="1:23" ht="15.75" customHeight="1">
      <c r="A101" s="2"/>
      <c r="B101" s="2"/>
      <c r="C101" s="2"/>
      <c r="D101" s="2"/>
      <c r="E101" s="2"/>
      <c r="F101" s="2"/>
      <c r="G101" s="2"/>
      <c r="H101" s="2"/>
      <c r="I101" s="2"/>
      <c r="J101" s="2"/>
      <c r="K101" s="2"/>
      <c r="L101" s="2"/>
      <c r="M101" s="2"/>
      <c r="N101" s="2"/>
      <c r="O101" s="2"/>
      <c r="P101" s="2"/>
      <c r="Q101" s="2"/>
      <c r="R101" s="2"/>
      <c r="S101" s="2"/>
      <c r="T101" s="2"/>
      <c r="U101" s="2"/>
      <c r="V101" s="2"/>
      <c r="W101" s="2"/>
    </row>
    <row r="102" spans="1:23" ht="15.75" customHeight="1">
      <c r="A102" s="2"/>
      <c r="B102" s="2"/>
      <c r="C102" s="2"/>
      <c r="D102" s="2"/>
      <c r="E102" s="2"/>
      <c r="F102" s="2"/>
      <c r="G102" s="2"/>
      <c r="H102" s="2"/>
      <c r="I102" s="2"/>
      <c r="J102" s="2"/>
      <c r="K102" s="2"/>
      <c r="L102" s="2"/>
      <c r="M102" s="2"/>
      <c r="N102" s="2"/>
      <c r="O102" s="2"/>
      <c r="P102" s="2"/>
      <c r="Q102" s="2"/>
      <c r="R102" s="2"/>
      <c r="S102" s="2"/>
      <c r="T102" s="2"/>
      <c r="U102" s="2"/>
      <c r="V102" s="2"/>
      <c r="W102" s="2"/>
    </row>
    <row r="103" spans="1:23" ht="15.75" customHeight="1">
      <c r="A103" s="2"/>
      <c r="B103" s="2"/>
      <c r="C103" s="2"/>
      <c r="D103" s="2"/>
      <c r="E103" s="2"/>
      <c r="F103" s="2"/>
      <c r="G103" s="2"/>
      <c r="H103" s="2"/>
      <c r="I103" s="2"/>
      <c r="J103" s="2"/>
      <c r="K103" s="2"/>
      <c r="L103" s="2"/>
      <c r="M103" s="2"/>
      <c r="N103" s="2"/>
      <c r="O103" s="2"/>
      <c r="P103" s="2"/>
      <c r="Q103" s="2"/>
      <c r="R103" s="2"/>
      <c r="S103" s="2"/>
      <c r="T103" s="2"/>
      <c r="U103" s="2"/>
      <c r="V103" s="2"/>
      <c r="W103" s="2"/>
    </row>
    <row r="104" spans="1:23" ht="15.75" customHeight="1">
      <c r="A104" s="2"/>
      <c r="B104" s="2"/>
      <c r="C104" s="2"/>
      <c r="D104" s="2"/>
      <c r="E104" s="2"/>
      <c r="F104" s="2"/>
      <c r="G104" s="2"/>
      <c r="H104" s="2"/>
      <c r="I104" s="2"/>
      <c r="J104" s="2"/>
      <c r="K104" s="2"/>
      <c r="L104" s="2"/>
      <c r="M104" s="2"/>
      <c r="N104" s="2"/>
      <c r="O104" s="2"/>
      <c r="P104" s="2"/>
      <c r="Q104" s="2"/>
      <c r="R104" s="2"/>
      <c r="S104" s="2"/>
      <c r="T104" s="2"/>
      <c r="U104" s="2"/>
      <c r="V104" s="2"/>
      <c r="W104" s="2"/>
    </row>
    <row r="105" spans="1:23" ht="15.75" customHeight="1">
      <c r="A105" s="2"/>
      <c r="B105" s="2"/>
      <c r="C105" s="2"/>
      <c r="D105" s="2"/>
      <c r="E105" s="2"/>
      <c r="F105" s="2"/>
      <c r="G105" s="2"/>
      <c r="H105" s="2"/>
      <c r="I105" s="2"/>
      <c r="J105" s="2"/>
      <c r="K105" s="2"/>
      <c r="L105" s="2"/>
      <c r="M105" s="2"/>
      <c r="N105" s="2"/>
      <c r="O105" s="2"/>
      <c r="P105" s="2"/>
      <c r="Q105" s="2"/>
      <c r="R105" s="2"/>
      <c r="S105" s="2"/>
      <c r="T105" s="2"/>
      <c r="U105" s="2"/>
      <c r="V105" s="2"/>
      <c r="W105" s="2"/>
    </row>
    <row r="106" spans="1:23" ht="15.75" customHeight="1">
      <c r="A106" s="2"/>
      <c r="B106" s="2"/>
      <c r="C106" s="2"/>
      <c r="D106" s="2"/>
      <c r="E106" s="2"/>
      <c r="F106" s="2"/>
      <c r="G106" s="2"/>
      <c r="H106" s="2"/>
      <c r="I106" s="2"/>
      <c r="J106" s="2"/>
      <c r="K106" s="2"/>
      <c r="L106" s="2"/>
      <c r="M106" s="2"/>
      <c r="N106" s="2"/>
      <c r="O106" s="2"/>
      <c r="P106" s="2"/>
      <c r="Q106" s="2"/>
      <c r="R106" s="2"/>
      <c r="S106" s="2"/>
      <c r="T106" s="2"/>
      <c r="U106" s="2"/>
      <c r="V106" s="2"/>
      <c r="W106" s="2"/>
    </row>
    <row r="107" spans="1:23" ht="15.75" customHeight="1">
      <c r="A107" s="2"/>
      <c r="B107" s="2"/>
      <c r="C107" s="2"/>
      <c r="D107" s="2"/>
      <c r="E107" s="2"/>
      <c r="F107" s="2"/>
      <c r="G107" s="2"/>
      <c r="H107" s="2"/>
      <c r="I107" s="2"/>
      <c r="J107" s="2"/>
      <c r="K107" s="2"/>
      <c r="L107" s="2"/>
      <c r="M107" s="2"/>
      <c r="N107" s="2"/>
      <c r="O107" s="2"/>
      <c r="P107" s="2"/>
      <c r="Q107" s="2"/>
      <c r="R107" s="2"/>
      <c r="S107" s="2"/>
      <c r="T107" s="2"/>
      <c r="U107" s="2"/>
      <c r="V107" s="2"/>
      <c r="W107" s="2"/>
    </row>
    <row r="108" spans="1:23" ht="15.75" customHeight="1">
      <c r="A108" s="2"/>
      <c r="B108" s="2"/>
      <c r="C108" s="2"/>
      <c r="D108" s="2"/>
      <c r="E108" s="2"/>
      <c r="F108" s="2"/>
      <c r="G108" s="2"/>
      <c r="H108" s="2"/>
      <c r="I108" s="2"/>
      <c r="J108" s="2"/>
      <c r="K108" s="2"/>
      <c r="L108" s="2"/>
      <c r="M108" s="2"/>
      <c r="N108" s="2"/>
      <c r="O108" s="2"/>
      <c r="P108" s="2"/>
      <c r="Q108" s="2"/>
      <c r="R108" s="2"/>
      <c r="S108" s="2"/>
      <c r="T108" s="2"/>
      <c r="U108" s="2"/>
      <c r="V108" s="2"/>
      <c r="W108" s="2"/>
    </row>
    <row r="109" spans="1:23" ht="15.75" customHeight="1">
      <c r="A109" s="2"/>
      <c r="B109" s="2"/>
      <c r="C109" s="2"/>
      <c r="D109" s="2"/>
      <c r="E109" s="2"/>
      <c r="F109" s="2"/>
      <c r="G109" s="2"/>
      <c r="H109" s="2"/>
      <c r="I109" s="2"/>
      <c r="J109" s="2"/>
      <c r="K109" s="2"/>
      <c r="L109" s="2"/>
      <c r="M109" s="2"/>
      <c r="N109" s="2"/>
      <c r="O109" s="2"/>
      <c r="P109" s="2"/>
      <c r="Q109" s="2"/>
      <c r="R109" s="2"/>
      <c r="S109" s="2"/>
      <c r="T109" s="2"/>
      <c r="U109" s="2"/>
      <c r="V109" s="2"/>
      <c r="W109" s="2"/>
    </row>
    <row r="110" spans="1:23" ht="15.75" customHeight="1">
      <c r="A110" s="2"/>
      <c r="B110" s="2"/>
      <c r="C110" s="2"/>
      <c r="D110" s="2"/>
      <c r="E110" s="2"/>
      <c r="F110" s="2"/>
      <c r="G110" s="2"/>
      <c r="H110" s="2"/>
      <c r="I110" s="2"/>
      <c r="J110" s="2"/>
      <c r="K110" s="2"/>
      <c r="L110" s="2"/>
      <c r="M110" s="2"/>
      <c r="N110" s="2"/>
      <c r="O110" s="2"/>
      <c r="P110" s="2"/>
      <c r="Q110" s="2"/>
      <c r="R110" s="2"/>
      <c r="S110" s="2"/>
      <c r="T110" s="2"/>
      <c r="U110" s="2"/>
      <c r="V110" s="2"/>
      <c r="W110" s="2"/>
    </row>
    <row r="111" spans="1:23" ht="15.75" customHeight="1">
      <c r="A111" s="2"/>
      <c r="B111" s="2"/>
      <c r="C111" s="2"/>
      <c r="D111" s="2"/>
      <c r="E111" s="2"/>
      <c r="F111" s="2"/>
      <c r="G111" s="2"/>
      <c r="H111" s="2"/>
      <c r="I111" s="2"/>
      <c r="J111" s="2"/>
      <c r="K111" s="2"/>
      <c r="L111" s="2"/>
      <c r="M111" s="2"/>
      <c r="N111" s="2"/>
      <c r="O111" s="2"/>
      <c r="P111" s="2"/>
      <c r="Q111" s="2"/>
      <c r="R111" s="2"/>
      <c r="S111" s="2"/>
      <c r="T111" s="2"/>
      <c r="U111" s="2"/>
      <c r="V111" s="2"/>
      <c r="W111" s="2"/>
    </row>
    <row r="112" spans="1:23" ht="15.75" customHeight="1">
      <c r="A112" s="2"/>
      <c r="B112" s="2"/>
      <c r="C112" s="2"/>
      <c r="D112" s="2"/>
      <c r="E112" s="2"/>
      <c r="F112" s="2"/>
      <c r="G112" s="2"/>
      <c r="H112" s="2"/>
      <c r="I112" s="2"/>
      <c r="J112" s="2"/>
      <c r="K112" s="2"/>
      <c r="L112" s="2"/>
      <c r="M112" s="2"/>
      <c r="N112" s="2"/>
      <c r="O112" s="2"/>
      <c r="P112" s="2"/>
      <c r="Q112" s="2"/>
      <c r="R112" s="2"/>
      <c r="S112" s="2"/>
      <c r="T112" s="2"/>
      <c r="U112" s="2"/>
      <c r="V112" s="2"/>
      <c r="W112" s="2"/>
    </row>
    <row r="113" spans="1:23" ht="15.75" customHeight="1">
      <c r="A113" s="2"/>
      <c r="B113" s="2"/>
      <c r="C113" s="2"/>
      <c r="D113" s="2"/>
      <c r="E113" s="2"/>
      <c r="F113" s="2"/>
      <c r="G113" s="2"/>
      <c r="H113" s="2"/>
      <c r="I113" s="2"/>
      <c r="J113" s="2"/>
      <c r="K113" s="2"/>
      <c r="L113" s="2"/>
      <c r="M113" s="2"/>
      <c r="N113" s="2"/>
      <c r="O113" s="2"/>
      <c r="P113" s="2"/>
      <c r="Q113" s="2"/>
      <c r="R113" s="2"/>
      <c r="S113" s="2"/>
      <c r="T113" s="2"/>
      <c r="U113" s="2"/>
      <c r="V113" s="2"/>
      <c r="W113" s="2"/>
    </row>
    <row r="114" spans="1:23" ht="15.75" customHeight="1">
      <c r="A114" s="2"/>
      <c r="B114" s="2"/>
      <c r="C114" s="2"/>
      <c r="D114" s="2"/>
      <c r="E114" s="2"/>
      <c r="F114" s="2"/>
      <c r="G114" s="2"/>
      <c r="H114" s="2"/>
      <c r="I114" s="2"/>
      <c r="J114" s="2"/>
      <c r="K114" s="2"/>
      <c r="L114" s="2"/>
      <c r="M114" s="2"/>
      <c r="N114" s="2"/>
      <c r="O114" s="2"/>
      <c r="P114" s="2"/>
      <c r="Q114" s="2"/>
      <c r="R114" s="2"/>
      <c r="S114" s="2"/>
      <c r="T114" s="2"/>
      <c r="U114" s="2"/>
      <c r="V114" s="2"/>
      <c r="W114" s="2"/>
    </row>
    <row r="115" spans="1:23" ht="15.75" customHeight="1">
      <c r="A115" s="2"/>
      <c r="B115" s="2"/>
      <c r="C115" s="2"/>
      <c r="D115" s="2"/>
      <c r="E115" s="2"/>
      <c r="F115" s="2"/>
      <c r="G115" s="2"/>
      <c r="H115" s="2"/>
      <c r="I115" s="2"/>
      <c r="J115" s="2"/>
      <c r="K115" s="2"/>
      <c r="L115" s="2"/>
      <c r="M115" s="2"/>
      <c r="N115" s="2"/>
      <c r="O115" s="2"/>
      <c r="P115" s="2"/>
      <c r="Q115" s="2"/>
      <c r="R115" s="2"/>
      <c r="S115" s="2"/>
      <c r="T115" s="2"/>
      <c r="U115" s="2"/>
      <c r="V115" s="2"/>
      <c r="W115" s="2"/>
    </row>
    <row r="116" spans="1:23" ht="15.75" customHeight="1">
      <c r="A116" s="2"/>
      <c r="B116" s="2"/>
      <c r="C116" s="2"/>
      <c r="D116" s="2"/>
      <c r="E116" s="2"/>
      <c r="F116" s="2"/>
      <c r="G116" s="2"/>
      <c r="H116" s="2"/>
      <c r="I116" s="2"/>
      <c r="J116" s="2"/>
      <c r="K116" s="2"/>
      <c r="L116" s="2"/>
      <c r="M116" s="2"/>
      <c r="N116" s="2"/>
      <c r="O116" s="2"/>
      <c r="P116" s="2"/>
      <c r="Q116" s="2"/>
      <c r="R116" s="2"/>
      <c r="S116" s="2"/>
      <c r="T116" s="2"/>
      <c r="U116" s="2"/>
      <c r="V116" s="2"/>
      <c r="W116" s="2"/>
    </row>
    <row r="117" spans="1:23" ht="15.75" customHeight="1">
      <c r="A117" s="2"/>
      <c r="B117" s="2"/>
      <c r="C117" s="2"/>
      <c r="D117" s="2"/>
      <c r="E117" s="2"/>
      <c r="F117" s="2"/>
      <c r="G117" s="2"/>
      <c r="H117" s="2"/>
      <c r="I117" s="2"/>
      <c r="J117" s="2"/>
      <c r="K117" s="2"/>
      <c r="L117" s="2"/>
      <c r="M117" s="2"/>
      <c r="N117" s="2"/>
      <c r="O117" s="2"/>
      <c r="P117" s="2"/>
      <c r="Q117" s="2"/>
      <c r="R117" s="2"/>
      <c r="S117" s="2"/>
      <c r="T117" s="2"/>
      <c r="U117" s="2"/>
      <c r="V117" s="2"/>
      <c r="W117" s="2"/>
    </row>
    <row r="118" spans="1:23" ht="15.75" customHeight="1">
      <c r="A118" s="2"/>
      <c r="B118" s="2"/>
      <c r="C118" s="2"/>
      <c r="D118" s="2"/>
      <c r="E118" s="2"/>
      <c r="F118" s="2"/>
      <c r="G118" s="2"/>
      <c r="H118" s="2"/>
      <c r="I118" s="2"/>
      <c r="J118" s="2"/>
      <c r="K118" s="2"/>
      <c r="L118" s="2"/>
      <c r="M118" s="2"/>
      <c r="N118" s="2"/>
      <c r="O118" s="2"/>
      <c r="P118" s="2"/>
      <c r="Q118" s="2"/>
      <c r="R118" s="2"/>
      <c r="S118" s="2"/>
      <c r="T118" s="2"/>
      <c r="U118" s="2"/>
      <c r="V118" s="2"/>
      <c r="W118" s="2"/>
    </row>
    <row r="119" spans="1:23" ht="15.75" customHeight="1">
      <c r="A119" s="2"/>
      <c r="B119" s="2"/>
      <c r="C119" s="2"/>
      <c r="D119" s="2"/>
      <c r="E119" s="2"/>
      <c r="F119" s="2"/>
      <c r="G119" s="2"/>
      <c r="H119" s="2"/>
      <c r="I119" s="2"/>
      <c r="J119" s="2"/>
      <c r="K119" s="2"/>
      <c r="L119" s="2"/>
      <c r="M119" s="2"/>
      <c r="N119" s="2"/>
      <c r="O119" s="2"/>
      <c r="P119" s="2"/>
      <c r="Q119" s="2"/>
      <c r="R119" s="2"/>
      <c r="S119" s="2"/>
      <c r="T119" s="2"/>
      <c r="U119" s="2"/>
      <c r="V119" s="2"/>
      <c r="W119" s="2"/>
    </row>
    <row r="120" spans="1:23" ht="15.75" customHeight="1">
      <c r="A120" s="2"/>
      <c r="B120" s="2"/>
      <c r="C120" s="2"/>
      <c r="D120" s="2"/>
      <c r="E120" s="2"/>
      <c r="F120" s="2"/>
      <c r="G120" s="2"/>
      <c r="H120" s="2"/>
      <c r="I120" s="2"/>
      <c r="J120" s="2"/>
      <c r="K120" s="2"/>
      <c r="L120" s="2"/>
      <c r="M120" s="2"/>
      <c r="N120" s="2"/>
      <c r="O120" s="2"/>
      <c r="P120" s="2"/>
      <c r="Q120" s="2"/>
      <c r="R120" s="2"/>
      <c r="S120" s="2"/>
      <c r="T120" s="2"/>
      <c r="U120" s="2"/>
      <c r="V120" s="2"/>
      <c r="W120" s="2"/>
    </row>
    <row r="121" spans="1:23" ht="15.75" customHeight="1">
      <c r="A121" s="2"/>
      <c r="B121" s="2"/>
      <c r="C121" s="2"/>
      <c r="D121" s="2"/>
      <c r="E121" s="2"/>
      <c r="F121" s="2"/>
      <c r="G121" s="2"/>
      <c r="H121" s="2"/>
      <c r="I121" s="2"/>
      <c r="J121" s="2"/>
      <c r="K121" s="2"/>
      <c r="L121" s="2"/>
      <c r="M121" s="2"/>
      <c r="N121" s="2"/>
      <c r="O121" s="2"/>
      <c r="P121" s="2"/>
      <c r="Q121" s="2"/>
      <c r="R121" s="2"/>
      <c r="S121" s="2"/>
      <c r="T121" s="2"/>
      <c r="U121" s="2"/>
      <c r="V121" s="2"/>
      <c r="W121" s="2"/>
    </row>
    <row r="122" spans="1:23" ht="15.75" customHeight="1">
      <c r="A122" s="2"/>
      <c r="B122" s="2"/>
      <c r="C122" s="2"/>
      <c r="D122" s="2"/>
      <c r="E122" s="2"/>
      <c r="F122" s="2"/>
      <c r="G122" s="2"/>
      <c r="H122" s="2"/>
      <c r="I122" s="2"/>
      <c r="J122" s="2"/>
      <c r="K122" s="2"/>
      <c r="L122" s="2"/>
      <c r="M122" s="2"/>
      <c r="N122" s="2"/>
      <c r="O122" s="2"/>
      <c r="P122" s="2"/>
      <c r="Q122" s="2"/>
      <c r="R122" s="2"/>
      <c r="S122" s="2"/>
      <c r="T122" s="2"/>
      <c r="U122" s="2"/>
      <c r="V122" s="2"/>
      <c r="W122" s="2"/>
    </row>
    <row r="123" spans="1:23" ht="15.75" customHeight="1">
      <c r="A123" s="2"/>
      <c r="B123" s="2"/>
      <c r="C123" s="2"/>
      <c r="D123" s="2"/>
      <c r="E123" s="2"/>
      <c r="F123" s="2"/>
      <c r="G123" s="2"/>
      <c r="H123" s="2"/>
      <c r="I123" s="2"/>
      <c r="J123" s="2"/>
      <c r="K123" s="2"/>
      <c r="L123" s="2"/>
      <c r="M123" s="2"/>
      <c r="N123" s="2"/>
      <c r="O123" s="2"/>
      <c r="P123" s="2"/>
      <c r="Q123" s="2"/>
      <c r="R123" s="2"/>
      <c r="S123" s="2"/>
      <c r="T123" s="2"/>
      <c r="U123" s="2"/>
      <c r="V123" s="2"/>
      <c r="W123" s="2"/>
    </row>
    <row r="124" spans="1:23" ht="15.75" customHeight="1">
      <c r="A124" s="2"/>
      <c r="B124" s="2"/>
      <c r="C124" s="2"/>
      <c r="D124" s="2"/>
      <c r="E124" s="2"/>
      <c r="F124" s="2"/>
      <c r="G124" s="2"/>
      <c r="H124" s="2"/>
      <c r="I124" s="2"/>
      <c r="J124" s="2"/>
      <c r="K124" s="2"/>
      <c r="L124" s="2"/>
      <c r="M124" s="2"/>
      <c r="N124" s="2"/>
      <c r="O124" s="2"/>
      <c r="P124" s="2"/>
      <c r="Q124" s="2"/>
      <c r="R124" s="2"/>
      <c r="S124" s="2"/>
      <c r="T124" s="2"/>
      <c r="U124" s="2"/>
      <c r="V124" s="2"/>
      <c r="W124" s="2"/>
    </row>
    <row r="125" spans="1:23" ht="15.75" customHeight="1">
      <c r="A125" s="2"/>
      <c r="B125" s="2"/>
      <c r="C125" s="2"/>
      <c r="D125" s="2"/>
      <c r="E125" s="2"/>
      <c r="F125" s="2"/>
      <c r="G125" s="2"/>
      <c r="H125" s="2"/>
      <c r="I125" s="2"/>
      <c r="J125" s="2"/>
      <c r="K125" s="2"/>
      <c r="L125" s="2"/>
      <c r="M125" s="2"/>
      <c r="N125" s="2"/>
      <c r="O125" s="2"/>
      <c r="P125" s="2"/>
      <c r="Q125" s="2"/>
      <c r="R125" s="2"/>
      <c r="S125" s="2"/>
      <c r="T125" s="2"/>
      <c r="U125" s="2"/>
      <c r="V125" s="2"/>
      <c r="W125" s="2"/>
    </row>
    <row r="126" spans="1:23" ht="15.75" customHeight="1">
      <c r="A126" s="2"/>
      <c r="B126" s="2"/>
      <c r="C126" s="2"/>
      <c r="D126" s="2"/>
      <c r="E126" s="2"/>
      <c r="F126" s="2"/>
      <c r="G126" s="2"/>
      <c r="H126" s="2"/>
      <c r="I126" s="2"/>
      <c r="J126" s="2"/>
      <c r="K126" s="2"/>
      <c r="L126" s="2"/>
      <c r="M126" s="2"/>
      <c r="N126" s="2"/>
      <c r="O126" s="2"/>
      <c r="P126" s="2"/>
      <c r="Q126" s="2"/>
      <c r="R126" s="2"/>
      <c r="S126" s="2"/>
      <c r="T126" s="2"/>
      <c r="U126" s="2"/>
      <c r="V126" s="2"/>
      <c r="W126" s="2"/>
    </row>
    <row r="127" spans="1:23" ht="15.75" customHeight="1">
      <c r="A127" s="2"/>
      <c r="B127" s="2"/>
      <c r="C127" s="2"/>
      <c r="D127" s="2"/>
      <c r="E127" s="2"/>
      <c r="F127" s="2"/>
      <c r="G127" s="2"/>
      <c r="H127" s="2"/>
      <c r="I127" s="2"/>
      <c r="J127" s="2"/>
      <c r="K127" s="2"/>
      <c r="L127" s="2"/>
      <c r="M127" s="2"/>
      <c r="N127" s="2"/>
      <c r="O127" s="2"/>
      <c r="P127" s="2"/>
      <c r="Q127" s="2"/>
      <c r="R127" s="2"/>
      <c r="S127" s="2"/>
      <c r="T127" s="2"/>
      <c r="U127" s="2"/>
      <c r="V127" s="2"/>
      <c r="W127" s="2"/>
    </row>
    <row r="128" spans="1:23" ht="15.75" customHeight="1">
      <c r="A128" s="2"/>
      <c r="B128" s="2"/>
      <c r="C128" s="2"/>
      <c r="D128" s="2"/>
      <c r="E128" s="2"/>
      <c r="F128" s="2"/>
      <c r="G128" s="2"/>
      <c r="H128" s="2"/>
      <c r="I128" s="2"/>
      <c r="J128" s="2"/>
      <c r="K128" s="2"/>
      <c r="L128" s="2"/>
      <c r="M128" s="2"/>
      <c r="N128" s="2"/>
      <c r="O128" s="2"/>
      <c r="P128" s="2"/>
      <c r="Q128" s="2"/>
      <c r="R128" s="2"/>
      <c r="S128" s="2"/>
      <c r="T128" s="2"/>
      <c r="U128" s="2"/>
      <c r="V128" s="2"/>
      <c r="W128" s="2"/>
    </row>
    <row r="129" spans="1:23" ht="15.75" customHeight="1">
      <c r="A129" s="2"/>
      <c r="B129" s="2"/>
      <c r="C129" s="2"/>
      <c r="D129" s="2"/>
      <c r="E129" s="2"/>
      <c r="F129" s="2"/>
      <c r="G129" s="2"/>
      <c r="H129" s="2"/>
      <c r="I129" s="2"/>
      <c r="J129" s="2"/>
      <c r="K129" s="2"/>
      <c r="L129" s="2"/>
      <c r="M129" s="2"/>
      <c r="N129" s="2"/>
      <c r="O129" s="2"/>
      <c r="P129" s="2"/>
      <c r="Q129" s="2"/>
      <c r="R129" s="2"/>
      <c r="S129" s="2"/>
      <c r="T129" s="2"/>
      <c r="U129" s="2"/>
      <c r="V129" s="2"/>
      <c r="W129" s="2"/>
    </row>
    <row r="130" spans="1:23" ht="15.75" customHeight="1">
      <c r="A130" s="2"/>
      <c r="B130" s="2"/>
      <c r="C130" s="2"/>
      <c r="D130" s="2"/>
      <c r="E130" s="2"/>
      <c r="F130" s="2"/>
      <c r="G130" s="2"/>
      <c r="H130" s="2"/>
      <c r="I130" s="2"/>
      <c r="J130" s="2"/>
      <c r="K130" s="2"/>
      <c r="L130" s="2"/>
      <c r="M130" s="2"/>
      <c r="N130" s="2"/>
      <c r="O130" s="2"/>
      <c r="P130" s="2"/>
      <c r="Q130" s="2"/>
      <c r="R130" s="2"/>
      <c r="S130" s="2"/>
      <c r="T130" s="2"/>
      <c r="U130" s="2"/>
      <c r="V130" s="2"/>
      <c r="W130" s="2"/>
    </row>
    <row r="131" spans="1:23" ht="15.75" customHeight="1">
      <c r="A131" s="2"/>
      <c r="B131" s="2"/>
      <c r="C131" s="2"/>
      <c r="D131" s="2"/>
      <c r="E131" s="2"/>
      <c r="F131" s="2"/>
      <c r="G131" s="2"/>
      <c r="H131" s="2"/>
      <c r="I131" s="2"/>
      <c r="J131" s="2"/>
      <c r="K131" s="2"/>
      <c r="L131" s="2"/>
      <c r="M131" s="2"/>
      <c r="N131" s="2"/>
      <c r="O131" s="2"/>
      <c r="P131" s="2"/>
      <c r="Q131" s="2"/>
      <c r="R131" s="2"/>
      <c r="S131" s="2"/>
      <c r="T131" s="2"/>
      <c r="U131" s="2"/>
      <c r="V131" s="2"/>
      <c r="W131" s="2"/>
    </row>
    <row r="132" spans="1:23" ht="15.75" customHeight="1">
      <c r="A132" s="2"/>
      <c r="B132" s="2"/>
      <c r="C132" s="2"/>
      <c r="D132" s="2"/>
      <c r="E132" s="2"/>
      <c r="F132" s="2"/>
      <c r="G132" s="2"/>
      <c r="H132" s="2"/>
      <c r="I132" s="2"/>
      <c r="J132" s="2"/>
      <c r="K132" s="2"/>
      <c r="L132" s="2"/>
      <c r="M132" s="2"/>
      <c r="N132" s="2"/>
      <c r="O132" s="2"/>
      <c r="P132" s="2"/>
      <c r="Q132" s="2"/>
      <c r="R132" s="2"/>
      <c r="S132" s="2"/>
      <c r="T132" s="2"/>
      <c r="U132" s="2"/>
      <c r="V132" s="2"/>
      <c r="W132" s="2"/>
    </row>
    <row r="133" spans="1:23" ht="15.75" customHeight="1">
      <c r="A133" s="2"/>
      <c r="B133" s="2"/>
      <c r="C133" s="2"/>
      <c r="D133" s="2"/>
      <c r="E133" s="2"/>
      <c r="F133" s="2"/>
      <c r="G133" s="2"/>
      <c r="H133" s="2"/>
      <c r="I133" s="2"/>
      <c r="J133" s="2"/>
      <c r="K133" s="2"/>
      <c r="L133" s="2"/>
      <c r="M133" s="2"/>
      <c r="N133" s="2"/>
      <c r="O133" s="2"/>
      <c r="P133" s="2"/>
      <c r="Q133" s="2"/>
      <c r="R133" s="2"/>
      <c r="S133" s="2"/>
      <c r="T133" s="2"/>
      <c r="U133" s="2"/>
      <c r="V133" s="2"/>
      <c r="W133" s="2"/>
    </row>
    <row r="134" spans="1:23" ht="15.75" customHeight="1">
      <c r="A134" s="2"/>
      <c r="B134" s="2"/>
      <c r="C134" s="2"/>
      <c r="D134" s="2"/>
      <c r="E134" s="2"/>
      <c r="F134" s="2"/>
      <c r="G134" s="2"/>
      <c r="H134" s="2"/>
      <c r="I134" s="2"/>
      <c r="J134" s="2"/>
      <c r="K134" s="2"/>
      <c r="L134" s="2"/>
      <c r="M134" s="2"/>
      <c r="N134" s="2"/>
      <c r="O134" s="2"/>
      <c r="P134" s="2"/>
      <c r="Q134" s="2"/>
      <c r="R134" s="2"/>
      <c r="S134" s="2"/>
      <c r="T134" s="2"/>
      <c r="U134" s="2"/>
      <c r="V134" s="2"/>
      <c r="W134" s="2"/>
    </row>
    <row r="135" spans="1:23" ht="15.75" customHeight="1">
      <c r="A135" s="2"/>
      <c r="B135" s="2"/>
      <c r="C135" s="2"/>
      <c r="D135" s="2"/>
      <c r="E135" s="2"/>
      <c r="F135" s="2"/>
      <c r="G135" s="2"/>
      <c r="H135" s="2"/>
      <c r="I135" s="2"/>
      <c r="J135" s="2"/>
      <c r="K135" s="2"/>
      <c r="L135" s="2"/>
      <c r="M135" s="2"/>
      <c r="N135" s="2"/>
      <c r="O135" s="2"/>
      <c r="P135" s="2"/>
      <c r="Q135" s="2"/>
      <c r="R135" s="2"/>
      <c r="S135" s="2"/>
      <c r="T135" s="2"/>
      <c r="U135" s="2"/>
      <c r="V135" s="2"/>
      <c r="W135" s="2"/>
    </row>
    <row r="136" spans="1:23" ht="15.75" customHeight="1">
      <c r="A136" s="2"/>
      <c r="B136" s="2"/>
      <c r="C136" s="2"/>
      <c r="D136" s="2"/>
      <c r="E136" s="2"/>
      <c r="F136" s="2"/>
      <c r="G136" s="2"/>
      <c r="H136" s="2"/>
      <c r="I136" s="2"/>
      <c r="J136" s="2"/>
      <c r="K136" s="2"/>
      <c r="L136" s="2"/>
      <c r="M136" s="2"/>
      <c r="N136" s="2"/>
      <c r="O136" s="2"/>
      <c r="P136" s="2"/>
      <c r="Q136" s="2"/>
      <c r="R136" s="2"/>
      <c r="S136" s="2"/>
      <c r="T136" s="2"/>
      <c r="U136" s="2"/>
      <c r="V136" s="2"/>
      <c r="W136" s="2"/>
    </row>
    <row r="137" spans="1:23" ht="15.75" customHeight="1">
      <c r="A137" s="2"/>
      <c r="B137" s="2"/>
      <c r="C137" s="2"/>
      <c r="D137" s="2"/>
      <c r="E137" s="2"/>
      <c r="F137" s="2"/>
      <c r="G137" s="2"/>
      <c r="H137" s="2"/>
      <c r="I137" s="2"/>
      <c r="J137" s="2"/>
      <c r="K137" s="2"/>
      <c r="L137" s="2"/>
      <c r="M137" s="2"/>
      <c r="N137" s="2"/>
      <c r="O137" s="2"/>
      <c r="P137" s="2"/>
      <c r="Q137" s="2"/>
      <c r="R137" s="2"/>
      <c r="S137" s="2"/>
      <c r="T137" s="2"/>
      <c r="U137" s="2"/>
      <c r="V137" s="2"/>
      <c r="W137" s="2"/>
    </row>
    <row r="138" spans="1:23" ht="15.75" customHeight="1">
      <c r="A138" s="2"/>
      <c r="B138" s="2"/>
      <c r="C138" s="2"/>
      <c r="D138" s="2"/>
      <c r="E138" s="2"/>
      <c r="F138" s="2"/>
      <c r="G138" s="2"/>
      <c r="H138" s="2"/>
      <c r="I138" s="2"/>
      <c r="J138" s="2"/>
      <c r="K138" s="2"/>
      <c r="L138" s="2"/>
      <c r="M138" s="2"/>
      <c r="N138" s="2"/>
      <c r="O138" s="2"/>
      <c r="P138" s="2"/>
      <c r="Q138" s="2"/>
      <c r="R138" s="2"/>
      <c r="S138" s="2"/>
      <c r="T138" s="2"/>
      <c r="U138" s="2"/>
      <c r="V138" s="2"/>
      <c r="W138" s="2"/>
    </row>
    <row r="139" spans="1:23" ht="15.75" customHeight="1">
      <c r="A139" s="2"/>
      <c r="B139" s="2"/>
      <c r="C139" s="2"/>
      <c r="D139" s="2"/>
      <c r="E139" s="2"/>
      <c r="F139" s="2"/>
      <c r="G139" s="2"/>
      <c r="H139" s="2"/>
      <c r="I139" s="2"/>
      <c r="J139" s="2"/>
      <c r="K139" s="2"/>
      <c r="L139" s="2"/>
      <c r="M139" s="2"/>
      <c r="N139" s="2"/>
      <c r="O139" s="2"/>
      <c r="P139" s="2"/>
      <c r="Q139" s="2"/>
      <c r="R139" s="2"/>
      <c r="S139" s="2"/>
      <c r="T139" s="2"/>
      <c r="U139" s="2"/>
      <c r="V139" s="2"/>
      <c r="W139" s="2"/>
    </row>
    <row r="140" spans="1:23" ht="15.75" customHeight="1">
      <c r="A140" s="2"/>
      <c r="B140" s="2"/>
      <c r="C140" s="2"/>
      <c r="D140" s="2"/>
      <c r="E140" s="2"/>
      <c r="F140" s="2"/>
      <c r="G140" s="2"/>
      <c r="H140" s="2"/>
      <c r="I140" s="2"/>
      <c r="J140" s="2"/>
      <c r="K140" s="2"/>
      <c r="L140" s="2"/>
      <c r="M140" s="2"/>
      <c r="N140" s="2"/>
      <c r="O140" s="2"/>
      <c r="P140" s="2"/>
      <c r="Q140" s="2"/>
      <c r="R140" s="2"/>
      <c r="S140" s="2"/>
      <c r="T140" s="2"/>
      <c r="U140" s="2"/>
      <c r="V140" s="2"/>
      <c r="W140" s="2"/>
    </row>
    <row r="141" spans="1:23" ht="15.75" customHeight="1">
      <c r="A141" s="2"/>
      <c r="B141" s="2"/>
      <c r="C141" s="2"/>
      <c r="D141" s="2"/>
      <c r="E141" s="2"/>
      <c r="F141" s="2"/>
      <c r="G141" s="2"/>
      <c r="H141" s="2"/>
      <c r="I141" s="2"/>
      <c r="J141" s="2"/>
      <c r="K141" s="2"/>
      <c r="L141" s="2"/>
      <c r="M141" s="2"/>
      <c r="N141" s="2"/>
      <c r="O141" s="2"/>
      <c r="P141" s="2"/>
      <c r="Q141" s="2"/>
      <c r="R141" s="2"/>
      <c r="S141" s="2"/>
      <c r="T141" s="2"/>
      <c r="U141" s="2"/>
      <c r="V141" s="2"/>
      <c r="W141" s="2"/>
    </row>
    <row r="142" spans="1:23" ht="15.75" customHeight="1">
      <c r="A142" s="2"/>
      <c r="B142" s="2"/>
      <c r="C142" s="2"/>
      <c r="D142" s="2"/>
      <c r="E142" s="2"/>
      <c r="F142" s="2"/>
      <c r="G142" s="2"/>
      <c r="H142" s="2"/>
      <c r="I142" s="2"/>
      <c r="J142" s="2"/>
      <c r="K142" s="2"/>
      <c r="L142" s="2"/>
      <c r="M142" s="2"/>
      <c r="N142" s="2"/>
      <c r="O142" s="2"/>
      <c r="P142" s="2"/>
      <c r="Q142" s="2"/>
      <c r="R142" s="2"/>
      <c r="S142" s="2"/>
      <c r="T142" s="2"/>
      <c r="U142" s="2"/>
      <c r="V142" s="2"/>
      <c r="W142" s="2"/>
    </row>
    <row r="143" spans="1:23" ht="15.75" customHeight="1">
      <c r="A143" s="2"/>
      <c r="B143" s="2"/>
      <c r="C143" s="2"/>
      <c r="D143" s="2"/>
      <c r="E143" s="2"/>
      <c r="F143" s="2"/>
      <c r="G143" s="2"/>
      <c r="H143" s="2"/>
      <c r="I143" s="2"/>
      <c r="J143" s="2"/>
      <c r="K143" s="2"/>
      <c r="L143" s="2"/>
      <c r="M143" s="2"/>
      <c r="N143" s="2"/>
      <c r="O143" s="2"/>
      <c r="P143" s="2"/>
      <c r="Q143" s="2"/>
      <c r="R143" s="2"/>
      <c r="S143" s="2"/>
      <c r="T143" s="2"/>
      <c r="U143" s="2"/>
      <c r="V143" s="2"/>
      <c r="W143" s="2"/>
    </row>
    <row r="144" spans="1:23" ht="15.75" customHeight="1">
      <c r="A144" s="2"/>
      <c r="B144" s="2"/>
      <c r="C144" s="2"/>
      <c r="D144" s="2"/>
      <c r="E144" s="2"/>
      <c r="F144" s="2"/>
      <c r="G144" s="2"/>
      <c r="H144" s="2"/>
      <c r="I144" s="2"/>
      <c r="J144" s="2"/>
      <c r="K144" s="2"/>
      <c r="L144" s="2"/>
      <c r="M144" s="2"/>
      <c r="N144" s="2"/>
      <c r="O144" s="2"/>
      <c r="P144" s="2"/>
      <c r="Q144" s="2"/>
      <c r="R144" s="2"/>
      <c r="S144" s="2"/>
      <c r="T144" s="2"/>
      <c r="U144" s="2"/>
      <c r="V144" s="2"/>
      <c r="W144" s="2"/>
    </row>
    <row r="145" spans="1:23" ht="15.75" customHeight="1">
      <c r="A145" s="2"/>
      <c r="B145" s="2"/>
      <c r="C145" s="2"/>
      <c r="D145" s="2"/>
      <c r="E145" s="2"/>
      <c r="F145" s="2"/>
      <c r="G145" s="2"/>
      <c r="H145" s="2"/>
      <c r="I145" s="2"/>
      <c r="J145" s="2"/>
      <c r="K145" s="2"/>
      <c r="L145" s="2"/>
      <c r="M145" s="2"/>
      <c r="N145" s="2"/>
      <c r="O145" s="2"/>
      <c r="P145" s="2"/>
      <c r="Q145" s="2"/>
      <c r="R145" s="2"/>
      <c r="S145" s="2"/>
      <c r="T145" s="2"/>
      <c r="U145" s="2"/>
      <c r="V145" s="2"/>
      <c r="W145" s="2"/>
    </row>
    <row r="146" spans="1:23" ht="15.75" customHeight="1">
      <c r="A146" s="2"/>
      <c r="B146" s="2"/>
      <c r="C146" s="2"/>
      <c r="D146" s="2"/>
      <c r="E146" s="2"/>
      <c r="F146" s="2"/>
      <c r="G146" s="2"/>
      <c r="H146" s="2"/>
      <c r="I146" s="2"/>
      <c r="J146" s="2"/>
      <c r="K146" s="2"/>
      <c r="L146" s="2"/>
      <c r="M146" s="2"/>
      <c r="N146" s="2"/>
      <c r="O146" s="2"/>
      <c r="P146" s="2"/>
      <c r="Q146" s="2"/>
      <c r="R146" s="2"/>
      <c r="S146" s="2"/>
      <c r="T146" s="2"/>
      <c r="U146" s="2"/>
      <c r="V146" s="2"/>
      <c r="W146" s="2"/>
    </row>
    <row r="147" spans="1:23" ht="15.75" customHeight="1">
      <c r="A147" s="2"/>
      <c r="B147" s="2"/>
      <c r="C147" s="2"/>
      <c r="D147" s="2"/>
      <c r="E147" s="2"/>
      <c r="F147" s="2"/>
      <c r="G147" s="2"/>
      <c r="H147" s="2"/>
      <c r="I147" s="2"/>
      <c r="J147" s="2"/>
      <c r="K147" s="2"/>
      <c r="L147" s="2"/>
      <c r="M147" s="2"/>
      <c r="N147" s="2"/>
      <c r="O147" s="2"/>
      <c r="P147" s="2"/>
      <c r="Q147" s="2"/>
      <c r="R147" s="2"/>
      <c r="S147" s="2"/>
      <c r="T147" s="2"/>
      <c r="U147" s="2"/>
      <c r="V147" s="2"/>
      <c r="W147" s="2"/>
    </row>
    <row r="148" spans="1:23" ht="15.75" customHeight="1">
      <c r="A148" s="2"/>
      <c r="B148" s="2"/>
      <c r="C148" s="2"/>
      <c r="D148" s="2"/>
      <c r="E148" s="2"/>
      <c r="F148" s="2"/>
      <c r="G148" s="2"/>
      <c r="H148" s="2"/>
      <c r="I148" s="2"/>
      <c r="J148" s="2"/>
      <c r="K148" s="2"/>
      <c r="L148" s="2"/>
      <c r="M148" s="2"/>
      <c r="N148" s="2"/>
      <c r="O148" s="2"/>
      <c r="P148" s="2"/>
      <c r="Q148" s="2"/>
      <c r="R148" s="2"/>
      <c r="S148" s="2"/>
      <c r="T148" s="2"/>
      <c r="U148" s="2"/>
      <c r="V148" s="2"/>
      <c r="W148" s="2"/>
    </row>
    <row r="149" spans="1:23" ht="15.75" customHeight="1">
      <c r="A149" s="2"/>
      <c r="B149" s="2"/>
      <c r="C149" s="2"/>
      <c r="D149" s="2"/>
      <c r="E149" s="2"/>
      <c r="F149" s="2"/>
      <c r="G149" s="2"/>
      <c r="H149" s="2"/>
      <c r="I149" s="2"/>
      <c r="J149" s="2"/>
      <c r="K149" s="2"/>
      <c r="L149" s="2"/>
      <c r="M149" s="2"/>
      <c r="N149" s="2"/>
      <c r="O149" s="2"/>
      <c r="P149" s="2"/>
      <c r="Q149" s="2"/>
      <c r="R149" s="2"/>
      <c r="S149" s="2"/>
      <c r="T149" s="2"/>
      <c r="U149" s="2"/>
      <c r="V149" s="2"/>
      <c r="W149" s="2"/>
    </row>
    <row r="150" spans="1:23" ht="15.75" customHeight="1">
      <c r="A150" s="2"/>
      <c r="B150" s="2"/>
      <c r="C150" s="2"/>
      <c r="D150" s="2"/>
      <c r="E150" s="2"/>
      <c r="F150" s="2"/>
      <c r="G150" s="2"/>
      <c r="H150" s="2"/>
      <c r="I150" s="2"/>
      <c r="J150" s="2"/>
      <c r="K150" s="2"/>
      <c r="L150" s="2"/>
      <c r="M150" s="2"/>
      <c r="N150" s="2"/>
      <c r="O150" s="2"/>
      <c r="P150" s="2"/>
      <c r="Q150" s="2"/>
      <c r="R150" s="2"/>
      <c r="S150" s="2"/>
      <c r="T150" s="2"/>
      <c r="U150" s="2"/>
      <c r="V150" s="2"/>
      <c r="W150" s="2"/>
    </row>
    <row r="151" spans="1:23" ht="15.75" customHeight="1">
      <c r="A151" s="2"/>
      <c r="B151" s="2"/>
      <c r="C151" s="2"/>
      <c r="D151" s="2"/>
      <c r="E151" s="2"/>
      <c r="F151" s="2"/>
      <c r="G151" s="2"/>
      <c r="H151" s="2"/>
      <c r="I151" s="2"/>
      <c r="J151" s="2"/>
      <c r="K151" s="2"/>
      <c r="L151" s="2"/>
      <c r="M151" s="2"/>
      <c r="N151" s="2"/>
      <c r="O151" s="2"/>
      <c r="P151" s="2"/>
      <c r="Q151" s="2"/>
      <c r="R151" s="2"/>
      <c r="S151" s="2"/>
      <c r="T151" s="2"/>
      <c r="U151" s="2"/>
      <c r="V151" s="2"/>
      <c r="W151" s="2"/>
    </row>
    <row r="152" spans="1:23" ht="15.75" customHeight="1">
      <c r="A152" s="2"/>
      <c r="B152" s="2"/>
      <c r="C152" s="2"/>
      <c r="D152" s="2"/>
      <c r="E152" s="2"/>
      <c r="F152" s="2"/>
      <c r="G152" s="2"/>
      <c r="H152" s="2"/>
      <c r="I152" s="2"/>
      <c r="J152" s="2"/>
      <c r="K152" s="2"/>
      <c r="L152" s="2"/>
      <c r="M152" s="2"/>
      <c r="N152" s="2"/>
      <c r="O152" s="2"/>
      <c r="P152" s="2"/>
      <c r="Q152" s="2"/>
      <c r="R152" s="2"/>
      <c r="S152" s="2"/>
      <c r="T152" s="2"/>
      <c r="U152" s="2"/>
      <c r="V152" s="2"/>
      <c r="W152" s="2"/>
    </row>
    <row r="153" spans="1:23" ht="15.75" customHeight="1">
      <c r="A153" s="2"/>
      <c r="B153" s="2"/>
      <c r="C153" s="2"/>
      <c r="D153" s="2"/>
      <c r="E153" s="2"/>
      <c r="F153" s="2"/>
      <c r="G153" s="2"/>
      <c r="H153" s="2"/>
      <c r="I153" s="2"/>
      <c r="J153" s="2"/>
      <c r="K153" s="2"/>
      <c r="L153" s="2"/>
      <c r="M153" s="2"/>
      <c r="N153" s="2"/>
      <c r="O153" s="2"/>
      <c r="P153" s="2"/>
      <c r="Q153" s="2"/>
      <c r="R153" s="2"/>
      <c r="S153" s="2"/>
      <c r="T153" s="2"/>
      <c r="U153" s="2"/>
      <c r="V153" s="2"/>
      <c r="W153" s="2"/>
    </row>
    <row r="154" spans="1:23" ht="15.75" customHeight="1">
      <c r="A154" s="2"/>
      <c r="B154" s="2"/>
      <c r="C154" s="2"/>
      <c r="D154" s="2"/>
      <c r="E154" s="2"/>
      <c r="F154" s="2"/>
      <c r="G154" s="2"/>
      <c r="H154" s="2"/>
      <c r="I154" s="2"/>
      <c r="J154" s="2"/>
      <c r="K154" s="2"/>
      <c r="L154" s="2"/>
      <c r="M154" s="2"/>
      <c r="N154" s="2"/>
      <c r="O154" s="2"/>
      <c r="P154" s="2"/>
      <c r="Q154" s="2"/>
      <c r="R154" s="2"/>
      <c r="S154" s="2"/>
      <c r="T154" s="2"/>
      <c r="U154" s="2"/>
      <c r="V154" s="2"/>
      <c r="W154" s="2"/>
    </row>
    <row r="155" spans="1:23" ht="15.75" customHeight="1">
      <c r="A155" s="2"/>
      <c r="B155" s="2"/>
      <c r="C155" s="2"/>
      <c r="D155" s="2"/>
      <c r="E155" s="2"/>
      <c r="F155" s="2"/>
      <c r="G155" s="2"/>
      <c r="H155" s="2"/>
      <c r="I155" s="2"/>
      <c r="J155" s="2"/>
      <c r="K155" s="2"/>
      <c r="L155" s="2"/>
      <c r="M155" s="2"/>
      <c r="N155" s="2"/>
      <c r="O155" s="2"/>
      <c r="P155" s="2"/>
      <c r="Q155" s="2"/>
      <c r="R155" s="2"/>
      <c r="S155" s="2"/>
      <c r="T155" s="2"/>
      <c r="U155" s="2"/>
      <c r="V155" s="2"/>
      <c r="W155" s="2"/>
    </row>
    <row r="156" spans="1:23" ht="15.75" customHeight="1">
      <c r="A156" s="2"/>
      <c r="B156" s="2"/>
      <c r="C156" s="2"/>
      <c r="D156" s="2"/>
      <c r="E156" s="2"/>
      <c r="F156" s="2"/>
      <c r="G156" s="2"/>
      <c r="H156" s="2"/>
      <c r="I156" s="2"/>
      <c r="J156" s="2"/>
      <c r="K156" s="2"/>
      <c r="L156" s="2"/>
      <c r="M156" s="2"/>
      <c r="N156" s="2"/>
      <c r="O156" s="2"/>
      <c r="P156" s="2"/>
      <c r="Q156" s="2"/>
      <c r="R156" s="2"/>
      <c r="S156" s="2"/>
      <c r="T156" s="2"/>
      <c r="U156" s="2"/>
      <c r="V156" s="2"/>
      <c r="W156" s="2"/>
    </row>
    <row r="157" spans="1:23" ht="15.75" customHeight="1">
      <c r="A157" s="2"/>
      <c r="B157" s="2"/>
      <c r="C157" s="2"/>
      <c r="D157" s="2"/>
      <c r="E157" s="2"/>
      <c r="F157" s="2"/>
      <c r="G157" s="2"/>
      <c r="H157" s="2"/>
      <c r="I157" s="2"/>
      <c r="J157" s="2"/>
      <c r="K157" s="2"/>
      <c r="L157" s="2"/>
      <c r="M157" s="2"/>
      <c r="N157" s="2"/>
      <c r="O157" s="2"/>
      <c r="P157" s="2"/>
      <c r="Q157" s="2"/>
      <c r="R157" s="2"/>
      <c r="S157" s="2"/>
      <c r="T157" s="2"/>
      <c r="U157" s="2"/>
      <c r="V157" s="2"/>
      <c r="W157" s="2"/>
    </row>
    <row r="158" spans="1:23" ht="15.75" customHeight="1">
      <c r="A158" s="2"/>
      <c r="B158" s="2"/>
      <c r="C158" s="2"/>
      <c r="D158" s="2"/>
      <c r="E158" s="2"/>
      <c r="F158" s="2"/>
      <c r="G158" s="2"/>
      <c r="H158" s="2"/>
      <c r="I158" s="2"/>
      <c r="J158" s="2"/>
      <c r="K158" s="2"/>
      <c r="L158" s="2"/>
      <c r="M158" s="2"/>
      <c r="N158" s="2"/>
      <c r="O158" s="2"/>
      <c r="P158" s="2"/>
      <c r="Q158" s="2"/>
      <c r="R158" s="2"/>
      <c r="S158" s="2"/>
      <c r="T158" s="2"/>
      <c r="U158" s="2"/>
      <c r="V158" s="2"/>
      <c r="W158" s="2"/>
    </row>
    <row r="159" spans="1:23" ht="15.75" customHeight="1">
      <c r="A159" s="2"/>
      <c r="B159" s="2"/>
      <c r="C159" s="2"/>
      <c r="D159" s="2"/>
      <c r="E159" s="2"/>
      <c r="F159" s="2"/>
      <c r="G159" s="2"/>
      <c r="H159" s="2"/>
      <c r="I159" s="2"/>
      <c r="J159" s="2"/>
      <c r="K159" s="2"/>
      <c r="L159" s="2"/>
      <c r="M159" s="2"/>
      <c r="N159" s="2"/>
      <c r="O159" s="2"/>
      <c r="P159" s="2"/>
      <c r="Q159" s="2"/>
      <c r="R159" s="2"/>
      <c r="S159" s="2"/>
      <c r="T159" s="2"/>
      <c r="U159" s="2"/>
      <c r="V159" s="2"/>
      <c r="W159" s="2"/>
    </row>
    <row r="160" spans="1:23" ht="15.75" customHeight="1">
      <c r="A160" s="2"/>
      <c r="B160" s="2"/>
      <c r="C160" s="2"/>
      <c r="D160" s="2"/>
      <c r="E160" s="2"/>
      <c r="F160" s="2"/>
      <c r="G160" s="2"/>
      <c r="H160" s="2"/>
      <c r="I160" s="2"/>
      <c r="J160" s="2"/>
      <c r="K160" s="2"/>
      <c r="L160" s="2"/>
      <c r="M160" s="2"/>
      <c r="N160" s="2"/>
      <c r="O160" s="2"/>
      <c r="P160" s="2"/>
      <c r="Q160" s="2"/>
      <c r="R160" s="2"/>
      <c r="S160" s="2"/>
      <c r="T160" s="2"/>
      <c r="U160" s="2"/>
      <c r="V160" s="2"/>
      <c r="W160" s="2"/>
    </row>
    <row r="161" spans="1:23" ht="15.75" customHeight="1">
      <c r="A161" s="2"/>
      <c r="B161" s="2"/>
      <c r="C161" s="2"/>
      <c r="D161" s="2"/>
      <c r="E161" s="2"/>
      <c r="F161" s="2"/>
      <c r="G161" s="2"/>
      <c r="H161" s="2"/>
      <c r="I161" s="2"/>
      <c r="J161" s="2"/>
      <c r="K161" s="2"/>
      <c r="L161" s="2"/>
      <c r="M161" s="2"/>
      <c r="N161" s="2"/>
      <c r="O161" s="2"/>
      <c r="P161" s="2"/>
      <c r="Q161" s="2"/>
      <c r="R161" s="2"/>
      <c r="S161" s="2"/>
      <c r="T161" s="2"/>
      <c r="U161" s="2"/>
      <c r="V161" s="2"/>
      <c r="W161" s="2"/>
    </row>
    <row r="162" spans="1:23" ht="15.75" customHeight="1">
      <c r="A162" s="2"/>
      <c r="B162" s="2"/>
      <c r="C162" s="2"/>
      <c r="D162" s="2"/>
      <c r="E162" s="2"/>
      <c r="F162" s="2"/>
      <c r="G162" s="2"/>
      <c r="H162" s="2"/>
      <c r="I162" s="2"/>
      <c r="J162" s="2"/>
      <c r="K162" s="2"/>
      <c r="L162" s="2"/>
      <c r="M162" s="2"/>
      <c r="N162" s="2"/>
      <c r="O162" s="2"/>
      <c r="P162" s="2"/>
      <c r="Q162" s="2"/>
      <c r="R162" s="2"/>
      <c r="S162" s="2"/>
      <c r="T162" s="2"/>
      <c r="U162" s="2"/>
      <c r="V162" s="2"/>
      <c r="W162" s="2"/>
    </row>
    <row r="163" spans="1:23" ht="15.75" customHeight="1">
      <c r="A163" s="2"/>
      <c r="B163" s="2"/>
      <c r="C163" s="2"/>
      <c r="D163" s="2"/>
      <c r="E163" s="2"/>
      <c r="F163" s="2"/>
      <c r="G163" s="2"/>
      <c r="H163" s="2"/>
      <c r="I163" s="2"/>
      <c r="J163" s="2"/>
      <c r="K163" s="2"/>
      <c r="L163" s="2"/>
      <c r="M163" s="2"/>
      <c r="N163" s="2"/>
      <c r="O163" s="2"/>
      <c r="P163" s="2"/>
      <c r="Q163" s="2"/>
      <c r="R163" s="2"/>
      <c r="S163" s="2"/>
      <c r="T163" s="2"/>
      <c r="U163" s="2"/>
      <c r="V163" s="2"/>
      <c r="W163" s="2"/>
    </row>
    <row r="164" spans="1:23" ht="15.75" customHeight="1">
      <c r="A164" s="2"/>
      <c r="B164" s="2"/>
      <c r="C164" s="2"/>
      <c r="D164" s="2"/>
      <c r="E164" s="2"/>
      <c r="F164" s="2"/>
      <c r="G164" s="2"/>
      <c r="H164" s="2"/>
      <c r="I164" s="2"/>
      <c r="J164" s="2"/>
      <c r="K164" s="2"/>
      <c r="L164" s="2"/>
      <c r="M164" s="2"/>
      <c r="N164" s="2"/>
      <c r="O164" s="2"/>
      <c r="P164" s="2"/>
      <c r="Q164" s="2"/>
      <c r="R164" s="2"/>
      <c r="S164" s="2"/>
      <c r="T164" s="2"/>
      <c r="U164" s="2"/>
      <c r="V164" s="2"/>
      <c r="W164" s="2"/>
    </row>
    <row r="165" spans="1:23" ht="15.75" customHeight="1">
      <c r="A165" s="2"/>
      <c r="B165" s="2"/>
      <c r="C165" s="2"/>
      <c r="D165" s="2"/>
      <c r="E165" s="2"/>
      <c r="F165" s="2"/>
      <c r="G165" s="2"/>
      <c r="H165" s="2"/>
      <c r="I165" s="2"/>
      <c r="J165" s="2"/>
      <c r="K165" s="2"/>
      <c r="L165" s="2"/>
      <c r="M165" s="2"/>
      <c r="N165" s="2"/>
      <c r="O165" s="2"/>
      <c r="P165" s="2"/>
      <c r="Q165" s="2"/>
      <c r="R165" s="2"/>
      <c r="S165" s="2"/>
      <c r="T165" s="2"/>
      <c r="U165" s="2"/>
      <c r="V165" s="2"/>
      <c r="W165" s="2"/>
    </row>
    <row r="166" spans="1:23" ht="15.75" customHeight="1">
      <c r="A166" s="2"/>
      <c r="B166" s="2"/>
      <c r="C166" s="2"/>
      <c r="D166" s="2"/>
      <c r="E166" s="2"/>
      <c r="F166" s="2"/>
      <c r="G166" s="2"/>
      <c r="H166" s="2"/>
      <c r="I166" s="2"/>
      <c r="J166" s="2"/>
      <c r="K166" s="2"/>
      <c r="L166" s="2"/>
      <c r="M166" s="2"/>
      <c r="N166" s="2"/>
      <c r="O166" s="2"/>
      <c r="P166" s="2"/>
      <c r="Q166" s="2"/>
      <c r="R166" s="2"/>
      <c r="S166" s="2"/>
      <c r="T166" s="2"/>
      <c r="U166" s="2"/>
      <c r="V166" s="2"/>
      <c r="W166" s="2"/>
    </row>
    <row r="167" spans="1:23" ht="15.75" customHeight="1">
      <c r="A167" s="2"/>
      <c r="B167" s="2"/>
      <c r="C167" s="2"/>
      <c r="D167" s="2"/>
      <c r="E167" s="2"/>
      <c r="F167" s="2"/>
      <c r="G167" s="2"/>
      <c r="H167" s="2"/>
      <c r="I167" s="2"/>
      <c r="J167" s="2"/>
      <c r="K167" s="2"/>
      <c r="L167" s="2"/>
      <c r="M167" s="2"/>
      <c r="N167" s="2"/>
      <c r="O167" s="2"/>
      <c r="P167" s="2"/>
      <c r="Q167" s="2"/>
      <c r="R167" s="2"/>
      <c r="S167" s="2"/>
      <c r="T167" s="2"/>
      <c r="U167" s="2"/>
      <c r="V167" s="2"/>
      <c r="W167" s="2"/>
    </row>
    <row r="168" spans="1:23" ht="15.75" customHeight="1">
      <c r="A168" s="2"/>
      <c r="B168" s="2"/>
      <c r="C168" s="2"/>
      <c r="D168" s="2"/>
      <c r="E168" s="2"/>
      <c r="F168" s="2"/>
      <c r="G168" s="2"/>
      <c r="H168" s="2"/>
      <c r="I168" s="2"/>
      <c r="J168" s="2"/>
      <c r="K168" s="2"/>
      <c r="L168" s="2"/>
      <c r="M168" s="2"/>
      <c r="N168" s="2"/>
      <c r="O168" s="2"/>
      <c r="P168" s="2"/>
      <c r="Q168" s="2"/>
      <c r="R168" s="2"/>
      <c r="S168" s="2"/>
      <c r="T168" s="2"/>
      <c r="U168" s="2"/>
      <c r="V168" s="2"/>
      <c r="W168" s="2"/>
    </row>
    <row r="169" spans="1:23" ht="15.75" customHeight="1">
      <c r="A169" s="2"/>
      <c r="B169" s="2"/>
      <c r="C169" s="2"/>
      <c r="D169" s="2"/>
      <c r="E169" s="2"/>
      <c r="F169" s="2"/>
      <c r="G169" s="2"/>
      <c r="H169" s="2"/>
      <c r="I169" s="2"/>
      <c r="J169" s="2"/>
      <c r="K169" s="2"/>
      <c r="L169" s="2"/>
      <c r="M169" s="2"/>
      <c r="N169" s="2"/>
      <c r="O169" s="2"/>
      <c r="P169" s="2"/>
      <c r="Q169" s="2"/>
      <c r="R169" s="2"/>
      <c r="S169" s="2"/>
      <c r="T169" s="2"/>
      <c r="U169" s="2"/>
      <c r="V169" s="2"/>
      <c r="W169" s="2"/>
    </row>
    <row r="170" spans="1:23" ht="15.75" customHeight="1">
      <c r="A170" s="2"/>
      <c r="B170" s="2"/>
      <c r="C170" s="2"/>
      <c r="D170" s="2"/>
      <c r="E170" s="2"/>
      <c r="F170" s="2"/>
      <c r="G170" s="2"/>
      <c r="H170" s="2"/>
      <c r="I170" s="2"/>
      <c r="J170" s="2"/>
      <c r="K170" s="2"/>
      <c r="L170" s="2"/>
      <c r="M170" s="2"/>
      <c r="N170" s="2"/>
      <c r="O170" s="2"/>
      <c r="P170" s="2"/>
      <c r="Q170" s="2"/>
      <c r="R170" s="2"/>
      <c r="S170" s="2"/>
      <c r="T170" s="2"/>
      <c r="U170" s="2"/>
      <c r="V170" s="2"/>
      <c r="W170" s="2"/>
    </row>
    <row r="171" spans="1:23" ht="15.75" customHeight="1">
      <c r="A171" s="2"/>
      <c r="B171" s="2"/>
      <c r="C171" s="2"/>
      <c r="D171" s="2"/>
      <c r="E171" s="2"/>
      <c r="F171" s="2"/>
      <c r="G171" s="2"/>
      <c r="H171" s="2"/>
      <c r="I171" s="2"/>
      <c r="J171" s="2"/>
      <c r="K171" s="2"/>
      <c r="L171" s="2"/>
      <c r="M171" s="2"/>
      <c r="N171" s="2"/>
      <c r="O171" s="2"/>
      <c r="P171" s="2"/>
      <c r="Q171" s="2"/>
      <c r="R171" s="2"/>
      <c r="S171" s="2"/>
      <c r="T171" s="2"/>
      <c r="U171" s="2"/>
      <c r="V171" s="2"/>
      <c r="W171" s="2"/>
    </row>
    <row r="172" spans="1:23" ht="15.75" customHeight="1">
      <c r="A172" s="2"/>
      <c r="B172" s="2"/>
      <c r="C172" s="2"/>
      <c r="D172" s="2"/>
      <c r="E172" s="2"/>
      <c r="F172" s="2"/>
      <c r="G172" s="2"/>
      <c r="H172" s="2"/>
      <c r="I172" s="2"/>
      <c r="J172" s="2"/>
      <c r="K172" s="2"/>
      <c r="L172" s="2"/>
      <c r="M172" s="2"/>
      <c r="N172" s="2"/>
      <c r="O172" s="2"/>
      <c r="P172" s="2"/>
      <c r="Q172" s="2"/>
      <c r="R172" s="2"/>
      <c r="S172" s="2"/>
      <c r="T172" s="2"/>
      <c r="U172" s="2"/>
      <c r="V172" s="2"/>
      <c r="W172" s="2"/>
    </row>
    <row r="173" spans="1:23" ht="15.75" customHeight="1">
      <c r="A173" s="2"/>
      <c r="B173" s="2"/>
      <c r="C173" s="2"/>
      <c r="D173" s="2"/>
      <c r="E173" s="2"/>
      <c r="F173" s="2"/>
      <c r="G173" s="2"/>
      <c r="H173" s="2"/>
      <c r="I173" s="2"/>
      <c r="J173" s="2"/>
      <c r="K173" s="2"/>
      <c r="L173" s="2"/>
      <c r="M173" s="2"/>
      <c r="N173" s="2"/>
      <c r="O173" s="2"/>
      <c r="P173" s="2"/>
      <c r="Q173" s="2"/>
      <c r="R173" s="2"/>
      <c r="S173" s="2"/>
      <c r="T173" s="2"/>
      <c r="U173" s="2"/>
      <c r="V173" s="2"/>
      <c r="W173" s="2"/>
    </row>
    <row r="174" spans="1:23" ht="15.75" customHeight="1">
      <c r="A174" s="2"/>
      <c r="B174" s="2"/>
      <c r="C174" s="2"/>
      <c r="D174" s="2"/>
      <c r="E174" s="2"/>
      <c r="F174" s="2"/>
      <c r="G174" s="2"/>
      <c r="H174" s="2"/>
      <c r="I174" s="2"/>
      <c r="J174" s="2"/>
      <c r="K174" s="2"/>
      <c r="L174" s="2"/>
      <c r="M174" s="2"/>
      <c r="N174" s="2"/>
      <c r="O174" s="2"/>
      <c r="P174" s="2"/>
      <c r="Q174" s="2"/>
      <c r="R174" s="2"/>
      <c r="S174" s="2"/>
      <c r="T174" s="2"/>
      <c r="U174" s="2"/>
      <c r="V174" s="2"/>
      <c r="W174" s="2"/>
    </row>
    <row r="175" spans="1:23" ht="15.75" customHeight="1">
      <c r="A175" s="2"/>
      <c r="B175" s="2"/>
      <c r="C175" s="2"/>
      <c r="D175" s="2"/>
      <c r="E175" s="2"/>
      <c r="F175" s="2"/>
      <c r="G175" s="2"/>
      <c r="H175" s="2"/>
      <c r="I175" s="2"/>
      <c r="J175" s="2"/>
      <c r="K175" s="2"/>
      <c r="L175" s="2"/>
      <c r="M175" s="2"/>
      <c r="N175" s="2"/>
      <c r="O175" s="2"/>
      <c r="P175" s="2"/>
      <c r="Q175" s="2"/>
      <c r="R175" s="2"/>
      <c r="S175" s="2"/>
      <c r="T175" s="2"/>
      <c r="U175" s="2"/>
      <c r="V175" s="2"/>
      <c r="W175" s="2"/>
    </row>
    <row r="176" spans="1:23" ht="15.75" customHeight="1">
      <c r="A176" s="2"/>
      <c r="B176" s="2"/>
      <c r="C176" s="2"/>
      <c r="D176" s="2"/>
      <c r="E176" s="2"/>
      <c r="F176" s="2"/>
      <c r="G176" s="2"/>
      <c r="H176" s="2"/>
      <c r="I176" s="2"/>
      <c r="J176" s="2"/>
      <c r="K176" s="2"/>
      <c r="L176" s="2"/>
      <c r="M176" s="2"/>
      <c r="N176" s="2"/>
      <c r="O176" s="2"/>
      <c r="P176" s="2"/>
      <c r="Q176" s="2"/>
      <c r="R176" s="2"/>
      <c r="S176" s="2"/>
      <c r="T176" s="2"/>
      <c r="U176" s="2"/>
      <c r="V176" s="2"/>
      <c r="W176" s="2"/>
    </row>
    <row r="177" spans="1:23" ht="15.75" customHeight="1">
      <c r="A177" s="2"/>
      <c r="B177" s="2"/>
      <c r="C177" s="2"/>
      <c r="D177" s="2"/>
      <c r="E177" s="2"/>
      <c r="F177" s="2"/>
      <c r="G177" s="2"/>
      <c r="H177" s="2"/>
      <c r="I177" s="2"/>
      <c r="J177" s="2"/>
      <c r="K177" s="2"/>
      <c r="L177" s="2"/>
      <c r="M177" s="2"/>
      <c r="N177" s="2"/>
      <c r="O177" s="2"/>
      <c r="P177" s="2"/>
      <c r="Q177" s="2"/>
      <c r="R177" s="2"/>
      <c r="S177" s="2"/>
      <c r="T177" s="2"/>
      <c r="U177" s="2"/>
      <c r="V177" s="2"/>
      <c r="W177" s="2"/>
    </row>
    <row r="178" spans="1:23" ht="15.75" customHeight="1">
      <c r="A178" s="2"/>
      <c r="B178" s="2"/>
      <c r="C178" s="2"/>
      <c r="D178" s="2"/>
      <c r="E178" s="2"/>
      <c r="F178" s="2"/>
      <c r="G178" s="2"/>
      <c r="H178" s="2"/>
      <c r="I178" s="2"/>
      <c r="J178" s="2"/>
      <c r="K178" s="2"/>
      <c r="L178" s="2"/>
      <c r="M178" s="2"/>
      <c r="N178" s="2"/>
      <c r="O178" s="2"/>
      <c r="P178" s="2"/>
      <c r="Q178" s="2"/>
      <c r="R178" s="2"/>
      <c r="S178" s="2"/>
      <c r="T178" s="2"/>
      <c r="U178" s="2"/>
      <c r="V178" s="2"/>
      <c r="W178" s="2"/>
    </row>
    <row r="179" spans="1:23" ht="15.75" customHeight="1">
      <c r="A179" s="2"/>
      <c r="B179" s="2"/>
      <c r="C179" s="2"/>
      <c r="D179" s="2"/>
      <c r="E179" s="2"/>
      <c r="F179" s="2"/>
      <c r="G179" s="2"/>
      <c r="H179" s="2"/>
      <c r="I179" s="2"/>
      <c r="J179" s="2"/>
      <c r="K179" s="2"/>
      <c r="L179" s="2"/>
      <c r="M179" s="2"/>
      <c r="N179" s="2"/>
      <c r="O179" s="2"/>
      <c r="P179" s="2"/>
      <c r="Q179" s="2"/>
      <c r="R179" s="2"/>
      <c r="S179" s="2"/>
      <c r="T179" s="2"/>
      <c r="U179" s="2"/>
      <c r="V179" s="2"/>
      <c r="W179" s="2"/>
    </row>
    <row r="180" spans="1:23" ht="15.75" customHeight="1">
      <c r="A180" s="2"/>
      <c r="B180" s="2"/>
      <c r="C180" s="2"/>
      <c r="D180" s="2"/>
      <c r="E180" s="2"/>
      <c r="F180" s="2"/>
      <c r="G180" s="2"/>
      <c r="H180" s="2"/>
      <c r="I180" s="2"/>
      <c r="J180" s="2"/>
      <c r="K180" s="2"/>
      <c r="L180" s="2"/>
      <c r="M180" s="2"/>
      <c r="N180" s="2"/>
      <c r="O180" s="2"/>
      <c r="P180" s="2"/>
      <c r="Q180" s="2"/>
      <c r="R180" s="2"/>
      <c r="S180" s="2"/>
      <c r="T180" s="2"/>
      <c r="U180" s="2"/>
      <c r="V180" s="2"/>
      <c r="W180" s="2"/>
    </row>
    <row r="181" spans="1:23" ht="15.75" customHeight="1">
      <c r="A181" s="2"/>
      <c r="B181" s="2"/>
      <c r="C181" s="2"/>
      <c r="D181" s="2"/>
      <c r="E181" s="2"/>
      <c r="F181" s="2"/>
      <c r="G181" s="2"/>
      <c r="H181" s="2"/>
      <c r="I181" s="2"/>
      <c r="J181" s="2"/>
      <c r="K181" s="2"/>
      <c r="L181" s="2"/>
      <c r="M181" s="2"/>
      <c r="N181" s="2"/>
      <c r="O181" s="2"/>
      <c r="P181" s="2"/>
      <c r="Q181" s="2"/>
      <c r="R181" s="2"/>
      <c r="S181" s="2"/>
      <c r="T181" s="2"/>
      <c r="U181" s="2"/>
      <c r="V181" s="2"/>
      <c r="W181" s="2"/>
    </row>
    <row r="182" spans="1:23" ht="15.75" customHeight="1">
      <c r="A182" s="2"/>
      <c r="B182" s="2"/>
      <c r="C182" s="2"/>
      <c r="D182" s="2"/>
      <c r="E182" s="2"/>
      <c r="F182" s="2"/>
      <c r="G182" s="2"/>
      <c r="H182" s="2"/>
      <c r="I182" s="2"/>
      <c r="J182" s="2"/>
      <c r="K182" s="2"/>
      <c r="L182" s="2"/>
      <c r="M182" s="2"/>
      <c r="N182" s="2"/>
      <c r="O182" s="2"/>
      <c r="P182" s="2"/>
      <c r="Q182" s="2"/>
      <c r="R182" s="2"/>
      <c r="S182" s="2"/>
      <c r="T182" s="2"/>
      <c r="U182" s="2"/>
      <c r="V182" s="2"/>
      <c r="W182" s="2"/>
    </row>
    <row r="183" spans="1:23" ht="15.75" customHeight="1">
      <c r="A183" s="2"/>
      <c r="B183" s="2"/>
      <c r="C183" s="2"/>
      <c r="D183" s="2"/>
      <c r="E183" s="2"/>
      <c r="F183" s="2"/>
      <c r="G183" s="2"/>
      <c r="H183" s="2"/>
      <c r="I183" s="2"/>
      <c r="J183" s="2"/>
      <c r="K183" s="2"/>
      <c r="L183" s="2"/>
      <c r="M183" s="2"/>
      <c r="N183" s="2"/>
      <c r="O183" s="2"/>
      <c r="P183" s="2"/>
      <c r="Q183" s="2"/>
      <c r="R183" s="2"/>
      <c r="S183" s="2"/>
      <c r="T183" s="2"/>
      <c r="U183" s="2"/>
      <c r="V183" s="2"/>
      <c r="W183" s="2"/>
    </row>
    <row r="184" spans="1:23" ht="15.75" customHeight="1">
      <c r="A184" s="2"/>
      <c r="B184" s="2"/>
      <c r="C184" s="2"/>
      <c r="D184" s="2"/>
      <c r="E184" s="2"/>
      <c r="F184" s="2"/>
      <c r="G184" s="2"/>
      <c r="H184" s="2"/>
      <c r="I184" s="2"/>
      <c r="J184" s="2"/>
      <c r="K184" s="2"/>
      <c r="L184" s="2"/>
      <c r="M184" s="2"/>
      <c r="N184" s="2"/>
      <c r="O184" s="2"/>
      <c r="P184" s="2"/>
      <c r="Q184" s="2"/>
      <c r="R184" s="2"/>
      <c r="S184" s="2"/>
      <c r="T184" s="2"/>
      <c r="U184" s="2"/>
      <c r="V184" s="2"/>
      <c r="W184" s="2"/>
    </row>
    <row r="185" spans="1:23" ht="15.75" customHeight="1">
      <c r="A185" s="2"/>
      <c r="B185" s="2"/>
      <c r="C185" s="2"/>
      <c r="D185" s="2"/>
      <c r="E185" s="2"/>
      <c r="F185" s="2"/>
      <c r="G185" s="2"/>
      <c r="H185" s="2"/>
      <c r="I185" s="2"/>
      <c r="J185" s="2"/>
      <c r="K185" s="2"/>
      <c r="L185" s="2"/>
      <c r="M185" s="2"/>
      <c r="N185" s="2"/>
      <c r="O185" s="2"/>
      <c r="P185" s="2"/>
      <c r="Q185" s="2"/>
      <c r="R185" s="2"/>
      <c r="S185" s="2"/>
      <c r="T185" s="2"/>
      <c r="U185" s="2"/>
      <c r="V185" s="2"/>
      <c r="W185" s="2"/>
    </row>
    <row r="186" spans="1:23" ht="15.75" customHeight="1">
      <c r="A186" s="2"/>
      <c r="B186" s="2"/>
      <c r="C186" s="2"/>
      <c r="D186" s="2"/>
      <c r="E186" s="2"/>
      <c r="F186" s="2"/>
      <c r="G186" s="2"/>
      <c r="H186" s="2"/>
      <c r="I186" s="2"/>
      <c r="J186" s="2"/>
      <c r="K186" s="2"/>
      <c r="L186" s="2"/>
      <c r="M186" s="2"/>
      <c r="N186" s="2"/>
      <c r="O186" s="2"/>
      <c r="P186" s="2"/>
      <c r="Q186" s="2"/>
      <c r="R186" s="2"/>
      <c r="S186" s="2"/>
      <c r="T186" s="2"/>
      <c r="U186" s="2"/>
      <c r="V186" s="2"/>
      <c r="W186" s="2"/>
    </row>
    <row r="187" spans="1:23" ht="15.75" customHeight="1">
      <c r="A187" s="2"/>
      <c r="B187" s="2"/>
      <c r="C187" s="2"/>
      <c r="D187" s="2"/>
      <c r="E187" s="2"/>
      <c r="F187" s="2"/>
      <c r="G187" s="2"/>
      <c r="H187" s="2"/>
      <c r="I187" s="2"/>
      <c r="J187" s="2"/>
      <c r="K187" s="2"/>
      <c r="L187" s="2"/>
      <c r="M187" s="2"/>
      <c r="N187" s="2"/>
      <c r="O187" s="2"/>
      <c r="P187" s="2"/>
      <c r="Q187" s="2"/>
      <c r="R187" s="2"/>
      <c r="S187" s="2"/>
      <c r="T187" s="2"/>
      <c r="U187" s="2"/>
      <c r="V187" s="2"/>
      <c r="W187" s="2"/>
    </row>
    <row r="188" spans="1:23" ht="15.75" customHeight="1">
      <c r="A188" s="2"/>
      <c r="B188" s="2"/>
      <c r="C188" s="2"/>
      <c r="D188" s="2"/>
      <c r="E188" s="2"/>
      <c r="F188" s="2"/>
      <c r="G188" s="2"/>
      <c r="H188" s="2"/>
      <c r="I188" s="2"/>
      <c r="J188" s="2"/>
      <c r="K188" s="2"/>
      <c r="L188" s="2"/>
      <c r="M188" s="2"/>
      <c r="N188" s="2"/>
      <c r="O188" s="2"/>
      <c r="P188" s="2"/>
      <c r="Q188" s="2"/>
      <c r="R188" s="2"/>
      <c r="S188" s="2"/>
      <c r="T188" s="2"/>
      <c r="U188" s="2"/>
      <c r="V188" s="2"/>
      <c r="W188" s="2"/>
    </row>
    <row r="189" spans="1:23" ht="15.75" customHeight="1">
      <c r="A189" s="2"/>
      <c r="B189" s="2"/>
      <c r="C189" s="2"/>
      <c r="D189" s="2"/>
      <c r="E189" s="2"/>
      <c r="F189" s="2"/>
      <c r="G189" s="2"/>
      <c r="H189" s="2"/>
      <c r="I189" s="2"/>
      <c r="J189" s="2"/>
      <c r="K189" s="2"/>
      <c r="L189" s="2"/>
      <c r="M189" s="2"/>
      <c r="N189" s="2"/>
      <c r="O189" s="2"/>
      <c r="P189" s="2"/>
      <c r="Q189" s="2"/>
      <c r="R189" s="2"/>
      <c r="S189" s="2"/>
      <c r="T189" s="2"/>
      <c r="U189" s="2"/>
      <c r="V189" s="2"/>
      <c r="W189" s="2"/>
    </row>
    <row r="190" spans="1:23" ht="15.75" customHeight="1">
      <c r="A190" s="2"/>
      <c r="B190" s="2"/>
      <c r="C190" s="2"/>
      <c r="D190" s="2"/>
      <c r="E190" s="2"/>
      <c r="F190" s="2"/>
      <c r="G190" s="2"/>
      <c r="H190" s="2"/>
      <c r="I190" s="2"/>
      <c r="J190" s="2"/>
      <c r="K190" s="2"/>
      <c r="L190" s="2"/>
      <c r="M190" s="2"/>
      <c r="N190" s="2"/>
      <c r="O190" s="2"/>
      <c r="P190" s="2"/>
      <c r="Q190" s="2"/>
      <c r="R190" s="2"/>
      <c r="S190" s="2"/>
      <c r="T190" s="2"/>
      <c r="U190" s="2"/>
      <c r="V190" s="2"/>
      <c r="W190" s="2"/>
    </row>
    <row r="191" spans="1:23" ht="15.75" customHeight="1">
      <c r="A191" s="2"/>
      <c r="B191" s="2"/>
      <c r="C191" s="2"/>
      <c r="D191" s="2"/>
      <c r="E191" s="2"/>
      <c r="F191" s="2"/>
      <c r="G191" s="2"/>
      <c r="H191" s="2"/>
      <c r="I191" s="2"/>
      <c r="J191" s="2"/>
      <c r="K191" s="2"/>
      <c r="L191" s="2"/>
      <c r="M191" s="2"/>
      <c r="N191" s="2"/>
      <c r="O191" s="2"/>
      <c r="P191" s="2"/>
      <c r="Q191" s="2"/>
      <c r="R191" s="2"/>
      <c r="S191" s="2"/>
      <c r="T191" s="2"/>
      <c r="U191" s="2"/>
      <c r="V191" s="2"/>
      <c r="W191" s="2"/>
    </row>
    <row r="192" spans="1:23" ht="15.75" customHeight="1">
      <c r="A192" s="2"/>
      <c r="B192" s="2"/>
      <c r="C192" s="2"/>
      <c r="D192" s="2"/>
      <c r="E192" s="2"/>
      <c r="F192" s="2"/>
      <c r="G192" s="2"/>
      <c r="H192" s="2"/>
      <c r="I192" s="2"/>
      <c r="J192" s="2"/>
      <c r="K192" s="2"/>
      <c r="L192" s="2"/>
      <c r="M192" s="2"/>
      <c r="N192" s="2"/>
      <c r="O192" s="2"/>
      <c r="P192" s="2"/>
      <c r="Q192" s="2"/>
      <c r="R192" s="2"/>
      <c r="S192" s="2"/>
      <c r="T192" s="2"/>
      <c r="U192" s="2"/>
      <c r="V192" s="2"/>
      <c r="W192" s="2"/>
    </row>
    <row r="193" spans="1:23" ht="15.75" customHeight="1">
      <c r="A193" s="2"/>
      <c r="B193" s="2"/>
      <c r="C193" s="2"/>
      <c r="D193" s="2"/>
      <c r="E193" s="2"/>
      <c r="F193" s="2"/>
      <c r="G193" s="2"/>
      <c r="H193" s="2"/>
      <c r="I193" s="2"/>
      <c r="J193" s="2"/>
      <c r="K193" s="2"/>
      <c r="L193" s="2"/>
      <c r="M193" s="2"/>
      <c r="N193" s="2"/>
      <c r="O193" s="2"/>
      <c r="P193" s="2"/>
      <c r="Q193" s="2"/>
      <c r="R193" s="2"/>
      <c r="S193" s="2"/>
      <c r="T193" s="2"/>
      <c r="U193" s="2"/>
      <c r="V193" s="2"/>
      <c r="W193" s="2"/>
    </row>
    <row r="194" spans="1:23" ht="15.75" customHeight="1">
      <c r="A194" s="2"/>
      <c r="B194" s="2"/>
      <c r="C194" s="2"/>
      <c r="D194" s="2"/>
      <c r="E194" s="2"/>
      <c r="F194" s="2"/>
      <c r="G194" s="2"/>
      <c r="H194" s="2"/>
      <c r="I194" s="2"/>
      <c r="J194" s="2"/>
      <c r="K194" s="2"/>
      <c r="L194" s="2"/>
      <c r="M194" s="2"/>
      <c r="N194" s="2"/>
      <c r="O194" s="2"/>
      <c r="P194" s="2"/>
      <c r="Q194" s="2"/>
      <c r="R194" s="2"/>
      <c r="S194" s="2"/>
      <c r="T194" s="2"/>
      <c r="U194" s="2"/>
      <c r="V194" s="2"/>
      <c r="W194" s="2"/>
    </row>
    <row r="195" spans="1:23" ht="15.75" customHeight="1">
      <c r="A195" s="2"/>
      <c r="B195" s="2"/>
      <c r="C195" s="2"/>
      <c r="D195" s="2"/>
      <c r="E195" s="2"/>
      <c r="F195" s="2"/>
      <c r="G195" s="2"/>
      <c r="H195" s="2"/>
      <c r="I195" s="2"/>
      <c r="J195" s="2"/>
      <c r="K195" s="2"/>
      <c r="L195" s="2"/>
      <c r="M195" s="2"/>
      <c r="N195" s="2"/>
      <c r="O195" s="2"/>
      <c r="P195" s="2"/>
      <c r="Q195" s="2"/>
      <c r="R195" s="2"/>
      <c r="S195" s="2"/>
      <c r="T195" s="2"/>
      <c r="U195" s="2"/>
      <c r="V195" s="2"/>
      <c r="W195" s="2"/>
    </row>
    <row r="196" spans="1:23" ht="15.75" customHeight="1">
      <c r="A196" s="2"/>
      <c r="B196" s="2"/>
      <c r="C196" s="2"/>
      <c r="D196" s="2"/>
      <c r="E196" s="2"/>
      <c r="F196" s="2"/>
      <c r="G196" s="2"/>
      <c r="H196" s="2"/>
      <c r="I196" s="2"/>
      <c r="J196" s="2"/>
      <c r="K196" s="2"/>
      <c r="L196" s="2"/>
      <c r="M196" s="2"/>
      <c r="N196" s="2"/>
      <c r="O196" s="2"/>
      <c r="P196" s="2"/>
      <c r="Q196" s="2"/>
      <c r="R196" s="2"/>
      <c r="S196" s="2"/>
      <c r="T196" s="2"/>
      <c r="U196" s="2"/>
      <c r="V196" s="2"/>
      <c r="W196" s="2"/>
    </row>
    <row r="197" spans="1:23" ht="15.75" customHeight="1">
      <c r="A197" s="2"/>
      <c r="B197" s="2"/>
      <c r="C197" s="2"/>
      <c r="D197" s="2"/>
      <c r="E197" s="2"/>
      <c r="F197" s="2"/>
      <c r="G197" s="2"/>
      <c r="H197" s="2"/>
      <c r="I197" s="2"/>
      <c r="J197" s="2"/>
      <c r="K197" s="2"/>
      <c r="L197" s="2"/>
      <c r="M197" s="2"/>
      <c r="N197" s="2"/>
      <c r="O197" s="2"/>
      <c r="P197" s="2"/>
      <c r="Q197" s="2"/>
      <c r="R197" s="2"/>
      <c r="S197" s="2"/>
      <c r="T197" s="2"/>
      <c r="U197" s="2"/>
      <c r="V197" s="2"/>
      <c r="W197" s="2"/>
    </row>
    <row r="198" spans="1:23" ht="15.75" customHeight="1">
      <c r="A198" s="2"/>
      <c r="B198" s="2"/>
      <c r="C198" s="2"/>
      <c r="D198" s="2"/>
      <c r="E198" s="2"/>
      <c r="F198" s="2"/>
      <c r="G198" s="2"/>
      <c r="H198" s="2"/>
      <c r="I198" s="2"/>
      <c r="J198" s="2"/>
      <c r="K198" s="2"/>
      <c r="L198" s="2"/>
      <c r="M198" s="2"/>
      <c r="N198" s="2"/>
      <c r="O198" s="2"/>
      <c r="P198" s="2"/>
      <c r="Q198" s="2"/>
      <c r="R198" s="2"/>
      <c r="S198" s="2"/>
      <c r="T198" s="2"/>
      <c r="U198" s="2"/>
      <c r="V198" s="2"/>
      <c r="W198" s="2"/>
    </row>
    <row r="199" spans="1:23" ht="15.75" customHeight="1">
      <c r="A199" s="2"/>
      <c r="B199" s="2"/>
      <c r="C199" s="2"/>
      <c r="D199" s="2"/>
      <c r="E199" s="2"/>
      <c r="F199" s="2"/>
      <c r="G199" s="2"/>
      <c r="H199" s="2"/>
      <c r="I199" s="2"/>
      <c r="J199" s="2"/>
      <c r="K199" s="2"/>
      <c r="L199" s="2"/>
      <c r="M199" s="2"/>
      <c r="N199" s="2"/>
      <c r="O199" s="2"/>
      <c r="P199" s="2"/>
      <c r="Q199" s="2"/>
      <c r="R199" s="2"/>
      <c r="S199" s="2"/>
      <c r="T199" s="2"/>
      <c r="U199" s="2"/>
      <c r="V199" s="2"/>
      <c r="W199" s="2"/>
    </row>
    <row r="200" spans="1:23" ht="15.75" customHeight="1">
      <c r="A200" s="2"/>
      <c r="B200" s="2"/>
      <c r="C200" s="2"/>
      <c r="D200" s="2"/>
      <c r="E200" s="2"/>
      <c r="F200" s="2"/>
      <c r="G200" s="2"/>
      <c r="H200" s="2"/>
      <c r="I200" s="2"/>
      <c r="J200" s="2"/>
      <c r="K200" s="2"/>
      <c r="L200" s="2"/>
      <c r="M200" s="2"/>
      <c r="N200" s="2"/>
      <c r="O200" s="2"/>
      <c r="P200" s="2"/>
      <c r="Q200" s="2"/>
      <c r="R200" s="2"/>
      <c r="S200" s="2"/>
      <c r="T200" s="2"/>
      <c r="U200" s="2"/>
      <c r="V200" s="2"/>
      <c r="W200" s="2"/>
    </row>
    <row r="201" spans="1:23" ht="15.75" customHeight="1">
      <c r="A201" s="2"/>
      <c r="B201" s="2"/>
      <c r="C201" s="2"/>
      <c r="D201" s="2"/>
      <c r="E201" s="2"/>
      <c r="F201" s="2"/>
      <c r="G201" s="2"/>
      <c r="H201" s="2"/>
      <c r="I201" s="2"/>
      <c r="J201" s="2"/>
      <c r="K201" s="2"/>
      <c r="L201" s="2"/>
      <c r="M201" s="2"/>
      <c r="N201" s="2"/>
      <c r="O201" s="2"/>
      <c r="P201" s="2"/>
      <c r="Q201" s="2"/>
      <c r="R201" s="2"/>
      <c r="S201" s="2"/>
      <c r="T201" s="2"/>
      <c r="U201" s="2"/>
      <c r="V201" s="2"/>
      <c r="W201" s="2"/>
    </row>
    <row r="202" spans="1:23" ht="15.75" customHeight="1">
      <c r="A202" s="2"/>
      <c r="B202" s="2"/>
      <c r="C202" s="2"/>
      <c r="D202" s="2"/>
      <c r="E202" s="2"/>
      <c r="F202" s="2"/>
      <c r="G202" s="2"/>
      <c r="H202" s="2"/>
      <c r="I202" s="2"/>
      <c r="J202" s="2"/>
      <c r="K202" s="2"/>
      <c r="L202" s="2"/>
      <c r="M202" s="2"/>
      <c r="N202" s="2"/>
      <c r="O202" s="2"/>
      <c r="P202" s="2"/>
      <c r="Q202" s="2"/>
      <c r="R202" s="2"/>
      <c r="S202" s="2"/>
      <c r="T202" s="2"/>
      <c r="U202" s="2"/>
      <c r="V202" s="2"/>
      <c r="W202" s="2"/>
    </row>
    <row r="203" spans="1:23" ht="15.75" customHeight="1">
      <c r="A203" s="2"/>
      <c r="B203" s="2"/>
      <c r="C203" s="2"/>
      <c r="D203" s="2"/>
      <c r="E203" s="2"/>
      <c r="F203" s="2"/>
      <c r="G203" s="2"/>
      <c r="H203" s="2"/>
      <c r="I203" s="2"/>
      <c r="J203" s="2"/>
      <c r="K203" s="2"/>
      <c r="L203" s="2"/>
      <c r="M203" s="2"/>
      <c r="N203" s="2"/>
      <c r="O203" s="2"/>
      <c r="P203" s="2"/>
      <c r="Q203" s="2"/>
      <c r="R203" s="2"/>
      <c r="S203" s="2"/>
      <c r="T203" s="2"/>
      <c r="U203" s="2"/>
      <c r="V203" s="2"/>
      <c r="W203" s="2"/>
    </row>
    <row r="204" spans="1:23" ht="15.75" customHeight="1">
      <c r="A204" s="2"/>
      <c r="B204" s="2"/>
      <c r="C204" s="2"/>
      <c r="D204" s="2"/>
      <c r="E204" s="2"/>
      <c r="F204" s="2"/>
      <c r="G204" s="2"/>
      <c r="H204" s="2"/>
      <c r="I204" s="2"/>
      <c r="J204" s="2"/>
      <c r="K204" s="2"/>
      <c r="L204" s="2"/>
      <c r="M204" s="2"/>
      <c r="N204" s="2"/>
      <c r="O204" s="2"/>
      <c r="P204" s="2"/>
      <c r="Q204" s="2"/>
      <c r="R204" s="2"/>
      <c r="S204" s="2"/>
      <c r="T204" s="2"/>
      <c r="U204" s="2"/>
      <c r="V204" s="2"/>
      <c r="W204" s="2"/>
    </row>
    <row r="205" spans="1:23" ht="15.75" customHeight="1">
      <c r="A205" s="2"/>
      <c r="B205" s="2"/>
      <c r="C205" s="2"/>
      <c r="D205" s="2"/>
      <c r="E205" s="2"/>
      <c r="F205" s="2"/>
      <c r="G205" s="2"/>
      <c r="H205" s="2"/>
      <c r="I205" s="2"/>
      <c r="J205" s="2"/>
      <c r="K205" s="2"/>
      <c r="L205" s="2"/>
      <c r="M205" s="2"/>
      <c r="N205" s="2"/>
      <c r="O205" s="2"/>
      <c r="P205" s="2"/>
      <c r="Q205" s="2"/>
      <c r="R205" s="2"/>
      <c r="S205" s="2"/>
      <c r="T205" s="2"/>
      <c r="U205" s="2"/>
      <c r="V205" s="2"/>
      <c r="W205" s="2"/>
    </row>
    <row r="206" spans="1:23" ht="15.75" customHeight="1">
      <c r="A206" s="2"/>
      <c r="B206" s="2"/>
      <c r="C206" s="2"/>
      <c r="D206" s="2"/>
      <c r="E206" s="2"/>
      <c r="F206" s="2"/>
      <c r="G206" s="2"/>
      <c r="H206" s="2"/>
      <c r="I206" s="2"/>
      <c r="J206" s="2"/>
      <c r="K206" s="2"/>
      <c r="L206" s="2"/>
      <c r="M206" s="2"/>
      <c r="N206" s="2"/>
      <c r="O206" s="2"/>
      <c r="P206" s="2"/>
      <c r="Q206" s="2"/>
      <c r="R206" s="2"/>
      <c r="S206" s="2"/>
      <c r="T206" s="2"/>
      <c r="U206" s="2"/>
      <c r="V206" s="2"/>
      <c r="W206" s="2"/>
    </row>
    <row r="207" spans="1:23" ht="15.75" customHeight="1">
      <c r="A207" s="2"/>
      <c r="B207" s="2"/>
      <c r="C207" s="2"/>
      <c r="D207" s="2"/>
      <c r="E207" s="2"/>
      <c r="F207" s="2"/>
      <c r="G207" s="2"/>
      <c r="H207" s="2"/>
      <c r="I207" s="2"/>
      <c r="J207" s="2"/>
      <c r="K207" s="2"/>
      <c r="L207" s="2"/>
      <c r="M207" s="2"/>
      <c r="N207" s="2"/>
      <c r="O207" s="2"/>
      <c r="P207" s="2"/>
      <c r="Q207" s="2"/>
      <c r="R207" s="2"/>
      <c r="S207" s="2"/>
      <c r="T207" s="2"/>
      <c r="U207" s="2"/>
      <c r="V207" s="2"/>
      <c r="W207" s="2"/>
    </row>
    <row r="208" spans="1:23" ht="15.75" customHeight="1">
      <c r="A208" s="2"/>
      <c r="B208" s="2"/>
      <c r="C208" s="2"/>
      <c r="D208" s="2"/>
      <c r="E208" s="2"/>
      <c r="F208" s="2"/>
      <c r="G208" s="2"/>
      <c r="H208" s="2"/>
      <c r="I208" s="2"/>
      <c r="J208" s="2"/>
      <c r="K208" s="2"/>
      <c r="L208" s="2"/>
      <c r="M208" s="2"/>
      <c r="N208" s="2"/>
      <c r="O208" s="2"/>
      <c r="P208" s="2"/>
      <c r="Q208" s="2"/>
      <c r="R208" s="2"/>
      <c r="S208" s="2"/>
      <c r="T208" s="2"/>
      <c r="U208" s="2"/>
      <c r="V208" s="2"/>
      <c r="W208" s="2"/>
    </row>
    <row r="209" spans="1:23" ht="15.75" customHeight="1">
      <c r="A209" s="2"/>
      <c r="B209" s="2"/>
      <c r="C209" s="2"/>
      <c r="D209" s="2"/>
      <c r="E209" s="2"/>
      <c r="F209" s="2"/>
      <c r="G209" s="2"/>
      <c r="H209" s="2"/>
      <c r="I209" s="2"/>
      <c r="J209" s="2"/>
      <c r="K209" s="2"/>
      <c r="L209" s="2"/>
      <c r="M209" s="2"/>
      <c r="N209" s="2"/>
      <c r="O209" s="2"/>
      <c r="P209" s="2"/>
      <c r="Q209" s="2"/>
      <c r="R209" s="2"/>
      <c r="S209" s="2"/>
      <c r="T209" s="2"/>
      <c r="U209" s="2"/>
      <c r="V209" s="2"/>
      <c r="W209" s="2"/>
    </row>
    <row r="210" spans="1:23" ht="15.75" customHeight="1">
      <c r="A210" s="2"/>
      <c r="B210" s="2"/>
      <c r="C210" s="2"/>
      <c r="D210" s="2"/>
      <c r="E210" s="2"/>
      <c r="F210" s="2"/>
      <c r="G210" s="2"/>
      <c r="H210" s="2"/>
      <c r="I210" s="2"/>
      <c r="J210" s="2"/>
      <c r="K210" s="2"/>
      <c r="L210" s="2"/>
      <c r="M210" s="2"/>
      <c r="N210" s="2"/>
      <c r="O210" s="2"/>
      <c r="P210" s="2"/>
      <c r="Q210" s="2"/>
      <c r="R210" s="2"/>
      <c r="S210" s="2"/>
      <c r="T210" s="2"/>
      <c r="U210" s="2"/>
      <c r="V210" s="2"/>
      <c r="W210" s="2"/>
    </row>
    <row r="211" spans="1:23" ht="15.75" customHeight="1">
      <c r="A211" s="2"/>
      <c r="B211" s="2"/>
      <c r="C211" s="2"/>
      <c r="D211" s="2"/>
      <c r="E211" s="2"/>
      <c r="F211" s="2"/>
      <c r="G211" s="2"/>
      <c r="H211" s="2"/>
      <c r="I211" s="2"/>
      <c r="J211" s="2"/>
      <c r="K211" s="2"/>
      <c r="L211" s="2"/>
      <c r="M211" s="2"/>
      <c r="N211" s="2"/>
      <c r="O211" s="2"/>
      <c r="P211" s="2"/>
      <c r="Q211" s="2"/>
      <c r="R211" s="2"/>
      <c r="S211" s="2"/>
      <c r="T211" s="2"/>
      <c r="U211" s="2"/>
      <c r="V211" s="2"/>
      <c r="W211" s="2"/>
    </row>
    <row r="212" spans="1:23" ht="15.75" customHeight="1">
      <c r="A212" s="2"/>
      <c r="B212" s="2"/>
      <c r="C212" s="2"/>
      <c r="D212" s="2"/>
      <c r="E212" s="2"/>
      <c r="F212" s="2"/>
      <c r="G212" s="2"/>
      <c r="H212" s="2"/>
      <c r="I212" s="2"/>
      <c r="J212" s="2"/>
      <c r="K212" s="2"/>
      <c r="L212" s="2"/>
      <c r="M212" s="2"/>
      <c r="N212" s="2"/>
      <c r="O212" s="2"/>
      <c r="P212" s="2"/>
      <c r="Q212" s="2"/>
      <c r="R212" s="2"/>
      <c r="S212" s="2"/>
      <c r="T212" s="2"/>
      <c r="U212" s="2"/>
      <c r="V212" s="2"/>
      <c r="W212" s="2"/>
    </row>
    <row r="213" spans="1:23" ht="15.75" customHeight="1">
      <c r="A213" s="2"/>
      <c r="B213" s="2"/>
      <c r="C213" s="2"/>
      <c r="D213" s="2"/>
      <c r="E213" s="2"/>
      <c r="F213" s="2"/>
      <c r="G213" s="2"/>
      <c r="H213" s="2"/>
      <c r="I213" s="2"/>
      <c r="J213" s="2"/>
      <c r="K213" s="2"/>
      <c r="L213" s="2"/>
      <c r="M213" s="2"/>
      <c r="N213" s="2"/>
      <c r="O213" s="2"/>
      <c r="P213" s="2"/>
      <c r="Q213" s="2"/>
      <c r="R213" s="2"/>
      <c r="S213" s="2"/>
      <c r="T213" s="2"/>
      <c r="U213" s="2"/>
      <c r="V213" s="2"/>
      <c r="W213" s="2"/>
    </row>
    <row r="214" spans="1:23" ht="15.75" customHeight="1">
      <c r="A214" s="2"/>
      <c r="B214" s="2"/>
      <c r="C214" s="2"/>
      <c r="D214" s="2"/>
      <c r="E214" s="2"/>
      <c r="F214" s="2"/>
      <c r="G214" s="2"/>
      <c r="H214" s="2"/>
      <c r="I214" s="2"/>
      <c r="J214" s="2"/>
      <c r="K214" s="2"/>
      <c r="L214" s="2"/>
      <c r="M214" s="2"/>
      <c r="N214" s="2"/>
      <c r="O214" s="2"/>
      <c r="P214" s="2"/>
      <c r="Q214" s="2"/>
      <c r="R214" s="2"/>
      <c r="S214" s="2"/>
      <c r="T214" s="2"/>
      <c r="U214" s="2"/>
      <c r="V214" s="2"/>
      <c r="W214" s="2"/>
    </row>
    <row r="215" spans="1:23" ht="15.75" customHeight="1">
      <c r="A215" s="2"/>
      <c r="B215" s="2"/>
      <c r="C215" s="2"/>
      <c r="D215" s="2"/>
      <c r="E215" s="2"/>
      <c r="F215" s="2"/>
      <c r="G215" s="2"/>
      <c r="H215" s="2"/>
      <c r="I215" s="2"/>
      <c r="J215" s="2"/>
      <c r="K215" s="2"/>
      <c r="L215" s="2"/>
      <c r="M215" s="2"/>
      <c r="N215" s="2"/>
      <c r="O215" s="2"/>
      <c r="P215" s="2"/>
      <c r="Q215" s="2"/>
      <c r="R215" s="2"/>
      <c r="S215" s="2"/>
      <c r="T215" s="2"/>
      <c r="U215" s="2"/>
      <c r="V215" s="2"/>
      <c r="W215" s="2"/>
    </row>
    <row r="216" spans="1:23" ht="15.75" customHeight="1">
      <c r="A216" s="2"/>
      <c r="B216" s="2"/>
      <c r="C216" s="2"/>
      <c r="D216" s="2"/>
      <c r="E216" s="2"/>
      <c r="F216" s="2"/>
      <c r="G216" s="2"/>
      <c r="H216" s="2"/>
      <c r="I216" s="2"/>
      <c r="J216" s="2"/>
      <c r="K216" s="2"/>
      <c r="L216" s="2"/>
      <c r="M216" s="2"/>
      <c r="N216" s="2"/>
      <c r="O216" s="2"/>
      <c r="P216" s="2"/>
      <c r="Q216" s="2"/>
      <c r="R216" s="2"/>
      <c r="S216" s="2"/>
      <c r="T216" s="2"/>
      <c r="U216" s="2"/>
      <c r="V216" s="2"/>
      <c r="W216" s="2"/>
    </row>
    <row r="217" spans="1:23" ht="15.75" customHeight="1">
      <c r="A217" s="2"/>
      <c r="B217" s="2"/>
      <c r="C217" s="2"/>
      <c r="D217" s="2"/>
      <c r="E217" s="2"/>
      <c r="F217" s="2"/>
      <c r="G217" s="2"/>
      <c r="H217" s="2"/>
      <c r="I217" s="2"/>
      <c r="J217" s="2"/>
      <c r="K217" s="2"/>
      <c r="L217" s="2"/>
      <c r="M217" s="2"/>
      <c r="N217" s="2"/>
      <c r="O217" s="2"/>
      <c r="P217" s="2"/>
      <c r="Q217" s="2"/>
      <c r="R217" s="2"/>
      <c r="S217" s="2"/>
      <c r="T217" s="2"/>
      <c r="U217" s="2"/>
      <c r="V217" s="2"/>
      <c r="W217" s="2"/>
    </row>
    <row r="218" spans="1:23" ht="15.75" customHeight="1">
      <c r="A218" s="2"/>
      <c r="B218" s="2"/>
      <c r="C218" s="2"/>
      <c r="D218" s="2"/>
      <c r="E218" s="2"/>
      <c r="F218" s="2"/>
      <c r="G218" s="2"/>
      <c r="H218" s="2"/>
      <c r="I218" s="2"/>
      <c r="J218" s="2"/>
      <c r="K218" s="2"/>
      <c r="L218" s="2"/>
      <c r="M218" s="2"/>
      <c r="N218" s="2"/>
      <c r="O218" s="2"/>
      <c r="P218" s="2"/>
      <c r="Q218" s="2"/>
      <c r="R218" s="2"/>
      <c r="S218" s="2"/>
      <c r="T218" s="2"/>
      <c r="U218" s="2"/>
      <c r="V218" s="2"/>
      <c r="W218" s="2"/>
    </row>
    <row r="219" spans="1:23" ht="15.75" customHeight="1">
      <c r="A219" s="2"/>
      <c r="B219" s="2"/>
      <c r="C219" s="2"/>
      <c r="D219" s="2"/>
      <c r="E219" s="2"/>
      <c r="F219" s="2"/>
      <c r="G219" s="2"/>
      <c r="H219" s="2"/>
      <c r="I219" s="2"/>
      <c r="J219" s="2"/>
      <c r="K219" s="2"/>
      <c r="L219" s="2"/>
      <c r="M219" s="2"/>
      <c r="N219" s="2"/>
      <c r="O219" s="2"/>
      <c r="P219" s="2"/>
      <c r="Q219" s="2"/>
      <c r="R219" s="2"/>
      <c r="S219" s="2"/>
      <c r="T219" s="2"/>
      <c r="U219" s="2"/>
      <c r="V219" s="2"/>
      <c r="W219" s="2"/>
    </row>
    <row r="220" spans="1:23" ht="15.75" customHeight="1">
      <c r="A220" s="2"/>
      <c r="B220" s="2"/>
      <c r="C220" s="2"/>
      <c r="D220" s="2"/>
      <c r="E220" s="2"/>
      <c r="F220" s="2"/>
      <c r="G220" s="2"/>
      <c r="H220" s="2"/>
      <c r="I220" s="2"/>
      <c r="J220" s="2"/>
      <c r="K220" s="2"/>
      <c r="L220" s="2"/>
      <c r="M220" s="2"/>
      <c r="N220" s="2"/>
      <c r="O220" s="2"/>
      <c r="P220" s="2"/>
      <c r="Q220" s="2"/>
      <c r="R220" s="2"/>
      <c r="S220" s="2"/>
      <c r="T220" s="2"/>
      <c r="U220" s="2"/>
      <c r="V220" s="2"/>
      <c r="W220" s="2"/>
    </row>
    <row r="221" spans="1:23" ht="15.75" customHeight="1">
      <c r="A221" s="2"/>
      <c r="B221" s="2"/>
      <c r="C221" s="2"/>
      <c r="D221" s="2"/>
      <c r="E221" s="2"/>
      <c r="F221" s="2"/>
      <c r="G221" s="2"/>
      <c r="H221" s="2"/>
      <c r="I221" s="2"/>
      <c r="J221" s="2"/>
      <c r="K221" s="2"/>
      <c r="L221" s="2"/>
      <c r="M221" s="2"/>
      <c r="N221" s="2"/>
      <c r="O221" s="2"/>
      <c r="P221" s="2"/>
      <c r="Q221" s="2"/>
      <c r="R221" s="2"/>
      <c r="S221" s="2"/>
      <c r="T221" s="2"/>
      <c r="U221" s="2"/>
      <c r="V221" s="2"/>
      <c r="W221" s="2"/>
    </row>
    <row r="222" spans="1:23" ht="15.75" customHeight="1">
      <c r="A222" s="2"/>
      <c r="B222" s="2"/>
      <c r="C222" s="2"/>
      <c r="D222" s="2"/>
      <c r="E222" s="2"/>
      <c r="F222" s="2"/>
      <c r="G222" s="2"/>
      <c r="H222" s="2"/>
      <c r="I222" s="2"/>
      <c r="J222" s="2"/>
      <c r="K222" s="2"/>
      <c r="L222" s="2"/>
      <c r="M222" s="2"/>
      <c r="N222" s="2"/>
      <c r="O222" s="2"/>
      <c r="P222" s="2"/>
      <c r="Q222" s="2"/>
      <c r="R222" s="2"/>
      <c r="S222" s="2"/>
      <c r="T222" s="2"/>
      <c r="U222" s="2"/>
      <c r="V222" s="2"/>
      <c r="W222" s="2"/>
    </row>
    <row r="223" spans="1:23" ht="15.75" customHeight="1">
      <c r="A223" s="2"/>
      <c r="B223" s="2"/>
      <c r="C223" s="2"/>
      <c r="D223" s="2"/>
      <c r="E223" s="2"/>
      <c r="F223" s="2"/>
      <c r="G223" s="2"/>
      <c r="H223" s="2"/>
      <c r="I223" s="2"/>
      <c r="J223" s="2"/>
      <c r="K223" s="2"/>
      <c r="L223" s="2"/>
      <c r="M223" s="2"/>
      <c r="N223" s="2"/>
      <c r="O223" s="2"/>
      <c r="P223" s="2"/>
      <c r="Q223" s="2"/>
      <c r="R223" s="2"/>
      <c r="S223" s="2"/>
      <c r="T223" s="2"/>
      <c r="U223" s="2"/>
      <c r="V223" s="2"/>
      <c r="W223" s="2"/>
    </row>
    <row r="224" spans="1:23" ht="15.75" customHeight="1">
      <c r="A224" s="2"/>
      <c r="B224" s="2"/>
      <c r="C224" s="2"/>
      <c r="D224" s="2"/>
      <c r="E224" s="2"/>
      <c r="F224" s="2"/>
      <c r="G224" s="2"/>
      <c r="H224" s="2"/>
      <c r="I224" s="2"/>
      <c r="J224" s="2"/>
      <c r="K224" s="2"/>
      <c r="L224" s="2"/>
      <c r="M224" s="2"/>
      <c r="N224" s="2"/>
      <c r="O224" s="2"/>
      <c r="P224" s="2"/>
      <c r="Q224" s="2"/>
      <c r="R224" s="2"/>
      <c r="S224" s="2"/>
      <c r="T224" s="2"/>
      <c r="U224" s="2"/>
      <c r="V224" s="2"/>
      <c r="W224" s="2"/>
    </row>
    <row r="225" spans="4:23" ht="15.75" customHeight="1">
      <c r="D225" s="2"/>
      <c r="E225" s="2"/>
      <c r="F225" s="2"/>
      <c r="G225" s="2"/>
      <c r="H225" s="2"/>
      <c r="I225" s="2"/>
      <c r="J225" s="2"/>
      <c r="K225" s="2"/>
      <c r="L225" s="2"/>
      <c r="M225" s="2"/>
      <c r="N225" s="2"/>
      <c r="O225" s="2"/>
      <c r="P225" s="2"/>
      <c r="Q225" s="2"/>
      <c r="R225" s="2"/>
      <c r="S225" s="2"/>
      <c r="T225" s="2"/>
      <c r="U225" s="2"/>
      <c r="V225" s="2"/>
      <c r="W225" s="2"/>
    </row>
    <row r="226" spans="4:23" ht="15.75" customHeight="1"/>
    <row r="227" spans="4:23" ht="15.75" customHeight="1"/>
    <row r="228" spans="4:23" ht="15.75" customHeight="1"/>
    <row r="229" spans="4:23" ht="15.75" customHeight="1"/>
    <row r="230" spans="4:23" ht="15.75" customHeight="1"/>
    <row r="231" spans="4:23" ht="15.75" customHeight="1"/>
    <row r="232" spans="4:23" ht="15.75" customHeight="1"/>
    <row r="233" spans="4:23" ht="15.75" customHeight="1"/>
    <row r="234" spans="4:23" ht="15.75" customHeight="1"/>
    <row r="235" spans="4:23" ht="15.75" customHeight="1"/>
    <row r="236" spans="4:23" ht="15.75" customHeight="1"/>
    <row r="237" spans="4:23" ht="15.75" customHeight="1"/>
    <row r="238" spans="4:23" ht="15.75" customHeight="1"/>
    <row r="239" spans="4:23" ht="15.75" customHeight="1"/>
    <row r="240" spans="4: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outlinePr summaryBelow="0" summaryRight="0"/>
  </sheetPr>
  <dimension ref="A1:Y1048568"/>
  <sheetViews>
    <sheetView workbookViewId="0"/>
  </sheetViews>
  <sheetFormatPr baseColWidth="10" defaultColWidth="14.5" defaultRowHeight="15" customHeight="1"/>
  <cols>
    <col min="1" max="1" width="7.83203125" style="56" bestFit="1" customWidth="1"/>
    <col min="2" max="2" width="15.83203125" style="56" bestFit="1" customWidth="1"/>
    <col min="3" max="3" width="15.1640625" style="56" bestFit="1" customWidth="1"/>
    <col min="4" max="4" width="22.33203125" style="56" bestFit="1" customWidth="1"/>
    <col min="5" max="5" width="22.1640625" style="56" bestFit="1" customWidth="1"/>
    <col min="6" max="6" width="14.5" style="56" customWidth="1"/>
    <col min="7" max="7" width="41.33203125" style="30" bestFit="1" customWidth="1"/>
    <col min="8" max="8" width="22.33203125" style="56" bestFit="1" customWidth="1"/>
    <col min="9" max="9" width="22.1640625" style="56" bestFit="1" customWidth="1"/>
    <col min="10" max="10" width="23.6640625" style="24" customWidth="1"/>
    <col min="11" max="16384" width="14.5" style="56"/>
  </cols>
  <sheetData>
    <row r="1" spans="1:25" ht="21.75" customHeight="1">
      <c r="A1" s="12" t="s">
        <v>21</v>
      </c>
      <c r="B1" s="19" t="s">
        <v>2889</v>
      </c>
      <c r="C1" s="19" t="s">
        <v>2890</v>
      </c>
      <c r="D1" s="19" t="s">
        <v>2891</v>
      </c>
      <c r="E1" s="19" t="s">
        <v>2892</v>
      </c>
      <c r="F1" s="11"/>
      <c r="G1" s="27" t="s">
        <v>2893</v>
      </c>
      <c r="H1" s="19" t="s">
        <v>2891</v>
      </c>
      <c r="I1" s="19" t="s">
        <v>2892</v>
      </c>
      <c r="J1" s="11"/>
      <c r="K1" s="55"/>
      <c r="L1" s="55"/>
      <c r="M1" s="55"/>
      <c r="N1" s="55"/>
      <c r="O1" s="55"/>
      <c r="P1" s="55"/>
      <c r="Q1" s="55"/>
      <c r="R1" s="55"/>
      <c r="S1" s="55"/>
      <c r="T1" s="55"/>
      <c r="U1" s="55"/>
      <c r="V1" s="55"/>
      <c r="W1" s="55"/>
      <c r="X1" s="55"/>
      <c r="Y1" s="55"/>
    </row>
    <row r="2" spans="1:25">
      <c r="A2" s="331">
        <v>1</v>
      </c>
      <c r="B2" s="331" t="s">
        <v>93</v>
      </c>
      <c r="C2" s="331" t="s">
        <v>94</v>
      </c>
      <c r="D2" s="35">
        <v>8</v>
      </c>
      <c r="E2" s="21">
        <f t="shared" ref="E2:E33" si="0">D2/130</f>
        <v>6.1538461538461542E-2</v>
      </c>
      <c r="F2" s="11"/>
      <c r="G2" s="29" t="s">
        <v>3328</v>
      </c>
      <c r="H2" s="13">
        <v>0</v>
      </c>
      <c r="I2" s="21">
        <f t="shared" ref="I2:I33" si="1">H2/172</f>
        <v>0</v>
      </c>
      <c r="K2" s="55"/>
      <c r="L2" s="55"/>
      <c r="M2" s="55"/>
      <c r="N2" s="55"/>
      <c r="O2" s="55"/>
      <c r="P2" s="55"/>
      <c r="Q2" s="55"/>
      <c r="R2" s="55"/>
      <c r="S2" s="55"/>
      <c r="T2" s="55"/>
      <c r="U2" s="55"/>
      <c r="V2" s="55"/>
      <c r="W2" s="55"/>
      <c r="X2" s="55"/>
      <c r="Y2" s="55"/>
    </row>
    <row r="3" spans="1:25">
      <c r="A3" s="331">
        <v>2</v>
      </c>
      <c r="B3" s="331" t="s">
        <v>101</v>
      </c>
      <c r="C3" s="331" t="s">
        <v>102</v>
      </c>
      <c r="D3" s="35">
        <v>9</v>
      </c>
      <c r="E3" s="21">
        <f t="shared" si="0"/>
        <v>6.9230769230769235E-2</v>
      </c>
      <c r="F3" s="11"/>
      <c r="G3" s="29" t="s">
        <v>2889</v>
      </c>
      <c r="H3" s="13">
        <v>0</v>
      </c>
      <c r="I3" s="21">
        <f t="shared" si="1"/>
        <v>0</v>
      </c>
      <c r="K3" s="55"/>
      <c r="L3" s="55"/>
      <c r="M3" s="55"/>
      <c r="N3" s="55"/>
      <c r="O3" s="55"/>
      <c r="P3" s="55"/>
      <c r="Q3" s="55"/>
      <c r="R3" s="55"/>
      <c r="S3" s="55"/>
      <c r="T3" s="55"/>
      <c r="U3" s="55"/>
      <c r="V3" s="55"/>
      <c r="W3" s="55"/>
      <c r="X3" s="55"/>
      <c r="Y3" s="55"/>
    </row>
    <row r="4" spans="1:25">
      <c r="A4" s="331">
        <v>3</v>
      </c>
      <c r="B4" s="331" t="s">
        <v>108</v>
      </c>
      <c r="C4" s="331" t="s">
        <v>109</v>
      </c>
      <c r="D4" s="35">
        <v>14</v>
      </c>
      <c r="E4" s="21">
        <f t="shared" si="0"/>
        <v>0.1076923076923077</v>
      </c>
      <c r="F4" s="11"/>
      <c r="G4" s="29" t="s">
        <v>2890</v>
      </c>
      <c r="H4" s="13">
        <v>0</v>
      </c>
      <c r="I4" s="21">
        <f t="shared" si="1"/>
        <v>0</v>
      </c>
      <c r="K4" s="55"/>
      <c r="L4" s="55"/>
      <c r="M4" s="55"/>
      <c r="N4" s="55"/>
      <c r="O4" s="55"/>
      <c r="P4" s="55"/>
      <c r="Q4" s="55"/>
      <c r="R4" s="55"/>
      <c r="S4" s="55"/>
      <c r="T4" s="55"/>
      <c r="U4" s="55"/>
      <c r="V4" s="55"/>
      <c r="W4" s="55"/>
      <c r="X4" s="55"/>
      <c r="Y4" s="55"/>
    </row>
    <row r="5" spans="1:25">
      <c r="A5" s="331">
        <v>4</v>
      </c>
      <c r="B5" s="331" t="s">
        <v>113</v>
      </c>
      <c r="C5" s="331" t="s">
        <v>114</v>
      </c>
      <c r="D5" s="35">
        <v>24</v>
      </c>
      <c r="E5" s="21">
        <f t="shared" si="0"/>
        <v>0.18461538461538463</v>
      </c>
      <c r="F5" s="11"/>
      <c r="G5" s="29" t="s">
        <v>35</v>
      </c>
      <c r="H5" s="13">
        <v>0</v>
      </c>
      <c r="I5" s="21">
        <f t="shared" si="1"/>
        <v>0</v>
      </c>
      <c r="K5" s="55"/>
      <c r="L5" s="55"/>
      <c r="M5" s="55"/>
      <c r="N5" s="55"/>
      <c r="O5" s="55"/>
      <c r="P5" s="55"/>
      <c r="Q5" s="55"/>
      <c r="R5" s="55"/>
      <c r="S5" s="55"/>
      <c r="T5" s="55"/>
      <c r="U5" s="55"/>
      <c r="V5" s="55"/>
      <c r="W5" s="55"/>
      <c r="X5" s="55"/>
      <c r="Y5" s="55"/>
    </row>
    <row r="6" spans="1:25">
      <c r="A6" s="331">
        <v>5</v>
      </c>
      <c r="B6" s="331" t="s">
        <v>117</v>
      </c>
      <c r="C6" s="331" t="s">
        <v>118</v>
      </c>
      <c r="D6" s="35">
        <v>12</v>
      </c>
      <c r="E6" s="21">
        <f t="shared" si="0"/>
        <v>9.2307692307692313E-2</v>
      </c>
      <c r="F6" s="11"/>
      <c r="G6" s="29" t="s">
        <v>36</v>
      </c>
      <c r="H6" s="13">
        <v>0</v>
      </c>
      <c r="I6" s="21">
        <f t="shared" si="1"/>
        <v>0</v>
      </c>
      <c r="K6" s="55"/>
      <c r="L6" s="55"/>
      <c r="M6" s="55"/>
      <c r="N6" s="55"/>
      <c r="O6" s="55"/>
      <c r="P6" s="55"/>
      <c r="Q6" s="55"/>
      <c r="R6" s="55"/>
      <c r="S6" s="55"/>
      <c r="T6" s="55"/>
      <c r="U6" s="55"/>
      <c r="V6" s="55"/>
      <c r="W6" s="55"/>
      <c r="X6" s="55"/>
      <c r="Y6" s="55"/>
    </row>
    <row r="7" spans="1:25">
      <c r="A7" s="331">
        <v>6</v>
      </c>
      <c r="B7" s="331" t="s">
        <v>121</v>
      </c>
      <c r="C7" s="331" t="s">
        <v>122</v>
      </c>
      <c r="D7" s="35">
        <v>15</v>
      </c>
      <c r="E7" s="21">
        <f t="shared" si="0"/>
        <v>0.11538461538461539</v>
      </c>
      <c r="F7" s="11"/>
      <c r="G7" s="29" t="s">
        <v>37</v>
      </c>
      <c r="H7" s="13">
        <v>0</v>
      </c>
      <c r="I7" s="21">
        <f t="shared" si="1"/>
        <v>0</v>
      </c>
      <c r="K7" s="55"/>
      <c r="L7" s="55"/>
      <c r="M7" s="55"/>
      <c r="N7" s="55"/>
      <c r="O7" s="55"/>
      <c r="P7" s="55"/>
      <c r="Q7" s="55"/>
      <c r="R7" s="55"/>
      <c r="S7" s="55"/>
      <c r="T7" s="55"/>
      <c r="U7" s="55"/>
      <c r="V7" s="55"/>
      <c r="W7" s="55"/>
      <c r="X7" s="55"/>
      <c r="Y7" s="55"/>
    </row>
    <row r="8" spans="1:25">
      <c r="A8" s="331">
        <v>7</v>
      </c>
      <c r="B8" s="331" t="s">
        <v>127</v>
      </c>
      <c r="C8" s="331" t="s">
        <v>128</v>
      </c>
      <c r="D8" s="35">
        <v>14</v>
      </c>
      <c r="E8" s="21">
        <f t="shared" si="0"/>
        <v>0.1076923076923077</v>
      </c>
      <c r="F8" s="11"/>
      <c r="G8" s="29" t="s">
        <v>38</v>
      </c>
      <c r="H8" s="13">
        <v>0</v>
      </c>
      <c r="I8" s="21">
        <f t="shared" si="1"/>
        <v>0</v>
      </c>
      <c r="K8" s="55"/>
      <c r="L8" s="55"/>
      <c r="M8" s="55"/>
      <c r="N8" s="55"/>
      <c r="O8" s="55"/>
      <c r="P8" s="55"/>
      <c r="Q8" s="55"/>
      <c r="R8" s="55"/>
      <c r="S8" s="55"/>
      <c r="T8" s="55"/>
      <c r="U8" s="55"/>
      <c r="V8" s="55"/>
      <c r="W8" s="55"/>
      <c r="X8" s="55"/>
      <c r="Y8" s="55"/>
    </row>
    <row r="9" spans="1:25">
      <c r="A9" s="331">
        <v>8</v>
      </c>
      <c r="B9" s="331" t="s">
        <v>131</v>
      </c>
      <c r="C9" s="331" t="s">
        <v>132</v>
      </c>
      <c r="D9" s="35">
        <v>15</v>
      </c>
      <c r="E9" s="21">
        <f t="shared" si="0"/>
        <v>0.11538461538461539</v>
      </c>
      <c r="F9" s="11"/>
      <c r="G9" s="29" t="s">
        <v>39</v>
      </c>
      <c r="H9" s="13">
        <v>0</v>
      </c>
      <c r="I9" s="21">
        <f t="shared" si="1"/>
        <v>0</v>
      </c>
      <c r="K9" s="55"/>
      <c r="L9" s="55"/>
      <c r="M9" s="55"/>
      <c r="N9" s="55"/>
      <c r="O9" s="55"/>
      <c r="P9" s="55"/>
      <c r="Q9" s="55"/>
      <c r="R9" s="55"/>
      <c r="S9" s="55"/>
      <c r="T9" s="55"/>
      <c r="U9" s="55"/>
      <c r="V9" s="55"/>
      <c r="W9" s="55"/>
      <c r="X9" s="55"/>
      <c r="Y9" s="55"/>
    </row>
    <row r="10" spans="1:25">
      <c r="A10" s="331">
        <v>9</v>
      </c>
      <c r="B10" s="331" t="s">
        <v>135</v>
      </c>
      <c r="C10" s="331" t="s">
        <v>136</v>
      </c>
      <c r="D10" s="35">
        <v>2</v>
      </c>
      <c r="E10" s="21">
        <f t="shared" si="0"/>
        <v>1.5384615384615385E-2</v>
      </c>
      <c r="F10" s="11"/>
      <c r="G10" s="29" t="s">
        <v>3327</v>
      </c>
      <c r="H10" s="13">
        <v>0</v>
      </c>
      <c r="I10" s="21">
        <f t="shared" si="1"/>
        <v>0</v>
      </c>
      <c r="K10" s="55"/>
      <c r="L10" s="55"/>
      <c r="M10" s="55"/>
      <c r="N10" s="55"/>
      <c r="O10" s="55"/>
      <c r="P10" s="55"/>
      <c r="Q10" s="55"/>
      <c r="R10" s="55"/>
      <c r="S10" s="55"/>
      <c r="T10" s="55"/>
      <c r="U10" s="55"/>
      <c r="V10" s="55"/>
      <c r="W10" s="55"/>
      <c r="X10" s="55"/>
      <c r="Y10" s="55"/>
    </row>
    <row r="11" spans="1:25">
      <c r="A11" s="331">
        <v>10</v>
      </c>
      <c r="B11" s="331" t="s">
        <v>140</v>
      </c>
      <c r="C11" s="331" t="s">
        <v>102</v>
      </c>
      <c r="D11" s="35">
        <v>24</v>
      </c>
      <c r="E11" s="21">
        <f t="shared" si="0"/>
        <v>0.18461538461538463</v>
      </c>
      <c r="F11" s="11"/>
      <c r="G11" s="29" t="s">
        <v>41</v>
      </c>
      <c r="H11" s="13">
        <v>0</v>
      </c>
      <c r="I11" s="21">
        <f t="shared" si="1"/>
        <v>0</v>
      </c>
      <c r="K11" s="55"/>
      <c r="L11" s="55"/>
      <c r="M11" s="55"/>
      <c r="N11" s="55"/>
      <c r="O11" s="55"/>
      <c r="P11" s="55"/>
      <c r="Q11" s="55"/>
      <c r="R11" s="55"/>
      <c r="S11" s="55"/>
      <c r="T11" s="55"/>
      <c r="U11" s="55"/>
      <c r="V11" s="55"/>
      <c r="W11" s="55"/>
      <c r="X11" s="55"/>
      <c r="Y11" s="55"/>
    </row>
    <row r="12" spans="1:25">
      <c r="A12" s="331">
        <v>11</v>
      </c>
      <c r="B12" s="331" t="s">
        <v>143</v>
      </c>
      <c r="C12" s="331" t="s">
        <v>144</v>
      </c>
      <c r="D12" s="35">
        <v>11</v>
      </c>
      <c r="E12" s="21">
        <f t="shared" si="0"/>
        <v>8.461538461538462E-2</v>
      </c>
      <c r="F12" s="11"/>
      <c r="G12" s="29" t="s">
        <v>42</v>
      </c>
      <c r="H12" s="13">
        <v>0</v>
      </c>
      <c r="I12" s="21">
        <f t="shared" si="1"/>
        <v>0</v>
      </c>
      <c r="K12" s="55"/>
      <c r="L12" s="55"/>
      <c r="M12" s="55"/>
      <c r="N12" s="55"/>
      <c r="O12" s="55"/>
      <c r="P12" s="55"/>
      <c r="Q12" s="55"/>
      <c r="R12" s="55"/>
      <c r="S12" s="55"/>
      <c r="T12" s="55"/>
      <c r="U12" s="55"/>
      <c r="V12" s="55"/>
      <c r="W12" s="55"/>
      <c r="X12" s="55"/>
      <c r="Y12" s="55"/>
    </row>
    <row r="13" spans="1:25">
      <c r="A13" s="331">
        <v>12</v>
      </c>
      <c r="B13" s="331" t="s">
        <v>147</v>
      </c>
      <c r="C13" s="331" t="s">
        <v>148</v>
      </c>
      <c r="D13" s="35">
        <v>12</v>
      </c>
      <c r="E13" s="21">
        <f t="shared" si="0"/>
        <v>9.2307692307692313E-2</v>
      </c>
      <c r="F13" s="11"/>
      <c r="G13" s="29" t="s">
        <v>43</v>
      </c>
      <c r="H13" s="13">
        <v>0</v>
      </c>
      <c r="I13" s="21">
        <f t="shared" si="1"/>
        <v>0</v>
      </c>
      <c r="K13" s="55"/>
      <c r="L13" s="55"/>
      <c r="M13" s="55"/>
      <c r="N13" s="55"/>
      <c r="O13" s="55"/>
      <c r="P13" s="55"/>
      <c r="Q13" s="55"/>
      <c r="R13" s="55"/>
      <c r="S13" s="55"/>
      <c r="T13" s="55"/>
      <c r="U13" s="55"/>
      <c r="V13" s="55"/>
      <c r="W13" s="55"/>
      <c r="X13" s="55"/>
      <c r="Y13" s="55"/>
    </row>
    <row r="14" spans="1:25">
      <c r="A14" s="331">
        <v>13</v>
      </c>
      <c r="B14" s="331" t="s">
        <v>151</v>
      </c>
      <c r="C14" s="331" t="s">
        <v>152</v>
      </c>
      <c r="D14" s="35">
        <v>15</v>
      </c>
      <c r="E14" s="21">
        <f t="shared" si="0"/>
        <v>0.11538461538461539</v>
      </c>
      <c r="F14" s="11"/>
      <c r="G14" s="29" t="s">
        <v>44</v>
      </c>
      <c r="H14" s="13">
        <v>0</v>
      </c>
      <c r="I14" s="21">
        <f t="shared" si="1"/>
        <v>0</v>
      </c>
      <c r="K14" s="55"/>
      <c r="L14" s="55"/>
      <c r="M14" s="55"/>
      <c r="N14" s="55"/>
      <c r="O14" s="55"/>
      <c r="P14" s="55"/>
      <c r="Q14" s="55"/>
      <c r="R14" s="55"/>
      <c r="S14" s="55"/>
      <c r="T14" s="55"/>
      <c r="U14" s="55"/>
      <c r="V14" s="55"/>
      <c r="W14" s="55"/>
      <c r="X14" s="55"/>
      <c r="Y14" s="55"/>
    </row>
    <row r="15" spans="1:25">
      <c r="A15" s="331">
        <v>14</v>
      </c>
      <c r="B15" s="331" t="s">
        <v>155</v>
      </c>
      <c r="C15" s="331" t="s">
        <v>156</v>
      </c>
      <c r="D15" s="35">
        <v>14</v>
      </c>
      <c r="E15" s="21">
        <f t="shared" si="0"/>
        <v>0.1076923076923077</v>
      </c>
      <c r="F15" s="11"/>
      <c r="G15" s="29" t="s">
        <v>24</v>
      </c>
      <c r="H15" s="13">
        <v>0</v>
      </c>
      <c r="I15" s="21">
        <f t="shared" si="1"/>
        <v>0</v>
      </c>
      <c r="K15" s="55"/>
      <c r="L15" s="55"/>
      <c r="M15" s="55"/>
      <c r="N15" s="55"/>
      <c r="O15" s="55"/>
      <c r="P15" s="55"/>
      <c r="Q15" s="55"/>
      <c r="R15" s="55"/>
      <c r="S15" s="55"/>
      <c r="T15" s="55"/>
      <c r="U15" s="55"/>
      <c r="V15" s="55"/>
      <c r="W15" s="55"/>
      <c r="X15" s="55"/>
      <c r="Y15" s="55"/>
    </row>
    <row r="16" spans="1:25">
      <c r="A16" s="331">
        <v>15</v>
      </c>
      <c r="B16" s="331" t="s">
        <v>159</v>
      </c>
      <c r="C16" s="331" t="s">
        <v>160</v>
      </c>
      <c r="D16" s="35">
        <v>19</v>
      </c>
      <c r="E16" s="21">
        <f t="shared" si="0"/>
        <v>0.14615384615384616</v>
      </c>
      <c r="F16" s="11"/>
      <c r="G16" s="29" t="s">
        <v>45</v>
      </c>
      <c r="H16" s="13">
        <v>0</v>
      </c>
      <c r="I16" s="21">
        <f t="shared" si="1"/>
        <v>0</v>
      </c>
      <c r="K16" s="55"/>
      <c r="L16" s="55"/>
      <c r="M16" s="55"/>
      <c r="N16" s="55"/>
      <c r="O16" s="55"/>
      <c r="P16" s="55"/>
      <c r="Q16" s="55"/>
      <c r="R16" s="55"/>
      <c r="S16" s="55"/>
      <c r="T16" s="55"/>
      <c r="U16" s="55"/>
      <c r="V16" s="55"/>
      <c r="W16" s="55"/>
      <c r="X16" s="55"/>
      <c r="Y16" s="55"/>
    </row>
    <row r="17" spans="1:25">
      <c r="A17" s="331">
        <v>16</v>
      </c>
      <c r="B17" s="331" t="s">
        <v>163</v>
      </c>
      <c r="C17" s="331" t="s">
        <v>164</v>
      </c>
      <c r="D17" s="35">
        <v>32</v>
      </c>
      <c r="E17" s="21">
        <f t="shared" si="0"/>
        <v>0.24615384615384617</v>
      </c>
      <c r="F17" s="11"/>
      <c r="G17" s="29" t="s">
        <v>3326</v>
      </c>
      <c r="H17" s="13">
        <v>0</v>
      </c>
      <c r="I17" s="21">
        <f t="shared" si="1"/>
        <v>0</v>
      </c>
      <c r="K17" s="55"/>
      <c r="L17" s="55"/>
      <c r="M17" s="55"/>
      <c r="N17" s="55"/>
      <c r="O17" s="55"/>
      <c r="P17" s="55"/>
      <c r="Q17" s="55"/>
      <c r="R17" s="55"/>
      <c r="S17" s="55"/>
      <c r="T17" s="55"/>
      <c r="U17" s="55"/>
      <c r="V17" s="55"/>
      <c r="W17" s="55"/>
      <c r="X17" s="55"/>
      <c r="Y17" s="55"/>
    </row>
    <row r="18" spans="1:25">
      <c r="A18" s="331">
        <v>17</v>
      </c>
      <c r="B18" s="331" t="s">
        <v>167</v>
      </c>
      <c r="C18" s="331" t="s">
        <v>168</v>
      </c>
      <c r="D18" s="35">
        <v>17</v>
      </c>
      <c r="E18" s="21">
        <f t="shared" si="0"/>
        <v>0.13076923076923078</v>
      </c>
      <c r="F18" s="11"/>
      <c r="G18" s="29" t="s">
        <v>47</v>
      </c>
      <c r="H18" s="13">
        <v>1</v>
      </c>
      <c r="I18" s="21">
        <f t="shared" si="1"/>
        <v>5.8139534883720929E-3</v>
      </c>
      <c r="K18" s="55"/>
      <c r="L18" s="55"/>
      <c r="M18" s="55"/>
      <c r="N18" s="55"/>
      <c r="O18" s="55"/>
      <c r="P18" s="55"/>
      <c r="Q18" s="55"/>
      <c r="R18" s="55"/>
      <c r="S18" s="55"/>
      <c r="T18" s="55"/>
      <c r="U18" s="55"/>
      <c r="V18" s="55"/>
      <c r="W18" s="55"/>
      <c r="X18" s="55"/>
      <c r="Y18" s="55"/>
    </row>
    <row r="19" spans="1:25">
      <c r="A19" s="331">
        <v>18</v>
      </c>
      <c r="B19" s="331" t="s">
        <v>172</v>
      </c>
      <c r="C19" s="331" t="s">
        <v>173</v>
      </c>
      <c r="D19" s="35">
        <v>15</v>
      </c>
      <c r="E19" s="21">
        <f t="shared" si="0"/>
        <v>0.11538461538461539</v>
      </c>
      <c r="F19" s="11"/>
      <c r="G19" s="29" t="s">
        <v>2950</v>
      </c>
      <c r="H19" s="13">
        <v>1</v>
      </c>
      <c r="I19" s="21">
        <f t="shared" si="1"/>
        <v>5.8139534883720929E-3</v>
      </c>
      <c r="K19" s="55"/>
      <c r="L19" s="55"/>
      <c r="M19" s="55"/>
      <c r="N19" s="55"/>
      <c r="O19" s="55"/>
      <c r="P19" s="55"/>
      <c r="Q19" s="55"/>
      <c r="R19" s="55"/>
      <c r="S19" s="55"/>
      <c r="T19" s="55"/>
      <c r="U19" s="55"/>
      <c r="V19" s="55"/>
      <c r="W19" s="55"/>
      <c r="X19" s="55"/>
      <c r="Y19" s="55"/>
    </row>
    <row r="20" spans="1:25">
      <c r="A20" s="331">
        <v>19</v>
      </c>
      <c r="B20" s="331" t="s">
        <v>176</v>
      </c>
      <c r="C20" s="331" t="s">
        <v>177</v>
      </c>
      <c r="D20" s="35">
        <v>26</v>
      </c>
      <c r="E20" s="21">
        <f t="shared" si="0"/>
        <v>0.2</v>
      </c>
      <c r="F20" s="11"/>
      <c r="G20" s="29" t="s">
        <v>48</v>
      </c>
      <c r="H20" s="13">
        <v>0</v>
      </c>
      <c r="I20" s="21">
        <f t="shared" si="1"/>
        <v>0</v>
      </c>
      <c r="K20" s="55"/>
      <c r="L20" s="55"/>
      <c r="M20" s="55"/>
      <c r="N20" s="55"/>
      <c r="O20" s="55"/>
      <c r="P20" s="55"/>
      <c r="Q20" s="55"/>
      <c r="R20" s="55"/>
      <c r="S20" s="55"/>
      <c r="T20" s="55"/>
      <c r="U20" s="55"/>
      <c r="V20" s="55"/>
      <c r="W20" s="55"/>
      <c r="X20" s="55"/>
      <c r="Y20" s="55"/>
    </row>
    <row r="21" spans="1:25" ht="15.75" customHeight="1">
      <c r="A21" s="331">
        <v>20</v>
      </c>
      <c r="B21" s="331" t="s">
        <v>181</v>
      </c>
      <c r="C21" s="331" t="s">
        <v>182</v>
      </c>
      <c r="D21" s="35">
        <v>23</v>
      </c>
      <c r="E21" s="21">
        <f t="shared" si="0"/>
        <v>0.17692307692307693</v>
      </c>
      <c r="F21" s="11"/>
      <c r="G21" s="29" t="s">
        <v>49</v>
      </c>
      <c r="H21" s="13">
        <v>0</v>
      </c>
      <c r="I21" s="21">
        <f t="shared" si="1"/>
        <v>0</v>
      </c>
      <c r="K21" s="55"/>
      <c r="L21" s="55"/>
      <c r="M21" s="55"/>
      <c r="N21" s="55"/>
      <c r="O21" s="55"/>
      <c r="P21" s="55"/>
      <c r="Q21" s="55"/>
      <c r="R21" s="55"/>
      <c r="S21" s="55"/>
      <c r="T21" s="55"/>
      <c r="U21" s="55"/>
      <c r="V21" s="55"/>
      <c r="W21" s="55"/>
      <c r="X21" s="55"/>
      <c r="Y21" s="55"/>
    </row>
    <row r="22" spans="1:25" ht="15.75" customHeight="1">
      <c r="A22" s="331">
        <v>21</v>
      </c>
      <c r="B22" s="331" t="s">
        <v>186</v>
      </c>
      <c r="C22" s="331" t="s">
        <v>94</v>
      </c>
      <c r="D22" s="35">
        <v>17</v>
      </c>
      <c r="E22" s="21">
        <f t="shared" si="0"/>
        <v>0.13076923076923078</v>
      </c>
      <c r="F22" s="11"/>
      <c r="G22" s="29" t="s">
        <v>3329</v>
      </c>
      <c r="H22" s="13">
        <v>1</v>
      </c>
      <c r="I22" s="21">
        <f t="shared" si="1"/>
        <v>5.8139534883720929E-3</v>
      </c>
      <c r="K22" s="55"/>
      <c r="L22" s="55"/>
      <c r="M22" s="55"/>
      <c r="N22" s="55"/>
      <c r="O22" s="55"/>
      <c r="P22" s="55"/>
      <c r="Q22" s="55"/>
      <c r="R22" s="55"/>
      <c r="S22" s="55"/>
      <c r="T22" s="55"/>
      <c r="U22" s="55"/>
      <c r="V22" s="55"/>
      <c r="W22" s="55"/>
      <c r="X22" s="55"/>
      <c r="Y22" s="55"/>
    </row>
    <row r="23" spans="1:25" ht="15.75" customHeight="1">
      <c r="A23" s="331">
        <v>22</v>
      </c>
      <c r="B23" s="331" t="s">
        <v>189</v>
      </c>
      <c r="C23" s="331" t="s">
        <v>190</v>
      </c>
      <c r="D23" s="35">
        <v>21</v>
      </c>
      <c r="E23" s="21">
        <f t="shared" si="0"/>
        <v>0.16153846153846155</v>
      </c>
      <c r="F23" s="11"/>
      <c r="G23" s="29" t="s">
        <v>51</v>
      </c>
      <c r="H23" s="13">
        <v>0</v>
      </c>
      <c r="I23" s="21">
        <f t="shared" si="1"/>
        <v>0</v>
      </c>
      <c r="K23" s="55"/>
      <c r="L23" s="55"/>
      <c r="M23" s="55"/>
      <c r="N23" s="55"/>
      <c r="O23" s="55"/>
      <c r="P23" s="55"/>
      <c r="Q23" s="55"/>
      <c r="R23" s="55"/>
      <c r="S23" s="55"/>
      <c r="T23" s="55"/>
      <c r="U23" s="55"/>
      <c r="V23" s="55"/>
      <c r="W23" s="55"/>
      <c r="X23" s="55"/>
      <c r="Y23" s="55"/>
    </row>
    <row r="24" spans="1:25" ht="15.75" customHeight="1">
      <c r="A24" s="331">
        <v>23</v>
      </c>
      <c r="B24" s="331" t="s">
        <v>193</v>
      </c>
      <c r="C24" s="331" t="s">
        <v>194</v>
      </c>
      <c r="D24" s="35">
        <v>15</v>
      </c>
      <c r="E24" s="21">
        <f t="shared" si="0"/>
        <v>0.11538461538461539</v>
      </c>
      <c r="F24" s="11"/>
      <c r="G24" s="29" t="s">
        <v>52</v>
      </c>
      <c r="H24" s="13">
        <v>0</v>
      </c>
      <c r="I24" s="21">
        <f t="shared" si="1"/>
        <v>0</v>
      </c>
      <c r="K24" s="55"/>
      <c r="L24" s="55"/>
      <c r="M24" s="55"/>
      <c r="N24" s="55"/>
      <c r="O24" s="55"/>
      <c r="P24" s="55"/>
      <c r="Q24" s="55"/>
      <c r="R24" s="55"/>
      <c r="S24" s="55"/>
      <c r="T24" s="55"/>
      <c r="U24" s="55"/>
      <c r="V24" s="55"/>
      <c r="W24" s="55"/>
      <c r="X24" s="55"/>
      <c r="Y24" s="55"/>
    </row>
    <row r="25" spans="1:25" ht="15.75" customHeight="1">
      <c r="A25" s="331">
        <v>24</v>
      </c>
      <c r="B25" s="331" t="s">
        <v>197</v>
      </c>
      <c r="C25" s="331" t="s">
        <v>198</v>
      </c>
      <c r="D25" s="35">
        <v>31</v>
      </c>
      <c r="E25" s="21">
        <f t="shared" si="0"/>
        <v>0.23846153846153847</v>
      </c>
      <c r="F25" s="11"/>
      <c r="G25" s="29" t="s">
        <v>53</v>
      </c>
      <c r="H25" s="13">
        <v>9</v>
      </c>
      <c r="I25" s="21">
        <f t="shared" si="1"/>
        <v>5.232558139534884E-2</v>
      </c>
      <c r="K25" s="55"/>
      <c r="L25" s="55"/>
      <c r="M25" s="55"/>
      <c r="N25" s="55"/>
      <c r="O25" s="55"/>
      <c r="P25" s="55"/>
      <c r="Q25" s="55"/>
      <c r="R25" s="55"/>
      <c r="S25" s="55"/>
      <c r="T25" s="55"/>
      <c r="U25" s="55"/>
      <c r="V25" s="55"/>
      <c r="W25" s="55"/>
      <c r="X25" s="55"/>
      <c r="Y25" s="55"/>
    </row>
    <row r="26" spans="1:25" ht="15.75" customHeight="1">
      <c r="A26" s="331">
        <v>25</v>
      </c>
      <c r="B26" s="331" t="s">
        <v>201</v>
      </c>
      <c r="C26" s="331" t="s">
        <v>202</v>
      </c>
      <c r="D26" s="35">
        <v>15</v>
      </c>
      <c r="E26" s="21">
        <f t="shared" si="0"/>
        <v>0.11538461538461539</v>
      </c>
      <c r="F26" s="11"/>
      <c r="G26" s="29" t="s">
        <v>54</v>
      </c>
      <c r="H26" s="13">
        <v>1</v>
      </c>
      <c r="I26" s="21">
        <f t="shared" si="1"/>
        <v>5.8139534883720929E-3</v>
      </c>
      <c r="K26" s="55"/>
      <c r="L26" s="55"/>
      <c r="M26" s="55"/>
      <c r="N26" s="55"/>
      <c r="O26" s="55"/>
      <c r="P26" s="55"/>
      <c r="Q26" s="55"/>
      <c r="R26" s="55"/>
      <c r="S26" s="55"/>
      <c r="T26" s="55"/>
      <c r="U26" s="55"/>
      <c r="V26" s="55"/>
      <c r="W26" s="55"/>
      <c r="X26" s="55"/>
      <c r="Y26" s="55"/>
    </row>
    <row r="27" spans="1:25" ht="15.75" customHeight="1">
      <c r="A27" s="331">
        <v>26</v>
      </c>
      <c r="B27" s="331" t="s">
        <v>207</v>
      </c>
      <c r="C27" s="331" t="s">
        <v>208</v>
      </c>
      <c r="D27" s="35">
        <v>15</v>
      </c>
      <c r="E27" s="21">
        <f t="shared" si="0"/>
        <v>0.11538461538461539</v>
      </c>
      <c r="F27" s="11"/>
      <c r="G27" s="29" t="s">
        <v>55</v>
      </c>
      <c r="H27" s="13">
        <v>3</v>
      </c>
      <c r="I27" s="21">
        <f t="shared" si="1"/>
        <v>1.7441860465116279E-2</v>
      </c>
      <c r="K27" s="55"/>
      <c r="L27" s="55"/>
      <c r="M27" s="55"/>
      <c r="N27" s="55"/>
      <c r="O27" s="55"/>
      <c r="P27" s="55"/>
      <c r="Q27" s="55"/>
      <c r="R27" s="55"/>
      <c r="S27" s="55"/>
      <c r="T27" s="55"/>
      <c r="U27" s="55"/>
      <c r="V27" s="55"/>
      <c r="W27" s="55"/>
      <c r="X27" s="55"/>
      <c r="Y27" s="55"/>
    </row>
    <row r="28" spans="1:25" ht="15.75" customHeight="1">
      <c r="A28" s="331">
        <v>27</v>
      </c>
      <c r="B28" s="331" t="s">
        <v>211</v>
      </c>
      <c r="C28" s="331" t="s">
        <v>212</v>
      </c>
      <c r="D28" s="35">
        <v>18</v>
      </c>
      <c r="E28" s="21">
        <f t="shared" si="0"/>
        <v>0.13846153846153847</v>
      </c>
      <c r="F28" s="11"/>
      <c r="G28" s="29" t="s">
        <v>56</v>
      </c>
      <c r="H28" s="13">
        <v>85</v>
      </c>
      <c r="I28" s="21">
        <f t="shared" si="1"/>
        <v>0.4941860465116279</v>
      </c>
      <c r="K28" s="55"/>
      <c r="L28" s="55"/>
      <c r="M28" s="55"/>
      <c r="N28" s="55"/>
      <c r="O28" s="55"/>
      <c r="P28" s="55"/>
      <c r="Q28" s="55"/>
      <c r="R28" s="55"/>
      <c r="S28" s="55"/>
      <c r="T28" s="55"/>
      <c r="U28" s="55"/>
      <c r="V28" s="55"/>
      <c r="W28" s="55"/>
      <c r="X28" s="55"/>
      <c r="Y28" s="55"/>
    </row>
    <row r="29" spans="1:25" ht="15.75" customHeight="1">
      <c r="A29" s="331">
        <v>28</v>
      </c>
      <c r="B29" s="331" t="s">
        <v>215</v>
      </c>
      <c r="C29" s="331" t="s">
        <v>216</v>
      </c>
      <c r="D29" s="35">
        <v>11</v>
      </c>
      <c r="E29" s="21">
        <f t="shared" si="0"/>
        <v>8.461538461538462E-2</v>
      </c>
      <c r="F29" s="11"/>
      <c r="G29" s="29" t="s">
        <v>57</v>
      </c>
      <c r="H29" s="13">
        <v>28</v>
      </c>
      <c r="I29" s="21">
        <f t="shared" si="1"/>
        <v>0.16279069767441862</v>
      </c>
      <c r="K29" s="55"/>
      <c r="L29" s="55"/>
      <c r="M29" s="55"/>
      <c r="N29" s="55"/>
      <c r="O29" s="55"/>
      <c r="P29" s="55"/>
      <c r="Q29" s="55"/>
      <c r="R29" s="55"/>
      <c r="S29" s="55"/>
      <c r="T29" s="55"/>
      <c r="U29" s="55"/>
      <c r="V29" s="55"/>
      <c r="W29" s="55"/>
      <c r="X29" s="55"/>
      <c r="Y29" s="55"/>
    </row>
    <row r="30" spans="1:25" ht="15.75" customHeight="1">
      <c r="A30" s="331">
        <v>29</v>
      </c>
      <c r="B30" s="331" t="s">
        <v>220</v>
      </c>
      <c r="C30" s="331" t="s">
        <v>221</v>
      </c>
      <c r="D30" s="35">
        <v>7</v>
      </c>
      <c r="E30" s="21">
        <f t="shared" si="0"/>
        <v>5.3846153846153849E-2</v>
      </c>
      <c r="F30" s="11"/>
      <c r="G30" s="29" t="s">
        <v>748</v>
      </c>
      <c r="H30" s="13">
        <v>88</v>
      </c>
      <c r="I30" s="21">
        <f t="shared" si="1"/>
        <v>0.51162790697674421</v>
      </c>
      <c r="K30" s="55"/>
      <c r="L30" s="55"/>
      <c r="M30" s="55"/>
      <c r="N30" s="55"/>
      <c r="O30" s="55"/>
      <c r="P30" s="55"/>
      <c r="Q30" s="55"/>
      <c r="R30" s="55"/>
      <c r="S30" s="55"/>
      <c r="T30" s="55"/>
      <c r="U30" s="55"/>
      <c r="V30" s="55"/>
      <c r="W30" s="55"/>
      <c r="X30" s="55"/>
      <c r="Y30" s="55"/>
    </row>
    <row r="31" spans="1:25" ht="15.75" customHeight="1">
      <c r="A31" s="331">
        <v>30</v>
      </c>
      <c r="B31" s="331" t="s">
        <v>224</v>
      </c>
      <c r="C31" s="331" t="s">
        <v>225</v>
      </c>
      <c r="D31" s="35">
        <v>21</v>
      </c>
      <c r="E31" s="21">
        <f t="shared" si="0"/>
        <v>0.16153846153846155</v>
      </c>
      <c r="F31" s="11"/>
      <c r="G31" s="29" t="s">
        <v>3325</v>
      </c>
      <c r="H31" s="13">
        <v>88</v>
      </c>
      <c r="I31" s="21">
        <f t="shared" si="1"/>
        <v>0.51162790697674421</v>
      </c>
      <c r="K31" s="55"/>
      <c r="L31" s="55"/>
      <c r="M31" s="55"/>
      <c r="N31" s="55"/>
      <c r="O31" s="55"/>
      <c r="P31" s="55"/>
      <c r="Q31" s="55"/>
      <c r="R31" s="55"/>
      <c r="S31" s="55"/>
      <c r="T31" s="55"/>
      <c r="U31" s="55"/>
      <c r="V31" s="55"/>
      <c r="W31" s="55"/>
      <c r="X31" s="55"/>
      <c r="Y31" s="55"/>
    </row>
    <row r="32" spans="1:25" ht="15.75" customHeight="1">
      <c r="A32" s="331">
        <v>31</v>
      </c>
      <c r="B32" s="331" t="s">
        <v>229</v>
      </c>
      <c r="C32" s="331" t="s">
        <v>230</v>
      </c>
      <c r="D32" s="35">
        <v>19</v>
      </c>
      <c r="E32" s="21">
        <f t="shared" si="0"/>
        <v>0.14615384615384616</v>
      </c>
      <c r="F32" s="11"/>
      <c r="G32" s="29" t="s">
        <v>750</v>
      </c>
      <c r="H32" s="13">
        <v>75</v>
      </c>
      <c r="I32" s="21">
        <f t="shared" si="1"/>
        <v>0.43604651162790697</v>
      </c>
      <c r="K32" s="55"/>
      <c r="L32" s="55"/>
      <c r="M32" s="55"/>
      <c r="N32" s="55"/>
      <c r="O32" s="55"/>
      <c r="P32" s="55"/>
      <c r="Q32" s="55"/>
      <c r="R32" s="55"/>
      <c r="S32" s="55"/>
      <c r="T32" s="55"/>
      <c r="U32" s="55"/>
      <c r="V32" s="55"/>
      <c r="W32" s="55"/>
      <c r="X32" s="55"/>
      <c r="Y32" s="55"/>
    </row>
    <row r="33" spans="1:25" ht="15.75" customHeight="1">
      <c r="A33" s="331">
        <v>32</v>
      </c>
      <c r="B33" s="331" t="s">
        <v>233</v>
      </c>
      <c r="C33" s="331" t="s">
        <v>234</v>
      </c>
      <c r="D33" s="35">
        <v>8</v>
      </c>
      <c r="E33" s="21">
        <f t="shared" si="0"/>
        <v>6.1538461538461542E-2</v>
      </c>
      <c r="F33" s="11"/>
      <c r="G33" s="29" t="s">
        <v>751</v>
      </c>
      <c r="H33" s="13">
        <v>43</v>
      </c>
      <c r="I33" s="21">
        <f t="shared" si="1"/>
        <v>0.25</v>
      </c>
      <c r="K33" s="55"/>
      <c r="L33" s="55"/>
      <c r="M33" s="55"/>
      <c r="N33" s="55"/>
      <c r="O33" s="55"/>
      <c r="P33" s="55"/>
      <c r="Q33" s="55"/>
      <c r="R33" s="55"/>
      <c r="S33" s="55"/>
      <c r="T33" s="55"/>
      <c r="U33" s="55"/>
      <c r="V33" s="55"/>
      <c r="W33" s="55"/>
      <c r="X33" s="55"/>
      <c r="Y33" s="55"/>
    </row>
    <row r="34" spans="1:25" ht="15.75" customHeight="1">
      <c r="A34" s="331">
        <v>33</v>
      </c>
      <c r="B34" s="331" t="s">
        <v>237</v>
      </c>
      <c r="C34" s="331" t="s">
        <v>182</v>
      </c>
      <c r="D34" s="35">
        <v>14</v>
      </c>
      <c r="E34" s="21">
        <f t="shared" ref="E34:E65" si="2">D34/130</f>
        <v>0.1076923076923077</v>
      </c>
      <c r="F34" s="11"/>
      <c r="G34" s="29" t="s">
        <v>752</v>
      </c>
      <c r="H34" s="13">
        <v>78</v>
      </c>
      <c r="I34" s="21">
        <f t="shared" ref="I34:I47" si="3">H34/172</f>
        <v>0.45348837209302323</v>
      </c>
      <c r="K34" s="55"/>
      <c r="L34" s="55"/>
      <c r="M34" s="55"/>
      <c r="N34" s="55"/>
      <c r="O34" s="55"/>
      <c r="P34" s="55"/>
      <c r="Q34" s="55"/>
      <c r="R34" s="55"/>
      <c r="S34" s="55"/>
      <c r="T34" s="55"/>
      <c r="U34" s="55"/>
      <c r="V34" s="55"/>
      <c r="W34" s="55"/>
      <c r="X34" s="55"/>
      <c r="Y34" s="55"/>
    </row>
    <row r="35" spans="1:25" ht="15.75" customHeight="1">
      <c r="A35" s="331">
        <v>34</v>
      </c>
      <c r="B35" s="331" t="s">
        <v>240</v>
      </c>
      <c r="C35" s="331" t="s">
        <v>241</v>
      </c>
      <c r="D35" s="35">
        <v>10</v>
      </c>
      <c r="E35" s="21">
        <f t="shared" si="2"/>
        <v>7.6923076923076927E-2</v>
      </c>
      <c r="F35" s="11"/>
      <c r="G35" s="29" t="s">
        <v>753</v>
      </c>
      <c r="H35" s="13">
        <v>79</v>
      </c>
      <c r="I35" s="21">
        <f t="shared" si="3"/>
        <v>0.45930232558139533</v>
      </c>
      <c r="K35" s="55"/>
      <c r="L35" s="55"/>
      <c r="M35" s="55"/>
      <c r="N35" s="55"/>
      <c r="O35" s="55"/>
      <c r="P35" s="55"/>
      <c r="Q35" s="55"/>
      <c r="R35" s="55"/>
      <c r="S35" s="55"/>
      <c r="T35" s="55"/>
      <c r="U35" s="55"/>
      <c r="V35" s="55"/>
      <c r="W35" s="55"/>
      <c r="X35" s="55"/>
      <c r="Y35" s="55"/>
    </row>
    <row r="36" spans="1:25" ht="15.75" customHeight="1">
      <c r="A36" s="331">
        <v>35</v>
      </c>
      <c r="B36" s="331" t="s">
        <v>244</v>
      </c>
      <c r="C36" s="331" t="s">
        <v>212</v>
      </c>
      <c r="D36" s="35">
        <v>16</v>
      </c>
      <c r="E36" s="21">
        <f t="shared" si="2"/>
        <v>0.12307692307692308</v>
      </c>
      <c r="F36" s="11"/>
      <c r="G36" s="29" t="s">
        <v>58</v>
      </c>
      <c r="H36" s="13">
        <v>7</v>
      </c>
      <c r="I36" s="21">
        <f t="shared" si="3"/>
        <v>4.0697674418604654E-2</v>
      </c>
      <c r="K36" s="55"/>
      <c r="L36" s="55"/>
      <c r="M36" s="55"/>
      <c r="N36" s="55"/>
      <c r="O36" s="55"/>
      <c r="P36" s="55"/>
      <c r="Q36" s="55"/>
      <c r="R36" s="55"/>
      <c r="S36" s="55"/>
      <c r="T36" s="55"/>
      <c r="U36" s="55"/>
      <c r="V36" s="55"/>
      <c r="W36" s="55"/>
      <c r="X36" s="55"/>
      <c r="Y36" s="55"/>
    </row>
    <row r="37" spans="1:25" ht="15.75" customHeight="1">
      <c r="A37" s="331">
        <v>36</v>
      </c>
      <c r="B37" s="331" t="s">
        <v>247</v>
      </c>
      <c r="C37" s="331" t="s">
        <v>248</v>
      </c>
      <c r="D37" s="35">
        <v>18</v>
      </c>
      <c r="E37" s="21">
        <f t="shared" si="2"/>
        <v>0.13846153846153847</v>
      </c>
      <c r="F37" s="11"/>
      <c r="G37" s="29" t="s">
        <v>59</v>
      </c>
      <c r="H37" s="13">
        <v>6</v>
      </c>
      <c r="I37" s="21">
        <f t="shared" si="3"/>
        <v>3.4883720930232558E-2</v>
      </c>
      <c r="K37" s="55"/>
      <c r="L37" s="55"/>
      <c r="M37" s="55"/>
      <c r="N37" s="55"/>
      <c r="O37" s="55"/>
      <c r="P37" s="55"/>
      <c r="Q37" s="55"/>
      <c r="R37" s="55"/>
      <c r="S37" s="55"/>
      <c r="T37" s="55"/>
      <c r="U37" s="55"/>
      <c r="V37" s="55"/>
      <c r="W37" s="55"/>
      <c r="X37" s="55"/>
      <c r="Y37" s="55"/>
    </row>
    <row r="38" spans="1:25" ht="15.75" customHeight="1">
      <c r="A38" s="331">
        <v>37</v>
      </c>
      <c r="B38" s="331" t="s">
        <v>252</v>
      </c>
      <c r="C38" s="331" t="s">
        <v>234</v>
      </c>
      <c r="D38" s="35">
        <v>8</v>
      </c>
      <c r="E38" s="21">
        <f t="shared" si="2"/>
        <v>6.1538461538461542E-2</v>
      </c>
      <c r="F38" s="11"/>
      <c r="G38" s="29" t="s">
        <v>60</v>
      </c>
      <c r="H38" s="13">
        <v>9</v>
      </c>
      <c r="I38" s="21">
        <f t="shared" si="3"/>
        <v>5.232558139534884E-2</v>
      </c>
      <c r="K38" s="55"/>
      <c r="L38" s="55"/>
      <c r="M38" s="55"/>
      <c r="N38" s="55"/>
      <c r="O38" s="55"/>
      <c r="P38" s="55"/>
      <c r="Q38" s="55"/>
      <c r="R38" s="55"/>
      <c r="S38" s="55"/>
      <c r="T38" s="55"/>
      <c r="U38" s="55"/>
      <c r="V38" s="55"/>
      <c r="W38" s="55"/>
      <c r="X38" s="55"/>
      <c r="Y38" s="55"/>
    </row>
    <row r="39" spans="1:25" ht="15.75" customHeight="1">
      <c r="A39" s="331">
        <v>38</v>
      </c>
      <c r="B39" s="331" t="s">
        <v>257</v>
      </c>
      <c r="C39" s="331" t="s">
        <v>122</v>
      </c>
      <c r="D39" s="35">
        <v>7</v>
      </c>
      <c r="E39" s="21">
        <f t="shared" si="2"/>
        <v>5.3846153846153849E-2</v>
      </c>
      <c r="F39" s="11"/>
      <c r="G39" s="29" t="s">
        <v>754</v>
      </c>
      <c r="H39" s="13">
        <v>27</v>
      </c>
      <c r="I39" s="21">
        <f t="shared" si="3"/>
        <v>0.15697674418604651</v>
      </c>
      <c r="K39" s="55"/>
      <c r="L39" s="55"/>
      <c r="M39" s="55"/>
      <c r="N39" s="55"/>
      <c r="O39" s="55"/>
      <c r="P39" s="55"/>
      <c r="Q39" s="55"/>
      <c r="R39" s="55"/>
      <c r="S39" s="55"/>
      <c r="T39" s="55"/>
      <c r="U39" s="55"/>
      <c r="V39" s="55"/>
      <c r="W39" s="55"/>
      <c r="X39" s="55"/>
      <c r="Y39" s="55"/>
    </row>
    <row r="40" spans="1:25" ht="15.75" customHeight="1">
      <c r="A40" s="331">
        <v>39</v>
      </c>
      <c r="B40" s="331" t="s">
        <v>260</v>
      </c>
      <c r="C40" s="331" t="s">
        <v>221</v>
      </c>
      <c r="D40" s="35">
        <v>11</v>
      </c>
      <c r="E40" s="21">
        <f t="shared" si="2"/>
        <v>8.461538461538462E-2</v>
      </c>
      <c r="F40" s="11"/>
      <c r="G40" s="29" t="s">
        <v>61</v>
      </c>
      <c r="H40" s="13">
        <v>0</v>
      </c>
      <c r="I40" s="21">
        <f t="shared" si="3"/>
        <v>0</v>
      </c>
      <c r="K40" s="55"/>
      <c r="L40" s="55"/>
      <c r="M40" s="55"/>
      <c r="N40" s="55"/>
      <c r="O40" s="55"/>
      <c r="P40" s="55"/>
      <c r="Q40" s="55"/>
      <c r="R40" s="55"/>
      <c r="S40" s="55"/>
      <c r="T40" s="55"/>
      <c r="U40" s="55"/>
      <c r="V40" s="55"/>
      <c r="W40" s="55"/>
      <c r="X40" s="55"/>
      <c r="Y40" s="55"/>
    </row>
    <row r="41" spans="1:25" ht="15.75" customHeight="1">
      <c r="A41" s="331">
        <v>40</v>
      </c>
      <c r="B41" s="331" t="s">
        <v>263</v>
      </c>
      <c r="C41" s="331" t="s">
        <v>122</v>
      </c>
      <c r="D41" s="35">
        <v>13</v>
      </c>
      <c r="E41" s="21">
        <f t="shared" si="2"/>
        <v>0.1</v>
      </c>
      <c r="F41" s="11"/>
      <c r="G41" s="29" t="s">
        <v>755</v>
      </c>
      <c r="H41" s="13">
        <v>1</v>
      </c>
      <c r="I41" s="21">
        <f t="shared" si="3"/>
        <v>5.8139534883720929E-3</v>
      </c>
      <c r="K41" s="55"/>
      <c r="L41" s="55"/>
      <c r="M41" s="55"/>
      <c r="N41" s="55"/>
      <c r="O41" s="55"/>
      <c r="P41" s="55"/>
      <c r="Q41" s="55"/>
      <c r="R41" s="55"/>
      <c r="S41" s="55"/>
      <c r="T41" s="55"/>
      <c r="U41" s="55"/>
      <c r="V41" s="55"/>
      <c r="W41" s="55"/>
      <c r="X41" s="55"/>
      <c r="Y41" s="55"/>
    </row>
    <row r="42" spans="1:25" ht="15.75" customHeight="1">
      <c r="A42" s="331">
        <v>41</v>
      </c>
      <c r="B42" s="331" t="s">
        <v>3323</v>
      </c>
      <c r="C42" s="331" t="s">
        <v>268</v>
      </c>
      <c r="D42" s="35">
        <v>9</v>
      </c>
      <c r="E42" s="21">
        <f t="shared" si="2"/>
        <v>6.9230769230769235E-2</v>
      </c>
      <c r="F42" s="11"/>
      <c r="G42" s="29" t="s">
        <v>756</v>
      </c>
      <c r="H42" s="13">
        <v>27</v>
      </c>
      <c r="I42" s="21">
        <f t="shared" si="3"/>
        <v>0.15697674418604651</v>
      </c>
      <c r="K42" s="55"/>
      <c r="L42" s="55"/>
      <c r="M42" s="55"/>
      <c r="N42" s="55"/>
      <c r="O42" s="55"/>
      <c r="P42" s="55"/>
      <c r="Q42" s="55"/>
      <c r="R42" s="55"/>
      <c r="S42" s="55"/>
      <c r="T42" s="55"/>
      <c r="U42" s="55"/>
      <c r="V42" s="55"/>
      <c r="W42" s="55"/>
      <c r="X42" s="55"/>
      <c r="Y42" s="55"/>
    </row>
    <row r="43" spans="1:25" ht="15.75" customHeight="1">
      <c r="A43" s="331">
        <v>42</v>
      </c>
      <c r="B43" s="331" t="s">
        <v>272</v>
      </c>
      <c r="C43" s="331" t="s">
        <v>273</v>
      </c>
      <c r="D43" s="35">
        <v>9</v>
      </c>
      <c r="E43" s="21">
        <f t="shared" si="2"/>
        <v>6.9230769230769235E-2</v>
      </c>
      <c r="F43" s="11"/>
      <c r="G43" s="29" t="s">
        <v>3330</v>
      </c>
      <c r="H43" s="13">
        <v>3</v>
      </c>
      <c r="I43" s="21">
        <f t="shared" si="3"/>
        <v>1.7441860465116279E-2</v>
      </c>
      <c r="K43" s="55"/>
      <c r="L43" s="55"/>
      <c r="M43" s="55"/>
      <c r="N43" s="55"/>
      <c r="O43" s="55"/>
      <c r="P43" s="55"/>
      <c r="Q43" s="55"/>
      <c r="R43" s="55"/>
      <c r="S43" s="55"/>
      <c r="T43" s="55"/>
      <c r="U43" s="55"/>
      <c r="V43" s="55"/>
      <c r="W43" s="55"/>
      <c r="X43" s="55"/>
      <c r="Y43" s="55"/>
    </row>
    <row r="44" spans="1:25" ht="15.75" customHeight="1">
      <c r="A44" s="331">
        <v>43</v>
      </c>
      <c r="B44" s="331" t="s">
        <v>276</v>
      </c>
      <c r="C44" s="331" t="s">
        <v>102</v>
      </c>
      <c r="D44" s="35">
        <v>32</v>
      </c>
      <c r="E44" s="21">
        <f t="shared" si="2"/>
        <v>0.24615384615384617</v>
      </c>
      <c r="F44" s="11"/>
      <c r="G44" s="29" t="s">
        <v>3331</v>
      </c>
      <c r="H44" s="13">
        <v>1</v>
      </c>
      <c r="I44" s="21">
        <f t="shared" si="3"/>
        <v>5.8139534883720929E-3</v>
      </c>
      <c r="K44" s="55"/>
      <c r="L44" s="55"/>
      <c r="M44" s="55"/>
      <c r="N44" s="55"/>
      <c r="O44" s="55"/>
      <c r="P44" s="55"/>
      <c r="Q44" s="55"/>
      <c r="R44" s="55"/>
      <c r="S44" s="55"/>
      <c r="T44" s="55"/>
      <c r="U44" s="55"/>
      <c r="V44" s="55"/>
      <c r="W44" s="55"/>
      <c r="X44" s="55"/>
      <c r="Y44" s="55"/>
    </row>
    <row r="45" spans="1:25" ht="15.75" customHeight="1">
      <c r="A45" s="331">
        <v>44</v>
      </c>
      <c r="B45" s="331" t="s">
        <v>280</v>
      </c>
      <c r="C45" s="331" t="s">
        <v>281</v>
      </c>
      <c r="D45" s="35">
        <v>8</v>
      </c>
      <c r="E45" s="21">
        <f t="shared" si="2"/>
        <v>6.1538461538461542E-2</v>
      </c>
      <c r="F45" s="11"/>
      <c r="G45" s="29" t="s">
        <v>3332</v>
      </c>
      <c r="H45" s="13">
        <v>6</v>
      </c>
      <c r="I45" s="21">
        <f t="shared" si="3"/>
        <v>3.4883720930232558E-2</v>
      </c>
      <c r="K45" s="55"/>
      <c r="L45" s="55"/>
      <c r="M45" s="55"/>
      <c r="N45" s="55"/>
      <c r="O45" s="55"/>
      <c r="P45" s="55"/>
      <c r="Q45" s="55"/>
      <c r="R45" s="55"/>
      <c r="S45" s="55"/>
      <c r="T45" s="55"/>
      <c r="U45" s="55"/>
      <c r="V45" s="55"/>
      <c r="W45" s="55"/>
      <c r="X45" s="55"/>
      <c r="Y45" s="55"/>
    </row>
    <row r="46" spans="1:25" ht="15.75" customHeight="1">
      <c r="A46" s="331">
        <v>45</v>
      </c>
      <c r="B46" s="331" t="s">
        <v>285</v>
      </c>
      <c r="C46" s="331" t="s">
        <v>2996</v>
      </c>
      <c r="D46" s="35">
        <v>20</v>
      </c>
      <c r="E46" s="21">
        <f t="shared" si="2"/>
        <v>0.15384615384615385</v>
      </c>
      <c r="F46" s="11"/>
      <c r="G46" s="29" t="s">
        <v>3333</v>
      </c>
      <c r="H46" s="13">
        <v>0</v>
      </c>
      <c r="I46" s="21">
        <f t="shared" si="3"/>
        <v>0</v>
      </c>
      <c r="K46" s="55"/>
      <c r="L46" s="55"/>
      <c r="M46" s="55"/>
      <c r="N46" s="55"/>
      <c r="O46" s="55"/>
      <c r="P46" s="55"/>
      <c r="Q46" s="55"/>
      <c r="R46" s="55"/>
      <c r="S46" s="55"/>
      <c r="T46" s="55"/>
      <c r="U46" s="55"/>
      <c r="V46" s="55"/>
      <c r="W46" s="55"/>
      <c r="X46" s="55"/>
      <c r="Y46" s="55"/>
    </row>
    <row r="47" spans="1:25" ht="15.75" customHeight="1">
      <c r="A47" s="331">
        <v>46</v>
      </c>
      <c r="B47" s="331" t="s">
        <v>288</v>
      </c>
      <c r="C47" s="331" t="s">
        <v>114</v>
      </c>
      <c r="D47" s="35">
        <v>8</v>
      </c>
      <c r="E47" s="21">
        <f t="shared" si="2"/>
        <v>6.1538461538461542E-2</v>
      </c>
      <c r="F47" s="11"/>
      <c r="G47" s="29" t="s">
        <v>3334</v>
      </c>
      <c r="H47" s="13">
        <v>0</v>
      </c>
      <c r="I47" s="21">
        <f t="shared" si="3"/>
        <v>0</v>
      </c>
      <c r="K47" s="55"/>
      <c r="L47" s="55"/>
      <c r="M47" s="55"/>
      <c r="N47" s="55"/>
      <c r="O47" s="55"/>
      <c r="P47" s="55"/>
      <c r="Q47" s="55"/>
      <c r="R47" s="55"/>
      <c r="S47" s="55"/>
      <c r="T47" s="55"/>
      <c r="U47" s="55"/>
      <c r="V47" s="55"/>
      <c r="W47" s="55"/>
      <c r="X47" s="55"/>
      <c r="Y47" s="55"/>
    </row>
    <row r="48" spans="1:25" ht="15.75" customHeight="1">
      <c r="A48" s="331">
        <v>47</v>
      </c>
      <c r="B48" s="331" t="s">
        <v>293</v>
      </c>
      <c r="C48" s="331" t="s">
        <v>190</v>
      </c>
      <c r="D48" s="35">
        <v>22</v>
      </c>
      <c r="E48" s="21">
        <f t="shared" si="2"/>
        <v>0.16923076923076924</v>
      </c>
      <c r="F48" s="11"/>
      <c r="G48" s="29" t="s">
        <v>65</v>
      </c>
      <c r="H48" s="13">
        <v>0</v>
      </c>
      <c r="I48" s="21">
        <f t="shared" ref="I48:I79" si="4">H48/172</f>
        <v>0</v>
      </c>
      <c r="K48" s="55"/>
      <c r="L48" s="55"/>
      <c r="M48" s="55"/>
      <c r="N48" s="55"/>
      <c r="O48" s="55"/>
      <c r="P48" s="55"/>
      <c r="Q48" s="55"/>
      <c r="R48" s="55"/>
      <c r="S48" s="55"/>
      <c r="T48" s="55"/>
      <c r="U48" s="55"/>
      <c r="V48" s="55"/>
      <c r="W48" s="55"/>
      <c r="X48" s="55"/>
      <c r="Y48" s="55"/>
    </row>
    <row r="49" spans="1:25" ht="15.75" customHeight="1">
      <c r="A49" s="331">
        <v>48</v>
      </c>
      <c r="B49" s="331" t="s">
        <v>296</v>
      </c>
      <c r="C49" s="331" t="s">
        <v>297</v>
      </c>
      <c r="D49" s="35">
        <v>16</v>
      </c>
      <c r="E49" s="21">
        <f t="shared" si="2"/>
        <v>0.12307692307692308</v>
      </c>
      <c r="F49" s="11"/>
      <c r="G49" s="29" t="s">
        <v>764</v>
      </c>
      <c r="H49" s="13">
        <v>0</v>
      </c>
      <c r="I49" s="21">
        <f t="shared" si="4"/>
        <v>0</v>
      </c>
      <c r="K49" s="55"/>
      <c r="L49" s="55"/>
      <c r="M49" s="55"/>
      <c r="N49" s="55"/>
      <c r="O49" s="55"/>
      <c r="P49" s="55"/>
      <c r="Q49" s="55"/>
      <c r="R49" s="55"/>
      <c r="S49" s="55"/>
      <c r="T49" s="55"/>
      <c r="U49" s="55"/>
      <c r="V49" s="55"/>
      <c r="W49" s="55"/>
      <c r="X49" s="55"/>
      <c r="Y49" s="55"/>
    </row>
    <row r="50" spans="1:25" ht="15.75" customHeight="1">
      <c r="A50" s="331">
        <v>49</v>
      </c>
      <c r="B50" s="331" t="s">
        <v>300</v>
      </c>
      <c r="C50" s="331" t="s">
        <v>301</v>
      </c>
      <c r="D50" s="35">
        <v>19</v>
      </c>
      <c r="E50" s="21">
        <f t="shared" si="2"/>
        <v>0.14615384615384616</v>
      </c>
      <c r="F50" s="11"/>
      <c r="G50" s="29" t="s">
        <v>765</v>
      </c>
      <c r="H50" s="13">
        <v>0</v>
      </c>
      <c r="I50" s="21">
        <f t="shared" si="4"/>
        <v>0</v>
      </c>
      <c r="K50" s="55"/>
      <c r="L50" s="55"/>
      <c r="M50" s="55"/>
      <c r="N50" s="55"/>
      <c r="O50" s="55"/>
      <c r="P50" s="55"/>
      <c r="Q50" s="55"/>
      <c r="R50" s="55"/>
      <c r="S50" s="55"/>
      <c r="T50" s="55"/>
      <c r="U50" s="55"/>
      <c r="V50" s="55"/>
      <c r="W50" s="55"/>
      <c r="X50" s="55"/>
      <c r="Y50" s="55"/>
    </row>
    <row r="51" spans="1:25" ht="15.75" customHeight="1">
      <c r="A51" s="331">
        <v>50</v>
      </c>
      <c r="B51" s="331" t="s">
        <v>305</v>
      </c>
      <c r="C51" s="331" t="s">
        <v>306</v>
      </c>
      <c r="D51" s="35">
        <v>11</v>
      </c>
      <c r="E51" s="21">
        <f t="shared" si="2"/>
        <v>8.461538461538462E-2</v>
      </c>
      <c r="F51" s="11"/>
      <c r="G51" s="29" t="s">
        <v>800</v>
      </c>
      <c r="H51" s="13">
        <v>0</v>
      </c>
      <c r="I51" s="21">
        <f t="shared" si="4"/>
        <v>0</v>
      </c>
      <c r="K51" s="55"/>
      <c r="L51" s="55"/>
      <c r="M51" s="55"/>
      <c r="N51" s="55"/>
      <c r="O51" s="55"/>
      <c r="P51" s="55"/>
      <c r="Q51" s="55"/>
      <c r="R51" s="55"/>
      <c r="S51" s="55"/>
      <c r="T51" s="55"/>
      <c r="U51" s="55"/>
      <c r="V51" s="55"/>
      <c r="W51" s="55"/>
      <c r="X51" s="55"/>
      <c r="Y51" s="55"/>
    </row>
    <row r="52" spans="1:25" ht="15.75" customHeight="1">
      <c r="A52" s="331">
        <v>51</v>
      </c>
      <c r="B52" s="331" t="s">
        <v>309</v>
      </c>
      <c r="C52" s="331" t="s">
        <v>221</v>
      </c>
      <c r="D52" s="35">
        <v>8</v>
      </c>
      <c r="E52" s="21">
        <f t="shared" si="2"/>
        <v>6.1538461538461542E-2</v>
      </c>
      <c r="F52" s="11"/>
      <c r="G52" s="29" t="s">
        <v>66</v>
      </c>
      <c r="H52" s="13">
        <v>14</v>
      </c>
      <c r="I52" s="21">
        <f t="shared" si="4"/>
        <v>8.1395348837209308E-2</v>
      </c>
      <c r="K52" s="55"/>
      <c r="L52" s="55"/>
      <c r="M52" s="55"/>
      <c r="N52" s="55"/>
      <c r="O52" s="55"/>
      <c r="P52" s="55"/>
      <c r="Q52" s="55"/>
      <c r="R52" s="55"/>
      <c r="S52" s="55"/>
      <c r="T52" s="55"/>
      <c r="U52" s="55"/>
      <c r="V52" s="55"/>
      <c r="W52" s="55"/>
      <c r="X52" s="55"/>
      <c r="Y52" s="55"/>
    </row>
    <row r="53" spans="1:25" ht="15.75" customHeight="1">
      <c r="A53" s="331">
        <v>52</v>
      </c>
      <c r="B53" s="331" t="s">
        <v>312</v>
      </c>
      <c r="C53" s="331" t="s">
        <v>313</v>
      </c>
      <c r="D53" s="35">
        <v>9</v>
      </c>
      <c r="E53" s="21">
        <f t="shared" si="2"/>
        <v>6.9230769230769235E-2</v>
      </c>
      <c r="F53" s="11"/>
      <c r="G53" s="29" t="s">
        <v>67</v>
      </c>
      <c r="H53" s="13">
        <v>14</v>
      </c>
      <c r="I53" s="21">
        <f t="shared" si="4"/>
        <v>8.1395348837209308E-2</v>
      </c>
      <c r="K53" s="55"/>
      <c r="L53" s="55"/>
      <c r="M53" s="55"/>
      <c r="N53" s="55"/>
      <c r="O53" s="55"/>
      <c r="P53" s="55"/>
      <c r="Q53" s="55"/>
      <c r="R53" s="55"/>
      <c r="S53" s="55"/>
      <c r="T53" s="55"/>
      <c r="U53" s="55"/>
      <c r="V53" s="55"/>
      <c r="W53" s="55"/>
      <c r="X53" s="55"/>
      <c r="Y53" s="55"/>
    </row>
    <row r="54" spans="1:25" ht="15.75" customHeight="1">
      <c r="A54" s="331">
        <v>53</v>
      </c>
      <c r="B54" s="331" t="s">
        <v>315</v>
      </c>
      <c r="C54" s="331" t="s">
        <v>316</v>
      </c>
      <c r="D54" s="35">
        <v>14</v>
      </c>
      <c r="E54" s="21">
        <f t="shared" si="2"/>
        <v>0.1076923076923077</v>
      </c>
      <c r="F54" s="11"/>
      <c r="G54" s="29" t="s">
        <v>766</v>
      </c>
      <c r="H54" s="13">
        <v>52</v>
      </c>
      <c r="I54" s="21">
        <f t="shared" si="4"/>
        <v>0.30232558139534882</v>
      </c>
      <c r="K54" s="55"/>
      <c r="L54" s="55"/>
      <c r="M54" s="55"/>
      <c r="N54" s="55"/>
      <c r="O54" s="55"/>
      <c r="P54" s="55"/>
      <c r="Q54" s="55"/>
      <c r="R54" s="55"/>
      <c r="S54" s="55"/>
      <c r="T54" s="55"/>
      <c r="U54" s="55"/>
      <c r="V54" s="55"/>
      <c r="W54" s="55"/>
      <c r="X54" s="55"/>
      <c r="Y54" s="55"/>
    </row>
    <row r="55" spans="1:25" ht="15.75" customHeight="1">
      <c r="A55" s="331">
        <v>54</v>
      </c>
      <c r="B55" s="331" t="s">
        <v>318</v>
      </c>
      <c r="C55" s="331" t="s">
        <v>3324</v>
      </c>
      <c r="D55" s="35">
        <v>7</v>
      </c>
      <c r="E55" s="21">
        <f t="shared" si="2"/>
        <v>5.3846153846153849E-2</v>
      </c>
      <c r="F55" s="11"/>
      <c r="G55" s="29" t="s">
        <v>68</v>
      </c>
      <c r="H55" s="13">
        <v>51</v>
      </c>
      <c r="I55" s="21">
        <f t="shared" si="4"/>
        <v>0.29651162790697677</v>
      </c>
      <c r="K55" s="55"/>
      <c r="L55" s="55"/>
      <c r="M55" s="55"/>
      <c r="N55" s="55"/>
      <c r="O55" s="55"/>
      <c r="P55" s="55"/>
      <c r="Q55" s="55"/>
      <c r="R55" s="55"/>
      <c r="S55" s="55"/>
      <c r="T55" s="55"/>
      <c r="U55" s="55"/>
      <c r="V55" s="55"/>
      <c r="W55" s="55"/>
      <c r="X55" s="55"/>
      <c r="Y55" s="55"/>
    </row>
    <row r="56" spans="1:25" ht="15.75" customHeight="1">
      <c r="A56" s="331">
        <v>55</v>
      </c>
      <c r="B56" s="331" t="s">
        <v>322</v>
      </c>
      <c r="C56" s="331" t="s">
        <v>323</v>
      </c>
      <c r="D56" s="35">
        <v>11</v>
      </c>
      <c r="E56" s="21">
        <f t="shared" si="2"/>
        <v>8.461538461538462E-2</v>
      </c>
      <c r="F56" s="11"/>
      <c r="G56" s="29" t="s">
        <v>767</v>
      </c>
      <c r="H56" s="13">
        <v>106</v>
      </c>
      <c r="I56" s="21">
        <f t="shared" si="4"/>
        <v>0.61627906976744184</v>
      </c>
      <c r="K56" s="55"/>
      <c r="L56" s="55"/>
      <c r="M56" s="55"/>
      <c r="N56" s="55"/>
      <c r="O56" s="55"/>
      <c r="P56" s="55"/>
      <c r="Q56" s="55"/>
      <c r="R56" s="55"/>
      <c r="S56" s="55"/>
      <c r="T56" s="55"/>
      <c r="U56" s="55"/>
      <c r="V56" s="55"/>
      <c r="W56" s="55"/>
      <c r="X56" s="55"/>
      <c r="Y56" s="55"/>
    </row>
    <row r="57" spans="1:25" ht="15.75" customHeight="1">
      <c r="A57" s="331">
        <v>56</v>
      </c>
      <c r="B57" s="331" t="s">
        <v>315</v>
      </c>
      <c r="C57" s="331" t="s">
        <v>325</v>
      </c>
      <c r="D57" s="35">
        <v>18</v>
      </c>
      <c r="E57" s="21">
        <f t="shared" si="2"/>
        <v>0.13846153846153847</v>
      </c>
      <c r="F57" s="11"/>
      <c r="G57" s="29" t="s">
        <v>768</v>
      </c>
      <c r="H57" s="13">
        <v>51</v>
      </c>
      <c r="I57" s="21">
        <f t="shared" si="4"/>
        <v>0.29651162790697677</v>
      </c>
      <c r="K57" s="55"/>
      <c r="L57" s="55"/>
      <c r="M57" s="55"/>
      <c r="N57" s="55"/>
      <c r="O57" s="55"/>
      <c r="P57" s="55"/>
      <c r="Q57" s="55"/>
      <c r="R57" s="55"/>
      <c r="S57" s="55"/>
      <c r="T57" s="55"/>
      <c r="U57" s="55"/>
      <c r="V57" s="55"/>
      <c r="W57" s="55"/>
      <c r="X57" s="55"/>
      <c r="Y57" s="55"/>
    </row>
    <row r="58" spans="1:25" ht="15.75" customHeight="1">
      <c r="A58" s="331">
        <v>57</v>
      </c>
      <c r="B58" s="331" t="s">
        <v>327</v>
      </c>
      <c r="C58" s="331" t="s">
        <v>221</v>
      </c>
      <c r="D58" s="35">
        <v>21</v>
      </c>
      <c r="E58" s="21">
        <f t="shared" si="2"/>
        <v>0.16153846153846155</v>
      </c>
      <c r="F58" s="11"/>
      <c r="G58" s="29" t="s">
        <v>769</v>
      </c>
      <c r="H58" s="13">
        <v>14</v>
      </c>
      <c r="I58" s="21">
        <f t="shared" si="4"/>
        <v>8.1395348837209308E-2</v>
      </c>
      <c r="K58" s="55"/>
      <c r="L58" s="55"/>
      <c r="M58" s="55"/>
      <c r="N58" s="55"/>
      <c r="O58" s="55"/>
      <c r="P58" s="55"/>
      <c r="Q58" s="55"/>
      <c r="R58" s="55"/>
      <c r="S58" s="55"/>
      <c r="T58" s="55"/>
      <c r="U58" s="55"/>
      <c r="V58" s="55"/>
      <c r="W58" s="55"/>
      <c r="X58" s="55"/>
      <c r="Y58" s="55"/>
    </row>
    <row r="59" spans="1:25" ht="15.75" customHeight="1">
      <c r="A59" s="331">
        <v>58</v>
      </c>
      <c r="B59" s="331" t="s">
        <v>330</v>
      </c>
      <c r="C59" s="331" t="s">
        <v>331</v>
      </c>
      <c r="D59" s="35">
        <v>22</v>
      </c>
      <c r="E59" s="21">
        <f t="shared" si="2"/>
        <v>0.16923076923076924</v>
      </c>
      <c r="F59" s="11"/>
      <c r="G59" s="29" t="s">
        <v>770</v>
      </c>
      <c r="H59" s="13">
        <v>6</v>
      </c>
      <c r="I59" s="21">
        <f t="shared" si="4"/>
        <v>3.4883720930232558E-2</v>
      </c>
      <c r="K59" s="55"/>
      <c r="L59" s="55"/>
      <c r="M59" s="55"/>
      <c r="N59" s="55"/>
      <c r="O59" s="55"/>
      <c r="P59" s="55"/>
      <c r="Q59" s="55"/>
      <c r="R59" s="55"/>
      <c r="S59" s="55"/>
      <c r="T59" s="55"/>
      <c r="U59" s="55"/>
      <c r="V59" s="55"/>
      <c r="W59" s="55"/>
      <c r="X59" s="55"/>
      <c r="Y59" s="55"/>
    </row>
    <row r="60" spans="1:25" ht="15.75" customHeight="1">
      <c r="A60" s="331">
        <v>59</v>
      </c>
      <c r="B60" s="331" t="s">
        <v>334</v>
      </c>
      <c r="C60" s="331" t="s">
        <v>212</v>
      </c>
      <c r="D60" s="35">
        <v>16</v>
      </c>
      <c r="E60" s="21">
        <f t="shared" si="2"/>
        <v>0.12307692307692308</v>
      </c>
      <c r="F60" s="11"/>
      <c r="G60" s="29" t="s">
        <v>771</v>
      </c>
      <c r="H60" s="13">
        <v>10</v>
      </c>
      <c r="I60" s="21">
        <f t="shared" si="4"/>
        <v>5.8139534883720929E-2</v>
      </c>
      <c r="K60" s="55"/>
      <c r="L60" s="55"/>
      <c r="M60" s="55"/>
      <c r="N60" s="55"/>
      <c r="O60" s="55"/>
      <c r="P60" s="55"/>
      <c r="Q60" s="55"/>
      <c r="R60" s="55"/>
      <c r="S60" s="55"/>
      <c r="T60" s="55"/>
      <c r="U60" s="55"/>
      <c r="V60" s="55"/>
      <c r="W60" s="55"/>
      <c r="X60" s="55"/>
      <c r="Y60" s="55"/>
    </row>
    <row r="61" spans="1:25" ht="15.75" customHeight="1">
      <c r="A61" s="331">
        <v>60</v>
      </c>
      <c r="B61" s="331" t="s">
        <v>338</v>
      </c>
      <c r="C61" s="331" t="s">
        <v>339</v>
      </c>
      <c r="D61" s="35">
        <v>15</v>
      </c>
      <c r="E61" s="21">
        <f t="shared" si="2"/>
        <v>0.11538461538461539</v>
      </c>
      <c r="F61" s="11"/>
      <c r="G61" s="29" t="s">
        <v>3059</v>
      </c>
      <c r="H61" s="13">
        <v>6</v>
      </c>
      <c r="I61" s="21">
        <f t="shared" si="4"/>
        <v>3.4883720930232558E-2</v>
      </c>
      <c r="K61" s="55"/>
      <c r="L61" s="55"/>
      <c r="M61" s="55"/>
      <c r="N61" s="55"/>
      <c r="O61" s="55"/>
      <c r="P61" s="55"/>
      <c r="Q61" s="55"/>
      <c r="R61" s="55"/>
      <c r="S61" s="55"/>
      <c r="T61" s="55"/>
      <c r="U61" s="55"/>
      <c r="V61" s="55"/>
      <c r="W61" s="55"/>
      <c r="X61" s="55"/>
      <c r="Y61" s="55"/>
    </row>
    <row r="62" spans="1:25" ht="15.75" customHeight="1">
      <c r="A62" s="331">
        <v>61</v>
      </c>
      <c r="B62" s="331" t="s">
        <v>341</v>
      </c>
      <c r="C62" s="331" t="s">
        <v>306</v>
      </c>
      <c r="D62" s="35">
        <v>19</v>
      </c>
      <c r="E62" s="21">
        <f t="shared" si="2"/>
        <v>0.14615384615384616</v>
      </c>
      <c r="F62" s="11"/>
      <c r="G62" s="29" t="s">
        <v>3060</v>
      </c>
      <c r="H62" s="13">
        <v>9</v>
      </c>
      <c r="I62" s="21">
        <f t="shared" si="4"/>
        <v>5.232558139534884E-2</v>
      </c>
      <c r="K62" s="55"/>
      <c r="L62" s="55"/>
      <c r="M62" s="55"/>
      <c r="N62" s="55"/>
      <c r="O62" s="55"/>
      <c r="P62" s="55"/>
      <c r="Q62" s="55"/>
      <c r="R62" s="55"/>
      <c r="S62" s="55"/>
      <c r="T62" s="55"/>
      <c r="U62" s="55"/>
      <c r="V62" s="55"/>
      <c r="W62" s="55"/>
      <c r="X62" s="55"/>
      <c r="Y62" s="55"/>
    </row>
    <row r="63" spans="1:25" ht="15.75" customHeight="1">
      <c r="A63" s="331">
        <v>62</v>
      </c>
      <c r="B63" s="331" t="s">
        <v>344</v>
      </c>
      <c r="C63" s="331" t="s">
        <v>194</v>
      </c>
      <c r="D63" s="35">
        <v>16</v>
      </c>
      <c r="E63" s="21">
        <f t="shared" si="2"/>
        <v>0.12307692307692308</v>
      </c>
      <c r="F63" s="11"/>
      <c r="G63" s="29" t="s">
        <v>3061</v>
      </c>
      <c r="H63" s="13">
        <v>34</v>
      </c>
      <c r="I63" s="21">
        <f t="shared" si="4"/>
        <v>0.19767441860465115</v>
      </c>
      <c r="K63" s="55"/>
      <c r="L63" s="55"/>
      <c r="M63" s="55"/>
      <c r="N63" s="55"/>
      <c r="O63" s="55"/>
      <c r="P63" s="55"/>
      <c r="Q63" s="55"/>
      <c r="R63" s="55"/>
      <c r="S63" s="55"/>
      <c r="T63" s="55"/>
      <c r="U63" s="55"/>
      <c r="V63" s="55"/>
      <c r="W63" s="55"/>
      <c r="X63" s="55"/>
      <c r="Y63" s="55"/>
    </row>
    <row r="64" spans="1:25" ht="15.75" customHeight="1">
      <c r="A64" s="331">
        <v>63</v>
      </c>
      <c r="B64" s="331" t="s">
        <v>348</v>
      </c>
      <c r="C64" s="331" t="s">
        <v>349</v>
      </c>
      <c r="D64" s="35">
        <v>16</v>
      </c>
      <c r="E64" s="21">
        <f t="shared" si="2"/>
        <v>0.12307692307692308</v>
      </c>
      <c r="F64" s="11"/>
      <c r="G64" s="29" t="s">
        <v>772</v>
      </c>
      <c r="H64" s="13">
        <v>2</v>
      </c>
      <c r="I64" s="21">
        <f t="shared" si="4"/>
        <v>1.1627906976744186E-2</v>
      </c>
      <c r="K64" s="55"/>
      <c r="L64" s="55"/>
      <c r="M64" s="55"/>
      <c r="N64" s="55"/>
      <c r="O64" s="55"/>
      <c r="P64" s="55"/>
      <c r="Q64" s="55"/>
      <c r="R64" s="55"/>
      <c r="S64" s="55"/>
      <c r="T64" s="55"/>
      <c r="U64" s="55"/>
      <c r="V64" s="55"/>
      <c r="W64" s="55"/>
      <c r="X64" s="55"/>
      <c r="Y64" s="55"/>
    </row>
    <row r="65" spans="1:25" ht="15.75" customHeight="1">
      <c r="A65" s="331">
        <v>64</v>
      </c>
      <c r="B65" s="331" t="s">
        <v>351</v>
      </c>
      <c r="C65" s="331" t="s">
        <v>352</v>
      </c>
      <c r="D65" s="35">
        <v>18</v>
      </c>
      <c r="E65" s="21">
        <f t="shared" si="2"/>
        <v>0.13846153846153847</v>
      </c>
      <c r="F65" s="11"/>
      <c r="G65" s="29" t="s">
        <v>773</v>
      </c>
      <c r="H65" s="13">
        <v>0</v>
      </c>
      <c r="I65" s="21">
        <f t="shared" si="4"/>
        <v>0</v>
      </c>
      <c r="K65" s="55"/>
      <c r="L65" s="55"/>
      <c r="M65" s="55"/>
      <c r="N65" s="55"/>
      <c r="O65" s="55"/>
      <c r="P65" s="55"/>
      <c r="Q65" s="55"/>
      <c r="R65" s="55"/>
      <c r="S65" s="55"/>
      <c r="T65" s="55"/>
      <c r="U65" s="55"/>
      <c r="V65" s="55"/>
      <c r="W65" s="55"/>
      <c r="X65" s="55"/>
      <c r="Y65" s="55"/>
    </row>
    <row r="66" spans="1:25" ht="15.75" customHeight="1">
      <c r="A66" s="331">
        <v>65</v>
      </c>
      <c r="B66" s="331" t="s">
        <v>355</v>
      </c>
      <c r="C66" s="331" t="s">
        <v>356</v>
      </c>
      <c r="D66" s="35">
        <v>12</v>
      </c>
      <c r="E66" s="21">
        <f t="shared" ref="E66:E97" si="5">D66/130</f>
        <v>9.2307692307692313E-2</v>
      </c>
      <c r="F66" s="11"/>
      <c r="G66" s="29" t="s">
        <v>3049</v>
      </c>
      <c r="H66" s="13">
        <v>0</v>
      </c>
      <c r="I66" s="21">
        <f t="shared" si="4"/>
        <v>0</v>
      </c>
      <c r="K66" s="55"/>
      <c r="L66" s="55"/>
      <c r="M66" s="55"/>
      <c r="N66" s="55"/>
      <c r="O66" s="55"/>
      <c r="P66" s="55"/>
      <c r="Q66" s="55"/>
      <c r="R66" s="55"/>
      <c r="S66" s="55"/>
      <c r="T66" s="55"/>
      <c r="U66" s="55"/>
      <c r="V66" s="55"/>
      <c r="W66" s="55"/>
      <c r="X66" s="55"/>
      <c r="Y66" s="55"/>
    </row>
    <row r="67" spans="1:25" ht="15.75" customHeight="1">
      <c r="A67" s="331">
        <v>66</v>
      </c>
      <c r="B67" s="331" t="s">
        <v>360</v>
      </c>
      <c r="C67" s="331" t="s">
        <v>361</v>
      </c>
      <c r="D67" s="35">
        <v>11</v>
      </c>
      <c r="E67" s="21">
        <f t="shared" si="5"/>
        <v>8.461538461538462E-2</v>
      </c>
      <c r="F67" s="11"/>
      <c r="G67" s="29" t="s">
        <v>3050</v>
      </c>
      <c r="H67" s="13">
        <v>0</v>
      </c>
      <c r="I67" s="21">
        <f t="shared" si="4"/>
        <v>0</v>
      </c>
      <c r="K67" s="55"/>
      <c r="L67" s="55"/>
      <c r="M67" s="55"/>
      <c r="N67" s="55"/>
      <c r="O67" s="55"/>
      <c r="P67" s="55"/>
      <c r="Q67" s="55"/>
      <c r="R67" s="55"/>
      <c r="S67" s="55"/>
      <c r="T67" s="55"/>
      <c r="U67" s="55"/>
      <c r="V67" s="55"/>
      <c r="W67" s="55"/>
      <c r="X67" s="55"/>
      <c r="Y67" s="55"/>
    </row>
    <row r="68" spans="1:25" ht="15.75" customHeight="1">
      <c r="A68" s="331">
        <v>67</v>
      </c>
      <c r="B68" s="331" t="s">
        <v>366</v>
      </c>
      <c r="C68" s="331" t="s">
        <v>367</v>
      </c>
      <c r="D68" s="35">
        <v>10</v>
      </c>
      <c r="E68" s="21">
        <f t="shared" si="5"/>
        <v>7.6923076923076927E-2</v>
      </c>
      <c r="F68" s="11"/>
      <c r="G68" s="29" t="s">
        <v>774</v>
      </c>
      <c r="H68" s="13">
        <v>0</v>
      </c>
      <c r="I68" s="21">
        <f t="shared" si="4"/>
        <v>0</v>
      </c>
      <c r="K68" s="55"/>
      <c r="L68" s="55"/>
      <c r="M68" s="55"/>
      <c r="N68" s="55"/>
      <c r="O68" s="55"/>
      <c r="P68" s="55"/>
      <c r="Q68" s="55"/>
      <c r="R68" s="55"/>
      <c r="S68" s="55"/>
      <c r="T68" s="55"/>
      <c r="U68" s="55"/>
      <c r="V68" s="55"/>
      <c r="W68" s="55"/>
      <c r="X68" s="55"/>
      <c r="Y68" s="55"/>
    </row>
    <row r="69" spans="1:25" ht="15.75" customHeight="1">
      <c r="A69" s="331">
        <v>68</v>
      </c>
      <c r="B69" s="331" t="s">
        <v>371</v>
      </c>
      <c r="C69" s="331" t="s">
        <v>372</v>
      </c>
      <c r="D69" s="35">
        <v>7</v>
      </c>
      <c r="E69" s="21">
        <f t="shared" si="5"/>
        <v>5.3846153846153849E-2</v>
      </c>
      <c r="F69" s="11"/>
      <c r="G69" s="29" t="s">
        <v>775</v>
      </c>
      <c r="H69" s="13">
        <v>0</v>
      </c>
      <c r="I69" s="21">
        <f t="shared" si="4"/>
        <v>0</v>
      </c>
      <c r="K69" s="55"/>
      <c r="L69" s="55"/>
      <c r="M69" s="55"/>
      <c r="N69" s="55"/>
      <c r="O69" s="55"/>
      <c r="P69" s="55"/>
      <c r="Q69" s="55"/>
      <c r="R69" s="55"/>
      <c r="S69" s="55"/>
      <c r="T69" s="55"/>
      <c r="U69" s="55"/>
      <c r="V69" s="55"/>
      <c r="W69" s="55"/>
      <c r="X69" s="55"/>
      <c r="Y69" s="55"/>
    </row>
    <row r="70" spans="1:25" ht="15.75" customHeight="1">
      <c r="A70" s="331">
        <v>69</v>
      </c>
      <c r="B70" s="332" t="s">
        <v>373</v>
      </c>
      <c r="C70" s="332" t="s">
        <v>374</v>
      </c>
      <c r="D70" s="35">
        <v>9</v>
      </c>
      <c r="E70" s="21">
        <f t="shared" si="5"/>
        <v>6.9230769230769235E-2</v>
      </c>
      <c r="F70" s="11"/>
      <c r="G70" s="29" t="s">
        <v>776</v>
      </c>
      <c r="H70" s="13">
        <v>0</v>
      </c>
      <c r="I70" s="21">
        <f t="shared" si="4"/>
        <v>0</v>
      </c>
      <c r="K70" s="55"/>
      <c r="L70" s="55"/>
      <c r="M70" s="55"/>
      <c r="N70" s="55"/>
      <c r="O70" s="55"/>
      <c r="P70" s="55"/>
      <c r="Q70" s="55"/>
      <c r="R70" s="55"/>
      <c r="S70" s="55"/>
      <c r="T70" s="55"/>
      <c r="U70" s="55"/>
      <c r="V70" s="55"/>
      <c r="W70" s="55"/>
      <c r="X70" s="55"/>
      <c r="Y70" s="55"/>
    </row>
    <row r="71" spans="1:25" ht="15.75" customHeight="1">
      <c r="A71" s="331">
        <v>70</v>
      </c>
      <c r="B71" s="331" t="s">
        <v>293</v>
      </c>
      <c r="C71" s="331" t="s">
        <v>377</v>
      </c>
      <c r="D71" s="35">
        <v>17</v>
      </c>
      <c r="E71" s="21">
        <f t="shared" si="5"/>
        <v>0.13076923076923078</v>
      </c>
      <c r="F71" s="11"/>
      <c r="G71" s="29" t="s">
        <v>777</v>
      </c>
      <c r="H71" s="13">
        <v>0</v>
      </c>
      <c r="I71" s="21">
        <f t="shared" si="4"/>
        <v>0</v>
      </c>
      <c r="K71" s="55"/>
      <c r="L71" s="55"/>
      <c r="M71" s="55"/>
      <c r="N71" s="55"/>
      <c r="O71" s="55"/>
      <c r="P71" s="55"/>
      <c r="Q71" s="55"/>
      <c r="R71" s="55"/>
      <c r="S71" s="55"/>
      <c r="T71" s="55"/>
      <c r="U71" s="55"/>
      <c r="V71" s="55"/>
      <c r="W71" s="55"/>
      <c r="X71" s="55"/>
      <c r="Y71" s="55"/>
    </row>
    <row r="72" spans="1:25" ht="15.75" customHeight="1">
      <c r="A72" s="331">
        <v>71</v>
      </c>
      <c r="B72" s="331" t="s">
        <v>380</v>
      </c>
      <c r="C72" s="331" t="s">
        <v>381</v>
      </c>
      <c r="D72" s="35">
        <v>6</v>
      </c>
      <c r="E72" s="21">
        <f t="shared" si="5"/>
        <v>4.6153846153846156E-2</v>
      </c>
      <c r="F72" s="11"/>
      <c r="G72" s="29" t="s">
        <v>778</v>
      </c>
      <c r="H72" s="13">
        <v>0</v>
      </c>
      <c r="I72" s="21">
        <f t="shared" si="4"/>
        <v>0</v>
      </c>
      <c r="K72" s="55"/>
      <c r="L72" s="55"/>
      <c r="M72" s="55"/>
      <c r="N72" s="55"/>
      <c r="O72" s="55"/>
      <c r="P72" s="55"/>
      <c r="Q72" s="55"/>
      <c r="R72" s="55"/>
      <c r="S72" s="55"/>
      <c r="T72" s="55"/>
      <c r="U72" s="55"/>
      <c r="V72" s="55"/>
      <c r="W72" s="55"/>
      <c r="X72" s="55"/>
      <c r="Y72" s="55"/>
    </row>
    <row r="73" spans="1:25" ht="15.75" customHeight="1">
      <c r="A73" s="331">
        <v>72</v>
      </c>
      <c r="B73" s="331" t="s">
        <v>263</v>
      </c>
      <c r="C73" s="331" t="s">
        <v>114</v>
      </c>
      <c r="D73" s="35">
        <v>4</v>
      </c>
      <c r="E73" s="21">
        <f t="shared" si="5"/>
        <v>3.0769230769230771E-2</v>
      </c>
      <c r="F73" s="11"/>
      <c r="G73" s="29" t="s">
        <v>2755</v>
      </c>
      <c r="H73" s="13">
        <v>0</v>
      </c>
      <c r="I73" s="21">
        <f t="shared" si="4"/>
        <v>0</v>
      </c>
      <c r="K73" s="55"/>
      <c r="L73" s="55"/>
      <c r="M73" s="55"/>
      <c r="N73" s="55"/>
      <c r="O73" s="55"/>
      <c r="P73" s="55"/>
      <c r="Q73" s="55"/>
      <c r="R73" s="55"/>
      <c r="S73" s="55"/>
      <c r="T73" s="55"/>
      <c r="U73" s="55"/>
      <c r="V73" s="55"/>
      <c r="W73" s="55"/>
      <c r="X73" s="55"/>
      <c r="Y73" s="55"/>
    </row>
    <row r="74" spans="1:25" ht="15.75" customHeight="1">
      <c r="A74" s="331">
        <v>73</v>
      </c>
      <c r="B74" s="331" t="s">
        <v>386</v>
      </c>
      <c r="C74" s="331" t="s">
        <v>387</v>
      </c>
      <c r="D74" s="35">
        <v>11</v>
      </c>
      <c r="E74" s="21">
        <f t="shared" si="5"/>
        <v>8.461538461538462E-2</v>
      </c>
      <c r="F74" s="11"/>
      <c r="G74" s="29" t="s">
        <v>71</v>
      </c>
      <c r="H74" s="13">
        <v>2</v>
      </c>
      <c r="I74" s="21">
        <f t="shared" si="4"/>
        <v>1.1627906976744186E-2</v>
      </c>
      <c r="K74" s="55"/>
      <c r="L74" s="55"/>
      <c r="M74" s="55"/>
      <c r="N74" s="55"/>
      <c r="O74" s="55"/>
      <c r="P74" s="55"/>
      <c r="Q74" s="55"/>
      <c r="R74" s="55"/>
      <c r="S74" s="55"/>
      <c r="T74" s="55"/>
      <c r="U74" s="55"/>
      <c r="V74" s="55"/>
      <c r="W74" s="55"/>
      <c r="X74" s="55"/>
      <c r="Y74" s="55"/>
    </row>
    <row r="75" spans="1:25" ht="15.75" customHeight="1">
      <c r="A75" s="331">
        <v>74</v>
      </c>
      <c r="B75" s="331" t="s">
        <v>390</v>
      </c>
      <c r="C75" s="331" t="s">
        <v>136</v>
      </c>
      <c r="D75" s="35">
        <v>6</v>
      </c>
      <c r="E75" s="21">
        <f t="shared" si="5"/>
        <v>4.6153846153846156E-2</v>
      </c>
      <c r="F75" s="11"/>
      <c r="G75" s="29" t="s">
        <v>72</v>
      </c>
      <c r="H75" s="13">
        <v>2</v>
      </c>
      <c r="I75" s="21">
        <f t="shared" si="4"/>
        <v>1.1627906976744186E-2</v>
      </c>
      <c r="K75" s="55"/>
      <c r="L75" s="55"/>
      <c r="M75" s="55"/>
      <c r="N75" s="55"/>
      <c r="O75" s="55"/>
      <c r="P75" s="55"/>
      <c r="Q75" s="55"/>
      <c r="R75" s="55"/>
      <c r="S75" s="55"/>
      <c r="T75" s="55"/>
      <c r="U75" s="55"/>
      <c r="V75" s="55"/>
      <c r="W75" s="55"/>
      <c r="X75" s="55"/>
      <c r="Y75" s="55"/>
    </row>
    <row r="76" spans="1:25" ht="15.75" customHeight="1">
      <c r="A76" s="331">
        <v>75</v>
      </c>
      <c r="B76" s="331" t="s">
        <v>393</v>
      </c>
      <c r="C76" s="331" t="s">
        <v>394</v>
      </c>
      <c r="D76" s="35">
        <v>11</v>
      </c>
      <c r="E76" s="21">
        <f t="shared" si="5"/>
        <v>8.461538461538462E-2</v>
      </c>
      <c r="F76" s="11"/>
      <c r="G76" s="29" t="s">
        <v>73</v>
      </c>
      <c r="H76" s="13">
        <v>2</v>
      </c>
      <c r="I76" s="21">
        <f t="shared" si="4"/>
        <v>1.1627906976744186E-2</v>
      </c>
      <c r="K76" s="55"/>
      <c r="L76" s="55"/>
      <c r="M76" s="55"/>
      <c r="N76" s="55"/>
      <c r="O76" s="55"/>
      <c r="P76" s="55"/>
      <c r="Q76" s="55"/>
      <c r="R76" s="55"/>
      <c r="S76" s="55"/>
      <c r="T76" s="55"/>
      <c r="U76" s="55"/>
      <c r="V76" s="55"/>
      <c r="W76" s="55"/>
      <c r="X76" s="55"/>
      <c r="Y76" s="55"/>
    </row>
    <row r="77" spans="1:25" ht="15.75" customHeight="1">
      <c r="A77" s="331">
        <v>76</v>
      </c>
      <c r="B77" s="331" t="s">
        <v>398</v>
      </c>
      <c r="C77" s="331" t="s">
        <v>399</v>
      </c>
      <c r="D77" s="35">
        <v>9</v>
      </c>
      <c r="E77" s="21">
        <f t="shared" si="5"/>
        <v>6.9230769230769235E-2</v>
      </c>
      <c r="F77" s="11"/>
      <c r="G77" s="29" t="s">
        <v>779</v>
      </c>
      <c r="H77" s="13">
        <v>0</v>
      </c>
      <c r="I77" s="21">
        <f t="shared" si="4"/>
        <v>0</v>
      </c>
      <c r="K77" s="55"/>
      <c r="L77" s="55"/>
      <c r="M77" s="55"/>
      <c r="N77" s="55"/>
      <c r="O77" s="55"/>
      <c r="P77" s="55"/>
      <c r="Q77" s="55"/>
      <c r="R77" s="55"/>
      <c r="S77" s="55"/>
      <c r="T77" s="55"/>
      <c r="U77" s="55"/>
      <c r="V77" s="55"/>
      <c r="W77" s="55"/>
      <c r="X77" s="55"/>
      <c r="Y77" s="55"/>
    </row>
    <row r="78" spans="1:25" ht="15.75" customHeight="1">
      <c r="A78" s="331">
        <v>77</v>
      </c>
      <c r="B78" s="331" t="s">
        <v>403</v>
      </c>
      <c r="C78" s="331" t="s">
        <v>404</v>
      </c>
      <c r="D78" s="35">
        <v>21</v>
      </c>
      <c r="E78" s="21">
        <f t="shared" si="5"/>
        <v>0.16153846153846155</v>
      </c>
      <c r="F78" s="11"/>
      <c r="G78" s="29" t="s">
        <v>74</v>
      </c>
      <c r="H78" s="13">
        <v>4</v>
      </c>
      <c r="I78" s="21">
        <f t="shared" si="4"/>
        <v>2.3255813953488372E-2</v>
      </c>
      <c r="K78" s="55"/>
      <c r="L78" s="55"/>
      <c r="M78" s="55"/>
      <c r="N78" s="55"/>
      <c r="O78" s="55"/>
      <c r="P78" s="55"/>
      <c r="Q78" s="55"/>
      <c r="R78" s="55"/>
      <c r="S78" s="55"/>
      <c r="T78" s="55"/>
      <c r="U78" s="55"/>
      <c r="V78" s="55"/>
      <c r="W78" s="55"/>
      <c r="X78" s="55"/>
      <c r="Y78" s="55"/>
    </row>
    <row r="79" spans="1:25" ht="15.75" customHeight="1">
      <c r="A79" s="331">
        <v>78</v>
      </c>
      <c r="B79" s="331" t="s">
        <v>263</v>
      </c>
      <c r="C79" s="331" t="s">
        <v>102</v>
      </c>
      <c r="D79" s="35">
        <v>9</v>
      </c>
      <c r="E79" s="21">
        <f t="shared" si="5"/>
        <v>6.9230769230769235E-2</v>
      </c>
      <c r="F79" s="11"/>
      <c r="G79" s="29" t="s">
        <v>780</v>
      </c>
      <c r="H79" s="13">
        <v>0</v>
      </c>
      <c r="I79" s="21">
        <f t="shared" si="4"/>
        <v>0</v>
      </c>
      <c r="K79" s="55"/>
      <c r="L79" s="55"/>
      <c r="M79" s="55"/>
      <c r="N79" s="55"/>
      <c r="O79" s="55"/>
      <c r="P79" s="55"/>
      <c r="Q79" s="55"/>
      <c r="R79" s="55"/>
      <c r="S79" s="55"/>
      <c r="T79" s="55"/>
      <c r="U79" s="55"/>
      <c r="V79" s="55"/>
      <c r="W79" s="55"/>
      <c r="X79" s="55"/>
      <c r="Y79" s="55"/>
    </row>
    <row r="80" spans="1:25" ht="15.75" customHeight="1">
      <c r="A80" s="331">
        <v>79</v>
      </c>
      <c r="B80" s="331" t="s">
        <v>409</v>
      </c>
      <c r="C80" s="331" t="s">
        <v>241</v>
      </c>
      <c r="D80" s="35">
        <v>10</v>
      </c>
      <c r="E80" s="21">
        <f t="shared" si="5"/>
        <v>7.6923076923076927E-2</v>
      </c>
      <c r="F80" s="11"/>
      <c r="G80" s="29" t="s">
        <v>75</v>
      </c>
      <c r="H80" s="13">
        <v>0</v>
      </c>
      <c r="I80" s="21">
        <f t="shared" ref="I80:I111" si="6">H80/172</f>
        <v>0</v>
      </c>
      <c r="K80" s="55"/>
      <c r="L80" s="55"/>
      <c r="M80" s="55"/>
      <c r="N80" s="55"/>
      <c r="O80" s="55"/>
      <c r="P80" s="55"/>
      <c r="Q80" s="55"/>
      <c r="R80" s="55"/>
      <c r="S80" s="55"/>
      <c r="T80" s="55"/>
      <c r="U80" s="55"/>
      <c r="V80" s="55"/>
      <c r="W80" s="55"/>
      <c r="X80" s="55"/>
      <c r="Y80" s="55"/>
    </row>
    <row r="81" spans="1:25" ht="15.75" customHeight="1">
      <c r="A81" s="331">
        <v>80</v>
      </c>
      <c r="B81" s="331" t="s">
        <v>413</v>
      </c>
      <c r="C81" s="331" t="s">
        <v>212</v>
      </c>
      <c r="D81" s="35">
        <v>9</v>
      </c>
      <c r="E81" s="21">
        <f t="shared" si="5"/>
        <v>6.9230769230769235E-2</v>
      </c>
      <c r="F81" s="11"/>
      <c r="G81" s="29" t="s">
        <v>781</v>
      </c>
      <c r="H81" s="13">
        <v>0</v>
      </c>
      <c r="I81" s="21">
        <f t="shared" si="6"/>
        <v>0</v>
      </c>
      <c r="K81" s="55"/>
      <c r="L81" s="55"/>
      <c r="M81" s="55"/>
      <c r="N81" s="55"/>
      <c r="O81" s="55"/>
      <c r="P81" s="55"/>
      <c r="Q81" s="55"/>
      <c r="R81" s="55"/>
      <c r="S81" s="55"/>
      <c r="T81" s="55"/>
      <c r="U81" s="55"/>
      <c r="V81" s="55"/>
      <c r="W81" s="55"/>
      <c r="X81" s="55"/>
      <c r="Y81" s="55"/>
    </row>
    <row r="82" spans="1:25" ht="15.75" customHeight="1">
      <c r="A82" s="331">
        <v>81</v>
      </c>
      <c r="B82" s="331" t="s">
        <v>417</v>
      </c>
      <c r="C82" s="331" t="s">
        <v>3034</v>
      </c>
      <c r="D82" s="35">
        <v>25</v>
      </c>
      <c r="E82" s="21">
        <f t="shared" si="5"/>
        <v>0.19230769230769232</v>
      </c>
      <c r="F82" s="11"/>
      <c r="G82" s="29" t="s">
        <v>76</v>
      </c>
      <c r="H82" s="13">
        <v>4</v>
      </c>
      <c r="I82" s="21">
        <f t="shared" si="6"/>
        <v>2.3255813953488372E-2</v>
      </c>
      <c r="K82" s="55"/>
      <c r="L82" s="55"/>
      <c r="M82" s="55"/>
      <c r="N82" s="55"/>
      <c r="O82" s="55"/>
      <c r="P82" s="55"/>
      <c r="Q82" s="55"/>
      <c r="R82" s="55"/>
      <c r="S82" s="55"/>
      <c r="T82" s="55"/>
      <c r="U82" s="55"/>
      <c r="V82" s="55"/>
      <c r="W82" s="55"/>
      <c r="X82" s="55"/>
      <c r="Y82" s="55"/>
    </row>
    <row r="83" spans="1:25" ht="15.75" customHeight="1">
      <c r="A83" s="331">
        <v>82</v>
      </c>
      <c r="B83" s="331" t="s">
        <v>419</v>
      </c>
      <c r="C83" s="331" t="s">
        <v>182</v>
      </c>
      <c r="D83" s="35">
        <v>23</v>
      </c>
      <c r="E83" s="21">
        <f t="shared" si="5"/>
        <v>0.17692307692307693</v>
      </c>
      <c r="F83" s="11"/>
      <c r="G83" s="29" t="s">
        <v>77</v>
      </c>
      <c r="H83" s="13">
        <v>17</v>
      </c>
      <c r="I83" s="21">
        <f t="shared" si="6"/>
        <v>9.8837209302325577E-2</v>
      </c>
      <c r="K83" s="55"/>
      <c r="L83" s="55"/>
      <c r="M83" s="55"/>
      <c r="N83" s="55"/>
      <c r="O83" s="55"/>
      <c r="P83" s="55"/>
      <c r="Q83" s="55"/>
      <c r="R83" s="55"/>
      <c r="S83" s="55"/>
      <c r="T83" s="55"/>
      <c r="U83" s="55"/>
      <c r="V83" s="55"/>
      <c r="W83" s="55"/>
      <c r="X83" s="55"/>
      <c r="Y83" s="55"/>
    </row>
    <row r="84" spans="1:25" ht="15.75" customHeight="1">
      <c r="A84" s="331">
        <v>83</v>
      </c>
      <c r="B84" s="331" t="s">
        <v>422</v>
      </c>
      <c r="C84" s="331" t="s">
        <v>423</v>
      </c>
      <c r="D84" s="35">
        <v>17</v>
      </c>
      <c r="E84" s="21">
        <f t="shared" si="5"/>
        <v>0.13076923076923078</v>
      </c>
      <c r="F84" s="11"/>
      <c r="G84" s="29" t="s">
        <v>782</v>
      </c>
      <c r="H84" s="13">
        <v>1</v>
      </c>
      <c r="I84" s="21">
        <f t="shared" si="6"/>
        <v>5.8139534883720929E-3</v>
      </c>
      <c r="K84" s="55"/>
      <c r="L84" s="55"/>
      <c r="M84" s="55"/>
      <c r="N84" s="55"/>
      <c r="O84" s="55"/>
      <c r="P84" s="55"/>
      <c r="Q84" s="55"/>
      <c r="R84" s="55"/>
      <c r="S84" s="55"/>
      <c r="T84" s="55"/>
      <c r="U84" s="55"/>
      <c r="V84" s="55"/>
      <c r="W84" s="55"/>
      <c r="X84" s="55"/>
      <c r="Y84" s="55"/>
    </row>
    <row r="85" spans="1:25" ht="15.75" customHeight="1">
      <c r="A85" s="331">
        <v>84</v>
      </c>
      <c r="B85" s="331" t="s">
        <v>315</v>
      </c>
      <c r="C85" s="331" t="s">
        <v>122</v>
      </c>
      <c r="D85" s="35">
        <v>8</v>
      </c>
      <c r="E85" s="21">
        <f t="shared" si="5"/>
        <v>6.1538461538461542E-2</v>
      </c>
      <c r="F85" s="11"/>
      <c r="G85" s="29" t="s">
        <v>783</v>
      </c>
      <c r="H85" s="13">
        <v>0</v>
      </c>
      <c r="I85" s="21">
        <f t="shared" si="6"/>
        <v>0</v>
      </c>
      <c r="K85" s="55"/>
      <c r="L85" s="55"/>
      <c r="M85" s="55"/>
      <c r="N85" s="55"/>
      <c r="O85" s="55"/>
      <c r="P85" s="55"/>
      <c r="Q85" s="55"/>
      <c r="R85" s="55"/>
      <c r="S85" s="55"/>
      <c r="T85" s="55"/>
      <c r="U85" s="55"/>
      <c r="V85" s="55"/>
      <c r="W85" s="55"/>
      <c r="X85" s="55"/>
      <c r="Y85" s="55"/>
    </row>
    <row r="86" spans="1:25" ht="15.75" customHeight="1">
      <c r="A86" s="331">
        <v>85</v>
      </c>
      <c r="B86" s="331" t="s">
        <v>429</v>
      </c>
      <c r="C86" s="331" t="s">
        <v>182</v>
      </c>
      <c r="D86" s="35">
        <v>22</v>
      </c>
      <c r="E86" s="21">
        <f t="shared" si="5"/>
        <v>0.16923076923076924</v>
      </c>
      <c r="F86" s="11"/>
      <c r="G86" s="29" t="s">
        <v>3320</v>
      </c>
      <c r="H86" s="13">
        <v>0</v>
      </c>
      <c r="I86" s="21">
        <f t="shared" si="6"/>
        <v>0</v>
      </c>
      <c r="K86" s="55"/>
      <c r="L86" s="55"/>
      <c r="M86" s="55"/>
      <c r="N86" s="55"/>
      <c r="O86" s="55"/>
      <c r="P86" s="55"/>
      <c r="Q86" s="55"/>
      <c r="R86" s="55"/>
      <c r="S86" s="55"/>
      <c r="T86" s="55"/>
      <c r="U86" s="55"/>
      <c r="V86" s="55"/>
      <c r="W86" s="55"/>
      <c r="X86" s="55"/>
      <c r="Y86" s="55"/>
    </row>
    <row r="87" spans="1:25" ht="15.75" customHeight="1">
      <c r="A87" s="331">
        <v>86</v>
      </c>
      <c r="B87" s="331" t="s">
        <v>432</v>
      </c>
      <c r="C87" s="331" t="s">
        <v>433</v>
      </c>
      <c r="D87" s="35">
        <v>26</v>
      </c>
      <c r="E87" s="21">
        <f t="shared" si="5"/>
        <v>0.2</v>
      </c>
      <c r="F87" s="11"/>
      <c r="G87" s="29" t="s">
        <v>2964</v>
      </c>
      <c r="H87" s="13">
        <v>0</v>
      </c>
      <c r="I87" s="21">
        <f t="shared" si="6"/>
        <v>0</v>
      </c>
      <c r="K87" s="55"/>
      <c r="L87" s="55"/>
      <c r="M87" s="55"/>
      <c r="N87" s="55"/>
      <c r="O87" s="55"/>
      <c r="P87" s="55"/>
      <c r="Q87" s="55"/>
      <c r="R87" s="55"/>
      <c r="S87" s="55"/>
      <c r="T87" s="55"/>
      <c r="U87" s="55"/>
      <c r="V87" s="55"/>
      <c r="W87" s="55"/>
      <c r="X87" s="55"/>
      <c r="Y87" s="55"/>
    </row>
    <row r="88" spans="1:25" ht="15.75" customHeight="1">
      <c r="A88" s="331">
        <v>87</v>
      </c>
      <c r="B88" s="331" t="s">
        <v>436</v>
      </c>
      <c r="C88" s="331" t="s">
        <v>437</v>
      </c>
      <c r="D88" s="35">
        <v>17</v>
      </c>
      <c r="E88" s="21">
        <f t="shared" si="5"/>
        <v>0.13076923076923078</v>
      </c>
      <c r="F88" s="11"/>
      <c r="G88" s="29" t="s">
        <v>2953</v>
      </c>
      <c r="H88" s="13">
        <v>0</v>
      </c>
      <c r="I88" s="21">
        <f t="shared" si="6"/>
        <v>0</v>
      </c>
      <c r="K88" s="55"/>
      <c r="L88" s="55"/>
      <c r="M88" s="55"/>
      <c r="N88" s="55"/>
      <c r="O88" s="55"/>
      <c r="P88" s="55"/>
      <c r="Q88" s="55"/>
      <c r="R88" s="55"/>
      <c r="S88" s="55"/>
      <c r="T88" s="55"/>
      <c r="U88" s="55"/>
      <c r="V88" s="55"/>
      <c r="W88" s="55"/>
      <c r="X88" s="55"/>
      <c r="Y88" s="55"/>
    </row>
    <row r="89" spans="1:25" ht="15.75" customHeight="1">
      <c r="A89" s="331">
        <v>88</v>
      </c>
      <c r="B89" s="331" t="s">
        <v>441</v>
      </c>
      <c r="C89" s="331" t="s">
        <v>442</v>
      </c>
      <c r="D89" s="35">
        <v>17</v>
      </c>
      <c r="E89" s="21">
        <f t="shared" si="5"/>
        <v>0.13076923076923078</v>
      </c>
      <c r="F89" s="11"/>
      <c r="G89" s="29" t="s">
        <v>2954</v>
      </c>
      <c r="H89" s="13">
        <v>0</v>
      </c>
      <c r="I89" s="21">
        <f t="shared" si="6"/>
        <v>0</v>
      </c>
      <c r="K89" s="55"/>
      <c r="L89" s="55"/>
      <c r="M89" s="55"/>
      <c r="N89" s="55"/>
      <c r="O89" s="55"/>
      <c r="P89" s="55"/>
      <c r="Q89" s="55"/>
      <c r="R89" s="55"/>
      <c r="S89" s="55"/>
      <c r="T89" s="55"/>
      <c r="U89" s="55"/>
      <c r="V89" s="55"/>
      <c r="W89" s="55"/>
      <c r="X89" s="55"/>
      <c r="Y89" s="55"/>
    </row>
    <row r="90" spans="1:25" ht="15.75" customHeight="1">
      <c r="A90" s="331">
        <v>89</v>
      </c>
      <c r="B90" s="331" t="s">
        <v>444</v>
      </c>
      <c r="C90" s="331" t="s">
        <v>445</v>
      </c>
      <c r="D90" s="35">
        <v>21</v>
      </c>
      <c r="E90" s="21">
        <f t="shared" si="5"/>
        <v>0.16153846153846155</v>
      </c>
      <c r="F90" s="11"/>
      <c r="G90" s="29" t="s">
        <v>2955</v>
      </c>
      <c r="H90" s="13">
        <v>0</v>
      </c>
      <c r="I90" s="21">
        <f t="shared" si="6"/>
        <v>0</v>
      </c>
      <c r="K90" s="55"/>
      <c r="L90" s="55"/>
      <c r="M90" s="55"/>
      <c r="N90" s="55"/>
      <c r="O90" s="55"/>
      <c r="P90" s="55"/>
      <c r="Q90" s="55"/>
      <c r="R90" s="55"/>
      <c r="S90" s="55"/>
      <c r="T90" s="55"/>
      <c r="U90" s="55"/>
      <c r="V90" s="55"/>
      <c r="W90" s="55"/>
      <c r="X90" s="55"/>
      <c r="Y90" s="55"/>
    </row>
    <row r="91" spans="1:25" ht="15.75" customHeight="1">
      <c r="A91" s="331">
        <v>90</v>
      </c>
      <c r="B91" s="331" t="s">
        <v>193</v>
      </c>
      <c r="C91" s="331" t="s">
        <v>448</v>
      </c>
      <c r="D91" s="35">
        <v>20</v>
      </c>
      <c r="E91" s="21">
        <f t="shared" si="5"/>
        <v>0.15384615384615385</v>
      </c>
      <c r="F91" s="11"/>
      <c r="G91" s="29" t="s">
        <v>2957</v>
      </c>
      <c r="H91" s="13">
        <v>0</v>
      </c>
      <c r="I91" s="21">
        <f t="shared" si="6"/>
        <v>0</v>
      </c>
      <c r="K91" s="55"/>
      <c r="L91" s="55"/>
      <c r="M91" s="55"/>
      <c r="N91" s="55"/>
      <c r="O91" s="55"/>
      <c r="P91" s="55"/>
      <c r="Q91" s="55"/>
      <c r="R91" s="55"/>
      <c r="S91" s="55"/>
      <c r="T91" s="55"/>
      <c r="U91" s="55"/>
      <c r="V91" s="55"/>
      <c r="W91" s="55"/>
      <c r="X91" s="55"/>
      <c r="Y91" s="55"/>
    </row>
    <row r="92" spans="1:25" ht="15.75" customHeight="1">
      <c r="A92" s="331">
        <v>91</v>
      </c>
      <c r="B92" s="331" t="s">
        <v>450</v>
      </c>
      <c r="C92" s="331" t="s">
        <v>451</v>
      </c>
      <c r="D92" s="35">
        <v>9</v>
      </c>
      <c r="E92" s="21">
        <f t="shared" si="5"/>
        <v>6.9230769230769235E-2</v>
      </c>
      <c r="F92" s="11"/>
      <c r="G92" s="29" t="s">
        <v>2956</v>
      </c>
      <c r="H92" s="13">
        <v>0</v>
      </c>
      <c r="I92" s="21">
        <f t="shared" si="6"/>
        <v>0</v>
      </c>
      <c r="K92" s="55"/>
      <c r="L92" s="55"/>
      <c r="M92" s="55"/>
      <c r="N92" s="55"/>
      <c r="O92" s="55"/>
      <c r="P92" s="55"/>
      <c r="Q92" s="55"/>
      <c r="R92" s="55"/>
      <c r="S92" s="55"/>
      <c r="T92" s="55"/>
      <c r="U92" s="55"/>
      <c r="V92" s="55"/>
      <c r="W92" s="55"/>
      <c r="X92" s="55"/>
      <c r="Y92" s="55"/>
    </row>
    <row r="93" spans="1:25" ht="15.75" customHeight="1">
      <c r="A93" s="331">
        <v>92</v>
      </c>
      <c r="B93" s="331" t="s">
        <v>454</v>
      </c>
      <c r="C93" s="331" t="s">
        <v>3324</v>
      </c>
      <c r="D93" s="35">
        <v>11</v>
      </c>
      <c r="E93" s="21">
        <f t="shared" si="5"/>
        <v>8.461538461538462E-2</v>
      </c>
      <c r="F93" s="11"/>
      <c r="G93" s="29" t="s">
        <v>2958</v>
      </c>
      <c r="H93" s="13">
        <v>0</v>
      </c>
      <c r="I93" s="21">
        <f t="shared" si="6"/>
        <v>0</v>
      </c>
      <c r="K93" s="55"/>
      <c r="L93" s="55"/>
      <c r="M93" s="55"/>
      <c r="N93" s="55"/>
      <c r="O93" s="55"/>
      <c r="P93" s="55"/>
      <c r="Q93" s="55"/>
      <c r="R93" s="55"/>
      <c r="S93" s="55"/>
      <c r="T93" s="55"/>
      <c r="U93" s="55"/>
      <c r="V93" s="55"/>
      <c r="W93" s="55"/>
      <c r="X93" s="55"/>
      <c r="Y93" s="55"/>
    </row>
    <row r="94" spans="1:25" ht="15.75" customHeight="1">
      <c r="A94" s="331">
        <v>93</v>
      </c>
      <c r="B94" s="331" t="s">
        <v>457</v>
      </c>
      <c r="C94" s="331" t="s">
        <v>458</v>
      </c>
      <c r="D94" s="35">
        <v>11</v>
      </c>
      <c r="E94" s="21">
        <f t="shared" si="5"/>
        <v>8.461538461538462E-2</v>
      </c>
      <c r="F94" s="11"/>
      <c r="G94" s="29" t="s">
        <v>2959</v>
      </c>
      <c r="H94" s="13">
        <v>0</v>
      </c>
      <c r="I94" s="21">
        <f t="shared" si="6"/>
        <v>0</v>
      </c>
      <c r="K94" s="55"/>
      <c r="L94" s="55"/>
      <c r="M94" s="55"/>
      <c r="N94" s="55"/>
      <c r="O94" s="55"/>
      <c r="P94" s="55"/>
      <c r="Q94" s="55"/>
      <c r="R94" s="55"/>
      <c r="S94" s="55"/>
      <c r="T94" s="55"/>
      <c r="U94" s="55"/>
      <c r="V94" s="55"/>
      <c r="W94" s="55"/>
      <c r="X94" s="55"/>
      <c r="Y94" s="55"/>
    </row>
    <row r="95" spans="1:25" ht="15.75" customHeight="1">
      <c r="A95" s="331">
        <v>94</v>
      </c>
      <c r="B95" s="331" t="s">
        <v>460</v>
      </c>
      <c r="C95" s="331" t="s">
        <v>461</v>
      </c>
      <c r="D95" s="35">
        <v>9</v>
      </c>
      <c r="E95" s="21">
        <f t="shared" si="5"/>
        <v>6.9230769230769235E-2</v>
      </c>
      <c r="F95" s="11"/>
      <c r="G95" s="29" t="s">
        <v>3322</v>
      </c>
      <c r="H95" s="13">
        <v>0</v>
      </c>
      <c r="I95" s="21">
        <f t="shared" si="6"/>
        <v>0</v>
      </c>
      <c r="K95" s="55"/>
      <c r="L95" s="55"/>
      <c r="M95" s="55"/>
      <c r="N95" s="55"/>
      <c r="O95" s="55"/>
      <c r="P95" s="55"/>
      <c r="Q95" s="55"/>
      <c r="R95" s="55"/>
      <c r="S95" s="55"/>
      <c r="T95" s="55"/>
      <c r="U95" s="55"/>
      <c r="V95" s="55"/>
      <c r="W95" s="55"/>
      <c r="X95" s="55"/>
      <c r="Y95" s="55"/>
    </row>
    <row r="96" spans="1:25" ht="15.75" customHeight="1">
      <c r="A96" s="331">
        <v>95</v>
      </c>
      <c r="B96" s="331" t="s">
        <v>464</v>
      </c>
      <c r="C96" s="331" t="s">
        <v>465</v>
      </c>
      <c r="D96" s="35">
        <v>10</v>
      </c>
      <c r="E96" s="21">
        <f t="shared" si="5"/>
        <v>7.6923076923076927E-2</v>
      </c>
      <c r="F96" s="11"/>
      <c r="G96" s="29" t="s">
        <v>2961</v>
      </c>
      <c r="H96" s="13">
        <v>0</v>
      </c>
      <c r="I96" s="21">
        <f t="shared" si="6"/>
        <v>0</v>
      </c>
      <c r="K96" s="55"/>
      <c r="L96" s="55"/>
      <c r="M96" s="55"/>
      <c r="N96" s="55"/>
      <c r="O96" s="55"/>
      <c r="P96" s="55"/>
      <c r="Q96" s="55"/>
      <c r="R96" s="55"/>
      <c r="S96" s="55"/>
      <c r="T96" s="55"/>
      <c r="U96" s="55"/>
      <c r="V96" s="55"/>
      <c r="W96" s="55"/>
      <c r="X96" s="55"/>
      <c r="Y96" s="55"/>
    </row>
    <row r="97" spans="1:25" ht="15.75" customHeight="1">
      <c r="A97" s="331">
        <v>96</v>
      </c>
      <c r="B97" s="331" t="s">
        <v>469</v>
      </c>
      <c r="C97" s="331" t="s">
        <v>470</v>
      </c>
      <c r="D97" s="35">
        <v>22</v>
      </c>
      <c r="E97" s="21">
        <f t="shared" si="5"/>
        <v>0.16923076923076924</v>
      </c>
      <c r="F97" s="11"/>
      <c r="G97" s="29" t="s">
        <v>2962</v>
      </c>
      <c r="H97" s="13">
        <v>0</v>
      </c>
      <c r="I97" s="21">
        <f t="shared" si="6"/>
        <v>0</v>
      </c>
      <c r="K97" s="55"/>
      <c r="L97" s="55"/>
      <c r="M97" s="55"/>
      <c r="N97" s="55"/>
      <c r="O97" s="55"/>
      <c r="P97" s="55"/>
      <c r="Q97" s="55"/>
      <c r="R97" s="55"/>
      <c r="S97" s="55"/>
      <c r="T97" s="55"/>
      <c r="U97" s="55"/>
      <c r="V97" s="55"/>
      <c r="W97" s="55"/>
      <c r="X97" s="55"/>
      <c r="Y97" s="55"/>
    </row>
    <row r="98" spans="1:25" ht="15.75" customHeight="1">
      <c r="A98" s="331">
        <v>97</v>
      </c>
      <c r="B98" s="331" t="s">
        <v>472</v>
      </c>
      <c r="C98" s="331" t="s">
        <v>473</v>
      </c>
      <c r="D98" s="35">
        <v>18</v>
      </c>
      <c r="E98" s="21">
        <f t="shared" ref="E98:E129" si="7">D98/130</f>
        <v>0.13846153846153847</v>
      </c>
      <c r="F98" s="11"/>
      <c r="G98" s="29" t="s">
        <v>2963</v>
      </c>
      <c r="H98" s="13">
        <v>0</v>
      </c>
      <c r="I98" s="21">
        <f t="shared" si="6"/>
        <v>0</v>
      </c>
      <c r="K98" s="55"/>
      <c r="L98" s="55"/>
      <c r="M98" s="55"/>
      <c r="N98" s="55"/>
      <c r="O98" s="55"/>
      <c r="P98" s="55"/>
      <c r="Q98" s="55"/>
      <c r="R98" s="55"/>
      <c r="S98" s="55"/>
      <c r="T98" s="55"/>
      <c r="U98" s="55"/>
      <c r="V98" s="55"/>
      <c r="W98" s="55"/>
      <c r="X98" s="55"/>
      <c r="Y98" s="55"/>
    </row>
    <row r="99" spans="1:25" ht="15.75" customHeight="1">
      <c r="A99" s="331">
        <v>98</v>
      </c>
      <c r="B99" s="331" t="s">
        <v>476</v>
      </c>
      <c r="C99" s="331" t="s">
        <v>477</v>
      </c>
      <c r="D99" s="35">
        <v>13</v>
      </c>
      <c r="E99" s="21">
        <f t="shared" si="7"/>
        <v>0.1</v>
      </c>
      <c r="F99" s="11"/>
      <c r="G99" s="29" t="s">
        <v>784</v>
      </c>
      <c r="H99" s="13">
        <v>0</v>
      </c>
      <c r="I99" s="21">
        <f t="shared" si="6"/>
        <v>0</v>
      </c>
      <c r="K99" s="55"/>
      <c r="L99" s="55"/>
      <c r="M99" s="55"/>
      <c r="N99" s="55"/>
      <c r="O99" s="55"/>
      <c r="P99" s="55"/>
      <c r="Q99" s="55"/>
      <c r="R99" s="55"/>
      <c r="S99" s="55"/>
      <c r="T99" s="55"/>
      <c r="U99" s="55"/>
      <c r="V99" s="55"/>
      <c r="W99" s="55"/>
      <c r="X99" s="55"/>
      <c r="Y99" s="55"/>
    </row>
    <row r="100" spans="1:25" ht="15.75" customHeight="1">
      <c r="A100" s="331">
        <v>99</v>
      </c>
      <c r="B100" s="331" t="s">
        <v>480</v>
      </c>
      <c r="C100" s="331" t="s">
        <v>481</v>
      </c>
      <c r="D100" s="35">
        <v>14</v>
      </c>
      <c r="E100" s="21">
        <f t="shared" si="7"/>
        <v>0.1076923076923077</v>
      </c>
      <c r="F100" s="11"/>
      <c r="G100" s="29" t="s">
        <v>785</v>
      </c>
      <c r="H100" s="13">
        <v>0</v>
      </c>
      <c r="I100" s="21">
        <f t="shared" si="6"/>
        <v>0</v>
      </c>
      <c r="K100" s="55"/>
      <c r="L100" s="55"/>
      <c r="M100" s="55"/>
      <c r="N100" s="55"/>
      <c r="O100" s="55"/>
      <c r="P100" s="55"/>
      <c r="Q100" s="55"/>
      <c r="R100" s="55"/>
      <c r="S100" s="55"/>
      <c r="T100" s="55"/>
      <c r="U100" s="55"/>
      <c r="V100" s="55"/>
      <c r="W100" s="55"/>
      <c r="X100" s="55"/>
      <c r="Y100" s="55"/>
    </row>
    <row r="101" spans="1:25" ht="15.75" customHeight="1">
      <c r="A101" s="331">
        <v>100</v>
      </c>
      <c r="B101" s="331" t="s">
        <v>484</v>
      </c>
      <c r="C101" s="331" t="s">
        <v>94</v>
      </c>
      <c r="D101" s="35">
        <v>13</v>
      </c>
      <c r="E101" s="21">
        <f t="shared" si="7"/>
        <v>0.1</v>
      </c>
      <c r="F101" s="11"/>
      <c r="G101" s="29" t="s">
        <v>786</v>
      </c>
      <c r="H101" s="13">
        <v>2</v>
      </c>
      <c r="I101" s="21">
        <f t="shared" si="6"/>
        <v>1.1627906976744186E-2</v>
      </c>
      <c r="K101" s="55"/>
      <c r="L101" s="55"/>
      <c r="M101" s="55"/>
      <c r="N101" s="55"/>
      <c r="O101" s="55"/>
      <c r="P101" s="55"/>
      <c r="Q101" s="55"/>
      <c r="R101" s="55"/>
      <c r="S101" s="55"/>
      <c r="T101" s="55"/>
      <c r="U101" s="55"/>
      <c r="V101" s="55"/>
      <c r="W101" s="55"/>
      <c r="X101" s="55"/>
      <c r="Y101" s="55"/>
    </row>
    <row r="102" spans="1:25" ht="15.75" customHeight="1">
      <c r="A102" s="331">
        <v>101</v>
      </c>
      <c r="B102" s="331" t="s">
        <v>488</v>
      </c>
      <c r="C102" s="331" t="s">
        <v>489</v>
      </c>
      <c r="D102" s="35">
        <v>6</v>
      </c>
      <c r="E102" s="21">
        <f t="shared" si="7"/>
        <v>4.6153846153846156E-2</v>
      </c>
      <c r="F102" s="11"/>
      <c r="G102" s="29" t="s">
        <v>787</v>
      </c>
      <c r="H102" s="13">
        <v>1</v>
      </c>
      <c r="I102" s="21">
        <f t="shared" si="6"/>
        <v>5.8139534883720929E-3</v>
      </c>
      <c r="K102" s="55"/>
      <c r="L102" s="55"/>
      <c r="M102" s="55"/>
      <c r="N102" s="55"/>
      <c r="O102" s="55"/>
      <c r="P102" s="55"/>
      <c r="Q102" s="55"/>
      <c r="R102" s="55"/>
      <c r="S102" s="55"/>
      <c r="T102" s="55"/>
      <c r="U102" s="55"/>
      <c r="V102" s="55"/>
      <c r="W102" s="55"/>
      <c r="X102" s="55"/>
      <c r="Y102" s="55"/>
    </row>
    <row r="103" spans="1:25" ht="15.75" customHeight="1">
      <c r="A103" s="331">
        <v>102</v>
      </c>
      <c r="B103" s="331" t="s">
        <v>492</v>
      </c>
      <c r="C103" s="331" t="s">
        <v>493</v>
      </c>
      <c r="D103" s="35">
        <v>7</v>
      </c>
      <c r="E103" s="21">
        <f t="shared" si="7"/>
        <v>5.3846153846153849E-2</v>
      </c>
      <c r="F103" s="11"/>
      <c r="G103" s="29" t="s">
        <v>788</v>
      </c>
      <c r="H103" s="13">
        <v>95</v>
      </c>
      <c r="I103" s="21">
        <f t="shared" si="6"/>
        <v>0.55232558139534882</v>
      </c>
      <c r="K103" s="55"/>
      <c r="L103" s="55"/>
      <c r="M103" s="55"/>
      <c r="N103" s="55"/>
      <c r="O103" s="55"/>
      <c r="P103" s="55"/>
      <c r="Q103" s="55"/>
      <c r="R103" s="55"/>
      <c r="S103" s="55"/>
      <c r="T103" s="55"/>
      <c r="U103" s="55"/>
      <c r="V103" s="55"/>
      <c r="W103" s="55"/>
      <c r="X103" s="55"/>
      <c r="Y103" s="55"/>
    </row>
    <row r="104" spans="1:25" ht="15.75" customHeight="1">
      <c r="A104" s="331">
        <v>103</v>
      </c>
      <c r="B104" s="331" t="s">
        <v>498</v>
      </c>
      <c r="C104" s="331" t="s">
        <v>102</v>
      </c>
      <c r="D104" s="35">
        <v>9</v>
      </c>
      <c r="E104" s="21">
        <f t="shared" si="7"/>
        <v>6.9230769230769235E-2</v>
      </c>
      <c r="F104" s="11"/>
      <c r="G104" s="29" t="s">
        <v>789</v>
      </c>
      <c r="H104" s="13">
        <v>95</v>
      </c>
      <c r="I104" s="21">
        <f t="shared" si="6"/>
        <v>0.55232558139534882</v>
      </c>
      <c r="K104" s="55"/>
      <c r="L104" s="55"/>
      <c r="M104" s="55"/>
      <c r="N104" s="55"/>
      <c r="O104" s="55"/>
      <c r="P104" s="55"/>
      <c r="Q104" s="55"/>
      <c r="R104" s="55"/>
      <c r="S104" s="55"/>
      <c r="T104" s="55"/>
      <c r="U104" s="55"/>
      <c r="V104" s="55"/>
      <c r="W104" s="55"/>
      <c r="X104" s="55"/>
      <c r="Y104" s="55"/>
    </row>
    <row r="105" spans="1:25" ht="15.75" customHeight="1">
      <c r="A105" s="331">
        <v>104</v>
      </c>
      <c r="B105" s="331" t="s">
        <v>502</v>
      </c>
      <c r="C105" s="331" t="s">
        <v>361</v>
      </c>
      <c r="D105" s="35">
        <v>8</v>
      </c>
      <c r="E105" s="21">
        <f t="shared" si="7"/>
        <v>6.1538461538461542E-2</v>
      </c>
      <c r="F105" s="11"/>
      <c r="G105" s="29" t="s">
        <v>790</v>
      </c>
      <c r="H105" s="13">
        <v>93</v>
      </c>
      <c r="I105" s="21">
        <f t="shared" si="6"/>
        <v>0.54069767441860461</v>
      </c>
      <c r="K105" s="55"/>
      <c r="L105" s="55"/>
      <c r="M105" s="55"/>
      <c r="N105" s="55"/>
      <c r="O105" s="55"/>
      <c r="P105" s="55"/>
      <c r="Q105" s="55"/>
      <c r="R105" s="55"/>
      <c r="S105" s="55"/>
      <c r="T105" s="55"/>
      <c r="U105" s="55"/>
      <c r="V105" s="55"/>
      <c r="W105" s="55"/>
      <c r="X105" s="55"/>
      <c r="Y105" s="55"/>
    </row>
    <row r="106" spans="1:25" ht="15.75" customHeight="1">
      <c r="A106" s="331">
        <v>105</v>
      </c>
      <c r="B106" s="331" t="s">
        <v>507</v>
      </c>
      <c r="C106" s="331" t="s">
        <v>94</v>
      </c>
      <c r="D106" s="35">
        <v>8</v>
      </c>
      <c r="E106" s="21">
        <f t="shared" si="7"/>
        <v>6.1538461538461542E-2</v>
      </c>
      <c r="F106" s="11"/>
      <c r="G106" s="29" t="s">
        <v>794</v>
      </c>
      <c r="H106" s="13">
        <v>3</v>
      </c>
      <c r="I106" s="21">
        <f t="shared" si="6"/>
        <v>1.7441860465116279E-2</v>
      </c>
      <c r="K106" s="55"/>
      <c r="L106" s="55"/>
      <c r="M106" s="55"/>
      <c r="N106" s="55"/>
      <c r="O106" s="55"/>
      <c r="P106" s="55"/>
      <c r="Q106" s="55"/>
      <c r="R106" s="55"/>
      <c r="S106" s="55"/>
      <c r="T106" s="55"/>
      <c r="U106" s="55"/>
      <c r="V106" s="55"/>
      <c r="W106" s="55"/>
      <c r="X106" s="55"/>
      <c r="Y106" s="55"/>
    </row>
    <row r="107" spans="1:25" ht="15.75" customHeight="1">
      <c r="A107" s="331">
        <v>106</v>
      </c>
      <c r="B107" s="331" t="s">
        <v>510</v>
      </c>
      <c r="C107" s="331" t="s">
        <v>423</v>
      </c>
      <c r="D107" s="35">
        <v>7</v>
      </c>
      <c r="E107" s="21">
        <f t="shared" si="7"/>
        <v>5.3846153846153849E-2</v>
      </c>
      <c r="F107" s="11"/>
      <c r="G107" s="29" t="s">
        <v>795</v>
      </c>
      <c r="H107" s="13">
        <v>0</v>
      </c>
      <c r="I107" s="21">
        <f t="shared" si="6"/>
        <v>0</v>
      </c>
      <c r="K107" s="55"/>
      <c r="L107" s="55"/>
      <c r="M107" s="55"/>
      <c r="N107" s="55"/>
      <c r="O107" s="55"/>
      <c r="P107" s="55"/>
      <c r="Q107" s="55"/>
      <c r="R107" s="55"/>
      <c r="S107" s="55"/>
      <c r="T107" s="55"/>
      <c r="U107" s="55"/>
      <c r="V107" s="55"/>
      <c r="W107" s="55"/>
      <c r="X107" s="55"/>
      <c r="Y107" s="55"/>
    </row>
    <row r="108" spans="1:25" ht="15.75" customHeight="1">
      <c r="A108" s="331">
        <v>107</v>
      </c>
      <c r="B108" s="332" t="s">
        <v>513</v>
      </c>
      <c r="C108" s="332" t="s">
        <v>514</v>
      </c>
      <c r="D108" s="35">
        <v>8</v>
      </c>
      <c r="E108" s="21">
        <f t="shared" si="7"/>
        <v>6.1538461538461542E-2</v>
      </c>
      <c r="F108" s="11"/>
      <c r="G108" s="29" t="s">
        <v>796</v>
      </c>
      <c r="H108" s="13">
        <v>0</v>
      </c>
      <c r="I108" s="21">
        <f t="shared" si="6"/>
        <v>0</v>
      </c>
      <c r="K108" s="55"/>
      <c r="L108" s="55"/>
      <c r="M108" s="55"/>
      <c r="N108" s="55"/>
      <c r="O108" s="55"/>
      <c r="P108" s="55"/>
      <c r="Q108" s="55"/>
      <c r="R108" s="55"/>
      <c r="S108" s="55"/>
      <c r="T108" s="55"/>
      <c r="U108" s="55"/>
      <c r="V108" s="55"/>
      <c r="W108" s="55"/>
      <c r="X108" s="55"/>
      <c r="Y108" s="55"/>
    </row>
    <row r="109" spans="1:25" ht="15.75" customHeight="1">
      <c r="A109" s="331">
        <v>108</v>
      </c>
      <c r="B109" s="331" t="s">
        <v>517</v>
      </c>
      <c r="C109" s="331" t="s">
        <v>518</v>
      </c>
      <c r="D109" s="35">
        <v>17</v>
      </c>
      <c r="E109" s="21">
        <f t="shared" si="7"/>
        <v>0.13076923076923078</v>
      </c>
      <c r="F109" s="11"/>
      <c r="G109" s="29" t="s">
        <v>797</v>
      </c>
      <c r="H109" s="13">
        <v>1</v>
      </c>
      <c r="I109" s="21">
        <f t="shared" si="6"/>
        <v>5.8139534883720929E-3</v>
      </c>
      <c r="K109" s="55"/>
      <c r="L109" s="55"/>
      <c r="M109" s="55"/>
      <c r="N109" s="55"/>
      <c r="O109" s="55"/>
      <c r="P109" s="55"/>
      <c r="Q109" s="55"/>
      <c r="R109" s="55"/>
      <c r="S109" s="55"/>
      <c r="T109" s="55"/>
      <c r="U109" s="55"/>
      <c r="V109" s="55"/>
      <c r="W109" s="55"/>
      <c r="X109" s="55"/>
      <c r="Y109" s="55"/>
    </row>
    <row r="110" spans="1:25" ht="15.75" customHeight="1">
      <c r="A110" s="331">
        <v>109</v>
      </c>
      <c r="B110" s="331" t="s">
        <v>520</v>
      </c>
      <c r="C110" s="331" t="s">
        <v>521</v>
      </c>
      <c r="D110" s="35">
        <v>9</v>
      </c>
      <c r="E110" s="21">
        <f t="shared" si="7"/>
        <v>6.9230769230769235E-2</v>
      </c>
      <c r="F110" s="11"/>
      <c r="G110" s="29" t="s">
        <v>798</v>
      </c>
      <c r="H110" s="13">
        <v>0</v>
      </c>
      <c r="I110" s="21">
        <f t="shared" si="6"/>
        <v>0</v>
      </c>
      <c r="K110" s="55"/>
      <c r="L110" s="55"/>
      <c r="M110" s="55"/>
      <c r="N110" s="55"/>
      <c r="O110" s="55"/>
      <c r="P110" s="55"/>
      <c r="Q110" s="55"/>
      <c r="R110" s="55"/>
      <c r="S110" s="55"/>
      <c r="T110" s="55"/>
      <c r="U110" s="55"/>
      <c r="V110" s="55"/>
      <c r="W110" s="55"/>
      <c r="X110" s="55"/>
      <c r="Y110" s="55"/>
    </row>
    <row r="111" spans="1:25" ht="15.75" customHeight="1">
      <c r="A111" s="331">
        <v>110</v>
      </c>
      <c r="B111" s="331" t="s">
        <v>524</v>
      </c>
      <c r="C111" s="331" t="s">
        <v>102</v>
      </c>
      <c r="D111" s="35">
        <v>18</v>
      </c>
      <c r="E111" s="21">
        <f t="shared" si="7"/>
        <v>0.13846153846153847</v>
      </c>
      <c r="F111" s="11"/>
      <c r="G111" s="29" t="s">
        <v>799</v>
      </c>
      <c r="H111" s="13">
        <v>0</v>
      </c>
      <c r="I111" s="21">
        <f t="shared" si="6"/>
        <v>0</v>
      </c>
      <c r="K111" s="55"/>
      <c r="L111" s="55"/>
      <c r="M111" s="55"/>
      <c r="N111" s="55"/>
      <c r="O111" s="55"/>
      <c r="P111" s="55"/>
      <c r="Q111" s="55"/>
      <c r="R111" s="55"/>
      <c r="S111" s="55"/>
      <c r="T111" s="55"/>
      <c r="U111" s="55"/>
      <c r="V111" s="55"/>
      <c r="W111" s="55"/>
      <c r="X111" s="55"/>
      <c r="Y111" s="55"/>
    </row>
    <row r="112" spans="1:25" ht="15.75" customHeight="1">
      <c r="A112" s="331">
        <v>111</v>
      </c>
      <c r="B112" s="331" t="s">
        <v>527</v>
      </c>
      <c r="C112" s="331" t="s">
        <v>528</v>
      </c>
      <c r="D112" s="35">
        <v>14</v>
      </c>
      <c r="E112" s="21">
        <f t="shared" si="7"/>
        <v>0.1076923076923077</v>
      </c>
      <c r="F112" s="11"/>
      <c r="G112" s="29" t="s">
        <v>82</v>
      </c>
      <c r="H112" s="13">
        <v>3</v>
      </c>
      <c r="I112" s="21">
        <f t="shared" ref="I112:I115" si="8">H112/172</f>
        <v>1.7441860465116279E-2</v>
      </c>
      <c r="K112" s="55"/>
      <c r="L112" s="55"/>
      <c r="M112" s="55"/>
      <c r="N112" s="55"/>
      <c r="O112" s="55"/>
      <c r="P112" s="55"/>
      <c r="Q112" s="55"/>
      <c r="R112" s="55"/>
      <c r="S112" s="55"/>
      <c r="T112" s="55"/>
      <c r="U112" s="55"/>
      <c r="V112" s="55"/>
      <c r="W112" s="55"/>
      <c r="X112" s="55"/>
      <c r="Y112" s="55"/>
    </row>
    <row r="113" spans="1:25" ht="15.75" customHeight="1">
      <c r="A113" s="331">
        <v>112</v>
      </c>
      <c r="B113" s="331" t="s">
        <v>532</v>
      </c>
      <c r="C113" s="331" t="s">
        <v>533</v>
      </c>
      <c r="D113" s="35">
        <v>34</v>
      </c>
      <c r="E113" s="21">
        <f t="shared" si="7"/>
        <v>0.26153846153846155</v>
      </c>
      <c r="F113" s="11"/>
      <c r="G113" s="29" t="s">
        <v>83</v>
      </c>
      <c r="H113" s="13">
        <v>0</v>
      </c>
      <c r="I113" s="21">
        <f t="shared" si="8"/>
        <v>0</v>
      </c>
      <c r="K113" s="55"/>
      <c r="L113" s="55"/>
      <c r="M113" s="55"/>
      <c r="N113" s="55"/>
      <c r="O113" s="55"/>
      <c r="P113" s="55"/>
      <c r="Q113" s="55"/>
      <c r="R113" s="55"/>
      <c r="S113" s="55"/>
      <c r="T113" s="55"/>
      <c r="U113" s="55"/>
      <c r="V113" s="55"/>
      <c r="W113" s="55"/>
      <c r="X113" s="55"/>
      <c r="Y113" s="55"/>
    </row>
    <row r="114" spans="1:25" ht="15.75" customHeight="1">
      <c r="A114" s="331">
        <v>113</v>
      </c>
      <c r="B114" s="331" t="s">
        <v>536</v>
      </c>
      <c r="C114" s="331" t="s">
        <v>537</v>
      </c>
      <c r="D114" s="35">
        <v>6</v>
      </c>
      <c r="E114" s="21">
        <f t="shared" si="7"/>
        <v>4.6153846153846156E-2</v>
      </c>
      <c r="F114" s="11"/>
      <c r="G114" s="29" t="s">
        <v>64</v>
      </c>
      <c r="H114" s="13">
        <v>11</v>
      </c>
      <c r="I114" s="21">
        <f t="shared" si="8"/>
        <v>6.3953488372093026E-2</v>
      </c>
      <c r="K114" s="55"/>
      <c r="L114" s="55"/>
      <c r="M114" s="55"/>
      <c r="N114" s="55"/>
      <c r="O114" s="55"/>
      <c r="P114" s="55"/>
      <c r="Q114" s="55"/>
      <c r="R114" s="55"/>
      <c r="S114" s="55"/>
      <c r="T114" s="55"/>
      <c r="U114" s="55"/>
      <c r="V114" s="55"/>
      <c r="W114" s="55"/>
      <c r="X114" s="55"/>
      <c r="Y114" s="55"/>
    </row>
    <row r="115" spans="1:25" ht="15.75" customHeight="1">
      <c r="A115" s="331">
        <v>114</v>
      </c>
      <c r="B115" s="331" t="s">
        <v>540</v>
      </c>
      <c r="C115" s="331" t="s">
        <v>541</v>
      </c>
      <c r="D115" s="35">
        <v>5</v>
      </c>
      <c r="E115" s="21">
        <f t="shared" si="7"/>
        <v>3.8461538461538464E-2</v>
      </c>
      <c r="F115" s="11"/>
      <c r="G115" s="29" t="s">
        <v>3317</v>
      </c>
      <c r="H115" s="13">
        <v>23</v>
      </c>
      <c r="I115" s="21">
        <f t="shared" si="8"/>
        <v>0.13372093023255813</v>
      </c>
      <c r="K115" s="55"/>
      <c r="L115" s="55"/>
      <c r="M115" s="55"/>
      <c r="N115" s="55"/>
      <c r="O115" s="55"/>
      <c r="P115" s="55"/>
      <c r="Q115" s="55"/>
      <c r="R115" s="55"/>
      <c r="S115" s="55"/>
      <c r="T115" s="55"/>
      <c r="U115" s="55"/>
      <c r="V115" s="55"/>
      <c r="W115" s="55"/>
      <c r="X115" s="55"/>
      <c r="Y115" s="55"/>
    </row>
    <row r="116" spans="1:25" ht="15.75" customHeight="1">
      <c r="A116" s="331">
        <v>115</v>
      </c>
      <c r="B116" s="331" t="s">
        <v>544</v>
      </c>
      <c r="C116" s="331" t="s">
        <v>545</v>
      </c>
      <c r="D116" s="35">
        <v>18</v>
      </c>
      <c r="E116" s="21">
        <f t="shared" si="7"/>
        <v>0.13846153846153847</v>
      </c>
      <c r="F116" s="11"/>
      <c r="G116" s="29" t="s">
        <v>801</v>
      </c>
      <c r="H116" s="13">
        <v>0</v>
      </c>
      <c r="I116" s="21">
        <f t="shared" ref="I116:I122" si="9">H116/172</f>
        <v>0</v>
      </c>
      <c r="K116" s="55"/>
      <c r="L116" s="55"/>
      <c r="M116" s="55"/>
      <c r="N116" s="55"/>
      <c r="O116" s="55"/>
      <c r="P116" s="55"/>
      <c r="Q116" s="55"/>
      <c r="R116" s="55"/>
      <c r="S116" s="55"/>
      <c r="T116" s="55"/>
      <c r="U116" s="55"/>
      <c r="V116" s="55"/>
      <c r="W116" s="55"/>
      <c r="X116" s="55"/>
      <c r="Y116" s="55"/>
    </row>
    <row r="117" spans="1:25" ht="15.75" customHeight="1">
      <c r="A117" s="331">
        <v>116</v>
      </c>
      <c r="B117" s="331" t="s">
        <v>547</v>
      </c>
      <c r="C117" s="331" t="s">
        <v>548</v>
      </c>
      <c r="D117" s="35">
        <v>14</v>
      </c>
      <c r="E117" s="21">
        <f t="shared" si="7"/>
        <v>0.1076923076923077</v>
      </c>
      <c r="F117" s="11"/>
      <c r="G117" s="29" t="s">
        <v>803</v>
      </c>
      <c r="H117" s="13">
        <v>0</v>
      </c>
      <c r="I117" s="21">
        <f t="shared" si="9"/>
        <v>0</v>
      </c>
      <c r="K117" s="55"/>
      <c r="L117" s="55"/>
      <c r="M117" s="55"/>
      <c r="N117" s="55"/>
      <c r="O117" s="55"/>
      <c r="P117" s="55"/>
      <c r="Q117" s="55"/>
      <c r="R117" s="55"/>
      <c r="S117" s="55"/>
      <c r="T117" s="55"/>
      <c r="U117" s="55"/>
      <c r="V117" s="55"/>
      <c r="W117" s="55"/>
      <c r="X117" s="55"/>
      <c r="Y117" s="55"/>
    </row>
    <row r="118" spans="1:25" ht="15.75" customHeight="1">
      <c r="A118" s="331">
        <v>117</v>
      </c>
      <c r="B118" s="331" t="s">
        <v>507</v>
      </c>
      <c r="C118" s="331" t="s">
        <v>551</v>
      </c>
      <c r="D118" s="35">
        <v>10</v>
      </c>
      <c r="E118" s="21">
        <f t="shared" si="7"/>
        <v>7.6923076923076927E-2</v>
      </c>
      <c r="F118" s="11"/>
      <c r="G118" s="29" t="s">
        <v>804</v>
      </c>
      <c r="H118" s="13">
        <v>0</v>
      </c>
      <c r="I118" s="21">
        <f t="shared" si="9"/>
        <v>0</v>
      </c>
      <c r="K118" s="55"/>
      <c r="L118" s="55"/>
      <c r="M118" s="55"/>
      <c r="N118" s="55"/>
      <c r="O118" s="55"/>
      <c r="P118" s="55"/>
      <c r="Q118" s="55"/>
      <c r="R118" s="55"/>
      <c r="S118" s="55"/>
      <c r="T118" s="55"/>
      <c r="U118" s="55"/>
      <c r="V118" s="55"/>
      <c r="W118" s="55"/>
      <c r="X118" s="55"/>
      <c r="Y118" s="55"/>
    </row>
    <row r="119" spans="1:25" ht="15.75" customHeight="1">
      <c r="A119" s="331">
        <v>118</v>
      </c>
      <c r="B119" s="331" t="s">
        <v>553</v>
      </c>
      <c r="C119" s="331" t="s">
        <v>554</v>
      </c>
      <c r="D119" s="35">
        <v>25</v>
      </c>
      <c r="E119" s="21">
        <f t="shared" si="7"/>
        <v>0.19230769230769232</v>
      </c>
      <c r="F119" s="11"/>
      <c r="G119" s="29" t="s">
        <v>805</v>
      </c>
      <c r="H119" s="13">
        <v>0</v>
      </c>
      <c r="I119" s="21">
        <f t="shared" si="9"/>
        <v>0</v>
      </c>
      <c r="K119" s="55"/>
      <c r="L119" s="55"/>
      <c r="M119" s="55"/>
      <c r="N119" s="55"/>
      <c r="O119" s="55"/>
      <c r="P119" s="55"/>
      <c r="Q119" s="55"/>
      <c r="R119" s="55"/>
      <c r="S119" s="55"/>
      <c r="T119" s="55"/>
      <c r="U119" s="55"/>
      <c r="V119" s="55"/>
      <c r="W119" s="55"/>
      <c r="X119" s="55"/>
      <c r="Y119" s="55"/>
    </row>
    <row r="120" spans="1:25" ht="15.75" customHeight="1">
      <c r="A120" s="331">
        <v>119</v>
      </c>
      <c r="B120" s="331" t="s">
        <v>556</v>
      </c>
      <c r="C120" s="331" t="s">
        <v>557</v>
      </c>
      <c r="D120" s="35">
        <v>22</v>
      </c>
      <c r="E120" s="21">
        <f t="shared" si="7"/>
        <v>0.16923076923076924</v>
      </c>
      <c r="F120" s="11"/>
      <c r="G120" s="29" t="s">
        <v>90</v>
      </c>
      <c r="H120" s="13">
        <v>1</v>
      </c>
      <c r="I120" s="21">
        <f t="shared" si="9"/>
        <v>5.8139534883720929E-3</v>
      </c>
      <c r="K120" s="55"/>
      <c r="L120" s="55"/>
      <c r="M120" s="55"/>
      <c r="N120" s="55"/>
      <c r="O120" s="55"/>
      <c r="P120" s="55"/>
      <c r="Q120" s="55"/>
      <c r="R120" s="55"/>
      <c r="S120" s="55"/>
      <c r="T120" s="55"/>
      <c r="U120" s="55"/>
      <c r="V120" s="55"/>
      <c r="W120" s="55"/>
      <c r="X120" s="55"/>
      <c r="Y120" s="55"/>
    </row>
    <row r="121" spans="1:25" ht="15.75" customHeight="1">
      <c r="A121" s="331">
        <v>120</v>
      </c>
      <c r="B121" s="331" t="s">
        <v>560</v>
      </c>
      <c r="C121" s="331" t="s">
        <v>561</v>
      </c>
      <c r="D121" s="35">
        <v>5</v>
      </c>
      <c r="E121" s="21">
        <f t="shared" si="7"/>
        <v>3.8461538461538464E-2</v>
      </c>
      <c r="F121" s="11"/>
      <c r="G121" s="29" t="s">
        <v>91</v>
      </c>
      <c r="H121" s="13">
        <v>4</v>
      </c>
      <c r="I121" s="21">
        <f t="shared" si="9"/>
        <v>2.3255813953488372E-2</v>
      </c>
      <c r="K121" s="55"/>
      <c r="L121" s="55"/>
      <c r="M121" s="55"/>
      <c r="N121" s="55"/>
      <c r="O121" s="55"/>
      <c r="P121" s="55"/>
      <c r="Q121" s="55"/>
      <c r="R121" s="55"/>
      <c r="S121" s="55"/>
      <c r="T121" s="55"/>
      <c r="U121" s="55"/>
      <c r="V121" s="55"/>
      <c r="W121" s="55"/>
      <c r="X121" s="55"/>
      <c r="Y121" s="55"/>
    </row>
    <row r="122" spans="1:25" ht="15.75" customHeight="1">
      <c r="A122" s="331">
        <v>121</v>
      </c>
      <c r="B122" s="331" t="s">
        <v>563</v>
      </c>
      <c r="C122" s="331" t="s">
        <v>212</v>
      </c>
      <c r="D122" s="35">
        <v>17</v>
      </c>
      <c r="E122" s="21">
        <f t="shared" si="7"/>
        <v>0.13076923076923078</v>
      </c>
      <c r="F122" s="11"/>
      <c r="G122" s="29" t="s">
        <v>92</v>
      </c>
      <c r="H122" s="13">
        <v>1</v>
      </c>
      <c r="I122" s="21">
        <f t="shared" si="9"/>
        <v>5.8139534883720929E-3</v>
      </c>
      <c r="K122" s="55"/>
      <c r="L122" s="55"/>
      <c r="M122" s="55"/>
      <c r="N122" s="55"/>
      <c r="O122" s="55"/>
      <c r="P122" s="55"/>
      <c r="Q122" s="55"/>
      <c r="R122" s="55"/>
      <c r="S122" s="55"/>
      <c r="T122" s="55"/>
      <c r="U122" s="55"/>
      <c r="V122" s="55"/>
      <c r="W122" s="55"/>
      <c r="X122" s="55"/>
      <c r="Y122" s="55"/>
    </row>
    <row r="123" spans="1:25" ht="15.75" customHeight="1">
      <c r="A123" s="331">
        <v>122</v>
      </c>
      <c r="B123" s="331" t="s">
        <v>566</v>
      </c>
      <c r="C123" s="331" t="s">
        <v>567</v>
      </c>
      <c r="D123" s="35">
        <v>14</v>
      </c>
      <c r="E123" s="21">
        <f t="shared" si="7"/>
        <v>0.1076923076923077</v>
      </c>
      <c r="F123" s="11"/>
      <c r="G123" s="28"/>
      <c r="H123" s="11"/>
      <c r="I123" s="11"/>
      <c r="K123" s="55"/>
      <c r="L123" s="55"/>
      <c r="M123" s="55"/>
      <c r="N123" s="55"/>
      <c r="O123" s="55"/>
      <c r="P123" s="55"/>
      <c r="Q123" s="55"/>
      <c r="R123" s="55"/>
      <c r="S123" s="55"/>
      <c r="T123" s="55"/>
      <c r="U123" s="55"/>
      <c r="V123" s="55"/>
      <c r="W123" s="55"/>
      <c r="X123" s="55"/>
      <c r="Y123" s="55"/>
    </row>
    <row r="124" spans="1:25" ht="15.75" customHeight="1">
      <c r="A124" s="331">
        <v>123</v>
      </c>
      <c r="B124" s="331" t="s">
        <v>570</v>
      </c>
      <c r="C124" s="331" t="s">
        <v>571</v>
      </c>
      <c r="D124" s="35">
        <v>8</v>
      </c>
      <c r="E124" s="21">
        <f t="shared" si="7"/>
        <v>6.1538461538461542E-2</v>
      </c>
      <c r="F124" s="11"/>
      <c r="G124" s="28"/>
      <c r="H124" s="11"/>
      <c r="I124" s="11"/>
      <c r="K124" s="55"/>
      <c r="L124" s="55"/>
      <c r="M124" s="55"/>
      <c r="N124" s="55"/>
      <c r="O124" s="55"/>
      <c r="P124" s="55"/>
      <c r="Q124" s="55"/>
      <c r="R124" s="55"/>
      <c r="S124" s="55"/>
      <c r="T124" s="55"/>
      <c r="U124" s="55"/>
      <c r="V124" s="55"/>
      <c r="W124" s="55"/>
      <c r="X124" s="55"/>
      <c r="Y124" s="55"/>
    </row>
    <row r="125" spans="1:25" ht="15.75" customHeight="1">
      <c r="A125" s="331">
        <v>124</v>
      </c>
      <c r="B125" s="331" t="s">
        <v>575</v>
      </c>
      <c r="C125" s="331" t="s">
        <v>576</v>
      </c>
      <c r="D125" s="35">
        <v>9</v>
      </c>
      <c r="E125" s="21">
        <f t="shared" si="7"/>
        <v>6.9230769230769235E-2</v>
      </c>
      <c r="F125" s="11"/>
      <c r="K125" s="55"/>
      <c r="L125" s="55"/>
      <c r="M125" s="55"/>
      <c r="N125" s="55"/>
      <c r="O125" s="55"/>
      <c r="P125" s="55"/>
      <c r="Q125" s="55"/>
      <c r="R125" s="55"/>
      <c r="S125" s="55"/>
      <c r="T125" s="55"/>
      <c r="U125" s="55"/>
      <c r="V125" s="55"/>
      <c r="W125" s="55"/>
      <c r="X125" s="55"/>
      <c r="Y125" s="55"/>
    </row>
    <row r="126" spans="1:25" ht="15.75" customHeight="1">
      <c r="A126" s="331">
        <v>125</v>
      </c>
      <c r="B126" s="331" t="s">
        <v>579</v>
      </c>
      <c r="C126" s="331" t="s">
        <v>580</v>
      </c>
      <c r="D126" s="35">
        <v>12</v>
      </c>
      <c r="E126" s="21">
        <f t="shared" si="7"/>
        <v>9.2307692307692313E-2</v>
      </c>
      <c r="F126" s="11"/>
      <c r="K126" s="55"/>
      <c r="L126" s="55"/>
      <c r="M126" s="55"/>
      <c r="N126" s="55"/>
      <c r="O126" s="55"/>
      <c r="P126" s="55"/>
      <c r="Q126" s="55"/>
      <c r="R126" s="55"/>
      <c r="S126" s="55"/>
      <c r="T126" s="55"/>
      <c r="U126" s="55"/>
      <c r="V126" s="55"/>
      <c r="W126" s="55"/>
      <c r="X126" s="55"/>
      <c r="Y126" s="55"/>
    </row>
    <row r="127" spans="1:25" ht="15.75" customHeight="1">
      <c r="A127" s="331">
        <v>126</v>
      </c>
      <c r="B127" s="331" t="s">
        <v>582</v>
      </c>
      <c r="C127" s="331" t="s">
        <v>221</v>
      </c>
      <c r="D127" s="35">
        <v>5</v>
      </c>
      <c r="E127" s="21">
        <f t="shared" si="7"/>
        <v>3.8461538461538464E-2</v>
      </c>
      <c r="F127" s="11"/>
      <c r="G127" s="28"/>
      <c r="H127" s="11"/>
      <c r="I127" s="11"/>
      <c r="K127" s="55"/>
      <c r="L127" s="55"/>
      <c r="M127" s="55"/>
      <c r="N127" s="55"/>
      <c r="O127" s="55"/>
      <c r="P127" s="55"/>
      <c r="Q127" s="55"/>
      <c r="R127" s="55"/>
      <c r="S127" s="55"/>
      <c r="T127" s="55"/>
      <c r="U127" s="55"/>
      <c r="V127" s="55"/>
      <c r="W127" s="55"/>
      <c r="X127" s="55"/>
      <c r="Y127" s="55"/>
    </row>
    <row r="128" spans="1:25" ht="15.75" customHeight="1">
      <c r="A128" s="331">
        <v>127</v>
      </c>
      <c r="B128" s="331" t="s">
        <v>586</v>
      </c>
      <c r="C128" s="331" t="s">
        <v>587</v>
      </c>
      <c r="D128" s="35">
        <v>11</v>
      </c>
      <c r="E128" s="21">
        <f t="shared" si="7"/>
        <v>8.461538461538462E-2</v>
      </c>
      <c r="F128" s="11"/>
      <c r="K128" s="55"/>
      <c r="L128" s="55"/>
      <c r="M128" s="55"/>
      <c r="N128" s="55"/>
      <c r="O128" s="55"/>
      <c r="P128" s="55"/>
      <c r="Q128" s="55"/>
      <c r="R128" s="55"/>
      <c r="S128" s="55"/>
      <c r="T128" s="55"/>
      <c r="U128" s="55"/>
      <c r="V128" s="55"/>
      <c r="W128" s="55"/>
      <c r="X128" s="55"/>
      <c r="Y128" s="55"/>
    </row>
    <row r="129" spans="1:25" ht="15.75" customHeight="1">
      <c r="A129" s="331">
        <v>128</v>
      </c>
      <c r="B129" s="331" t="s">
        <v>590</v>
      </c>
      <c r="C129" s="331" t="s">
        <v>367</v>
      </c>
      <c r="D129" s="35">
        <v>12</v>
      </c>
      <c r="E129" s="21">
        <f t="shared" si="7"/>
        <v>9.2307692307692313E-2</v>
      </c>
      <c r="F129" s="11"/>
      <c r="G129" s="28"/>
      <c r="H129" s="11"/>
      <c r="I129" s="11"/>
      <c r="K129" s="55"/>
      <c r="L129" s="55"/>
      <c r="M129" s="55"/>
      <c r="N129" s="55"/>
      <c r="O129" s="55"/>
      <c r="P129" s="55"/>
      <c r="Q129" s="55"/>
      <c r="R129" s="55"/>
      <c r="S129" s="55"/>
      <c r="T129" s="55"/>
      <c r="U129" s="55"/>
      <c r="V129" s="55"/>
      <c r="W129" s="55"/>
      <c r="X129" s="55"/>
      <c r="Y129" s="55"/>
    </row>
    <row r="130" spans="1:25" ht="15.75" customHeight="1">
      <c r="A130" s="331">
        <v>129</v>
      </c>
      <c r="B130" s="331" t="s">
        <v>592</v>
      </c>
      <c r="C130" s="331" t="s">
        <v>593</v>
      </c>
      <c r="D130" s="35">
        <v>8</v>
      </c>
      <c r="E130" s="21">
        <f t="shared" ref="E130:E162" si="10">D130/130</f>
        <v>6.1538461538461542E-2</v>
      </c>
      <c r="F130" s="11"/>
      <c r="G130" s="28"/>
      <c r="H130" s="11"/>
      <c r="I130" s="11"/>
      <c r="K130" s="55"/>
      <c r="L130" s="55"/>
      <c r="M130" s="55"/>
      <c r="N130" s="55"/>
      <c r="O130" s="55"/>
      <c r="P130" s="55"/>
      <c r="Q130" s="55"/>
      <c r="R130" s="55"/>
      <c r="S130" s="55"/>
      <c r="T130" s="55"/>
      <c r="U130" s="55"/>
      <c r="V130" s="55"/>
      <c r="W130" s="55"/>
      <c r="X130" s="55"/>
      <c r="Y130" s="55"/>
    </row>
    <row r="131" spans="1:25" ht="15.75" customHeight="1">
      <c r="A131" s="331">
        <v>130</v>
      </c>
      <c r="B131" s="331" t="s">
        <v>597</v>
      </c>
      <c r="C131" s="331" t="s">
        <v>598</v>
      </c>
      <c r="D131" s="35">
        <v>20</v>
      </c>
      <c r="E131" s="21">
        <f t="shared" si="10"/>
        <v>0.15384615384615385</v>
      </c>
      <c r="F131" s="11"/>
      <c r="G131" s="28"/>
      <c r="H131" s="11"/>
      <c r="I131" s="11"/>
      <c r="K131" s="55"/>
      <c r="L131" s="55"/>
      <c r="M131" s="55"/>
      <c r="N131" s="55"/>
      <c r="O131" s="55"/>
      <c r="P131" s="55"/>
      <c r="Q131" s="55"/>
      <c r="R131" s="55"/>
      <c r="S131" s="55"/>
      <c r="T131" s="55"/>
      <c r="U131" s="55"/>
      <c r="V131" s="55"/>
      <c r="W131" s="55"/>
      <c r="X131" s="55"/>
      <c r="Y131" s="55"/>
    </row>
    <row r="132" spans="1:25" ht="15.75" customHeight="1">
      <c r="A132" s="331">
        <v>131</v>
      </c>
      <c r="B132" s="331" t="s">
        <v>601</v>
      </c>
      <c r="C132" s="331" t="s">
        <v>602</v>
      </c>
      <c r="D132" s="35">
        <v>22</v>
      </c>
      <c r="E132" s="21">
        <f t="shared" si="10"/>
        <v>0.16923076923076924</v>
      </c>
      <c r="F132" s="11"/>
      <c r="G132" s="28"/>
      <c r="H132" s="11"/>
      <c r="I132" s="11"/>
      <c r="J132" s="11"/>
      <c r="K132" s="55"/>
      <c r="L132" s="55"/>
      <c r="M132" s="55"/>
      <c r="N132" s="55"/>
      <c r="O132" s="55"/>
      <c r="P132" s="55"/>
      <c r="Q132" s="55"/>
      <c r="R132" s="55"/>
      <c r="S132" s="55"/>
      <c r="T132" s="55"/>
      <c r="U132" s="55"/>
      <c r="V132" s="55"/>
      <c r="W132" s="55"/>
      <c r="X132" s="55"/>
      <c r="Y132" s="55"/>
    </row>
    <row r="133" spans="1:25" ht="15.75" customHeight="1">
      <c r="A133" s="331">
        <v>132</v>
      </c>
      <c r="B133" s="331" t="s">
        <v>604</v>
      </c>
      <c r="C133" s="331" t="s">
        <v>190</v>
      </c>
      <c r="D133" s="35">
        <v>12</v>
      </c>
      <c r="E133" s="21">
        <f t="shared" si="10"/>
        <v>9.2307692307692313E-2</v>
      </c>
      <c r="F133" s="11"/>
      <c r="G133" s="28"/>
      <c r="H133" s="11"/>
      <c r="I133" s="11"/>
      <c r="J133" s="11"/>
      <c r="K133" s="55"/>
      <c r="L133" s="55"/>
      <c r="M133" s="55"/>
      <c r="N133" s="55"/>
      <c r="O133" s="55"/>
      <c r="P133" s="55"/>
      <c r="Q133" s="55"/>
      <c r="R133" s="55"/>
      <c r="S133" s="55"/>
      <c r="T133" s="55"/>
      <c r="U133" s="55"/>
      <c r="V133" s="55"/>
      <c r="W133" s="55"/>
      <c r="X133" s="55"/>
      <c r="Y133" s="55"/>
    </row>
    <row r="134" spans="1:25" ht="15.75" customHeight="1">
      <c r="A134" s="331">
        <v>133</v>
      </c>
      <c r="B134" s="331" t="s">
        <v>608</v>
      </c>
      <c r="C134" s="331" t="s">
        <v>609</v>
      </c>
      <c r="D134" s="35">
        <v>13</v>
      </c>
      <c r="E134" s="21">
        <f t="shared" si="10"/>
        <v>0.1</v>
      </c>
      <c r="F134" s="11"/>
      <c r="G134" s="28"/>
      <c r="H134" s="11"/>
      <c r="I134" s="11"/>
      <c r="J134" s="11"/>
      <c r="K134" s="55"/>
      <c r="L134" s="55"/>
      <c r="M134" s="55"/>
      <c r="N134" s="55"/>
      <c r="O134" s="55"/>
      <c r="P134" s="55"/>
      <c r="Q134" s="55"/>
      <c r="R134" s="55"/>
      <c r="S134" s="55"/>
      <c r="T134" s="55"/>
      <c r="U134" s="55"/>
      <c r="V134" s="55"/>
      <c r="W134" s="55"/>
      <c r="X134" s="55"/>
      <c r="Y134" s="55"/>
    </row>
    <row r="135" spans="1:25" ht="15.75" customHeight="1">
      <c r="A135" s="331">
        <v>134</v>
      </c>
      <c r="B135" s="331" t="s">
        <v>612</v>
      </c>
      <c r="C135" s="331" t="s">
        <v>613</v>
      </c>
      <c r="D135" s="35">
        <v>10</v>
      </c>
      <c r="E135" s="21">
        <f t="shared" si="10"/>
        <v>7.6923076923076927E-2</v>
      </c>
      <c r="F135" s="11"/>
      <c r="G135" s="28"/>
      <c r="H135" s="11"/>
      <c r="I135" s="11"/>
      <c r="J135" s="11"/>
      <c r="K135" s="55"/>
      <c r="L135" s="55"/>
      <c r="M135" s="55"/>
      <c r="N135" s="55"/>
      <c r="O135" s="55"/>
      <c r="P135" s="55"/>
      <c r="Q135" s="55"/>
      <c r="R135" s="55"/>
      <c r="S135" s="55"/>
      <c r="T135" s="55"/>
      <c r="U135" s="55"/>
      <c r="V135" s="55"/>
      <c r="W135" s="55"/>
      <c r="X135" s="55"/>
      <c r="Y135" s="55"/>
    </row>
    <row r="136" spans="1:25" ht="15.75" customHeight="1">
      <c r="A136" s="331">
        <v>135</v>
      </c>
      <c r="B136" s="332" t="s">
        <v>615</v>
      </c>
      <c r="C136" s="332" t="s">
        <v>616</v>
      </c>
      <c r="D136" s="35">
        <v>17</v>
      </c>
      <c r="E136" s="21">
        <f t="shared" si="10"/>
        <v>0.13076923076923078</v>
      </c>
      <c r="F136" s="11"/>
      <c r="G136" s="28"/>
      <c r="H136" s="11"/>
      <c r="I136" s="11"/>
      <c r="J136" s="11"/>
      <c r="K136" s="55"/>
      <c r="L136" s="55"/>
      <c r="M136" s="55"/>
      <c r="N136" s="55"/>
      <c r="O136" s="55"/>
      <c r="P136" s="55"/>
      <c r="Q136" s="55"/>
      <c r="R136" s="55"/>
      <c r="S136" s="55"/>
      <c r="T136" s="55"/>
      <c r="U136" s="55"/>
      <c r="V136" s="55"/>
      <c r="W136" s="55"/>
      <c r="X136" s="55"/>
      <c r="Y136" s="55"/>
    </row>
    <row r="137" spans="1:25" ht="15.75" customHeight="1">
      <c r="A137" s="331">
        <v>136</v>
      </c>
      <c r="B137" s="331" t="s">
        <v>619</v>
      </c>
      <c r="C137" s="331" t="s">
        <v>620</v>
      </c>
      <c r="D137" s="35">
        <v>3</v>
      </c>
      <c r="E137" s="21">
        <f t="shared" si="10"/>
        <v>2.3076923076923078E-2</v>
      </c>
      <c r="F137" s="11"/>
      <c r="G137" s="28"/>
      <c r="H137" s="11"/>
      <c r="I137" s="11"/>
      <c r="J137" s="11"/>
      <c r="K137" s="55"/>
      <c r="L137" s="55"/>
      <c r="M137" s="55"/>
      <c r="N137" s="55"/>
      <c r="O137" s="55"/>
      <c r="P137" s="55"/>
      <c r="Q137" s="55"/>
      <c r="R137" s="55"/>
      <c r="S137" s="55"/>
      <c r="T137" s="55"/>
      <c r="U137" s="55"/>
      <c r="V137" s="55"/>
      <c r="W137" s="55"/>
      <c r="X137" s="55"/>
      <c r="Y137" s="55"/>
    </row>
    <row r="138" spans="1:25" ht="15.75" customHeight="1">
      <c r="A138" s="331">
        <v>137</v>
      </c>
      <c r="B138" s="331" t="s">
        <v>623</v>
      </c>
      <c r="C138" s="331" t="s">
        <v>624</v>
      </c>
      <c r="D138" s="35">
        <v>12</v>
      </c>
      <c r="E138" s="21">
        <f t="shared" si="10"/>
        <v>9.2307692307692313E-2</v>
      </c>
      <c r="F138" s="11"/>
      <c r="G138" s="28"/>
      <c r="H138" s="11"/>
      <c r="I138" s="11"/>
      <c r="J138" s="11"/>
      <c r="K138" s="55"/>
      <c r="L138" s="55"/>
      <c r="M138" s="55"/>
      <c r="N138" s="55"/>
      <c r="O138" s="55"/>
      <c r="P138" s="55"/>
      <c r="Q138" s="55"/>
      <c r="R138" s="55"/>
      <c r="S138" s="55"/>
      <c r="T138" s="55"/>
      <c r="U138" s="55"/>
      <c r="V138" s="55"/>
      <c r="W138" s="55"/>
      <c r="X138" s="55"/>
      <c r="Y138" s="55"/>
    </row>
    <row r="139" spans="1:25" ht="15.75" customHeight="1">
      <c r="A139" s="331">
        <v>138</v>
      </c>
      <c r="B139" s="331" t="s">
        <v>627</v>
      </c>
      <c r="C139" s="331" t="s">
        <v>628</v>
      </c>
      <c r="D139" s="35">
        <v>4</v>
      </c>
      <c r="E139" s="21">
        <f t="shared" si="10"/>
        <v>3.0769230769230771E-2</v>
      </c>
      <c r="F139" s="11"/>
      <c r="G139" s="28"/>
      <c r="H139" s="11"/>
      <c r="I139" s="11"/>
      <c r="J139" s="11"/>
      <c r="K139" s="55"/>
      <c r="L139" s="55"/>
      <c r="M139" s="55"/>
      <c r="N139" s="55"/>
      <c r="O139" s="55"/>
      <c r="P139" s="55"/>
      <c r="Q139" s="55"/>
      <c r="R139" s="55"/>
      <c r="S139" s="55"/>
      <c r="T139" s="55"/>
      <c r="U139" s="55"/>
      <c r="V139" s="55"/>
      <c r="W139" s="55"/>
      <c r="X139" s="55"/>
      <c r="Y139" s="55"/>
    </row>
    <row r="140" spans="1:25" ht="15.75" customHeight="1">
      <c r="A140" s="331">
        <v>139</v>
      </c>
      <c r="B140" s="331" t="s">
        <v>630</v>
      </c>
      <c r="C140" s="331" t="s">
        <v>631</v>
      </c>
      <c r="D140" s="35">
        <v>6</v>
      </c>
      <c r="E140" s="21">
        <f t="shared" si="10"/>
        <v>4.6153846153846156E-2</v>
      </c>
      <c r="F140" s="11"/>
      <c r="G140" s="28"/>
      <c r="H140" s="11"/>
      <c r="I140" s="11"/>
      <c r="J140" s="11"/>
      <c r="K140" s="55"/>
      <c r="L140" s="55"/>
      <c r="M140" s="55"/>
      <c r="N140" s="55"/>
      <c r="O140" s="55"/>
      <c r="P140" s="55"/>
      <c r="Q140" s="55"/>
      <c r="R140" s="55"/>
      <c r="S140" s="55"/>
      <c r="T140" s="55"/>
      <c r="U140" s="55"/>
      <c r="V140" s="55"/>
      <c r="W140" s="55"/>
      <c r="X140" s="55"/>
      <c r="Y140" s="55"/>
    </row>
    <row r="141" spans="1:25" ht="15.75" customHeight="1">
      <c r="A141" s="331">
        <v>140</v>
      </c>
      <c r="B141" s="331" t="s">
        <v>635</v>
      </c>
      <c r="C141" s="331" t="s">
        <v>636</v>
      </c>
      <c r="D141" s="35">
        <v>10</v>
      </c>
      <c r="E141" s="21">
        <f t="shared" si="10"/>
        <v>7.6923076923076927E-2</v>
      </c>
      <c r="F141" s="11"/>
      <c r="G141" s="28"/>
      <c r="H141" s="11"/>
      <c r="I141" s="11"/>
      <c r="J141" s="11"/>
      <c r="K141" s="55"/>
      <c r="L141" s="55"/>
      <c r="M141" s="55"/>
      <c r="N141" s="55"/>
      <c r="O141" s="55"/>
      <c r="P141" s="55"/>
      <c r="Q141" s="55"/>
      <c r="R141" s="55"/>
      <c r="S141" s="55"/>
      <c r="T141" s="55"/>
      <c r="U141" s="55"/>
      <c r="V141" s="55"/>
      <c r="W141" s="55"/>
      <c r="X141" s="55"/>
      <c r="Y141" s="55"/>
    </row>
    <row r="142" spans="1:25" ht="15.75" customHeight="1">
      <c r="A142" s="331">
        <v>141</v>
      </c>
      <c r="B142" s="331" t="s">
        <v>638</v>
      </c>
      <c r="C142" s="331" t="s">
        <v>182</v>
      </c>
      <c r="D142" s="35">
        <v>13</v>
      </c>
      <c r="E142" s="21">
        <f t="shared" si="10"/>
        <v>0.1</v>
      </c>
      <c r="F142" s="11"/>
      <c r="G142" s="28"/>
      <c r="H142" s="11"/>
      <c r="I142" s="11"/>
      <c r="J142" s="11"/>
      <c r="K142" s="55"/>
      <c r="L142" s="55"/>
      <c r="M142" s="55"/>
      <c r="N142" s="55"/>
      <c r="O142" s="55"/>
      <c r="P142" s="55"/>
      <c r="Q142" s="55"/>
      <c r="R142" s="55"/>
      <c r="S142" s="55"/>
      <c r="T142" s="55"/>
      <c r="U142" s="55"/>
      <c r="V142" s="55"/>
      <c r="W142" s="55"/>
      <c r="X142" s="55"/>
      <c r="Y142" s="55"/>
    </row>
    <row r="143" spans="1:25" ht="15.75" customHeight="1">
      <c r="A143" s="331">
        <v>142</v>
      </c>
      <c r="B143" s="331" t="s">
        <v>641</v>
      </c>
      <c r="C143" s="331" t="s">
        <v>642</v>
      </c>
      <c r="D143" s="35">
        <v>10</v>
      </c>
      <c r="E143" s="21">
        <f t="shared" si="10"/>
        <v>7.6923076923076927E-2</v>
      </c>
      <c r="F143" s="11"/>
      <c r="G143" s="28"/>
      <c r="H143" s="11"/>
      <c r="I143" s="11"/>
      <c r="J143" s="11"/>
      <c r="K143" s="55"/>
      <c r="L143" s="55"/>
      <c r="M143" s="55"/>
      <c r="N143" s="55"/>
      <c r="O143" s="55"/>
      <c r="P143" s="55"/>
      <c r="Q143" s="55"/>
      <c r="R143" s="55"/>
      <c r="S143" s="55"/>
      <c r="T143" s="55"/>
      <c r="U143" s="55"/>
      <c r="V143" s="55"/>
      <c r="W143" s="55"/>
      <c r="X143" s="55"/>
      <c r="Y143" s="55"/>
    </row>
    <row r="144" spans="1:25" ht="15.75" customHeight="1">
      <c r="A144" s="331">
        <v>143</v>
      </c>
      <c r="B144" s="331" t="s">
        <v>645</v>
      </c>
      <c r="C144" s="331" t="s">
        <v>646</v>
      </c>
      <c r="D144" s="35">
        <v>15</v>
      </c>
      <c r="E144" s="21">
        <f t="shared" si="10"/>
        <v>0.11538461538461539</v>
      </c>
      <c r="F144" s="11"/>
      <c r="G144" s="28"/>
      <c r="H144" s="11"/>
      <c r="I144" s="11"/>
      <c r="J144" s="11"/>
      <c r="K144" s="55"/>
      <c r="L144" s="55"/>
      <c r="M144" s="55"/>
      <c r="N144" s="55"/>
      <c r="O144" s="55"/>
      <c r="P144" s="55"/>
      <c r="Q144" s="55"/>
      <c r="R144" s="55"/>
      <c r="S144" s="55"/>
      <c r="T144" s="55"/>
      <c r="U144" s="55"/>
      <c r="V144" s="55"/>
      <c r="W144" s="55"/>
      <c r="X144" s="55"/>
      <c r="Y144" s="55"/>
    </row>
    <row r="145" spans="1:25" ht="15.75" customHeight="1">
      <c r="A145" s="331">
        <v>144</v>
      </c>
      <c r="B145" s="331" t="s">
        <v>647</v>
      </c>
      <c r="C145" s="331" t="s">
        <v>648</v>
      </c>
      <c r="D145" s="35">
        <v>11</v>
      </c>
      <c r="E145" s="21">
        <f t="shared" si="10"/>
        <v>8.461538461538462E-2</v>
      </c>
      <c r="F145" s="11"/>
      <c r="G145" s="28"/>
      <c r="H145" s="11"/>
      <c r="I145" s="11"/>
      <c r="J145" s="11"/>
      <c r="K145" s="55"/>
      <c r="L145" s="55"/>
      <c r="M145" s="55"/>
      <c r="N145" s="55"/>
      <c r="O145" s="55"/>
      <c r="P145" s="55"/>
      <c r="Q145" s="55"/>
      <c r="R145" s="55"/>
      <c r="S145" s="55"/>
      <c r="T145" s="55"/>
      <c r="U145" s="55"/>
      <c r="V145" s="55"/>
      <c r="W145" s="55"/>
      <c r="X145" s="55"/>
      <c r="Y145" s="55"/>
    </row>
    <row r="146" spans="1:25" ht="15.75" customHeight="1">
      <c r="A146" s="35" t="s">
        <v>3427</v>
      </c>
      <c r="B146" s="47"/>
      <c r="C146" s="47"/>
      <c r="D146" s="35"/>
      <c r="E146" s="21"/>
      <c r="F146" s="11"/>
      <c r="G146" s="28"/>
      <c r="H146" s="11"/>
      <c r="I146" s="11"/>
      <c r="J146" s="11"/>
      <c r="K146" s="55"/>
      <c r="L146" s="55"/>
      <c r="M146" s="55"/>
      <c r="N146" s="55"/>
      <c r="O146" s="55"/>
      <c r="P146" s="55"/>
      <c r="Q146" s="55"/>
      <c r="R146" s="55"/>
      <c r="S146" s="55"/>
      <c r="T146" s="55"/>
      <c r="U146" s="55"/>
      <c r="V146" s="55"/>
      <c r="W146" s="55"/>
      <c r="X146" s="55"/>
      <c r="Y146" s="55"/>
    </row>
    <row r="147" spans="1:25" ht="15.75" customHeight="1">
      <c r="A147" s="331">
        <v>147</v>
      </c>
      <c r="B147" s="331" t="s">
        <v>653</v>
      </c>
      <c r="C147" s="331" t="s">
        <v>551</v>
      </c>
      <c r="D147" s="35">
        <v>4</v>
      </c>
      <c r="E147" s="21">
        <f t="shared" si="10"/>
        <v>3.0769230769230771E-2</v>
      </c>
      <c r="F147" s="11"/>
      <c r="G147" s="28"/>
      <c r="H147" s="11"/>
      <c r="I147" s="11"/>
      <c r="J147" s="11"/>
      <c r="K147" s="55"/>
      <c r="L147" s="55"/>
      <c r="M147" s="55"/>
      <c r="N147" s="55"/>
      <c r="O147" s="55"/>
      <c r="P147" s="55"/>
      <c r="Q147" s="55"/>
      <c r="R147" s="55"/>
      <c r="S147" s="55"/>
      <c r="T147" s="55"/>
      <c r="U147" s="55"/>
      <c r="V147" s="55"/>
      <c r="W147" s="55"/>
      <c r="X147" s="55"/>
      <c r="Y147" s="55"/>
    </row>
    <row r="148" spans="1:25" ht="15.75" customHeight="1">
      <c r="A148" s="331">
        <v>148</v>
      </c>
      <c r="B148" s="331" t="s">
        <v>371</v>
      </c>
      <c r="C148" s="331" t="s">
        <v>655</v>
      </c>
      <c r="D148" s="35">
        <v>5</v>
      </c>
      <c r="E148" s="21">
        <f t="shared" si="10"/>
        <v>3.8461538461538464E-2</v>
      </c>
      <c r="F148" s="11"/>
      <c r="G148" s="28"/>
      <c r="H148" s="11"/>
      <c r="I148" s="11"/>
      <c r="J148" s="11"/>
      <c r="K148" s="55"/>
      <c r="L148" s="55"/>
      <c r="M148" s="55"/>
      <c r="N148" s="55"/>
      <c r="O148" s="55"/>
      <c r="P148" s="55"/>
      <c r="Q148" s="55"/>
      <c r="R148" s="55"/>
      <c r="S148" s="55"/>
      <c r="T148" s="55"/>
      <c r="U148" s="55"/>
      <c r="V148" s="55"/>
      <c r="W148" s="55"/>
      <c r="X148" s="55"/>
      <c r="Y148" s="55"/>
    </row>
    <row r="149" spans="1:25" ht="15.75" customHeight="1">
      <c r="A149" s="331">
        <v>149</v>
      </c>
      <c r="B149" s="331" t="s">
        <v>658</v>
      </c>
      <c r="C149" s="331" t="s">
        <v>659</v>
      </c>
      <c r="D149" s="35">
        <v>11</v>
      </c>
      <c r="E149" s="21">
        <f t="shared" si="10"/>
        <v>8.461538461538462E-2</v>
      </c>
      <c r="F149" s="11"/>
      <c r="G149" s="28"/>
      <c r="H149" s="11"/>
      <c r="I149" s="11"/>
      <c r="J149" s="11"/>
      <c r="K149" s="55"/>
      <c r="L149" s="55"/>
      <c r="M149" s="55"/>
      <c r="N149" s="55"/>
      <c r="O149" s="55"/>
      <c r="P149" s="55"/>
      <c r="Q149" s="55"/>
      <c r="R149" s="55"/>
      <c r="S149" s="55"/>
      <c r="T149" s="55"/>
      <c r="U149" s="55"/>
      <c r="V149" s="55"/>
      <c r="W149" s="55"/>
      <c r="X149" s="55"/>
      <c r="Y149" s="55"/>
    </row>
    <row r="150" spans="1:25" ht="15.75" customHeight="1">
      <c r="A150" s="331">
        <v>150</v>
      </c>
      <c r="B150" s="331" t="s">
        <v>663</v>
      </c>
      <c r="C150" s="331" t="s">
        <v>664</v>
      </c>
      <c r="D150" s="35">
        <v>14</v>
      </c>
      <c r="E150" s="21">
        <f t="shared" si="10"/>
        <v>0.1076923076923077</v>
      </c>
      <c r="F150" s="11"/>
      <c r="G150" s="28"/>
      <c r="H150" s="11"/>
      <c r="I150" s="11"/>
      <c r="J150" s="11"/>
      <c r="K150" s="55"/>
      <c r="L150" s="55"/>
      <c r="M150" s="55"/>
      <c r="N150" s="55"/>
      <c r="O150" s="55"/>
      <c r="P150" s="55"/>
      <c r="Q150" s="55"/>
      <c r="R150" s="55"/>
      <c r="S150" s="55"/>
      <c r="T150" s="55"/>
      <c r="U150" s="55"/>
      <c r="V150" s="55"/>
      <c r="W150" s="55"/>
      <c r="X150" s="55"/>
      <c r="Y150" s="55"/>
    </row>
    <row r="151" spans="1:25" ht="15.75" customHeight="1">
      <c r="A151" s="331">
        <v>151</v>
      </c>
      <c r="B151" s="331" t="s">
        <v>667</v>
      </c>
      <c r="C151" s="331" t="s">
        <v>668</v>
      </c>
      <c r="D151" s="35">
        <v>35</v>
      </c>
      <c r="E151" s="21">
        <f t="shared" si="10"/>
        <v>0.26923076923076922</v>
      </c>
      <c r="F151" s="11"/>
      <c r="G151" s="28"/>
      <c r="H151" s="11"/>
      <c r="I151" s="11"/>
      <c r="J151" s="11"/>
      <c r="K151" s="55"/>
      <c r="L151" s="55"/>
      <c r="M151" s="55"/>
      <c r="N151" s="55"/>
      <c r="O151" s="55"/>
      <c r="P151" s="55"/>
      <c r="Q151" s="55"/>
      <c r="R151" s="55"/>
      <c r="S151" s="55"/>
      <c r="T151" s="55"/>
      <c r="U151" s="55"/>
      <c r="V151" s="55"/>
      <c r="W151" s="55"/>
      <c r="X151" s="55"/>
      <c r="Y151" s="55"/>
    </row>
    <row r="152" spans="1:25" ht="15.75" customHeight="1">
      <c r="A152" s="331">
        <v>152</v>
      </c>
      <c r="B152" s="331" t="s">
        <v>450</v>
      </c>
      <c r="C152" s="331" t="s">
        <v>672</v>
      </c>
      <c r="D152" s="35">
        <v>10</v>
      </c>
      <c r="E152" s="21">
        <f t="shared" si="10"/>
        <v>7.6923076923076927E-2</v>
      </c>
      <c r="F152" s="11"/>
      <c r="G152" s="28"/>
      <c r="H152" s="11"/>
      <c r="I152" s="11"/>
      <c r="J152" s="11"/>
      <c r="K152" s="55"/>
      <c r="L152" s="55"/>
      <c r="M152" s="55"/>
      <c r="N152" s="55"/>
      <c r="O152" s="55"/>
      <c r="P152" s="55"/>
      <c r="Q152" s="55"/>
      <c r="R152" s="55"/>
      <c r="S152" s="55"/>
      <c r="T152" s="55"/>
      <c r="U152" s="55"/>
      <c r="V152" s="55"/>
      <c r="W152" s="55"/>
      <c r="X152" s="55"/>
      <c r="Y152" s="55"/>
    </row>
    <row r="153" spans="1:25" ht="15.75" customHeight="1">
      <c r="A153" s="331">
        <v>153</v>
      </c>
      <c r="B153" s="331" t="s">
        <v>675</v>
      </c>
      <c r="C153" s="331" t="s">
        <v>190</v>
      </c>
      <c r="D153" s="35">
        <v>13</v>
      </c>
      <c r="E153" s="21">
        <f t="shared" si="10"/>
        <v>0.1</v>
      </c>
      <c r="F153" s="11"/>
      <c r="G153" s="28"/>
      <c r="H153" s="11"/>
      <c r="I153" s="11"/>
      <c r="J153" s="11"/>
      <c r="K153" s="55"/>
      <c r="L153" s="55"/>
      <c r="M153" s="55"/>
      <c r="N153" s="55"/>
      <c r="O153" s="55"/>
      <c r="P153" s="55"/>
      <c r="Q153" s="55"/>
      <c r="R153" s="55"/>
      <c r="S153" s="55"/>
      <c r="T153" s="55"/>
      <c r="U153" s="55"/>
      <c r="V153" s="55"/>
      <c r="W153" s="55"/>
      <c r="X153" s="55"/>
      <c r="Y153" s="55"/>
    </row>
    <row r="154" spans="1:25" ht="15.75" customHeight="1">
      <c r="A154" s="331">
        <v>154</v>
      </c>
      <c r="B154" s="331" t="s">
        <v>677</v>
      </c>
      <c r="C154" s="331" t="s">
        <v>678</v>
      </c>
      <c r="D154" s="35">
        <v>11</v>
      </c>
      <c r="E154" s="21">
        <f t="shared" si="10"/>
        <v>8.461538461538462E-2</v>
      </c>
      <c r="F154" s="11"/>
      <c r="G154" s="28"/>
      <c r="H154" s="11"/>
      <c r="I154" s="11"/>
      <c r="J154" s="11"/>
      <c r="K154" s="55"/>
      <c r="L154" s="55"/>
      <c r="M154" s="55"/>
      <c r="N154" s="55"/>
      <c r="O154" s="55"/>
      <c r="P154" s="55"/>
      <c r="Q154" s="55"/>
      <c r="R154" s="55"/>
      <c r="S154" s="55"/>
      <c r="T154" s="55"/>
      <c r="U154" s="55"/>
      <c r="V154" s="55"/>
      <c r="W154" s="55"/>
      <c r="X154" s="55"/>
      <c r="Y154" s="55"/>
    </row>
    <row r="155" spans="1:25" ht="15.75" customHeight="1">
      <c r="A155" s="331">
        <v>155</v>
      </c>
      <c r="B155" s="331" t="s">
        <v>682</v>
      </c>
      <c r="C155" s="331" t="s">
        <v>683</v>
      </c>
      <c r="D155" s="35">
        <v>7</v>
      </c>
      <c r="E155" s="21">
        <f t="shared" si="10"/>
        <v>5.3846153846153849E-2</v>
      </c>
      <c r="F155" s="11"/>
      <c r="G155" s="28"/>
      <c r="H155" s="11"/>
      <c r="I155" s="11"/>
      <c r="J155" s="11"/>
      <c r="K155" s="55"/>
      <c r="L155" s="55"/>
      <c r="M155" s="55"/>
      <c r="N155" s="55"/>
      <c r="O155" s="55"/>
      <c r="P155" s="55"/>
      <c r="Q155" s="55"/>
      <c r="R155" s="55"/>
      <c r="S155" s="55"/>
      <c r="T155" s="55"/>
      <c r="U155" s="55"/>
      <c r="V155" s="55"/>
      <c r="W155" s="55"/>
      <c r="X155" s="55"/>
      <c r="Y155" s="55"/>
    </row>
    <row r="156" spans="1:25" ht="15.75" customHeight="1">
      <c r="A156" s="331">
        <v>156</v>
      </c>
      <c r="B156" s="331" t="s">
        <v>687</v>
      </c>
      <c r="C156" s="331" t="s">
        <v>688</v>
      </c>
      <c r="D156" s="35">
        <v>13</v>
      </c>
      <c r="E156" s="21">
        <f t="shared" si="10"/>
        <v>0.1</v>
      </c>
      <c r="F156" s="11"/>
      <c r="G156" s="28"/>
      <c r="H156" s="11"/>
      <c r="I156" s="11"/>
      <c r="J156" s="11"/>
      <c r="K156" s="55"/>
      <c r="L156" s="55"/>
      <c r="M156" s="55"/>
      <c r="N156" s="55"/>
      <c r="O156" s="55"/>
      <c r="P156" s="55"/>
      <c r="Q156" s="55"/>
      <c r="R156" s="55"/>
      <c r="S156" s="55"/>
      <c r="T156" s="55"/>
      <c r="U156" s="55"/>
      <c r="V156" s="55"/>
      <c r="W156" s="55"/>
      <c r="X156" s="55"/>
      <c r="Y156" s="55"/>
    </row>
    <row r="157" spans="1:25" ht="15.75" customHeight="1">
      <c r="A157" s="331">
        <v>157</v>
      </c>
      <c r="B157" s="331" t="s">
        <v>692</v>
      </c>
      <c r="C157" s="331" t="s">
        <v>693</v>
      </c>
      <c r="D157" s="35">
        <v>12</v>
      </c>
      <c r="E157" s="21">
        <f t="shared" si="10"/>
        <v>9.2307692307692313E-2</v>
      </c>
      <c r="F157" s="11"/>
      <c r="G157" s="28"/>
      <c r="H157" s="11"/>
      <c r="I157" s="11"/>
      <c r="J157" s="11"/>
      <c r="K157" s="55"/>
      <c r="L157" s="55"/>
      <c r="M157" s="55"/>
      <c r="N157" s="55"/>
      <c r="O157" s="55"/>
      <c r="P157" s="55"/>
      <c r="Q157" s="55"/>
      <c r="R157" s="55"/>
      <c r="S157" s="55"/>
      <c r="T157" s="55"/>
      <c r="U157" s="55"/>
      <c r="V157" s="55"/>
      <c r="W157" s="55"/>
      <c r="X157" s="55"/>
      <c r="Y157" s="55"/>
    </row>
    <row r="158" spans="1:25" ht="15.75" customHeight="1">
      <c r="A158" s="331">
        <v>158</v>
      </c>
      <c r="B158" s="331" t="s">
        <v>697</v>
      </c>
      <c r="C158" s="331" t="s">
        <v>698</v>
      </c>
      <c r="D158" s="35">
        <v>5</v>
      </c>
      <c r="E158" s="21">
        <f t="shared" si="10"/>
        <v>3.8461538461538464E-2</v>
      </c>
      <c r="F158" s="11"/>
      <c r="G158" s="28"/>
      <c r="H158" s="11"/>
      <c r="I158" s="11"/>
      <c r="J158" s="11"/>
      <c r="K158" s="55"/>
      <c r="L158" s="55"/>
      <c r="M158" s="55"/>
      <c r="N158" s="55"/>
      <c r="O158" s="55"/>
      <c r="P158" s="55"/>
      <c r="Q158" s="55"/>
      <c r="R158" s="55"/>
      <c r="S158" s="55"/>
      <c r="T158" s="55"/>
      <c r="U158" s="55"/>
      <c r="V158" s="55"/>
      <c r="W158" s="55"/>
      <c r="X158" s="55"/>
      <c r="Y158" s="55"/>
    </row>
    <row r="159" spans="1:25" ht="15.75" customHeight="1">
      <c r="A159" s="331">
        <v>159</v>
      </c>
      <c r="B159" s="331" t="s">
        <v>700</v>
      </c>
      <c r="C159" s="331" t="s">
        <v>268</v>
      </c>
      <c r="D159" s="35">
        <v>27</v>
      </c>
      <c r="E159" s="21">
        <f t="shared" si="10"/>
        <v>0.2076923076923077</v>
      </c>
      <c r="F159" s="11"/>
      <c r="G159" s="28"/>
      <c r="H159" s="11"/>
      <c r="I159" s="11"/>
      <c r="J159" s="11"/>
      <c r="K159" s="55"/>
      <c r="L159" s="55"/>
      <c r="M159" s="55"/>
      <c r="N159" s="55"/>
      <c r="O159" s="55"/>
      <c r="P159" s="55"/>
      <c r="Q159" s="55"/>
      <c r="R159" s="55"/>
      <c r="S159" s="55"/>
      <c r="T159" s="55"/>
      <c r="U159" s="55"/>
      <c r="V159" s="55"/>
      <c r="W159" s="55"/>
      <c r="X159" s="55"/>
      <c r="Y159" s="55"/>
    </row>
    <row r="160" spans="1:25" ht="15.75" customHeight="1">
      <c r="A160" s="331">
        <v>160</v>
      </c>
      <c r="B160" s="331" t="s">
        <v>703</v>
      </c>
      <c r="C160" s="331" t="s">
        <v>704</v>
      </c>
      <c r="D160" s="35">
        <v>16</v>
      </c>
      <c r="E160" s="21">
        <f t="shared" si="10"/>
        <v>0.12307692307692308</v>
      </c>
      <c r="F160" s="11"/>
      <c r="G160" s="28"/>
      <c r="H160" s="11"/>
      <c r="I160" s="11"/>
      <c r="J160" s="11"/>
      <c r="K160" s="55"/>
      <c r="L160" s="55"/>
      <c r="M160" s="55"/>
      <c r="N160" s="55"/>
      <c r="O160" s="55"/>
      <c r="P160" s="55"/>
      <c r="Q160" s="55"/>
      <c r="R160" s="55"/>
      <c r="S160" s="55"/>
      <c r="T160" s="55"/>
      <c r="U160" s="55"/>
      <c r="V160" s="55"/>
      <c r="W160" s="55"/>
      <c r="X160" s="55"/>
      <c r="Y160" s="55"/>
    </row>
    <row r="161" spans="1:25" ht="15.75" customHeight="1">
      <c r="A161" s="331">
        <v>161</v>
      </c>
      <c r="B161" s="331" t="s">
        <v>706</v>
      </c>
      <c r="C161" s="331" t="s">
        <v>707</v>
      </c>
      <c r="D161" s="35">
        <v>9</v>
      </c>
      <c r="E161" s="21">
        <f t="shared" si="10"/>
        <v>6.9230769230769235E-2</v>
      </c>
      <c r="F161" s="11"/>
      <c r="G161" s="28"/>
      <c r="H161" s="11"/>
      <c r="I161" s="11"/>
      <c r="J161" s="11"/>
      <c r="K161" s="55"/>
      <c r="L161" s="55"/>
      <c r="M161" s="55"/>
      <c r="N161" s="55"/>
      <c r="O161" s="55"/>
      <c r="P161" s="55"/>
      <c r="Q161" s="55"/>
      <c r="R161" s="55"/>
      <c r="S161" s="55"/>
      <c r="T161" s="55"/>
      <c r="U161" s="55"/>
      <c r="V161" s="55"/>
      <c r="W161" s="55"/>
      <c r="X161" s="55"/>
      <c r="Y161" s="55"/>
    </row>
    <row r="162" spans="1:25" ht="15.75" customHeight="1">
      <c r="A162" s="331">
        <v>162</v>
      </c>
      <c r="B162" s="331" t="s">
        <v>710</v>
      </c>
      <c r="C162" s="331" t="s">
        <v>711</v>
      </c>
      <c r="D162" s="35">
        <v>13</v>
      </c>
      <c r="E162" s="21">
        <f t="shared" si="10"/>
        <v>0.1</v>
      </c>
      <c r="F162" s="11"/>
      <c r="G162" s="28"/>
      <c r="H162" s="11"/>
      <c r="I162" s="11"/>
      <c r="J162" s="11"/>
      <c r="K162" s="55"/>
      <c r="L162" s="55"/>
      <c r="M162" s="55"/>
      <c r="N162" s="55"/>
      <c r="O162" s="55"/>
      <c r="P162" s="55"/>
      <c r="Q162" s="55"/>
      <c r="R162" s="55"/>
      <c r="S162" s="55"/>
      <c r="T162" s="55"/>
      <c r="U162" s="55"/>
      <c r="V162" s="55"/>
      <c r="W162" s="55"/>
      <c r="X162" s="55"/>
      <c r="Y162" s="55"/>
    </row>
    <row r="163" spans="1:25" ht="15.75" customHeight="1">
      <c r="A163" s="331">
        <v>163</v>
      </c>
      <c r="B163" s="331" t="s">
        <v>714</v>
      </c>
      <c r="C163" s="331" t="s">
        <v>715</v>
      </c>
      <c r="D163" s="35">
        <v>26</v>
      </c>
      <c r="E163" s="21">
        <f t="shared" ref="E163:E174" si="11">D163/130</f>
        <v>0.2</v>
      </c>
      <c r="F163" s="11"/>
      <c r="G163" s="28"/>
      <c r="H163" s="11"/>
      <c r="I163" s="11"/>
      <c r="J163" s="11"/>
      <c r="K163" s="55"/>
      <c r="L163" s="55"/>
      <c r="M163" s="55"/>
      <c r="N163" s="55"/>
      <c r="O163" s="55"/>
      <c r="P163" s="55"/>
      <c r="Q163" s="55"/>
      <c r="R163" s="55"/>
      <c r="S163" s="55"/>
      <c r="T163" s="55"/>
      <c r="U163" s="55"/>
      <c r="V163" s="55"/>
      <c r="W163" s="55"/>
      <c r="X163" s="55"/>
      <c r="Y163" s="55"/>
    </row>
    <row r="164" spans="1:25" ht="15.75" customHeight="1">
      <c r="A164" s="331">
        <v>164</v>
      </c>
      <c r="B164" s="331" t="s">
        <v>718</v>
      </c>
      <c r="C164" s="331" t="s">
        <v>102</v>
      </c>
      <c r="D164" s="35">
        <v>5</v>
      </c>
      <c r="E164" s="21">
        <f t="shared" si="11"/>
        <v>3.8461538461538464E-2</v>
      </c>
      <c r="F164" s="11"/>
      <c r="G164" s="28"/>
      <c r="H164" s="11"/>
      <c r="I164" s="11"/>
      <c r="J164" s="11"/>
      <c r="K164" s="55"/>
      <c r="L164" s="55"/>
      <c r="M164" s="55"/>
      <c r="N164" s="55"/>
      <c r="O164" s="55"/>
      <c r="P164" s="55"/>
      <c r="Q164" s="55"/>
      <c r="R164" s="55"/>
      <c r="S164" s="55"/>
      <c r="T164" s="55"/>
      <c r="U164" s="55"/>
      <c r="V164" s="55"/>
      <c r="W164" s="55"/>
      <c r="X164" s="55"/>
      <c r="Y164" s="55"/>
    </row>
    <row r="165" spans="1:25" ht="15.75" customHeight="1">
      <c r="A165" s="331">
        <v>165</v>
      </c>
      <c r="B165" s="331" t="s">
        <v>721</v>
      </c>
      <c r="C165" s="331" t="s">
        <v>722</v>
      </c>
      <c r="D165" s="35">
        <v>14</v>
      </c>
      <c r="E165" s="21">
        <f t="shared" si="11"/>
        <v>0.1076923076923077</v>
      </c>
      <c r="F165" s="11"/>
      <c r="G165" s="28"/>
      <c r="H165" s="11"/>
      <c r="I165" s="11"/>
      <c r="J165" s="11"/>
      <c r="K165" s="55"/>
      <c r="L165" s="55"/>
      <c r="M165" s="55"/>
      <c r="N165" s="55"/>
      <c r="O165" s="55"/>
      <c r="P165" s="55"/>
      <c r="Q165" s="55"/>
      <c r="R165" s="55"/>
      <c r="S165" s="55"/>
      <c r="T165" s="55"/>
      <c r="U165" s="55"/>
      <c r="V165" s="55"/>
      <c r="W165" s="55"/>
      <c r="X165" s="55"/>
      <c r="Y165" s="55"/>
    </row>
    <row r="166" spans="1:25" ht="15.75" customHeight="1">
      <c r="A166" s="331">
        <v>166</v>
      </c>
      <c r="B166" s="331" t="s">
        <v>725</v>
      </c>
      <c r="C166" s="331" t="s">
        <v>726</v>
      </c>
      <c r="D166" s="35">
        <v>17</v>
      </c>
      <c r="E166" s="21">
        <f t="shared" si="11"/>
        <v>0.13076923076923078</v>
      </c>
      <c r="F166" s="11"/>
      <c r="G166" s="28"/>
      <c r="H166" s="11"/>
      <c r="I166" s="11"/>
      <c r="J166" s="11"/>
      <c r="K166" s="55"/>
      <c r="L166" s="55"/>
      <c r="M166" s="55"/>
      <c r="N166" s="55"/>
      <c r="O166" s="55"/>
      <c r="P166" s="55"/>
      <c r="Q166" s="55"/>
      <c r="R166" s="55"/>
      <c r="S166" s="55"/>
      <c r="T166" s="55"/>
      <c r="U166" s="55"/>
      <c r="V166" s="55"/>
      <c r="W166" s="55"/>
      <c r="X166" s="55"/>
      <c r="Y166" s="55"/>
    </row>
    <row r="167" spans="1:25" ht="15.75" customHeight="1">
      <c r="A167" s="331">
        <v>167</v>
      </c>
      <c r="B167" s="331" t="s">
        <v>728</v>
      </c>
      <c r="C167" s="331" t="s">
        <v>729</v>
      </c>
      <c r="D167" s="35">
        <v>14</v>
      </c>
      <c r="E167" s="21">
        <f t="shared" si="11"/>
        <v>0.1076923076923077</v>
      </c>
      <c r="F167" s="11"/>
      <c r="G167" s="28"/>
      <c r="H167" s="11"/>
      <c r="I167" s="11"/>
      <c r="J167" s="11"/>
      <c r="K167" s="55"/>
      <c r="L167" s="55"/>
      <c r="M167" s="55"/>
      <c r="N167" s="55"/>
      <c r="O167" s="55"/>
      <c r="P167" s="55"/>
      <c r="Q167" s="55"/>
      <c r="R167" s="55"/>
      <c r="S167" s="55"/>
      <c r="T167" s="55"/>
      <c r="U167" s="55"/>
      <c r="V167" s="55"/>
      <c r="W167" s="55"/>
      <c r="X167" s="55"/>
      <c r="Y167" s="55"/>
    </row>
    <row r="168" spans="1:25" ht="15.75" customHeight="1">
      <c r="A168" s="331">
        <v>168</v>
      </c>
      <c r="B168" s="331" t="s">
        <v>731</v>
      </c>
      <c r="C168" s="331" t="s">
        <v>732</v>
      </c>
      <c r="D168" s="35">
        <v>21</v>
      </c>
      <c r="E168" s="21">
        <f t="shared" si="11"/>
        <v>0.16153846153846155</v>
      </c>
      <c r="F168" s="11"/>
      <c r="G168" s="28"/>
      <c r="H168" s="11"/>
      <c r="I168" s="11"/>
      <c r="J168" s="11"/>
      <c r="K168" s="55"/>
      <c r="L168" s="55"/>
      <c r="M168" s="55"/>
      <c r="N168" s="55"/>
      <c r="O168" s="55"/>
      <c r="P168" s="55"/>
      <c r="Q168" s="55"/>
      <c r="R168" s="55"/>
      <c r="S168" s="55"/>
      <c r="T168" s="55"/>
      <c r="U168" s="55"/>
      <c r="V168" s="55"/>
      <c r="W168" s="55"/>
      <c r="X168" s="55"/>
      <c r="Y168" s="55"/>
    </row>
    <row r="169" spans="1:25" ht="15.75" customHeight="1">
      <c r="A169" s="331">
        <v>169</v>
      </c>
      <c r="B169" s="331" t="s">
        <v>736</v>
      </c>
      <c r="C169" s="331" t="s">
        <v>234</v>
      </c>
      <c r="D169" s="35">
        <v>22</v>
      </c>
      <c r="E169" s="21">
        <f t="shared" si="11"/>
        <v>0.16923076923076924</v>
      </c>
      <c r="F169" s="11"/>
      <c r="G169" s="28"/>
      <c r="H169" s="11"/>
      <c r="I169" s="11"/>
      <c r="J169" s="11"/>
      <c r="K169" s="55"/>
      <c r="L169" s="55"/>
      <c r="M169" s="55"/>
      <c r="N169" s="55"/>
      <c r="O169" s="55"/>
      <c r="P169" s="55"/>
      <c r="Q169" s="55"/>
      <c r="R169" s="55"/>
      <c r="S169" s="55"/>
      <c r="T169" s="55"/>
      <c r="U169" s="55"/>
      <c r="V169" s="55"/>
      <c r="W169" s="55"/>
      <c r="X169" s="55"/>
      <c r="Y169" s="55"/>
    </row>
    <row r="170" spans="1:25" ht="15.75" customHeight="1">
      <c r="A170" s="331">
        <v>170</v>
      </c>
      <c r="B170" s="331" t="s">
        <v>738</v>
      </c>
      <c r="C170" s="331" t="s">
        <v>739</v>
      </c>
      <c r="D170" s="35">
        <v>28</v>
      </c>
      <c r="E170" s="21">
        <f t="shared" si="11"/>
        <v>0.2153846153846154</v>
      </c>
      <c r="F170" s="11"/>
      <c r="G170" s="28"/>
      <c r="H170" s="11"/>
      <c r="I170" s="11"/>
      <c r="J170" s="11"/>
      <c r="K170" s="55"/>
      <c r="L170" s="55"/>
      <c r="M170" s="55"/>
      <c r="N170" s="55"/>
      <c r="O170" s="55"/>
      <c r="P170" s="55"/>
      <c r="Q170" s="55"/>
      <c r="R170" s="55"/>
      <c r="S170" s="55"/>
      <c r="T170" s="55"/>
      <c r="U170" s="55"/>
      <c r="V170" s="55"/>
      <c r="W170" s="55"/>
      <c r="X170" s="55"/>
      <c r="Y170" s="55"/>
    </row>
    <row r="171" spans="1:25" ht="15.75" customHeight="1">
      <c r="A171" s="331">
        <v>171</v>
      </c>
      <c r="B171" s="331" t="s">
        <v>744</v>
      </c>
      <c r="C171" s="331" t="s">
        <v>745</v>
      </c>
      <c r="D171" s="35">
        <v>27</v>
      </c>
      <c r="E171" s="21">
        <f t="shared" si="11"/>
        <v>0.2076923076923077</v>
      </c>
      <c r="F171" s="11"/>
      <c r="G171" s="28"/>
      <c r="H171" s="11"/>
      <c r="I171" s="11"/>
      <c r="J171" s="11"/>
      <c r="K171" s="55"/>
      <c r="L171" s="55"/>
      <c r="M171" s="55"/>
      <c r="N171" s="55"/>
      <c r="O171" s="55"/>
      <c r="P171" s="55"/>
      <c r="Q171" s="55"/>
      <c r="R171" s="55"/>
      <c r="S171" s="55"/>
      <c r="T171" s="55"/>
      <c r="U171" s="55"/>
      <c r="V171" s="55"/>
      <c r="W171" s="55"/>
      <c r="X171" s="55"/>
      <c r="Y171" s="55"/>
    </row>
    <row r="172" spans="1:25" ht="15.75" customHeight="1">
      <c r="A172" s="331">
        <v>172</v>
      </c>
      <c r="B172" s="331" t="s">
        <v>889</v>
      </c>
      <c r="C172" s="331" t="s">
        <v>890</v>
      </c>
      <c r="D172" s="35">
        <v>17</v>
      </c>
      <c r="E172" s="21">
        <f t="shared" si="11"/>
        <v>0.13076923076923078</v>
      </c>
      <c r="F172" s="11"/>
      <c r="G172" s="28"/>
      <c r="H172" s="11"/>
      <c r="I172" s="11"/>
      <c r="J172" s="11"/>
      <c r="K172" s="55"/>
      <c r="L172" s="55"/>
      <c r="M172" s="55"/>
      <c r="N172" s="55"/>
      <c r="O172" s="55"/>
      <c r="P172" s="55"/>
      <c r="Q172" s="55"/>
      <c r="R172" s="55"/>
      <c r="S172" s="55"/>
      <c r="T172" s="55"/>
      <c r="U172" s="55"/>
      <c r="V172" s="55"/>
      <c r="W172" s="55"/>
      <c r="X172" s="55"/>
      <c r="Y172" s="55"/>
    </row>
    <row r="173" spans="1:25" ht="15.75" customHeight="1">
      <c r="A173" s="331">
        <v>173</v>
      </c>
      <c r="B173" s="331" t="s">
        <v>892</v>
      </c>
      <c r="C173" s="331" t="s">
        <v>893</v>
      </c>
      <c r="D173" s="35">
        <v>15</v>
      </c>
      <c r="E173" s="21">
        <f t="shared" si="11"/>
        <v>0.11538461538461539</v>
      </c>
      <c r="F173" s="11"/>
      <c r="G173" s="28"/>
      <c r="H173" s="11"/>
      <c r="I173" s="11"/>
      <c r="J173" s="11"/>
      <c r="K173" s="55"/>
      <c r="L173" s="55"/>
      <c r="M173" s="55"/>
      <c r="N173" s="55"/>
      <c r="O173" s="55"/>
      <c r="P173" s="55"/>
      <c r="Q173" s="55"/>
      <c r="R173" s="55"/>
      <c r="S173" s="55"/>
      <c r="T173" s="55"/>
      <c r="U173" s="55"/>
      <c r="V173" s="55"/>
      <c r="W173" s="55"/>
      <c r="X173" s="55"/>
      <c r="Y173" s="55"/>
    </row>
    <row r="174" spans="1:25" ht="15.75" customHeight="1">
      <c r="A174" s="331">
        <v>174</v>
      </c>
      <c r="B174" s="331" t="s">
        <v>895</v>
      </c>
      <c r="C174" s="331" t="s">
        <v>481</v>
      </c>
      <c r="D174" s="35">
        <v>21</v>
      </c>
      <c r="E174" s="21">
        <f t="shared" si="11"/>
        <v>0.16153846153846155</v>
      </c>
      <c r="F174" s="11"/>
      <c r="G174" s="28"/>
      <c r="H174" s="11"/>
      <c r="I174" s="11"/>
      <c r="J174" s="11"/>
      <c r="K174" s="55"/>
      <c r="L174" s="55"/>
      <c r="M174" s="55"/>
      <c r="N174" s="55"/>
      <c r="O174" s="55"/>
      <c r="P174" s="55"/>
      <c r="Q174" s="55"/>
      <c r="R174" s="55"/>
      <c r="S174" s="55"/>
      <c r="T174" s="55"/>
      <c r="U174" s="55"/>
      <c r="V174" s="55"/>
      <c r="W174" s="55"/>
      <c r="X174" s="55"/>
      <c r="Y174" s="55"/>
    </row>
    <row r="175" spans="1:25" ht="15.75" customHeight="1">
      <c r="A175" s="55"/>
      <c r="B175" s="11"/>
      <c r="C175" s="11"/>
      <c r="D175" s="11"/>
      <c r="E175" s="11"/>
      <c r="F175" s="11"/>
      <c r="G175" s="28"/>
      <c r="H175" s="11"/>
      <c r="I175" s="11"/>
      <c r="J175" s="11"/>
      <c r="K175" s="55"/>
      <c r="L175" s="55"/>
      <c r="M175" s="55"/>
      <c r="N175" s="55"/>
      <c r="O175" s="55"/>
      <c r="P175" s="55"/>
      <c r="Q175" s="55"/>
      <c r="R175" s="55"/>
      <c r="S175" s="55"/>
      <c r="T175" s="55"/>
      <c r="U175" s="55"/>
      <c r="V175" s="55"/>
      <c r="W175" s="55"/>
      <c r="X175" s="55"/>
      <c r="Y175" s="55"/>
    </row>
    <row r="176" spans="1:25" ht="15.75" customHeight="1">
      <c r="A176" s="55"/>
      <c r="B176" s="11"/>
      <c r="C176" s="11"/>
      <c r="D176" s="11"/>
      <c r="E176" s="11"/>
      <c r="F176" s="11"/>
      <c r="G176" s="28"/>
      <c r="H176" s="11"/>
      <c r="I176" s="11"/>
      <c r="J176" s="11"/>
      <c r="K176" s="55"/>
      <c r="L176" s="55"/>
      <c r="M176" s="55"/>
      <c r="N176" s="55"/>
      <c r="O176" s="55"/>
      <c r="P176" s="55"/>
      <c r="Q176" s="55"/>
      <c r="R176" s="55"/>
      <c r="S176" s="55"/>
      <c r="T176" s="55"/>
      <c r="U176" s="55"/>
      <c r="V176" s="55"/>
      <c r="W176" s="55"/>
      <c r="X176" s="55"/>
      <c r="Y176" s="55"/>
    </row>
    <row r="177" spans="1:25" ht="15.75" customHeight="1">
      <c r="A177" s="55"/>
      <c r="B177" s="11"/>
      <c r="C177" s="11"/>
      <c r="D177" s="11"/>
      <c r="E177" s="11"/>
      <c r="F177" s="11"/>
      <c r="G177" s="28"/>
      <c r="H177" s="11"/>
      <c r="I177" s="11"/>
      <c r="J177" s="11"/>
      <c r="K177" s="55"/>
      <c r="L177" s="55"/>
      <c r="M177" s="55"/>
      <c r="N177" s="55"/>
      <c r="O177" s="55"/>
      <c r="P177" s="55"/>
      <c r="Q177" s="55"/>
      <c r="R177" s="55"/>
      <c r="S177" s="55"/>
      <c r="T177" s="55"/>
      <c r="U177" s="55"/>
      <c r="V177" s="55"/>
      <c r="W177" s="55"/>
      <c r="X177" s="55"/>
      <c r="Y177" s="55"/>
    </row>
    <row r="178" spans="1:25" ht="15.75" customHeight="1">
      <c r="A178" s="55"/>
      <c r="B178" s="11"/>
      <c r="C178" s="11"/>
      <c r="D178" s="11"/>
      <c r="E178" s="11"/>
      <c r="F178" s="11"/>
      <c r="G178" s="28"/>
      <c r="H178" s="11"/>
      <c r="I178" s="11"/>
      <c r="J178" s="11"/>
      <c r="K178" s="55"/>
      <c r="L178" s="55"/>
      <c r="M178" s="55"/>
      <c r="N178" s="55"/>
      <c r="O178" s="55"/>
      <c r="P178" s="55"/>
      <c r="Q178" s="55"/>
      <c r="R178" s="55"/>
      <c r="S178" s="55"/>
      <c r="T178" s="55"/>
      <c r="U178" s="55"/>
      <c r="V178" s="55"/>
      <c r="W178" s="55"/>
      <c r="X178" s="55"/>
      <c r="Y178" s="55"/>
    </row>
    <row r="179" spans="1:25" ht="15.75" customHeight="1">
      <c r="A179" s="55"/>
      <c r="B179" s="11"/>
      <c r="C179" s="11"/>
      <c r="D179" s="11"/>
      <c r="E179" s="11"/>
      <c r="F179" s="11"/>
      <c r="G179" s="28"/>
      <c r="H179" s="11"/>
      <c r="I179" s="11"/>
      <c r="J179" s="11"/>
      <c r="K179" s="55"/>
      <c r="L179" s="55"/>
      <c r="M179" s="55"/>
      <c r="N179" s="55"/>
      <c r="O179" s="55"/>
      <c r="P179" s="55"/>
      <c r="Q179" s="55"/>
      <c r="R179" s="55"/>
      <c r="S179" s="55"/>
      <c r="T179" s="55"/>
      <c r="U179" s="55"/>
      <c r="V179" s="55"/>
      <c r="W179" s="55"/>
      <c r="X179" s="55"/>
      <c r="Y179" s="55"/>
    </row>
    <row r="180" spans="1:25" ht="15.75" customHeight="1">
      <c r="A180" s="55"/>
      <c r="B180" s="11"/>
      <c r="C180" s="11"/>
      <c r="D180" s="11"/>
      <c r="E180" s="11"/>
      <c r="F180" s="11"/>
      <c r="G180" s="28"/>
      <c r="H180" s="11"/>
      <c r="I180" s="11"/>
      <c r="J180" s="11"/>
      <c r="K180" s="55"/>
      <c r="L180" s="55"/>
      <c r="M180" s="55"/>
      <c r="N180" s="55"/>
      <c r="O180" s="55"/>
      <c r="P180" s="55"/>
      <c r="Q180" s="55"/>
      <c r="R180" s="55"/>
      <c r="S180" s="55"/>
      <c r="T180" s="55"/>
      <c r="U180" s="55"/>
      <c r="V180" s="55"/>
      <c r="W180" s="55"/>
      <c r="X180" s="55"/>
      <c r="Y180" s="55"/>
    </row>
    <row r="181" spans="1:25" ht="15.75" customHeight="1">
      <c r="A181" s="55"/>
      <c r="B181" s="11"/>
      <c r="C181" s="11"/>
      <c r="D181" s="11"/>
      <c r="E181" s="11"/>
      <c r="F181" s="11"/>
      <c r="G181" s="28"/>
      <c r="H181" s="11"/>
      <c r="I181" s="11"/>
      <c r="J181" s="11"/>
      <c r="K181" s="55"/>
      <c r="L181" s="55"/>
      <c r="M181" s="55"/>
      <c r="N181" s="55"/>
      <c r="O181" s="55"/>
      <c r="P181" s="55"/>
      <c r="Q181" s="55"/>
      <c r="R181" s="55"/>
      <c r="S181" s="55"/>
      <c r="T181" s="55"/>
      <c r="U181" s="55"/>
      <c r="V181" s="55"/>
      <c r="W181" s="55"/>
      <c r="X181" s="55"/>
      <c r="Y181" s="55"/>
    </row>
    <row r="182" spans="1:25" ht="15.75" customHeight="1">
      <c r="A182" s="55"/>
      <c r="B182" s="11"/>
      <c r="C182" s="11"/>
      <c r="D182" s="11"/>
      <c r="E182" s="11"/>
      <c r="F182" s="11"/>
      <c r="G182" s="28"/>
      <c r="H182" s="11"/>
      <c r="I182" s="11"/>
      <c r="J182" s="11"/>
      <c r="K182" s="55"/>
      <c r="L182" s="55"/>
      <c r="M182" s="55"/>
      <c r="N182" s="55"/>
      <c r="O182" s="55"/>
      <c r="P182" s="55"/>
      <c r="Q182" s="55"/>
      <c r="R182" s="55"/>
      <c r="S182" s="55"/>
      <c r="T182" s="55"/>
      <c r="U182" s="55"/>
      <c r="V182" s="55"/>
      <c r="W182" s="55"/>
      <c r="X182" s="55"/>
      <c r="Y182" s="55"/>
    </row>
    <row r="183" spans="1:25" ht="15.75" customHeight="1">
      <c r="A183" s="55"/>
      <c r="B183" s="11"/>
      <c r="C183" s="11"/>
      <c r="D183" s="11"/>
      <c r="E183" s="11"/>
      <c r="F183" s="11"/>
      <c r="G183" s="28"/>
      <c r="H183" s="11"/>
      <c r="I183" s="11"/>
      <c r="J183" s="11"/>
      <c r="K183" s="55"/>
      <c r="L183" s="55"/>
      <c r="M183" s="55"/>
      <c r="N183" s="55"/>
      <c r="O183" s="55"/>
      <c r="P183" s="55"/>
      <c r="Q183" s="55"/>
      <c r="R183" s="55"/>
      <c r="S183" s="55"/>
      <c r="T183" s="55"/>
      <c r="U183" s="55"/>
      <c r="V183" s="55"/>
      <c r="W183" s="55"/>
      <c r="X183" s="55"/>
      <c r="Y183" s="55"/>
    </row>
    <row r="184" spans="1:25" ht="15.75" customHeight="1">
      <c r="A184" s="55"/>
      <c r="B184" s="11"/>
      <c r="C184" s="11"/>
      <c r="D184" s="11"/>
      <c r="E184" s="11"/>
      <c r="F184" s="11"/>
      <c r="G184" s="28"/>
      <c r="H184" s="11"/>
      <c r="I184" s="11"/>
      <c r="J184" s="11"/>
      <c r="K184" s="55"/>
      <c r="L184" s="55"/>
      <c r="M184" s="55"/>
      <c r="N184" s="55"/>
      <c r="O184" s="55"/>
      <c r="P184" s="55"/>
      <c r="Q184" s="55"/>
      <c r="R184" s="55"/>
      <c r="S184" s="55"/>
      <c r="T184" s="55"/>
      <c r="U184" s="55"/>
      <c r="V184" s="55"/>
      <c r="W184" s="55"/>
      <c r="X184" s="55"/>
      <c r="Y184" s="55"/>
    </row>
    <row r="185" spans="1:25" ht="15.75" customHeight="1">
      <c r="A185" s="55"/>
      <c r="B185" s="11"/>
      <c r="C185" s="11"/>
      <c r="D185" s="11"/>
      <c r="E185" s="11"/>
      <c r="F185" s="11"/>
      <c r="G185" s="28"/>
      <c r="H185" s="11"/>
      <c r="I185" s="11"/>
      <c r="J185" s="11"/>
      <c r="K185" s="55"/>
      <c r="L185" s="55"/>
      <c r="M185" s="55"/>
      <c r="N185" s="55"/>
      <c r="O185" s="55"/>
      <c r="P185" s="55"/>
      <c r="Q185" s="55"/>
      <c r="R185" s="55"/>
      <c r="S185" s="55"/>
      <c r="T185" s="55"/>
      <c r="U185" s="55"/>
      <c r="V185" s="55"/>
      <c r="W185" s="55"/>
      <c r="X185" s="55"/>
      <c r="Y185" s="55"/>
    </row>
    <row r="186" spans="1:25" ht="15.75" customHeight="1">
      <c r="A186" s="55"/>
      <c r="B186" s="11"/>
      <c r="C186" s="11"/>
      <c r="D186" s="11"/>
      <c r="E186" s="11"/>
      <c r="F186" s="11"/>
      <c r="G186" s="28"/>
      <c r="H186" s="11"/>
      <c r="I186" s="11"/>
      <c r="J186" s="11"/>
      <c r="K186" s="55"/>
      <c r="L186" s="55"/>
      <c r="M186" s="55"/>
      <c r="N186" s="55"/>
      <c r="O186" s="55"/>
      <c r="P186" s="55"/>
      <c r="Q186" s="55"/>
      <c r="R186" s="55"/>
      <c r="S186" s="55"/>
      <c r="T186" s="55"/>
      <c r="U186" s="55"/>
      <c r="V186" s="55"/>
      <c r="W186" s="55"/>
      <c r="X186" s="55"/>
      <c r="Y186" s="55"/>
    </row>
    <row r="187" spans="1:25" ht="15.75" customHeight="1">
      <c r="A187" s="55"/>
      <c r="B187" s="11"/>
      <c r="C187" s="11"/>
      <c r="D187" s="11"/>
      <c r="E187" s="11"/>
      <c r="F187" s="11"/>
      <c r="G187" s="28"/>
      <c r="H187" s="11"/>
      <c r="I187" s="11"/>
      <c r="J187" s="11"/>
      <c r="K187" s="55"/>
      <c r="L187" s="55"/>
      <c r="M187" s="55"/>
      <c r="N187" s="55"/>
      <c r="O187" s="55"/>
      <c r="P187" s="55"/>
      <c r="Q187" s="55"/>
      <c r="R187" s="55"/>
      <c r="S187" s="55"/>
      <c r="T187" s="55"/>
      <c r="U187" s="55"/>
      <c r="V187" s="55"/>
      <c r="W187" s="55"/>
      <c r="X187" s="55"/>
      <c r="Y187" s="55"/>
    </row>
    <row r="188" spans="1:25" ht="15.75" customHeight="1">
      <c r="A188" s="55"/>
      <c r="B188" s="11"/>
      <c r="C188" s="11"/>
      <c r="D188" s="11"/>
      <c r="E188" s="11"/>
      <c r="F188" s="11"/>
      <c r="G188" s="28"/>
      <c r="H188" s="11"/>
      <c r="I188" s="11"/>
      <c r="J188" s="11"/>
      <c r="K188" s="55"/>
      <c r="L188" s="55"/>
      <c r="M188" s="55"/>
      <c r="N188" s="55"/>
      <c r="O188" s="55"/>
      <c r="P188" s="55"/>
      <c r="Q188" s="55"/>
      <c r="R188" s="55"/>
      <c r="S188" s="55"/>
      <c r="T188" s="55"/>
      <c r="U188" s="55"/>
      <c r="V188" s="55"/>
      <c r="W188" s="55"/>
      <c r="X188" s="55"/>
      <c r="Y188" s="55"/>
    </row>
    <row r="189" spans="1:25" ht="15.75" customHeight="1">
      <c r="A189" s="55"/>
      <c r="B189" s="11"/>
      <c r="C189" s="11"/>
      <c r="D189" s="11"/>
      <c r="E189" s="11"/>
      <c r="F189" s="11"/>
      <c r="G189" s="28"/>
      <c r="H189" s="11"/>
      <c r="I189" s="11"/>
      <c r="J189" s="11"/>
      <c r="K189" s="55"/>
      <c r="L189" s="55"/>
      <c r="M189" s="55"/>
      <c r="N189" s="55"/>
      <c r="O189" s="55"/>
      <c r="P189" s="55"/>
      <c r="Q189" s="55"/>
      <c r="R189" s="55"/>
      <c r="S189" s="55"/>
      <c r="T189" s="55"/>
      <c r="U189" s="55"/>
      <c r="V189" s="55"/>
      <c r="W189" s="55"/>
      <c r="X189" s="55"/>
      <c r="Y189" s="55"/>
    </row>
    <row r="190" spans="1:25" ht="15.75" customHeight="1">
      <c r="A190" s="55"/>
      <c r="B190" s="11"/>
      <c r="C190" s="11"/>
      <c r="D190" s="11"/>
      <c r="E190" s="11"/>
      <c r="F190" s="11"/>
      <c r="G190" s="28"/>
      <c r="H190" s="11"/>
      <c r="I190" s="11"/>
      <c r="J190" s="11"/>
      <c r="K190" s="55"/>
      <c r="L190" s="55"/>
      <c r="M190" s="55"/>
      <c r="N190" s="55"/>
      <c r="O190" s="55"/>
      <c r="P190" s="55"/>
      <c r="Q190" s="55"/>
      <c r="R190" s="55"/>
      <c r="S190" s="55"/>
      <c r="T190" s="55"/>
      <c r="U190" s="55"/>
      <c r="V190" s="55"/>
      <c r="W190" s="55"/>
      <c r="X190" s="55"/>
      <c r="Y190" s="55"/>
    </row>
    <row r="191" spans="1:25" ht="15.75" customHeight="1">
      <c r="A191" s="55"/>
      <c r="B191" s="11"/>
      <c r="C191" s="11"/>
      <c r="D191" s="11"/>
      <c r="E191" s="11"/>
      <c r="F191" s="11"/>
      <c r="G191" s="28"/>
      <c r="H191" s="11"/>
      <c r="I191" s="11"/>
      <c r="J191" s="11"/>
      <c r="K191" s="55"/>
      <c r="L191" s="55"/>
      <c r="M191" s="55"/>
      <c r="N191" s="55"/>
      <c r="O191" s="55"/>
      <c r="P191" s="55"/>
      <c r="Q191" s="55"/>
      <c r="R191" s="55"/>
      <c r="S191" s="55"/>
      <c r="T191" s="55"/>
      <c r="U191" s="55"/>
      <c r="V191" s="55"/>
      <c r="W191" s="55"/>
      <c r="X191" s="55"/>
      <c r="Y191" s="55"/>
    </row>
    <row r="192" spans="1:25" ht="15.75" customHeight="1">
      <c r="A192" s="55"/>
      <c r="B192" s="11"/>
      <c r="C192" s="11"/>
      <c r="D192" s="11"/>
      <c r="E192" s="11"/>
      <c r="F192" s="11"/>
      <c r="G192" s="28"/>
      <c r="H192" s="11"/>
      <c r="I192" s="11"/>
      <c r="J192" s="11"/>
      <c r="K192" s="55"/>
      <c r="L192" s="55"/>
      <c r="M192" s="55"/>
      <c r="N192" s="55"/>
      <c r="O192" s="55"/>
      <c r="P192" s="55"/>
      <c r="Q192" s="55"/>
      <c r="R192" s="55"/>
      <c r="S192" s="55"/>
      <c r="T192" s="55"/>
      <c r="U192" s="55"/>
      <c r="V192" s="55"/>
      <c r="W192" s="55"/>
      <c r="X192" s="55"/>
      <c r="Y192" s="55"/>
    </row>
    <row r="193" spans="1:25" ht="15.75" customHeight="1">
      <c r="A193" s="55"/>
      <c r="B193" s="11"/>
      <c r="C193" s="11"/>
      <c r="D193" s="11"/>
      <c r="E193" s="11"/>
      <c r="F193" s="11"/>
      <c r="G193" s="28"/>
      <c r="H193" s="11"/>
      <c r="I193" s="11"/>
      <c r="J193" s="11"/>
      <c r="K193" s="55"/>
      <c r="L193" s="55"/>
      <c r="M193" s="55"/>
      <c r="N193" s="55"/>
      <c r="O193" s="55"/>
      <c r="P193" s="55"/>
      <c r="Q193" s="55"/>
      <c r="R193" s="55"/>
      <c r="S193" s="55"/>
      <c r="T193" s="55"/>
      <c r="U193" s="55"/>
      <c r="V193" s="55"/>
      <c r="W193" s="55"/>
      <c r="X193" s="55"/>
      <c r="Y193" s="55"/>
    </row>
    <row r="194" spans="1:25" ht="15.75" customHeight="1">
      <c r="A194" s="55"/>
      <c r="B194" s="11"/>
      <c r="C194" s="11"/>
      <c r="D194" s="11"/>
      <c r="E194" s="11"/>
      <c r="F194" s="11"/>
      <c r="G194" s="28"/>
      <c r="H194" s="11"/>
      <c r="I194" s="11"/>
      <c r="J194" s="11"/>
      <c r="K194" s="55"/>
      <c r="L194" s="55"/>
      <c r="M194" s="55"/>
      <c r="N194" s="55"/>
      <c r="O194" s="55"/>
      <c r="P194" s="55"/>
      <c r="Q194" s="55"/>
      <c r="R194" s="55"/>
      <c r="S194" s="55"/>
      <c r="T194" s="55"/>
      <c r="U194" s="55"/>
      <c r="V194" s="55"/>
      <c r="W194" s="55"/>
      <c r="X194" s="55"/>
      <c r="Y194" s="55"/>
    </row>
    <row r="195" spans="1:25" ht="15.75" customHeight="1">
      <c r="A195" s="55"/>
      <c r="B195" s="11"/>
      <c r="C195" s="11"/>
      <c r="D195" s="11"/>
      <c r="E195" s="11"/>
      <c r="F195" s="11"/>
      <c r="G195" s="28"/>
      <c r="H195" s="11"/>
      <c r="I195" s="11"/>
      <c r="J195" s="11"/>
      <c r="K195" s="55"/>
      <c r="L195" s="55"/>
      <c r="M195" s="55"/>
      <c r="N195" s="55"/>
      <c r="O195" s="55"/>
      <c r="P195" s="55"/>
      <c r="Q195" s="55"/>
      <c r="R195" s="55"/>
      <c r="S195" s="55"/>
      <c r="T195" s="55"/>
      <c r="U195" s="55"/>
      <c r="V195" s="55"/>
      <c r="W195" s="55"/>
      <c r="X195" s="55"/>
      <c r="Y195" s="55"/>
    </row>
    <row r="196" spans="1:25" ht="15.75" customHeight="1">
      <c r="A196" s="55"/>
      <c r="B196" s="11"/>
      <c r="C196" s="11"/>
      <c r="D196" s="11"/>
      <c r="E196" s="11"/>
      <c r="F196" s="11"/>
      <c r="G196" s="28"/>
      <c r="H196" s="11"/>
      <c r="I196" s="11"/>
      <c r="J196" s="11"/>
      <c r="K196" s="55"/>
      <c r="L196" s="55"/>
      <c r="M196" s="55"/>
      <c r="N196" s="55"/>
      <c r="O196" s="55"/>
      <c r="P196" s="55"/>
      <c r="Q196" s="55"/>
      <c r="R196" s="55"/>
      <c r="S196" s="55"/>
      <c r="T196" s="55"/>
      <c r="U196" s="55"/>
      <c r="V196" s="55"/>
      <c r="W196" s="55"/>
      <c r="X196" s="55"/>
      <c r="Y196" s="55"/>
    </row>
    <row r="197" spans="1:25" ht="15.75" customHeight="1">
      <c r="A197" s="55"/>
      <c r="B197" s="11"/>
      <c r="C197" s="11"/>
      <c r="D197" s="11"/>
      <c r="E197" s="11"/>
      <c r="F197" s="11"/>
      <c r="G197" s="28"/>
      <c r="H197" s="11"/>
      <c r="I197" s="11"/>
      <c r="J197" s="11"/>
      <c r="K197" s="55"/>
      <c r="L197" s="55"/>
      <c r="M197" s="55"/>
      <c r="N197" s="55"/>
      <c r="O197" s="55"/>
      <c r="P197" s="55"/>
      <c r="Q197" s="55"/>
      <c r="R197" s="55"/>
      <c r="S197" s="55"/>
      <c r="T197" s="55"/>
      <c r="U197" s="55"/>
      <c r="V197" s="55"/>
      <c r="W197" s="55"/>
      <c r="X197" s="55"/>
      <c r="Y197" s="55"/>
    </row>
    <row r="198" spans="1:25" ht="15.75" customHeight="1">
      <c r="A198" s="55"/>
      <c r="B198" s="11"/>
      <c r="C198" s="11"/>
      <c r="D198" s="11"/>
      <c r="E198" s="11"/>
      <c r="F198" s="11"/>
      <c r="G198" s="28"/>
      <c r="H198" s="11"/>
      <c r="I198" s="11"/>
      <c r="J198" s="11"/>
      <c r="K198" s="55"/>
      <c r="L198" s="55"/>
      <c r="M198" s="55"/>
      <c r="N198" s="55"/>
      <c r="O198" s="55"/>
      <c r="P198" s="55"/>
      <c r="Q198" s="55"/>
      <c r="R198" s="55"/>
      <c r="S198" s="55"/>
      <c r="T198" s="55"/>
      <c r="U198" s="55"/>
      <c r="V198" s="55"/>
      <c r="W198" s="55"/>
      <c r="X198" s="55"/>
      <c r="Y198" s="55"/>
    </row>
    <row r="199" spans="1:25" ht="15.75" customHeight="1">
      <c r="A199" s="55"/>
      <c r="B199" s="11"/>
      <c r="C199" s="11"/>
      <c r="D199" s="11"/>
      <c r="E199" s="11"/>
      <c r="F199" s="11"/>
      <c r="G199" s="28"/>
      <c r="H199" s="11"/>
      <c r="I199" s="11"/>
      <c r="J199" s="11"/>
      <c r="K199" s="55"/>
      <c r="L199" s="55"/>
      <c r="M199" s="55"/>
      <c r="N199" s="55"/>
      <c r="O199" s="55"/>
      <c r="P199" s="55"/>
      <c r="Q199" s="55"/>
      <c r="R199" s="55"/>
      <c r="S199" s="55"/>
      <c r="T199" s="55"/>
      <c r="U199" s="55"/>
      <c r="V199" s="55"/>
      <c r="W199" s="55"/>
      <c r="X199" s="55"/>
      <c r="Y199" s="55"/>
    </row>
    <row r="200" spans="1:25" ht="15.75" customHeight="1">
      <c r="A200" s="55"/>
      <c r="B200" s="11"/>
      <c r="C200" s="11"/>
      <c r="D200" s="11"/>
      <c r="E200" s="11"/>
      <c r="F200" s="11"/>
      <c r="G200" s="28"/>
      <c r="H200" s="11"/>
      <c r="I200" s="11"/>
      <c r="J200" s="11"/>
      <c r="K200" s="55"/>
      <c r="L200" s="55"/>
      <c r="M200" s="55"/>
      <c r="N200" s="55"/>
      <c r="O200" s="55"/>
      <c r="P200" s="55"/>
      <c r="Q200" s="55"/>
      <c r="R200" s="55"/>
      <c r="S200" s="55"/>
      <c r="T200" s="55"/>
      <c r="U200" s="55"/>
      <c r="V200" s="55"/>
      <c r="W200" s="55"/>
      <c r="X200" s="55"/>
      <c r="Y200" s="55"/>
    </row>
    <row r="201" spans="1:25" ht="15.75" customHeight="1">
      <c r="A201" s="55"/>
      <c r="B201" s="11"/>
      <c r="C201" s="11"/>
      <c r="D201" s="11"/>
      <c r="E201" s="11"/>
      <c r="F201" s="11"/>
      <c r="G201" s="28"/>
      <c r="H201" s="11"/>
      <c r="I201" s="11"/>
      <c r="J201" s="11"/>
      <c r="K201" s="55"/>
      <c r="L201" s="55"/>
      <c r="M201" s="55"/>
      <c r="N201" s="55"/>
      <c r="O201" s="55"/>
      <c r="P201" s="55"/>
      <c r="Q201" s="55"/>
      <c r="R201" s="55"/>
      <c r="S201" s="55"/>
      <c r="T201" s="55"/>
      <c r="U201" s="55"/>
      <c r="V201" s="55"/>
      <c r="W201" s="55"/>
      <c r="X201" s="55"/>
      <c r="Y201" s="55"/>
    </row>
    <row r="202" spans="1:25" ht="15.75" customHeight="1">
      <c r="A202" s="55"/>
      <c r="B202" s="11"/>
      <c r="C202" s="11"/>
      <c r="D202" s="11"/>
      <c r="E202" s="11"/>
      <c r="F202" s="11"/>
      <c r="G202" s="28"/>
      <c r="H202" s="11"/>
      <c r="I202" s="11"/>
      <c r="J202" s="11"/>
      <c r="K202" s="55"/>
      <c r="L202" s="55"/>
      <c r="M202" s="55"/>
      <c r="N202" s="55"/>
      <c r="O202" s="55"/>
      <c r="P202" s="55"/>
      <c r="Q202" s="55"/>
      <c r="R202" s="55"/>
      <c r="S202" s="55"/>
      <c r="T202" s="55"/>
      <c r="U202" s="55"/>
      <c r="V202" s="55"/>
      <c r="W202" s="55"/>
      <c r="X202" s="55"/>
      <c r="Y202" s="55"/>
    </row>
    <row r="203" spans="1:25" ht="15.75" customHeight="1">
      <c r="A203" s="55"/>
      <c r="B203" s="11"/>
      <c r="C203" s="11"/>
      <c r="D203" s="11"/>
      <c r="E203" s="11"/>
      <c r="F203" s="11"/>
      <c r="G203" s="28"/>
      <c r="H203" s="11"/>
      <c r="I203" s="11"/>
      <c r="J203" s="11"/>
      <c r="K203" s="55"/>
      <c r="L203" s="55"/>
      <c r="M203" s="55"/>
      <c r="N203" s="55"/>
      <c r="O203" s="55"/>
      <c r="P203" s="55"/>
      <c r="Q203" s="55"/>
      <c r="R203" s="55"/>
      <c r="S203" s="55"/>
      <c r="T203" s="55"/>
      <c r="U203" s="55"/>
      <c r="V203" s="55"/>
      <c r="W203" s="55"/>
      <c r="X203" s="55"/>
      <c r="Y203" s="55"/>
    </row>
    <row r="204" spans="1:25" ht="15.75" customHeight="1">
      <c r="A204" s="55"/>
      <c r="B204" s="11"/>
      <c r="C204" s="11"/>
      <c r="D204" s="11"/>
      <c r="E204" s="11"/>
      <c r="F204" s="11"/>
      <c r="G204" s="28"/>
      <c r="H204" s="11"/>
      <c r="I204" s="11"/>
      <c r="J204" s="11"/>
      <c r="K204" s="55"/>
      <c r="L204" s="55"/>
      <c r="M204" s="55"/>
      <c r="N204" s="55"/>
      <c r="O204" s="55"/>
      <c r="P204" s="55"/>
      <c r="Q204" s="55"/>
      <c r="R204" s="55"/>
      <c r="S204" s="55"/>
      <c r="T204" s="55"/>
      <c r="U204" s="55"/>
      <c r="V204" s="55"/>
      <c r="W204" s="55"/>
      <c r="X204" s="55"/>
      <c r="Y204" s="55"/>
    </row>
    <row r="205" spans="1:25" ht="15.75" customHeight="1">
      <c r="A205" s="55"/>
      <c r="B205" s="11"/>
      <c r="C205" s="11"/>
      <c r="D205" s="11"/>
      <c r="E205" s="11"/>
      <c r="F205" s="11"/>
      <c r="G205" s="28"/>
      <c r="H205" s="11"/>
      <c r="I205" s="11"/>
      <c r="J205" s="11"/>
      <c r="K205" s="55"/>
      <c r="L205" s="55"/>
      <c r="M205" s="55"/>
      <c r="N205" s="55"/>
      <c r="O205" s="55"/>
      <c r="P205" s="55"/>
      <c r="Q205" s="55"/>
      <c r="R205" s="55"/>
      <c r="S205" s="55"/>
      <c r="T205" s="55"/>
      <c r="U205" s="55"/>
      <c r="V205" s="55"/>
      <c r="W205" s="55"/>
      <c r="X205" s="55"/>
      <c r="Y205" s="55"/>
    </row>
    <row r="206" spans="1:25" ht="15.75" customHeight="1">
      <c r="A206" s="55"/>
      <c r="B206" s="11"/>
      <c r="C206" s="11"/>
      <c r="D206" s="11"/>
      <c r="E206" s="11"/>
      <c r="F206" s="11"/>
      <c r="G206" s="28"/>
      <c r="H206" s="11"/>
      <c r="I206" s="11"/>
      <c r="J206" s="11"/>
      <c r="K206" s="55"/>
      <c r="L206" s="55"/>
      <c r="M206" s="55"/>
      <c r="N206" s="55"/>
      <c r="O206" s="55"/>
      <c r="P206" s="55"/>
      <c r="Q206" s="55"/>
      <c r="R206" s="55"/>
      <c r="S206" s="55"/>
      <c r="T206" s="55"/>
      <c r="U206" s="55"/>
      <c r="V206" s="55"/>
      <c r="W206" s="55"/>
      <c r="X206" s="55"/>
      <c r="Y206" s="55"/>
    </row>
    <row r="207" spans="1:25" ht="15.75" customHeight="1">
      <c r="A207" s="55"/>
      <c r="B207" s="11"/>
      <c r="C207" s="11"/>
      <c r="D207" s="11"/>
      <c r="E207" s="11"/>
      <c r="F207" s="11"/>
      <c r="G207" s="28"/>
      <c r="H207" s="11"/>
      <c r="I207" s="11"/>
      <c r="J207" s="11"/>
      <c r="K207" s="55"/>
      <c r="L207" s="55"/>
      <c r="M207" s="55"/>
      <c r="N207" s="55"/>
      <c r="O207" s="55"/>
      <c r="P207" s="55"/>
      <c r="Q207" s="55"/>
      <c r="R207" s="55"/>
      <c r="S207" s="55"/>
      <c r="T207" s="55"/>
      <c r="U207" s="55"/>
      <c r="V207" s="55"/>
      <c r="W207" s="55"/>
      <c r="X207" s="55"/>
      <c r="Y207" s="55"/>
    </row>
    <row r="208" spans="1:25" ht="15.75" customHeight="1">
      <c r="A208" s="55"/>
      <c r="B208" s="11"/>
      <c r="C208" s="11"/>
      <c r="D208" s="11"/>
      <c r="E208" s="11"/>
      <c r="F208" s="11"/>
      <c r="G208" s="28"/>
      <c r="H208" s="11"/>
      <c r="I208" s="11"/>
      <c r="J208" s="11"/>
      <c r="K208" s="55"/>
      <c r="L208" s="55"/>
      <c r="M208" s="55"/>
      <c r="N208" s="55"/>
      <c r="O208" s="55"/>
      <c r="P208" s="55"/>
      <c r="Q208" s="55"/>
      <c r="R208" s="55"/>
      <c r="S208" s="55"/>
      <c r="T208" s="55"/>
      <c r="U208" s="55"/>
      <c r="V208" s="55"/>
      <c r="W208" s="55"/>
      <c r="X208" s="55"/>
      <c r="Y208" s="55"/>
    </row>
    <row r="209" spans="1:25" ht="15.75" customHeight="1">
      <c r="A209" s="55"/>
      <c r="B209" s="11"/>
      <c r="C209" s="11"/>
      <c r="D209" s="11"/>
      <c r="E209" s="11"/>
      <c r="F209" s="11"/>
      <c r="G209" s="28"/>
      <c r="H209" s="11"/>
      <c r="I209" s="11"/>
      <c r="J209" s="11"/>
      <c r="K209" s="55"/>
      <c r="L209" s="55"/>
      <c r="M209" s="55"/>
      <c r="N209" s="55"/>
      <c r="O209" s="55"/>
      <c r="P209" s="55"/>
      <c r="Q209" s="55"/>
      <c r="R209" s="55"/>
      <c r="S209" s="55"/>
      <c r="T209" s="55"/>
      <c r="U209" s="55"/>
      <c r="V209" s="55"/>
      <c r="W209" s="55"/>
      <c r="X209" s="55"/>
      <c r="Y209" s="55"/>
    </row>
    <row r="210" spans="1:25" ht="15.75" customHeight="1">
      <c r="A210" s="55"/>
      <c r="B210" s="11"/>
      <c r="C210" s="11"/>
      <c r="D210" s="11"/>
      <c r="E210" s="11"/>
      <c r="F210" s="11"/>
      <c r="G210" s="28"/>
      <c r="H210" s="11"/>
      <c r="I210" s="11"/>
      <c r="J210" s="11"/>
      <c r="K210" s="55"/>
      <c r="L210" s="55"/>
      <c r="M210" s="55"/>
      <c r="N210" s="55"/>
      <c r="O210" s="55"/>
      <c r="P210" s="55"/>
      <c r="Q210" s="55"/>
      <c r="R210" s="55"/>
      <c r="S210" s="55"/>
      <c r="T210" s="55"/>
      <c r="U210" s="55"/>
      <c r="V210" s="55"/>
      <c r="W210" s="55"/>
      <c r="X210" s="55"/>
      <c r="Y210" s="55"/>
    </row>
    <row r="211" spans="1:25" ht="15.75" customHeight="1">
      <c r="A211" s="55"/>
      <c r="B211" s="11"/>
      <c r="C211" s="11"/>
      <c r="D211" s="11"/>
      <c r="E211" s="11"/>
      <c r="F211" s="11"/>
      <c r="G211" s="28"/>
      <c r="H211" s="11"/>
      <c r="I211" s="11"/>
      <c r="J211" s="11"/>
      <c r="K211" s="55"/>
      <c r="L211" s="55"/>
      <c r="M211" s="55"/>
      <c r="N211" s="55"/>
      <c r="O211" s="55"/>
      <c r="P211" s="55"/>
      <c r="Q211" s="55"/>
      <c r="R211" s="55"/>
      <c r="S211" s="55"/>
      <c r="T211" s="55"/>
      <c r="U211" s="55"/>
      <c r="V211" s="55"/>
      <c r="W211" s="55"/>
      <c r="X211" s="55"/>
      <c r="Y211" s="55"/>
    </row>
    <row r="212" spans="1:25" ht="15.75" customHeight="1">
      <c r="A212" s="55"/>
      <c r="B212" s="11"/>
      <c r="C212" s="11"/>
      <c r="D212" s="11"/>
      <c r="E212" s="11"/>
      <c r="F212" s="11"/>
      <c r="G212" s="28"/>
      <c r="H212" s="11"/>
      <c r="I212" s="11"/>
      <c r="J212" s="11"/>
      <c r="K212" s="55"/>
      <c r="L212" s="55"/>
      <c r="M212" s="55"/>
      <c r="N212" s="55"/>
      <c r="O212" s="55"/>
      <c r="P212" s="55"/>
      <c r="Q212" s="55"/>
      <c r="R212" s="55"/>
      <c r="S212" s="55"/>
      <c r="T212" s="55"/>
      <c r="U212" s="55"/>
      <c r="V212" s="55"/>
      <c r="W212" s="55"/>
      <c r="X212" s="55"/>
      <c r="Y212" s="55"/>
    </row>
    <row r="213" spans="1:25" ht="15.75" customHeight="1">
      <c r="A213" s="55"/>
      <c r="B213" s="11"/>
      <c r="C213" s="11"/>
      <c r="D213" s="11"/>
      <c r="E213" s="11"/>
      <c r="F213" s="11"/>
      <c r="G213" s="28"/>
      <c r="H213" s="11"/>
      <c r="I213" s="11"/>
      <c r="J213" s="11"/>
      <c r="K213" s="55"/>
      <c r="L213" s="55"/>
      <c r="M213" s="55"/>
      <c r="N213" s="55"/>
      <c r="O213" s="55"/>
      <c r="P213" s="55"/>
      <c r="Q213" s="55"/>
      <c r="R213" s="55"/>
      <c r="S213" s="55"/>
      <c r="T213" s="55"/>
      <c r="U213" s="55"/>
      <c r="V213" s="55"/>
      <c r="W213" s="55"/>
      <c r="X213" s="55"/>
      <c r="Y213" s="55"/>
    </row>
    <row r="214" spans="1:25" ht="15.75" customHeight="1">
      <c r="A214" s="55"/>
      <c r="B214" s="11"/>
      <c r="C214" s="11"/>
      <c r="D214" s="11"/>
      <c r="E214" s="11"/>
      <c r="F214" s="11"/>
      <c r="G214" s="28"/>
      <c r="H214" s="11"/>
      <c r="I214" s="11"/>
      <c r="J214" s="11"/>
      <c r="K214" s="55"/>
      <c r="L214" s="55"/>
      <c r="M214" s="55"/>
      <c r="N214" s="55"/>
      <c r="O214" s="55"/>
      <c r="P214" s="55"/>
      <c r="Q214" s="55"/>
      <c r="R214" s="55"/>
      <c r="S214" s="55"/>
      <c r="T214" s="55"/>
      <c r="U214" s="55"/>
      <c r="V214" s="55"/>
      <c r="W214" s="55"/>
      <c r="X214" s="55"/>
      <c r="Y214" s="55"/>
    </row>
    <row r="215" spans="1:25" ht="15.75" customHeight="1">
      <c r="A215" s="55"/>
      <c r="B215" s="11"/>
      <c r="C215" s="11"/>
      <c r="D215" s="11"/>
      <c r="E215" s="11"/>
      <c r="F215" s="11"/>
      <c r="G215" s="28"/>
      <c r="H215" s="11"/>
      <c r="I215" s="11"/>
      <c r="J215" s="11"/>
      <c r="K215" s="55"/>
      <c r="L215" s="55"/>
      <c r="M215" s="55"/>
      <c r="N215" s="55"/>
      <c r="O215" s="55"/>
      <c r="P215" s="55"/>
      <c r="Q215" s="55"/>
      <c r="R215" s="55"/>
      <c r="S215" s="55"/>
      <c r="T215" s="55"/>
      <c r="U215" s="55"/>
      <c r="V215" s="55"/>
      <c r="W215" s="55"/>
      <c r="X215" s="55"/>
      <c r="Y215" s="55"/>
    </row>
    <row r="216" spans="1:25" ht="15.75" customHeight="1">
      <c r="A216" s="55"/>
      <c r="B216" s="11"/>
      <c r="C216" s="11"/>
      <c r="D216" s="11"/>
      <c r="E216" s="11"/>
      <c r="F216" s="11"/>
      <c r="G216" s="28"/>
      <c r="H216" s="11"/>
      <c r="I216" s="11"/>
      <c r="J216" s="11"/>
      <c r="K216" s="55"/>
      <c r="L216" s="55"/>
      <c r="M216" s="55"/>
      <c r="N216" s="55"/>
      <c r="O216" s="55"/>
      <c r="P216" s="55"/>
      <c r="Q216" s="55"/>
      <c r="R216" s="55"/>
      <c r="S216" s="55"/>
      <c r="T216" s="55"/>
      <c r="U216" s="55"/>
      <c r="V216" s="55"/>
      <c r="W216" s="55"/>
      <c r="X216" s="55"/>
      <c r="Y216" s="55"/>
    </row>
    <row r="217" spans="1:25" ht="15.75" customHeight="1">
      <c r="A217" s="55"/>
      <c r="B217" s="11"/>
      <c r="C217" s="11"/>
      <c r="D217" s="11"/>
      <c r="E217" s="11"/>
      <c r="F217" s="11"/>
      <c r="G217" s="28"/>
      <c r="H217" s="11"/>
      <c r="I217" s="11"/>
      <c r="J217" s="11"/>
      <c r="K217" s="55"/>
      <c r="L217" s="55"/>
      <c r="M217" s="55"/>
      <c r="N217" s="55"/>
      <c r="O217" s="55"/>
      <c r="P217" s="55"/>
      <c r="Q217" s="55"/>
      <c r="R217" s="55"/>
      <c r="S217" s="55"/>
      <c r="T217" s="55"/>
      <c r="U217" s="55"/>
      <c r="V217" s="55"/>
      <c r="W217" s="55"/>
      <c r="X217" s="55"/>
      <c r="Y217" s="55"/>
    </row>
    <row r="218" spans="1:25" ht="15.75" customHeight="1">
      <c r="A218" s="55"/>
      <c r="B218" s="11"/>
      <c r="C218" s="11"/>
      <c r="D218" s="11"/>
      <c r="E218" s="11"/>
      <c r="F218" s="11"/>
      <c r="G218" s="28"/>
      <c r="H218" s="11"/>
      <c r="I218" s="11"/>
      <c r="J218" s="11"/>
      <c r="K218" s="55"/>
      <c r="L218" s="55"/>
      <c r="M218" s="55"/>
      <c r="N218" s="55"/>
      <c r="O218" s="55"/>
      <c r="P218" s="55"/>
      <c r="Q218" s="55"/>
      <c r="R218" s="55"/>
      <c r="S218" s="55"/>
      <c r="T218" s="55"/>
      <c r="U218" s="55"/>
      <c r="V218" s="55"/>
      <c r="W218" s="55"/>
      <c r="X218" s="55"/>
      <c r="Y218" s="55"/>
    </row>
    <row r="219" spans="1:25" ht="15.75" customHeight="1">
      <c r="A219" s="55"/>
      <c r="B219" s="11"/>
      <c r="C219" s="11"/>
      <c r="D219" s="11"/>
      <c r="E219" s="11"/>
      <c r="F219" s="11"/>
      <c r="G219" s="28"/>
      <c r="H219" s="11"/>
      <c r="I219" s="11"/>
      <c r="J219" s="11"/>
      <c r="K219" s="55"/>
      <c r="L219" s="55"/>
      <c r="M219" s="55"/>
      <c r="N219" s="55"/>
      <c r="O219" s="55"/>
      <c r="P219" s="55"/>
      <c r="Q219" s="55"/>
      <c r="R219" s="55"/>
      <c r="S219" s="55"/>
      <c r="T219" s="55"/>
      <c r="U219" s="55"/>
      <c r="V219" s="55"/>
      <c r="W219" s="55"/>
      <c r="X219" s="55"/>
      <c r="Y219" s="55"/>
    </row>
    <row r="220" spans="1:25" ht="15.75" customHeight="1">
      <c r="A220" s="55"/>
      <c r="B220" s="11"/>
      <c r="C220" s="11"/>
      <c r="D220" s="11"/>
      <c r="E220" s="11"/>
      <c r="F220" s="11"/>
      <c r="G220" s="28"/>
      <c r="H220" s="11"/>
      <c r="I220" s="11"/>
      <c r="J220" s="11"/>
      <c r="K220" s="55"/>
      <c r="L220" s="55"/>
      <c r="M220" s="55"/>
      <c r="N220" s="55"/>
      <c r="O220" s="55"/>
      <c r="P220" s="55"/>
      <c r="Q220" s="55"/>
      <c r="R220" s="55"/>
      <c r="S220" s="55"/>
      <c r="T220" s="55"/>
      <c r="U220" s="55"/>
      <c r="V220" s="55"/>
      <c r="W220" s="55"/>
      <c r="X220" s="55"/>
      <c r="Y220" s="55"/>
    </row>
    <row r="221" spans="1:25" ht="15.75" customHeight="1">
      <c r="A221" s="55"/>
      <c r="B221" s="11"/>
      <c r="C221" s="11"/>
      <c r="D221" s="11"/>
      <c r="E221" s="11"/>
      <c r="F221" s="11"/>
      <c r="G221" s="28"/>
      <c r="H221" s="11"/>
      <c r="I221" s="11"/>
      <c r="J221" s="11"/>
      <c r="K221" s="55"/>
      <c r="L221" s="55"/>
      <c r="M221" s="55"/>
      <c r="N221" s="55"/>
      <c r="O221" s="55"/>
      <c r="P221" s="55"/>
      <c r="Q221" s="55"/>
      <c r="R221" s="55"/>
      <c r="S221" s="55"/>
      <c r="T221" s="55"/>
      <c r="U221" s="55"/>
      <c r="V221" s="55"/>
      <c r="W221" s="55"/>
      <c r="X221" s="55"/>
      <c r="Y221" s="55"/>
    </row>
    <row r="222" spans="1:25" ht="15.75" customHeight="1">
      <c r="A222" s="55"/>
      <c r="B222" s="11"/>
      <c r="C222" s="11"/>
      <c r="D222" s="11"/>
      <c r="E222" s="11"/>
      <c r="F222" s="11"/>
      <c r="G222" s="28"/>
      <c r="H222" s="11"/>
      <c r="I222" s="11"/>
      <c r="J222" s="11"/>
      <c r="K222" s="55"/>
      <c r="L222" s="55"/>
      <c r="M222" s="55"/>
      <c r="N222" s="55"/>
      <c r="O222" s="55"/>
      <c r="P222" s="55"/>
      <c r="Q222" s="55"/>
      <c r="R222" s="55"/>
      <c r="S222" s="55"/>
      <c r="T222" s="55"/>
      <c r="U222" s="55"/>
      <c r="V222" s="55"/>
      <c r="W222" s="55"/>
      <c r="X222" s="55"/>
      <c r="Y222" s="55"/>
    </row>
    <row r="223" spans="1:25" ht="15.75" customHeight="1">
      <c r="A223" s="55"/>
      <c r="B223" s="11"/>
      <c r="C223" s="11"/>
      <c r="D223" s="11"/>
      <c r="E223" s="11"/>
      <c r="F223" s="11"/>
      <c r="G223" s="28"/>
      <c r="H223" s="11"/>
      <c r="I223" s="11"/>
      <c r="J223" s="11"/>
      <c r="K223" s="55"/>
      <c r="L223" s="55"/>
      <c r="M223" s="55"/>
      <c r="N223" s="55"/>
      <c r="O223" s="55"/>
      <c r="P223" s="55"/>
      <c r="Q223" s="55"/>
      <c r="R223" s="55"/>
      <c r="S223" s="55"/>
      <c r="T223" s="55"/>
      <c r="U223" s="55"/>
      <c r="V223" s="55"/>
      <c r="W223" s="55"/>
      <c r="X223" s="55"/>
      <c r="Y223" s="55"/>
    </row>
    <row r="224" spans="1:25" ht="15.75" customHeight="1">
      <c r="A224" s="55"/>
      <c r="B224" s="11"/>
      <c r="C224" s="11"/>
      <c r="D224" s="11"/>
      <c r="E224" s="11"/>
      <c r="F224" s="11"/>
      <c r="G224" s="28"/>
      <c r="H224" s="11"/>
      <c r="I224" s="11"/>
      <c r="J224" s="11"/>
      <c r="K224" s="55"/>
      <c r="L224" s="55"/>
      <c r="M224" s="55"/>
      <c r="N224" s="55"/>
      <c r="O224" s="55"/>
      <c r="P224" s="55"/>
      <c r="Q224" s="55"/>
      <c r="R224" s="55"/>
      <c r="S224" s="55"/>
      <c r="T224" s="55"/>
      <c r="U224" s="55"/>
      <c r="V224" s="55"/>
      <c r="W224" s="55"/>
      <c r="X224" s="55"/>
      <c r="Y224" s="55"/>
    </row>
    <row r="225" spans="1:25" ht="15.75" customHeight="1">
      <c r="A225" s="55"/>
      <c r="B225" s="11"/>
      <c r="C225" s="11"/>
      <c r="D225" s="11"/>
      <c r="E225" s="11"/>
      <c r="F225" s="11"/>
      <c r="G225" s="28"/>
      <c r="H225" s="11"/>
      <c r="I225" s="11"/>
      <c r="J225" s="11"/>
      <c r="K225" s="55"/>
      <c r="L225" s="55"/>
      <c r="M225" s="55"/>
      <c r="N225" s="55"/>
      <c r="O225" s="55"/>
      <c r="P225" s="55"/>
      <c r="Q225" s="55"/>
      <c r="R225" s="55"/>
      <c r="S225" s="55"/>
      <c r="T225" s="55"/>
      <c r="U225" s="55"/>
      <c r="V225" s="55"/>
      <c r="W225" s="55"/>
      <c r="X225" s="55"/>
      <c r="Y225" s="55"/>
    </row>
    <row r="226" spans="1:25" ht="15.75" customHeight="1">
      <c r="A226" s="55"/>
      <c r="B226" s="11"/>
      <c r="C226" s="11"/>
      <c r="D226" s="11"/>
      <c r="E226" s="11"/>
      <c r="F226" s="11"/>
      <c r="G226" s="28"/>
      <c r="H226" s="11"/>
      <c r="I226" s="11"/>
      <c r="J226" s="11"/>
      <c r="K226" s="55"/>
      <c r="L226" s="55"/>
      <c r="M226" s="55"/>
      <c r="N226" s="55"/>
      <c r="O226" s="55"/>
      <c r="P226" s="55"/>
      <c r="Q226" s="55"/>
      <c r="R226" s="55"/>
      <c r="S226" s="55"/>
      <c r="T226" s="55"/>
      <c r="U226" s="55"/>
      <c r="V226" s="55"/>
      <c r="W226" s="55"/>
      <c r="X226" s="55"/>
      <c r="Y226" s="55"/>
    </row>
    <row r="227" spans="1:25" ht="15.75" customHeight="1">
      <c r="A227" s="55"/>
      <c r="B227" s="11"/>
      <c r="C227" s="11"/>
      <c r="D227" s="11"/>
      <c r="E227" s="11"/>
      <c r="F227" s="11"/>
      <c r="G227" s="28"/>
      <c r="H227" s="11"/>
      <c r="I227" s="11"/>
      <c r="J227" s="11"/>
      <c r="K227" s="55"/>
      <c r="L227" s="55"/>
      <c r="M227" s="55"/>
      <c r="N227" s="55"/>
      <c r="O227" s="55"/>
      <c r="P227" s="55"/>
      <c r="Q227" s="55"/>
      <c r="R227" s="55"/>
      <c r="S227" s="55"/>
      <c r="T227" s="55"/>
      <c r="U227" s="55"/>
      <c r="V227" s="55"/>
      <c r="W227" s="55"/>
      <c r="X227" s="55"/>
      <c r="Y227" s="55"/>
    </row>
    <row r="228" spans="1:25" ht="15.75" customHeight="1">
      <c r="A228" s="55"/>
      <c r="B228" s="11"/>
      <c r="C228" s="11"/>
      <c r="D228" s="11"/>
      <c r="E228" s="11"/>
      <c r="F228" s="11"/>
      <c r="G228" s="28"/>
      <c r="H228" s="11"/>
      <c r="I228" s="11"/>
      <c r="J228" s="11"/>
      <c r="K228" s="55"/>
      <c r="L228" s="55"/>
      <c r="M228" s="55"/>
      <c r="N228" s="55"/>
      <c r="O228" s="55"/>
      <c r="P228" s="55"/>
      <c r="Q228" s="55"/>
      <c r="R228" s="55"/>
      <c r="S228" s="55"/>
      <c r="T228" s="55"/>
      <c r="U228" s="55"/>
      <c r="V228" s="55"/>
      <c r="W228" s="55"/>
      <c r="X228" s="55"/>
      <c r="Y228" s="55"/>
    </row>
    <row r="229" spans="1:25" ht="15.75" customHeight="1">
      <c r="A229" s="55"/>
      <c r="B229" s="11"/>
      <c r="C229" s="11"/>
      <c r="D229" s="11"/>
      <c r="E229" s="11"/>
      <c r="F229" s="11"/>
      <c r="G229" s="28"/>
      <c r="H229" s="11"/>
      <c r="I229" s="11"/>
      <c r="J229" s="11"/>
      <c r="K229" s="55"/>
      <c r="L229" s="55"/>
      <c r="M229" s="55"/>
      <c r="N229" s="55"/>
      <c r="O229" s="55"/>
      <c r="P229" s="55"/>
      <c r="Q229" s="55"/>
      <c r="R229" s="55"/>
      <c r="S229" s="55"/>
      <c r="T229" s="55"/>
      <c r="U229" s="55"/>
      <c r="V229" s="55"/>
      <c r="W229" s="55"/>
      <c r="X229" s="55"/>
      <c r="Y229" s="55"/>
    </row>
    <row r="230" spans="1:25" ht="15.75" customHeight="1">
      <c r="A230" s="55"/>
      <c r="B230" s="11"/>
      <c r="C230" s="11"/>
      <c r="D230" s="11"/>
      <c r="E230" s="11"/>
      <c r="F230" s="11"/>
      <c r="G230" s="28"/>
      <c r="H230" s="11"/>
      <c r="I230" s="11"/>
      <c r="J230" s="11"/>
      <c r="K230" s="55"/>
      <c r="L230" s="55"/>
      <c r="M230" s="55"/>
      <c r="N230" s="55"/>
      <c r="O230" s="55"/>
      <c r="P230" s="55"/>
      <c r="Q230" s="55"/>
      <c r="R230" s="55"/>
      <c r="S230" s="55"/>
      <c r="T230" s="55"/>
      <c r="U230" s="55"/>
      <c r="V230" s="55"/>
      <c r="W230" s="55"/>
      <c r="X230" s="55"/>
      <c r="Y230" s="55"/>
    </row>
    <row r="231" spans="1:25" ht="15.75" customHeight="1">
      <c r="A231" s="55"/>
      <c r="B231" s="11"/>
      <c r="C231" s="11"/>
      <c r="D231" s="11"/>
      <c r="E231" s="11"/>
      <c r="F231" s="11"/>
      <c r="G231" s="28"/>
      <c r="H231" s="11"/>
      <c r="I231" s="11"/>
      <c r="J231" s="11"/>
      <c r="K231" s="55"/>
      <c r="L231" s="55"/>
      <c r="M231" s="55"/>
      <c r="N231" s="55"/>
      <c r="O231" s="55"/>
      <c r="P231" s="55"/>
      <c r="Q231" s="55"/>
      <c r="R231" s="55"/>
      <c r="S231" s="55"/>
      <c r="T231" s="55"/>
      <c r="U231" s="55"/>
      <c r="V231" s="55"/>
      <c r="W231" s="55"/>
      <c r="X231" s="55"/>
      <c r="Y231" s="55"/>
    </row>
    <row r="232" spans="1:25" ht="15.75" customHeight="1">
      <c r="A232" s="55"/>
      <c r="B232" s="11"/>
      <c r="C232" s="11"/>
      <c r="D232" s="11"/>
      <c r="E232" s="11"/>
      <c r="F232" s="11"/>
      <c r="G232" s="28"/>
      <c r="H232" s="11"/>
      <c r="I232" s="11"/>
      <c r="J232" s="11"/>
      <c r="K232" s="55"/>
      <c r="L232" s="55"/>
      <c r="M232" s="55"/>
      <c r="N232" s="55"/>
      <c r="O232" s="55"/>
      <c r="P232" s="55"/>
      <c r="Q232" s="55"/>
      <c r="R232" s="55"/>
      <c r="S232" s="55"/>
      <c r="T232" s="55"/>
      <c r="U232" s="55"/>
      <c r="V232" s="55"/>
      <c r="W232" s="55"/>
      <c r="X232" s="55"/>
      <c r="Y232" s="55"/>
    </row>
    <row r="233" spans="1:25" ht="15.75" customHeight="1">
      <c r="A233" s="55"/>
      <c r="B233" s="11"/>
      <c r="C233" s="11"/>
      <c r="D233" s="11"/>
      <c r="E233" s="11"/>
      <c r="F233" s="11"/>
      <c r="G233" s="28"/>
      <c r="H233" s="11"/>
      <c r="I233" s="11"/>
      <c r="J233" s="11"/>
      <c r="K233" s="55"/>
      <c r="L233" s="55"/>
      <c r="M233" s="55"/>
      <c r="N233" s="55"/>
      <c r="O233" s="55"/>
      <c r="P233" s="55"/>
      <c r="Q233" s="55"/>
      <c r="R233" s="55"/>
      <c r="S233" s="55"/>
      <c r="T233" s="55"/>
      <c r="U233" s="55"/>
      <c r="V233" s="55"/>
      <c r="W233" s="55"/>
      <c r="X233" s="55"/>
      <c r="Y233" s="55"/>
    </row>
    <row r="234" spans="1:25" ht="15.75" customHeight="1">
      <c r="A234" s="55"/>
      <c r="B234" s="11"/>
      <c r="C234" s="11"/>
      <c r="D234" s="11"/>
      <c r="E234" s="11"/>
      <c r="F234" s="11"/>
      <c r="G234" s="28"/>
      <c r="H234" s="11"/>
      <c r="I234" s="11"/>
      <c r="J234" s="11"/>
      <c r="K234" s="55"/>
      <c r="L234" s="55"/>
      <c r="M234" s="55"/>
      <c r="N234" s="55"/>
      <c r="O234" s="55"/>
      <c r="P234" s="55"/>
      <c r="Q234" s="55"/>
      <c r="R234" s="55"/>
      <c r="S234" s="55"/>
      <c r="T234" s="55"/>
      <c r="U234" s="55"/>
      <c r="V234" s="55"/>
      <c r="W234" s="55"/>
      <c r="X234" s="55"/>
      <c r="Y234" s="55"/>
    </row>
    <row r="235" spans="1:25" ht="15.75" customHeight="1">
      <c r="A235" s="55"/>
      <c r="B235" s="11"/>
      <c r="C235" s="11"/>
      <c r="D235" s="11"/>
      <c r="E235" s="11"/>
      <c r="F235" s="11"/>
      <c r="G235" s="28"/>
      <c r="H235" s="11"/>
      <c r="I235" s="11"/>
      <c r="J235" s="11"/>
      <c r="K235" s="55"/>
      <c r="L235" s="55"/>
      <c r="M235" s="55"/>
      <c r="N235" s="55"/>
      <c r="O235" s="55"/>
      <c r="P235" s="55"/>
      <c r="Q235" s="55"/>
      <c r="R235" s="55"/>
      <c r="S235" s="55"/>
      <c r="T235" s="55"/>
      <c r="U235" s="55"/>
      <c r="V235" s="55"/>
      <c r="W235" s="55"/>
      <c r="X235" s="55"/>
      <c r="Y235" s="55"/>
    </row>
    <row r="236" spans="1:25" ht="15.75" customHeight="1">
      <c r="A236" s="55"/>
      <c r="B236" s="11"/>
      <c r="C236" s="11"/>
      <c r="D236" s="11"/>
      <c r="E236" s="11"/>
      <c r="F236" s="11"/>
      <c r="G236" s="28"/>
      <c r="H236" s="11"/>
      <c r="I236" s="11"/>
      <c r="J236" s="11"/>
      <c r="K236" s="55"/>
      <c r="L236" s="55"/>
      <c r="M236" s="55"/>
      <c r="N236" s="55"/>
      <c r="O236" s="55"/>
      <c r="P236" s="55"/>
      <c r="Q236" s="55"/>
      <c r="R236" s="55"/>
      <c r="S236" s="55"/>
      <c r="T236" s="55"/>
      <c r="U236" s="55"/>
      <c r="V236" s="55"/>
      <c r="W236" s="55"/>
      <c r="X236" s="55"/>
      <c r="Y236" s="55"/>
    </row>
    <row r="237" spans="1:25" ht="15.75" customHeight="1">
      <c r="A237" s="55"/>
      <c r="B237" s="11"/>
      <c r="C237" s="11"/>
      <c r="D237" s="11"/>
      <c r="E237" s="11"/>
      <c r="F237" s="11"/>
      <c r="G237" s="28"/>
      <c r="H237" s="11"/>
      <c r="I237" s="11"/>
      <c r="J237" s="11"/>
      <c r="K237" s="55"/>
      <c r="L237" s="55"/>
      <c r="M237" s="55"/>
      <c r="N237" s="55"/>
      <c r="O237" s="55"/>
      <c r="P237" s="55"/>
      <c r="Q237" s="55"/>
      <c r="R237" s="55"/>
      <c r="S237" s="55"/>
      <c r="T237" s="55"/>
      <c r="U237" s="55"/>
      <c r="V237" s="55"/>
      <c r="W237" s="55"/>
      <c r="X237" s="55"/>
      <c r="Y237" s="55"/>
    </row>
    <row r="238" spans="1:25" ht="15.75" customHeight="1">
      <c r="A238" s="55"/>
      <c r="B238" s="11"/>
      <c r="C238" s="11"/>
      <c r="D238" s="11"/>
      <c r="E238" s="11"/>
      <c r="F238" s="11"/>
      <c r="G238" s="28"/>
      <c r="H238" s="11"/>
      <c r="I238" s="11"/>
      <c r="J238" s="11"/>
      <c r="K238" s="55"/>
      <c r="L238" s="55"/>
      <c r="M238" s="55"/>
      <c r="N238" s="55"/>
      <c r="O238" s="55"/>
      <c r="P238" s="55"/>
      <c r="Q238" s="55"/>
      <c r="R238" s="55"/>
      <c r="S238" s="55"/>
      <c r="T238" s="55"/>
      <c r="U238" s="55"/>
      <c r="V238" s="55"/>
      <c r="W238" s="55"/>
      <c r="X238" s="55"/>
      <c r="Y238" s="55"/>
    </row>
    <row r="239" spans="1:25" ht="15.75" customHeight="1">
      <c r="A239" s="55"/>
      <c r="B239" s="11"/>
      <c r="C239" s="11"/>
      <c r="D239" s="11"/>
      <c r="E239" s="11"/>
      <c r="F239" s="11"/>
      <c r="G239" s="28"/>
      <c r="H239" s="11"/>
      <c r="I239" s="11"/>
      <c r="J239" s="11"/>
      <c r="K239" s="55"/>
      <c r="L239" s="55"/>
      <c r="M239" s="55"/>
      <c r="N239" s="55"/>
      <c r="O239" s="55"/>
      <c r="P239" s="55"/>
      <c r="Q239" s="55"/>
      <c r="R239" s="55"/>
      <c r="S239" s="55"/>
      <c r="T239" s="55"/>
      <c r="U239" s="55"/>
      <c r="V239" s="55"/>
      <c r="W239" s="55"/>
      <c r="X239" s="55"/>
      <c r="Y239" s="55"/>
    </row>
    <row r="240" spans="1:25" ht="15.75" customHeight="1">
      <c r="A240" s="55"/>
      <c r="B240" s="11"/>
      <c r="C240" s="11"/>
      <c r="D240" s="11"/>
      <c r="E240" s="11"/>
      <c r="F240" s="11"/>
      <c r="G240" s="28"/>
      <c r="H240" s="11"/>
      <c r="I240" s="11"/>
      <c r="J240" s="11"/>
      <c r="K240" s="55"/>
      <c r="L240" s="55"/>
      <c r="M240" s="55"/>
      <c r="N240" s="55"/>
      <c r="O240" s="55"/>
      <c r="P240" s="55"/>
      <c r="Q240" s="55"/>
      <c r="R240" s="55"/>
      <c r="S240" s="55"/>
      <c r="T240" s="55"/>
      <c r="U240" s="55"/>
      <c r="V240" s="55"/>
      <c r="W240" s="55"/>
      <c r="X240" s="55"/>
      <c r="Y240" s="55"/>
    </row>
    <row r="241" spans="1:25" ht="15.75" customHeight="1">
      <c r="A241" s="55"/>
      <c r="B241" s="11"/>
      <c r="C241" s="11"/>
      <c r="D241" s="11"/>
      <c r="E241" s="11"/>
      <c r="F241" s="11"/>
      <c r="G241" s="28"/>
      <c r="H241" s="11"/>
      <c r="I241" s="11"/>
      <c r="J241" s="11"/>
      <c r="K241" s="55"/>
      <c r="L241" s="55"/>
      <c r="M241" s="55"/>
      <c r="N241" s="55"/>
      <c r="O241" s="55"/>
      <c r="P241" s="55"/>
      <c r="Q241" s="55"/>
      <c r="R241" s="55"/>
      <c r="S241" s="55"/>
      <c r="T241" s="55"/>
      <c r="U241" s="55"/>
      <c r="V241" s="55"/>
      <c r="W241" s="55"/>
      <c r="X241" s="55"/>
      <c r="Y241" s="55"/>
    </row>
    <row r="242" spans="1:25" ht="15.75" customHeight="1">
      <c r="A242" s="55"/>
      <c r="B242" s="11"/>
      <c r="C242" s="11"/>
      <c r="D242" s="11"/>
      <c r="E242" s="11"/>
      <c r="F242" s="11"/>
      <c r="G242" s="28"/>
      <c r="H242" s="11"/>
      <c r="I242" s="11"/>
      <c r="J242" s="11"/>
      <c r="K242" s="55"/>
      <c r="L242" s="55"/>
      <c r="M242" s="55"/>
      <c r="N242" s="55"/>
      <c r="O242" s="55"/>
      <c r="P242" s="55"/>
      <c r="Q242" s="55"/>
      <c r="R242" s="55"/>
      <c r="S242" s="55"/>
      <c r="T242" s="55"/>
      <c r="U242" s="55"/>
      <c r="V242" s="55"/>
      <c r="W242" s="55"/>
      <c r="X242" s="55"/>
      <c r="Y242" s="55"/>
    </row>
    <row r="243" spans="1:25" ht="15.75" customHeight="1">
      <c r="A243" s="55"/>
      <c r="B243" s="11"/>
      <c r="C243" s="11"/>
      <c r="D243" s="11"/>
      <c r="E243" s="11"/>
      <c r="F243" s="11"/>
      <c r="G243" s="28"/>
      <c r="H243" s="11"/>
      <c r="I243" s="11"/>
      <c r="J243" s="11"/>
      <c r="K243" s="55"/>
      <c r="L243" s="55"/>
      <c r="M243" s="55"/>
      <c r="N243" s="55"/>
      <c r="O243" s="55"/>
      <c r="P243" s="55"/>
      <c r="Q243" s="55"/>
      <c r="R243" s="55"/>
      <c r="S243" s="55"/>
      <c r="T243" s="55"/>
      <c r="U243" s="55"/>
      <c r="V243" s="55"/>
      <c r="W243" s="55"/>
      <c r="X243" s="55"/>
      <c r="Y243" s="55"/>
    </row>
    <row r="244" spans="1:25" ht="15.75" customHeight="1">
      <c r="A244" s="55"/>
      <c r="B244" s="11"/>
      <c r="C244" s="11"/>
      <c r="D244" s="11"/>
      <c r="E244" s="11"/>
      <c r="F244" s="11"/>
      <c r="G244" s="28"/>
      <c r="H244" s="11"/>
      <c r="I244" s="11"/>
      <c r="J244" s="11"/>
      <c r="K244" s="55"/>
      <c r="L244" s="55"/>
      <c r="M244" s="55"/>
      <c r="N244" s="55"/>
      <c r="O244" s="55"/>
      <c r="P244" s="55"/>
      <c r="Q244" s="55"/>
      <c r="R244" s="55"/>
      <c r="S244" s="55"/>
      <c r="T244" s="55"/>
      <c r="U244" s="55"/>
      <c r="V244" s="55"/>
      <c r="W244" s="55"/>
      <c r="X244" s="55"/>
      <c r="Y244" s="55"/>
    </row>
    <row r="245" spans="1:25" ht="15.75" customHeight="1">
      <c r="A245" s="55"/>
      <c r="B245" s="11"/>
      <c r="C245" s="11"/>
      <c r="D245" s="11"/>
      <c r="E245" s="11"/>
      <c r="F245" s="11"/>
      <c r="G245" s="28"/>
      <c r="H245" s="11"/>
      <c r="I245" s="11"/>
      <c r="J245" s="11"/>
      <c r="K245" s="55"/>
      <c r="L245" s="55"/>
      <c r="M245" s="55"/>
      <c r="N245" s="55"/>
      <c r="O245" s="55"/>
      <c r="P245" s="55"/>
      <c r="Q245" s="55"/>
      <c r="R245" s="55"/>
      <c r="S245" s="55"/>
      <c r="T245" s="55"/>
      <c r="U245" s="55"/>
      <c r="V245" s="55"/>
      <c r="W245" s="55"/>
      <c r="X245" s="55"/>
      <c r="Y245" s="55"/>
    </row>
    <row r="246" spans="1:25" ht="15.75" customHeight="1">
      <c r="A246" s="55"/>
      <c r="B246" s="11"/>
      <c r="C246" s="11"/>
      <c r="D246" s="11"/>
      <c r="E246" s="11"/>
      <c r="F246" s="11"/>
      <c r="G246" s="28"/>
      <c r="H246" s="11"/>
      <c r="I246" s="11"/>
      <c r="J246" s="11"/>
      <c r="K246" s="55"/>
      <c r="L246" s="55"/>
      <c r="M246" s="55"/>
      <c r="N246" s="55"/>
      <c r="O246" s="55"/>
      <c r="P246" s="55"/>
      <c r="Q246" s="55"/>
      <c r="R246" s="55"/>
      <c r="S246" s="55"/>
      <c r="T246" s="55"/>
      <c r="U246" s="55"/>
      <c r="V246" s="55"/>
      <c r="W246" s="55"/>
      <c r="X246" s="55"/>
      <c r="Y246" s="55"/>
    </row>
    <row r="247" spans="1:25" ht="15.75" customHeight="1">
      <c r="A247" s="55"/>
      <c r="B247" s="11"/>
      <c r="C247" s="11"/>
      <c r="D247" s="11"/>
      <c r="E247" s="11"/>
      <c r="F247" s="11"/>
      <c r="G247" s="28"/>
      <c r="H247" s="11"/>
      <c r="I247" s="11"/>
      <c r="J247" s="11"/>
      <c r="K247" s="55"/>
      <c r="L247" s="55"/>
      <c r="M247" s="55"/>
      <c r="N247" s="55"/>
      <c r="O247" s="55"/>
      <c r="P247" s="55"/>
      <c r="Q247" s="55"/>
      <c r="R247" s="55"/>
      <c r="S247" s="55"/>
      <c r="T247" s="55"/>
      <c r="U247" s="55"/>
      <c r="V247" s="55"/>
      <c r="W247" s="55"/>
      <c r="X247" s="55"/>
      <c r="Y247" s="55"/>
    </row>
    <row r="248" spans="1:25" ht="15.75" customHeight="1">
      <c r="A248" s="55"/>
      <c r="B248" s="11"/>
      <c r="C248" s="11"/>
      <c r="D248" s="11"/>
      <c r="E248" s="11"/>
      <c r="F248" s="11"/>
      <c r="G248" s="28"/>
      <c r="H248" s="11"/>
      <c r="I248" s="11"/>
      <c r="J248" s="11"/>
      <c r="K248" s="55"/>
      <c r="L248" s="55"/>
      <c r="M248" s="55"/>
      <c r="N248" s="55"/>
      <c r="O248" s="55"/>
      <c r="P248" s="55"/>
      <c r="Q248" s="55"/>
      <c r="R248" s="55"/>
      <c r="S248" s="55"/>
      <c r="T248" s="55"/>
      <c r="U248" s="55"/>
      <c r="V248" s="55"/>
      <c r="W248" s="55"/>
      <c r="X248" s="55"/>
      <c r="Y248" s="55"/>
    </row>
    <row r="249" spans="1:25" ht="15.75" customHeight="1">
      <c r="A249" s="55"/>
      <c r="B249" s="11"/>
      <c r="C249" s="11"/>
      <c r="D249" s="11"/>
      <c r="E249" s="11"/>
      <c r="F249" s="11"/>
      <c r="G249" s="28"/>
      <c r="H249" s="11"/>
      <c r="I249" s="11"/>
      <c r="J249" s="11"/>
      <c r="K249" s="55"/>
      <c r="L249" s="55"/>
      <c r="M249" s="55"/>
      <c r="N249" s="55"/>
      <c r="O249" s="55"/>
      <c r="P249" s="55"/>
      <c r="Q249" s="55"/>
      <c r="R249" s="55"/>
      <c r="S249" s="55"/>
      <c r="T249" s="55"/>
      <c r="U249" s="55"/>
      <c r="V249" s="55"/>
      <c r="W249" s="55"/>
      <c r="X249" s="55"/>
      <c r="Y249" s="55"/>
    </row>
    <row r="250" spans="1:25" ht="15.75" customHeight="1">
      <c r="A250" s="55"/>
      <c r="B250" s="11"/>
      <c r="C250" s="11"/>
      <c r="D250" s="11"/>
      <c r="E250" s="11"/>
      <c r="F250" s="11"/>
      <c r="G250" s="28"/>
      <c r="H250" s="11"/>
      <c r="I250" s="11"/>
      <c r="J250" s="11"/>
      <c r="K250" s="55"/>
      <c r="L250" s="55"/>
      <c r="M250" s="55"/>
      <c r="N250" s="55"/>
      <c r="O250" s="55"/>
      <c r="P250" s="55"/>
      <c r="Q250" s="55"/>
      <c r="R250" s="55"/>
      <c r="S250" s="55"/>
      <c r="T250" s="55"/>
      <c r="U250" s="55"/>
      <c r="V250" s="55"/>
      <c r="W250" s="55"/>
      <c r="X250" s="55"/>
      <c r="Y250" s="55"/>
    </row>
    <row r="251" spans="1:25" ht="15.75" customHeight="1">
      <c r="A251" s="55"/>
      <c r="B251" s="11"/>
      <c r="C251" s="11"/>
      <c r="D251" s="11"/>
      <c r="E251" s="11"/>
      <c r="F251" s="11"/>
      <c r="G251" s="28"/>
      <c r="H251" s="11"/>
      <c r="I251" s="11"/>
      <c r="J251" s="11"/>
      <c r="K251" s="55"/>
      <c r="L251" s="55"/>
      <c r="M251" s="55"/>
      <c r="N251" s="55"/>
      <c r="O251" s="55"/>
      <c r="P251" s="55"/>
      <c r="Q251" s="55"/>
      <c r="R251" s="55"/>
      <c r="S251" s="55"/>
      <c r="T251" s="55"/>
      <c r="U251" s="55"/>
      <c r="V251" s="55"/>
      <c r="W251" s="55"/>
      <c r="X251" s="55"/>
      <c r="Y251" s="55"/>
    </row>
    <row r="252" spans="1:25" ht="15.75" customHeight="1">
      <c r="A252" s="55"/>
      <c r="B252" s="11"/>
      <c r="C252" s="11"/>
      <c r="D252" s="11"/>
      <c r="E252" s="11"/>
      <c r="F252" s="11"/>
      <c r="G252" s="28"/>
      <c r="H252" s="11"/>
      <c r="I252" s="11"/>
      <c r="J252" s="11"/>
      <c r="K252" s="55"/>
      <c r="L252" s="55"/>
      <c r="M252" s="55"/>
      <c r="N252" s="55"/>
      <c r="O252" s="55"/>
      <c r="P252" s="55"/>
      <c r="Q252" s="55"/>
      <c r="R252" s="55"/>
      <c r="S252" s="55"/>
      <c r="T252" s="55"/>
      <c r="U252" s="55"/>
      <c r="V252" s="55"/>
      <c r="W252" s="55"/>
      <c r="X252" s="55"/>
      <c r="Y252" s="55"/>
    </row>
    <row r="253" spans="1:25" ht="15.75" customHeight="1">
      <c r="A253" s="55"/>
      <c r="B253" s="11"/>
      <c r="C253" s="11"/>
      <c r="D253" s="11"/>
      <c r="E253" s="11"/>
      <c r="F253" s="11"/>
      <c r="G253" s="28"/>
      <c r="H253" s="11"/>
      <c r="I253" s="11"/>
      <c r="J253" s="11"/>
      <c r="K253" s="55"/>
      <c r="L253" s="55"/>
      <c r="M253" s="55"/>
      <c r="N253" s="55"/>
      <c r="O253" s="55"/>
      <c r="P253" s="55"/>
      <c r="Q253" s="55"/>
      <c r="R253" s="55"/>
      <c r="S253" s="55"/>
      <c r="T253" s="55"/>
      <c r="U253" s="55"/>
      <c r="V253" s="55"/>
      <c r="W253" s="55"/>
      <c r="X253" s="55"/>
      <c r="Y253" s="55"/>
    </row>
    <row r="254" spans="1:25" ht="15.75" customHeight="1">
      <c r="A254" s="55"/>
      <c r="B254" s="11"/>
      <c r="C254" s="11"/>
      <c r="D254" s="11"/>
      <c r="E254" s="11"/>
      <c r="F254" s="11"/>
      <c r="G254" s="28"/>
      <c r="H254" s="11"/>
      <c r="I254" s="11"/>
      <c r="J254" s="11"/>
      <c r="K254" s="55"/>
      <c r="L254" s="55"/>
      <c r="M254" s="55"/>
      <c r="N254" s="55"/>
      <c r="O254" s="55"/>
      <c r="P254" s="55"/>
      <c r="Q254" s="55"/>
      <c r="R254" s="55"/>
      <c r="S254" s="55"/>
      <c r="T254" s="55"/>
      <c r="U254" s="55"/>
      <c r="V254" s="55"/>
      <c r="W254" s="55"/>
      <c r="X254" s="55"/>
      <c r="Y254" s="55"/>
    </row>
    <row r="255" spans="1:25" ht="15.75" customHeight="1">
      <c r="A255" s="55"/>
      <c r="B255" s="11"/>
      <c r="C255" s="11"/>
      <c r="D255" s="11"/>
      <c r="E255" s="11"/>
      <c r="F255" s="11"/>
      <c r="G255" s="28"/>
      <c r="H255" s="11"/>
      <c r="I255" s="11"/>
      <c r="J255" s="11"/>
      <c r="K255" s="55"/>
      <c r="L255" s="55"/>
      <c r="M255" s="55"/>
      <c r="N255" s="55"/>
      <c r="O255" s="55"/>
      <c r="P255" s="55"/>
      <c r="Q255" s="55"/>
      <c r="R255" s="55"/>
      <c r="S255" s="55"/>
      <c r="T255" s="55"/>
      <c r="U255" s="55"/>
      <c r="V255" s="55"/>
      <c r="W255" s="55"/>
      <c r="X255" s="55"/>
      <c r="Y255" s="55"/>
    </row>
    <row r="256" spans="1:25" ht="15.75" customHeight="1">
      <c r="A256" s="55"/>
      <c r="B256" s="11"/>
      <c r="C256" s="11"/>
      <c r="D256" s="11"/>
      <c r="E256" s="11"/>
      <c r="F256" s="11"/>
      <c r="G256" s="28"/>
      <c r="H256" s="11"/>
      <c r="I256" s="11"/>
      <c r="J256" s="11"/>
      <c r="K256" s="55"/>
      <c r="L256" s="55"/>
      <c r="M256" s="55"/>
      <c r="N256" s="55"/>
      <c r="O256" s="55"/>
      <c r="P256" s="55"/>
      <c r="Q256" s="55"/>
      <c r="R256" s="55"/>
      <c r="S256" s="55"/>
      <c r="T256" s="55"/>
      <c r="U256" s="55"/>
      <c r="V256" s="55"/>
      <c r="W256" s="55"/>
      <c r="X256" s="55"/>
      <c r="Y256" s="55"/>
    </row>
    <row r="257" spans="1:25" ht="15.75" customHeight="1">
      <c r="A257" s="55"/>
      <c r="B257" s="11"/>
      <c r="C257" s="11"/>
      <c r="D257" s="11"/>
      <c r="E257" s="11"/>
      <c r="F257" s="11"/>
      <c r="G257" s="28"/>
      <c r="H257" s="11"/>
      <c r="I257" s="11"/>
      <c r="J257" s="11"/>
      <c r="K257" s="55"/>
      <c r="L257" s="55"/>
      <c r="M257" s="55"/>
      <c r="N257" s="55"/>
      <c r="O257" s="55"/>
      <c r="P257" s="55"/>
      <c r="Q257" s="55"/>
      <c r="R257" s="55"/>
      <c r="S257" s="55"/>
      <c r="T257" s="55"/>
      <c r="U257" s="55"/>
      <c r="V257" s="55"/>
      <c r="W257" s="55"/>
      <c r="X257" s="55"/>
      <c r="Y257" s="55"/>
    </row>
    <row r="258" spans="1:25" ht="15.75" customHeight="1">
      <c r="A258" s="55"/>
      <c r="B258" s="11"/>
      <c r="C258" s="11"/>
      <c r="D258" s="11"/>
      <c r="E258" s="11"/>
      <c r="F258" s="11"/>
      <c r="G258" s="28"/>
      <c r="H258" s="11"/>
      <c r="I258" s="11"/>
      <c r="J258" s="11"/>
      <c r="K258" s="55"/>
      <c r="L258" s="55"/>
      <c r="M258" s="55"/>
      <c r="N258" s="55"/>
      <c r="O258" s="55"/>
      <c r="P258" s="55"/>
      <c r="Q258" s="55"/>
      <c r="R258" s="55"/>
      <c r="S258" s="55"/>
      <c r="T258" s="55"/>
      <c r="U258" s="55"/>
      <c r="V258" s="55"/>
      <c r="W258" s="55"/>
      <c r="X258" s="55"/>
      <c r="Y258" s="55"/>
    </row>
    <row r="259" spans="1:25" ht="15.75" customHeight="1">
      <c r="A259" s="55"/>
      <c r="B259" s="11"/>
      <c r="C259" s="11"/>
      <c r="D259" s="11"/>
      <c r="E259" s="11"/>
      <c r="F259" s="11"/>
      <c r="G259" s="28"/>
      <c r="H259" s="11"/>
      <c r="I259" s="11"/>
      <c r="J259" s="11"/>
      <c r="K259" s="55"/>
      <c r="L259" s="55"/>
      <c r="M259" s="55"/>
      <c r="N259" s="55"/>
      <c r="O259" s="55"/>
      <c r="P259" s="55"/>
      <c r="Q259" s="55"/>
      <c r="R259" s="55"/>
      <c r="S259" s="55"/>
      <c r="T259" s="55"/>
      <c r="U259" s="55"/>
      <c r="V259" s="55"/>
      <c r="W259" s="55"/>
      <c r="X259" s="55"/>
      <c r="Y259" s="55"/>
    </row>
    <row r="260" spans="1:25" ht="15.75" customHeight="1">
      <c r="A260" s="55"/>
      <c r="B260" s="11"/>
      <c r="C260" s="11"/>
      <c r="D260" s="11"/>
      <c r="E260" s="11"/>
      <c r="F260" s="11"/>
      <c r="G260" s="28"/>
      <c r="H260" s="11"/>
      <c r="I260" s="11"/>
      <c r="J260" s="11"/>
      <c r="K260" s="55"/>
      <c r="L260" s="55"/>
      <c r="M260" s="55"/>
      <c r="N260" s="55"/>
      <c r="O260" s="55"/>
      <c r="P260" s="55"/>
      <c r="Q260" s="55"/>
      <c r="R260" s="55"/>
      <c r="S260" s="55"/>
      <c r="T260" s="55"/>
      <c r="U260" s="55"/>
      <c r="V260" s="55"/>
      <c r="W260" s="55"/>
      <c r="X260" s="55"/>
      <c r="Y260" s="55"/>
    </row>
    <row r="261" spans="1:25" ht="15.75" customHeight="1">
      <c r="A261" s="55"/>
      <c r="B261" s="11"/>
      <c r="C261" s="11"/>
      <c r="D261" s="11"/>
      <c r="E261" s="11"/>
      <c r="F261" s="11"/>
      <c r="G261" s="28"/>
      <c r="H261" s="11"/>
      <c r="I261" s="11"/>
      <c r="J261" s="11"/>
      <c r="K261" s="55"/>
      <c r="L261" s="55"/>
      <c r="M261" s="55"/>
      <c r="N261" s="55"/>
      <c r="O261" s="55"/>
      <c r="P261" s="55"/>
      <c r="Q261" s="55"/>
      <c r="R261" s="55"/>
      <c r="S261" s="55"/>
      <c r="T261" s="55"/>
      <c r="U261" s="55"/>
      <c r="V261" s="55"/>
      <c r="W261" s="55"/>
      <c r="X261" s="55"/>
      <c r="Y261" s="55"/>
    </row>
    <row r="262" spans="1:25" ht="15.75" customHeight="1">
      <c r="A262" s="55"/>
      <c r="B262" s="11"/>
      <c r="C262" s="11"/>
      <c r="D262" s="11"/>
      <c r="E262" s="11"/>
      <c r="F262" s="11"/>
      <c r="G262" s="28"/>
      <c r="H262" s="11"/>
      <c r="I262" s="11"/>
      <c r="J262" s="11"/>
      <c r="K262" s="55"/>
      <c r="L262" s="55"/>
      <c r="M262" s="55"/>
      <c r="N262" s="55"/>
      <c r="O262" s="55"/>
      <c r="P262" s="55"/>
      <c r="Q262" s="55"/>
      <c r="R262" s="55"/>
      <c r="S262" s="55"/>
      <c r="T262" s="55"/>
      <c r="U262" s="55"/>
      <c r="V262" s="55"/>
      <c r="W262" s="55"/>
      <c r="X262" s="55"/>
      <c r="Y262" s="55"/>
    </row>
    <row r="263" spans="1:25" ht="15.75" customHeight="1">
      <c r="A263" s="55"/>
      <c r="B263" s="11"/>
      <c r="C263" s="11"/>
      <c r="D263" s="11"/>
      <c r="E263" s="11"/>
      <c r="F263" s="11"/>
      <c r="G263" s="28"/>
      <c r="H263" s="11"/>
      <c r="I263" s="11"/>
      <c r="J263" s="11"/>
      <c r="K263" s="55"/>
      <c r="L263" s="55"/>
      <c r="M263" s="55"/>
      <c r="N263" s="55"/>
      <c r="O263" s="55"/>
      <c r="P263" s="55"/>
      <c r="Q263" s="55"/>
      <c r="R263" s="55"/>
      <c r="S263" s="55"/>
      <c r="T263" s="55"/>
      <c r="U263" s="55"/>
      <c r="V263" s="55"/>
      <c r="W263" s="55"/>
      <c r="X263" s="55"/>
      <c r="Y263" s="55"/>
    </row>
    <row r="264" spans="1:25" ht="15.75" customHeight="1">
      <c r="A264" s="55"/>
      <c r="B264" s="11"/>
      <c r="C264" s="11"/>
      <c r="D264" s="11"/>
      <c r="E264" s="11"/>
      <c r="F264" s="11"/>
      <c r="G264" s="28"/>
      <c r="H264" s="11"/>
      <c r="I264" s="11"/>
      <c r="J264" s="11"/>
      <c r="K264" s="55"/>
      <c r="L264" s="55"/>
      <c r="M264" s="55"/>
      <c r="N264" s="55"/>
      <c r="O264" s="55"/>
      <c r="P264" s="55"/>
      <c r="Q264" s="55"/>
      <c r="R264" s="55"/>
      <c r="S264" s="55"/>
      <c r="T264" s="55"/>
      <c r="U264" s="55"/>
      <c r="V264" s="55"/>
      <c r="W264" s="55"/>
      <c r="X264" s="55"/>
      <c r="Y264" s="55"/>
    </row>
    <row r="265" spans="1:25" ht="15.75" customHeight="1">
      <c r="A265" s="55"/>
      <c r="B265" s="11"/>
      <c r="C265" s="11"/>
      <c r="D265" s="11"/>
      <c r="E265" s="11"/>
      <c r="F265" s="11"/>
      <c r="G265" s="28"/>
      <c r="H265" s="11"/>
      <c r="I265" s="11"/>
      <c r="J265" s="11"/>
      <c r="K265" s="55"/>
      <c r="L265" s="55"/>
      <c r="M265" s="55"/>
      <c r="N265" s="55"/>
      <c r="O265" s="55"/>
      <c r="P265" s="55"/>
      <c r="Q265" s="55"/>
      <c r="R265" s="55"/>
      <c r="S265" s="55"/>
      <c r="T265" s="55"/>
      <c r="U265" s="55"/>
      <c r="V265" s="55"/>
      <c r="W265" s="55"/>
      <c r="X265" s="55"/>
      <c r="Y265" s="55"/>
    </row>
    <row r="266" spans="1:25" ht="15.75" customHeight="1">
      <c r="A266" s="55"/>
      <c r="B266" s="11"/>
      <c r="C266" s="11"/>
      <c r="D266" s="11"/>
      <c r="E266" s="11"/>
      <c r="F266" s="11"/>
      <c r="G266" s="28"/>
      <c r="H266" s="11"/>
      <c r="I266" s="11"/>
      <c r="J266" s="11"/>
      <c r="K266" s="55"/>
      <c r="L266" s="55"/>
      <c r="M266" s="55"/>
      <c r="N266" s="55"/>
      <c r="O266" s="55"/>
      <c r="P266" s="55"/>
      <c r="Q266" s="55"/>
      <c r="R266" s="55"/>
      <c r="S266" s="55"/>
      <c r="T266" s="55"/>
      <c r="U266" s="55"/>
      <c r="V266" s="55"/>
      <c r="W266" s="55"/>
      <c r="X266" s="55"/>
      <c r="Y266" s="55"/>
    </row>
    <row r="267" spans="1:25" ht="15.75" customHeight="1">
      <c r="A267" s="55"/>
      <c r="B267" s="11"/>
      <c r="C267" s="11"/>
      <c r="D267" s="11"/>
      <c r="E267" s="11"/>
      <c r="F267" s="11"/>
      <c r="G267" s="28"/>
      <c r="H267" s="11"/>
      <c r="I267" s="11"/>
      <c r="J267" s="11"/>
      <c r="K267" s="55"/>
      <c r="L267" s="55"/>
      <c r="M267" s="55"/>
      <c r="N267" s="55"/>
      <c r="O267" s="55"/>
      <c r="P267" s="55"/>
      <c r="Q267" s="55"/>
      <c r="R267" s="55"/>
      <c r="S267" s="55"/>
      <c r="T267" s="55"/>
      <c r="U267" s="55"/>
      <c r="V267" s="55"/>
      <c r="W267" s="55"/>
      <c r="X267" s="55"/>
      <c r="Y267" s="55"/>
    </row>
    <row r="268" spans="1:25" ht="15.75" customHeight="1">
      <c r="A268" s="55"/>
      <c r="B268" s="11"/>
      <c r="C268" s="11"/>
      <c r="D268" s="11"/>
      <c r="E268" s="11"/>
      <c r="F268" s="11"/>
      <c r="G268" s="28"/>
      <c r="H268" s="11"/>
      <c r="I268" s="11"/>
      <c r="J268" s="11"/>
      <c r="K268" s="55"/>
      <c r="L268" s="55"/>
      <c r="M268" s="55"/>
      <c r="N268" s="55"/>
      <c r="O268" s="55"/>
      <c r="P268" s="55"/>
      <c r="Q268" s="55"/>
      <c r="R268" s="55"/>
      <c r="S268" s="55"/>
      <c r="T268" s="55"/>
      <c r="U268" s="55"/>
      <c r="V268" s="55"/>
      <c r="W268" s="55"/>
      <c r="X268" s="55"/>
      <c r="Y268" s="55"/>
    </row>
    <row r="269" spans="1:25" ht="15.75" customHeight="1">
      <c r="A269" s="55"/>
      <c r="B269" s="11"/>
      <c r="C269" s="11"/>
      <c r="D269" s="11"/>
      <c r="E269" s="11"/>
      <c r="F269" s="11"/>
      <c r="G269" s="28"/>
      <c r="H269" s="11"/>
      <c r="I269" s="11"/>
      <c r="J269" s="11"/>
      <c r="K269" s="55"/>
      <c r="L269" s="55"/>
      <c r="M269" s="55"/>
      <c r="N269" s="55"/>
      <c r="O269" s="55"/>
      <c r="P269" s="55"/>
      <c r="Q269" s="55"/>
      <c r="R269" s="55"/>
      <c r="S269" s="55"/>
      <c r="T269" s="55"/>
      <c r="U269" s="55"/>
      <c r="V269" s="55"/>
      <c r="W269" s="55"/>
      <c r="X269" s="55"/>
      <c r="Y269" s="55"/>
    </row>
    <row r="270" spans="1:25" ht="15.75" customHeight="1">
      <c r="A270" s="55"/>
      <c r="B270" s="11"/>
      <c r="C270" s="11"/>
      <c r="D270" s="11"/>
      <c r="E270" s="11"/>
      <c r="F270" s="11"/>
      <c r="G270" s="28"/>
      <c r="H270" s="11"/>
      <c r="I270" s="11"/>
      <c r="J270" s="11"/>
      <c r="K270" s="55"/>
      <c r="L270" s="55"/>
      <c r="M270" s="55"/>
      <c r="N270" s="55"/>
      <c r="O270" s="55"/>
      <c r="P270" s="55"/>
      <c r="Q270" s="55"/>
      <c r="R270" s="55"/>
      <c r="S270" s="55"/>
      <c r="T270" s="55"/>
      <c r="U270" s="55"/>
      <c r="V270" s="55"/>
      <c r="W270" s="55"/>
      <c r="X270" s="55"/>
      <c r="Y270" s="55"/>
    </row>
    <row r="271" spans="1:25" ht="15.75" customHeight="1">
      <c r="A271" s="55"/>
      <c r="B271" s="11"/>
      <c r="C271" s="11"/>
      <c r="D271" s="11"/>
      <c r="E271" s="11"/>
      <c r="F271" s="11"/>
      <c r="G271" s="28"/>
      <c r="H271" s="11"/>
      <c r="I271" s="11"/>
      <c r="J271" s="11"/>
      <c r="K271" s="55"/>
      <c r="L271" s="55"/>
      <c r="M271" s="55"/>
      <c r="N271" s="55"/>
      <c r="O271" s="55"/>
      <c r="P271" s="55"/>
      <c r="Q271" s="55"/>
      <c r="R271" s="55"/>
      <c r="S271" s="55"/>
      <c r="T271" s="55"/>
      <c r="U271" s="55"/>
      <c r="V271" s="55"/>
      <c r="W271" s="55"/>
      <c r="X271" s="55"/>
      <c r="Y271" s="55"/>
    </row>
    <row r="272" spans="1:25" ht="15.75" customHeight="1">
      <c r="A272" s="55"/>
      <c r="B272" s="11"/>
      <c r="C272" s="11"/>
      <c r="D272" s="11"/>
      <c r="E272" s="11"/>
      <c r="F272" s="11"/>
      <c r="G272" s="28"/>
      <c r="H272" s="11"/>
      <c r="I272" s="11"/>
      <c r="J272" s="11"/>
      <c r="K272" s="55"/>
      <c r="L272" s="55"/>
      <c r="M272" s="55"/>
      <c r="N272" s="55"/>
      <c r="O272" s="55"/>
      <c r="P272" s="55"/>
      <c r="Q272" s="55"/>
      <c r="R272" s="55"/>
      <c r="S272" s="55"/>
      <c r="T272" s="55"/>
      <c r="U272" s="55"/>
      <c r="V272" s="55"/>
      <c r="W272" s="55"/>
      <c r="X272" s="55"/>
      <c r="Y272" s="55"/>
    </row>
    <row r="273" spans="1:25" ht="15.75" customHeight="1">
      <c r="A273" s="55"/>
      <c r="B273" s="11"/>
      <c r="C273" s="11"/>
      <c r="D273" s="11"/>
      <c r="E273" s="11"/>
      <c r="F273" s="11"/>
      <c r="G273" s="28"/>
      <c r="H273" s="11"/>
      <c r="I273" s="11"/>
      <c r="J273" s="11"/>
      <c r="K273" s="55"/>
      <c r="L273" s="55"/>
      <c r="M273" s="55"/>
      <c r="N273" s="55"/>
      <c r="O273" s="55"/>
      <c r="P273" s="55"/>
      <c r="Q273" s="55"/>
      <c r="R273" s="55"/>
      <c r="S273" s="55"/>
      <c r="T273" s="55"/>
      <c r="U273" s="55"/>
      <c r="V273" s="55"/>
      <c r="W273" s="55"/>
      <c r="X273" s="55"/>
      <c r="Y273" s="55"/>
    </row>
    <row r="274" spans="1:25" ht="15.75" customHeight="1">
      <c r="A274" s="55"/>
      <c r="B274" s="11"/>
      <c r="C274" s="11"/>
      <c r="D274" s="11"/>
      <c r="E274" s="11"/>
      <c r="F274" s="11"/>
      <c r="G274" s="28"/>
      <c r="H274" s="11"/>
      <c r="I274" s="11"/>
      <c r="J274" s="11"/>
      <c r="K274" s="55"/>
      <c r="L274" s="55"/>
      <c r="M274" s="55"/>
      <c r="N274" s="55"/>
      <c r="O274" s="55"/>
      <c r="P274" s="55"/>
      <c r="Q274" s="55"/>
      <c r="R274" s="55"/>
      <c r="S274" s="55"/>
      <c r="T274" s="55"/>
      <c r="U274" s="55"/>
      <c r="V274" s="55"/>
      <c r="W274" s="55"/>
      <c r="X274" s="55"/>
      <c r="Y274" s="55"/>
    </row>
    <row r="275" spans="1:25" ht="15.75" customHeight="1">
      <c r="A275" s="55"/>
      <c r="B275" s="11"/>
      <c r="C275" s="11"/>
      <c r="D275" s="11"/>
      <c r="E275" s="11"/>
      <c r="F275" s="11"/>
      <c r="G275" s="28"/>
      <c r="H275" s="11"/>
      <c r="I275" s="11"/>
      <c r="J275" s="11"/>
      <c r="K275" s="55"/>
      <c r="L275" s="55"/>
      <c r="M275" s="55"/>
      <c r="N275" s="55"/>
      <c r="O275" s="55"/>
      <c r="P275" s="55"/>
      <c r="Q275" s="55"/>
      <c r="R275" s="55"/>
      <c r="S275" s="55"/>
      <c r="T275" s="55"/>
      <c r="U275" s="55"/>
      <c r="V275" s="55"/>
      <c r="W275" s="55"/>
      <c r="X275" s="55"/>
      <c r="Y275" s="55"/>
    </row>
    <row r="276" spans="1:25" ht="15.75" customHeight="1">
      <c r="A276" s="55"/>
      <c r="B276" s="11"/>
      <c r="C276" s="11"/>
      <c r="D276" s="11"/>
      <c r="E276" s="11"/>
      <c r="F276" s="11"/>
      <c r="G276" s="28"/>
      <c r="H276" s="11"/>
      <c r="I276" s="11"/>
      <c r="J276" s="11"/>
      <c r="K276" s="55"/>
      <c r="L276" s="55"/>
      <c r="M276" s="55"/>
      <c r="N276" s="55"/>
      <c r="O276" s="55"/>
      <c r="P276" s="55"/>
      <c r="Q276" s="55"/>
      <c r="R276" s="55"/>
      <c r="S276" s="55"/>
      <c r="T276" s="55"/>
      <c r="U276" s="55"/>
      <c r="V276" s="55"/>
      <c r="W276" s="55"/>
      <c r="X276" s="55"/>
      <c r="Y276" s="55"/>
    </row>
    <row r="277" spans="1:25" ht="15.75" customHeight="1">
      <c r="A277" s="55"/>
      <c r="B277" s="11"/>
      <c r="C277" s="11"/>
      <c r="D277" s="11"/>
      <c r="E277" s="11"/>
      <c r="F277" s="11"/>
      <c r="G277" s="28"/>
      <c r="H277" s="11"/>
      <c r="I277" s="11"/>
      <c r="J277" s="11"/>
      <c r="K277" s="55"/>
      <c r="L277" s="55"/>
      <c r="M277" s="55"/>
      <c r="N277" s="55"/>
      <c r="O277" s="55"/>
      <c r="P277" s="55"/>
      <c r="Q277" s="55"/>
      <c r="R277" s="55"/>
      <c r="S277" s="55"/>
      <c r="T277" s="55"/>
      <c r="U277" s="55"/>
      <c r="V277" s="55"/>
      <c r="W277" s="55"/>
      <c r="X277" s="55"/>
      <c r="Y277" s="55"/>
    </row>
    <row r="278" spans="1:25" ht="15.75" customHeight="1">
      <c r="A278" s="55"/>
      <c r="B278" s="11"/>
      <c r="C278" s="11"/>
      <c r="D278" s="11"/>
      <c r="E278" s="11"/>
      <c r="F278" s="11"/>
      <c r="G278" s="28"/>
      <c r="H278" s="11"/>
      <c r="I278" s="11"/>
      <c r="J278" s="11"/>
      <c r="K278" s="55"/>
      <c r="L278" s="55"/>
      <c r="M278" s="55"/>
      <c r="N278" s="55"/>
      <c r="O278" s="55"/>
      <c r="P278" s="55"/>
      <c r="Q278" s="55"/>
      <c r="R278" s="55"/>
      <c r="S278" s="55"/>
      <c r="T278" s="55"/>
      <c r="U278" s="55"/>
      <c r="V278" s="55"/>
      <c r="W278" s="55"/>
      <c r="X278" s="55"/>
      <c r="Y278" s="55"/>
    </row>
    <row r="279" spans="1:25" ht="15.75" customHeight="1">
      <c r="A279" s="55"/>
      <c r="B279" s="11"/>
      <c r="C279" s="11"/>
      <c r="D279" s="11"/>
      <c r="E279" s="11"/>
      <c r="F279" s="11"/>
      <c r="G279" s="28"/>
      <c r="H279" s="11"/>
      <c r="I279" s="11"/>
      <c r="J279" s="11"/>
      <c r="K279" s="55"/>
      <c r="L279" s="55"/>
      <c r="M279" s="55"/>
      <c r="N279" s="55"/>
      <c r="O279" s="55"/>
      <c r="P279" s="55"/>
      <c r="Q279" s="55"/>
      <c r="R279" s="55"/>
      <c r="S279" s="55"/>
      <c r="T279" s="55"/>
      <c r="U279" s="55"/>
      <c r="V279" s="55"/>
      <c r="W279" s="55"/>
      <c r="X279" s="55"/>
      <c r="Y279" s="55"/>
    </row>
    <row r="280" spans="1:25" ht="15.75" customHeight="1">
      <c r="A280" s="55"/>
      <c r="B280" s="11"/>
      <c r="C280" s="11"/>
      <c r="D280" s="11"/>
      <c r="E280" s="11"/>
      <c r="F280" s="11"/>
      <c r="G280" s="28"/>
      <c r="H280" s="11"/>
      <c r="I280" s="11"/>
      <c r="J280" s="11"/>
      <c r="K280" s="55"/>
      <c r="L280" s="55"/>
      <c r="M280" s="55"/>
      <c r="N280" s="55"/>
      <c r="O280" s="55"/>
      <c r="P280" s="55"/>
      <c r="Q280" s="55"/>
      <c r="R280" s="55"/>
      <c r="S280" s="55"/>
      <c r="T280" s="55"/>
      <c r="U280" s="55"/>
      <c r="V280" s="55"/>
      <c r="W280" s="55"/>
      <c r="X280" s="55"/>
      <c r="Y280" s="55"/>
    </row>
    <row r="281" spans="1:25" ht="15.75" customHeight="1">
      <c r="A281" s="55"/>
      <c r="B281" s="11"/>
      <c r="C281" s="11"/>
      <c r="D281" s="11"/>
      <c r="E281" s="11"/>
      <c r="F281" s="11"/>
      <c r="G281" s="28"/>
      <c r="H281" s="11"/>
      <c r="I281" s="11"/>
      <c r="J281" s="11"/>
      <c r="K281" s="55"/>
      <c r="L281" s="55"/>
      <c r="M281" s="55"/>
      <c r="N281" s="55"/>
      <c r="O281" s="55"/>
      <c r="P281" s="55"/>
      <c r="Q281" s="55"/>
      <c r="R281" s="55"/>
      <c r="S281" s="55"/>
      <c r="T281" s="55"/>
      <c r="U281" s="55"/>
      <c r="V281" s="55"/>
      <c r="W281" s="55"/>
      <c r="X281" s="55"/>
      <c r="Y281" s="55"/>
    </row>
    <row r="282" spans="1:25" ht="15.75" customHeight="1">
      <c r="A282" s="55"/>
      <c r="B282" s="11"/>
      <c r="C282" s="11"/>
      <c r="D282" s="11"/>
      <c r="E282" s="11"/>
      <c r="F282" s="11"/>
      <c r="G282" s="28"/>
      <c r="H282" s="11"/>
      <c r="I282" s="11"/>
      <c r="J282" s="11"/>
      <c r="K282" s="55"/>
      <c r="L282" s="55"/>
      <c r="M282" s="55"/>
      <c r="N282" s="55"/>
      <c r="O282" s="55"/>
      <c r="P282" s="55"/>
      <c r="Q282" s="55"/>
      <c r="R282" s="55"/>
      <c r="S282" s="55"/>
      <c r="T282" s="55"/>
      <c r="U282" s="55"/>
      <c r="V282" s="55"/>
      <c r="W282" s="55"/>
      <c r="X282" s="55"/>
      <c r="Y282" s="55"/>
    </row>
    <row r="283" spans="1:25" ht="15.75" customHeight="1">
      <c r="A283" s="55"/>
      <c r="B283" s="11"/>
      <c r="C283" s="11"/>
      <c r="D283" s="11"/>
      <c r="E283" s="11"/>
      <c r="F283" s="11"/>
      <c r="G283" s="28"/>
      <c r="H283" s="11"/>
      <c r="I283" s="11"/>
      <c r="J283" s="11"/>
      <c r="K283" s="55"/>
      <c r="L283" s="55"/>
      <c r="M283" s="55"/>
      <c r="N283" s="55"/>
      <c r="O283" s="55"/>
      <c r="P283" s="55"/>
      <c r="Q283" s="55"/>
      <c r="R283" s="55"/>
      <c r="S283" s="55"/>
      <c r="T283" s="55"/>
      <c r="U283" s="55"/>
      <c r="V283" s="55"/>
      <c r="W283" s="55"/>
      <c r="X283" s="55"/>
      <c r="Y283" s="55"/>
    </row>
    <row r="284" spans="1:25" ht="15.75" customHeight="1">
      <c r="A284" s="55"/>
      <c r="B284" s="11"/>
      <c r="C284" s="11"/>
      <c r="D284" s="11"/>
      <c r="E284" s="11"/>
      <c r="F284" s="11"/>
      <c r="G284" s="28"/>
      <c r="H284" s="11"/>
      <c r="I284" s="11"/>
      <c r="J284" s="11"/>
      <c r="K284" s="55"/>
      <c r="L284" s="55"/>
      <c r="M284" s="55"/>
      <c r="N284" s="55"/>
      <c r="O284" s="55"/>
      <c r="P284" s="55"/>
      <c r="Q284" s="55"/>
      <c r="R284" s="55"/>
      <c r="S284" s="55"/>
      <c r="T284" s="55"/>
      <c r="U284" s="55"/>
      <c r="V284" s="55"/>
      <c r="W284" s="55"/>
      <c r="X284" s="55"/>
      <c r="Y284" s="55"/>
    </row>
    <row r="285" spans="1:25" ht="15.75" customHeight="1">
      <c r="A285" s="55"/>
      <c r="B285" s="11"/>
      <c r="C285" s="11"/>
      <c r="D285" s="11"/>
      <c r="E285" s="11"/>
      <c r="F285" s="11"/>
      <c r="G285" s="28"/>
      <c r="H285" s="11"/>
      <c r="I285" s="11"/>
      <c r="J285" s="11"/>
      <c r="K285" s="55"/>
      <c r="L285" s="55"/>
      <c r="M285" s="55"/>
      <c r="N285" s="55"/>
      <c r="O285" s="55"/>
      <c r="P285" s="55"/>
      <c r="Q285" s="55"/>
      <c r="R285" s="55"/>
      <c r="S285" s="55"/>
      <c r="T285" s="55"/>
      <c r="U285" s="55"/>
      <c r="V285" s="55"/>
      <c r="W285" s="55"/>
      <c r="X285" s="55"/>
      <c r="Y285" s="55"/>
    </row>
    <row r="286" spans="1:25" ht="15.75" customHeight="1">
      <c r="A286" s="55"/>
      <c r="B286" s="11"/>
      <c r="C286" s="11"/>
      <c r="D286" s="11"/>
      <c r="E286" s="11"/>
      <c r="F286" s="11"/>
      <c r="G286" s="28"/>
      <c r="H286" s="11"/>
      <c r="I286" s="11"/>
      <c r="J286" s="11"/>
      <c r="K286" s="55"/>
      <c r="L286" s="55"/>
      <c r="M286" s="55"/>
      <c r="N286" s="55"/>
      <c r="O286" s="55"/>
      <c r="P286" s="55"/>
      <c r="Q286" s="55"/>
      <c r="R286" s="55"/>
      <c r="S286" s="55"/>
      <c r="T286" s="55"/>
      <c r="U286" s="55"/>
      <c r="V286" s="55"/>
      <c r="W286" s="55"/>
      <c r="X286" s="55"/>
      <c r="Y286" s="55"/>
    </row>
    <row r="287" spans="1:25" ht="15.75" customHeight="1">
      <c r="A287" s="55"/>
      <c r="B287" s="11"/>
      <c r="C287" s="11"/>
      <c r="D287" s="11"/>
      <c r="E287" s="11"/>
      <c r="F287" s="11"/>
      <c r="G287" s="28"/>
      <c r="H287" s="11"/>
      <c r="I287" s="11"/>
      <c r="J287" s="11"/>
      <c r="K287" s="55"/>
      <c r="L287" s="55"/>
      <c r="M287" s="55"/>
      <c r="N287" s="55"/>
      <c r="O287" s="55"/>
      <c r="P287" s="55"/>
      <c r="Q287" s="55"/>
      <c r="R287" s="55"/>
      <c r="S287" s="55"/>
      <c r="T287" s="55"/>
      <c r="U287" s="55"/>
      <c r="V287" s="55"/>
      <c r="W287" s="55"/>
      <c r="X287" s="55"/>
      <c r="Y287" s="55"/>
    </row>
    <row r="288" spans="1:25" ht="15.75" customHeight="1">
      <c r="A288" s="55"/>
      <c r="B288" s="11"/>
      <c r="C288" s="11"/>
      <c r="D288" s="11"/>
      <c r="E288" s="11"/>
      <c r="F288" s="11"/>
      <c r="G288" s="28"/>
      <c r="H288" s="11"/>
      <c r="I288" s="11"/>
      <c r="J288" s="11"/>
      <c r="K288" s="55"/>
      <c r="L288" s="55"/>
      <c r="M288" s="55"/>
      <c r="N288" s="55"/>
      <c r="O288" s="55"/>
      <c r="P288" s="55"/>
      <c r="Q288" s="55"/>
      <c r="R288" s="55"/>
      <c r="S288" s="55"/>
      <c r="T288" s="55"/>
      <c r="U288" s="55"/>
      <c r="V288" s="55"/>
      <c r="W288" s="55"/>
      <c r="X288" s="55"/>
      <c r="Y288" s="55"/>
    </row>
    <row r="289" spans="1:25" ht="15.75" customHeight="1">
      <c r="A289" s="55"/>
      <c r="B289" s="11"/>
      <c r="C289" s="11"/>
      <c r="D289" s="11"/>
      <c r="E289" s="11"/>
      <c r="F289" s="11"/>
      <c r="G289" s="28"/>
      <c r="H289" s="11"/>
      <c r="I289" s="11"/>
      <c r="J289" s="11"/>
      <c r="K289" s="55"/>
      <c r="L289" s="55"/>
      <c r="M289" s="55"/>
      <c r="N289" s="55"/>
      <c r="O289" s="55"/>
      <c r="P289" s="55"/>
      <c r="Q289" s="55"/>
      <c r="R289" s="55"/>
      <c r="S289" s="55"/>
      <c r="T289" s="55"/>
      <c r="U289" s="55"/>
      <c r="V289" s="55"/>
      <c r="W289" s="55"/>
      <c r="X289" s="55"/>
      <c r="Y289" s="55"/>
    </row>
    <row r="290" spans="1:25" ht="15.75" customHeight="1">
      <c r="A290" s="55"/>
      <c r="B290" s="11"/>
      <c r="C290" s="11"/>
      <c r="D290" s="11"/>
      <c r="E290" s="11"/>
      <c r="F290" s="11"/>
      <c r="G290" s="28"/>
      <c r="H290" s="11"/>
      <c r="I290" s="11"/>
      <c r="J290" s="11"/>
      <c r="K290" s="55"/>
      <c r="L290" s="55"/>
      <c r="M290" s="55"/>
      <c r="N290" s="55"/>
      <c r="O290" s="55"/>
      <c r="P290" s="55"/>
      <c r="Q290" s="55"/>
      <c r="R290" s="55"/>
      <c r="S290" s="55"/>
      <c r="T290" s="55"/>
      <c r="U290" s="55"/>
      <c r="V290" s="55"/>
      <c r="W290" s="55"/>
      <c r="X290" s="55"/>
      <c r="Y290" s="55"/>
    </row>
    <row r="291" spans="1:25" ht="15.75" customHeight="1">
      <c r="A291" s="55"/>
      <c r="B291" s="11"/>
      <c r="C291" s="11"/>
      <c r="D291" s="11"/>
      <c r="E291" s="11"/>
      <c r="F291" s="11"/>
      <c r="G291" s="28"/>
      <c r="H291" s="11"/>
      <c r="I291" s="11"/>
      <c r="J291" s="11"/>
      <c r="K291" s="55"/>
      <c r="L291" s="55"/>
      <c r="M291" s="55"/>
      <c r="N291" s="55"/>
      <c r="O291" s="55"/>
      <c r="P291" s="55"/>
      <c r="Q291" s="55"/>
      <c r="R291" s="55"/>
      <c r="S291" s="55"/>
      <c r="T291" s="55"/>
      <c r="U291" s="55"/>
      <c r="V291" s="55"/>
      <c r="W291" s="55"/>
      <c r="X291" s="55"/>
      <c r="Y291" s="55"/>
    </row>
    <row r="292" spans="1:25" ht="15.75" customHeight="1">
      <c r="A292" s="55"/>
      <c r="B292" s="11"/>
      <c r="C292" s="11"/>
      <c r="D292" s="11"/>
      <c r="E292" s="11"/>
      <c r="F292" s="11"/>
      <c r="G292" s="28"/>
      <c r="H292" s="11"/>
      <c r="I292" s="11"/>
      <c r="J292" s="11"/>
      <c r="K292" s="55"/>
      <c r="L292" s="55"/>
      <c r="M292" s="55"/>
      <c r="N292" s="55"/>
      <c r="O292" s="55"/>
      <c r="P292" s="55"/>
      <c r="Q292" s="55"/>
      <c r="R292" s="55"/>
      <c r="S292" s="55"/>
      <c r="T292" s="55"/>
      <c r="U292" s="55"/>
      <c r="V292" s="55"/>
      <c r="W292" s="55"/>
      <c r="X292" s="55"/>
      <c r="Y292" s="55"/>
    </row>
    <row r="293" spans="1:25" ht="15.75" customHeight="1">
      <c r="A293" s="55"/>
      <c r="B293" s="11"/>
      <c r="C293" s="11"/>
      <c r="D293" s="11"/>
      <c r="E293" s="11"/>
      <c r="F293" s="11"/>
      <c r="G293" s="28"/>
      <c r="H293" s="11"/>
      <c r="I293" s="11"/>
      <c r="J293" s="11"/>
      <c r="K293" s="55"/>
      <c r="L293" s="55"/>
      <c r="M293" s="55"/>
      <c r="N293" s="55"/>
      <c r="O293" s="55"/>
      <c r="P293" s="55"/>
      <c r="Q293" s="55"/>
      <c r="R293" s="55"/>
      <c r="S293" s="55"/>
      <c r="T293" s="55"/>
      <c r="U293" s="55"/>
      <c r="V293" s="55"/>
      <c r="W293" s="55"/>
      <c r="X293" s="55"/>
      <c r="Y293" s="55"/>
    </row>
    <row r="294" spans="1:25" ht="15.75" customHeight="1">
      <c r="A294" s="55"/>
      <c r="B294" s="11"/>
      <c r="C294" s="11"/>
      <c r="D294" s="11"/>
      <c r="E294" s="11"/>
      <c r="F294" s="11"/>
      <c r="G294" s="28"/>
      <c r="H294" s="11"/>
      <c r="I294" s="11"/>
      <c r="J294" s="11"/>
      <c r="K294" s="55"/>
      <c r="L294" s="55"/>
      <c r="M294" s="55"/>
      <c r="N294" s="55"/>
      <c r="O294" s="55"/>
      <c r="P294" s="55"/>
      <c r="Q294" s="55"/>
      <c r="R294" s="55"/>
      <c r="S294" s="55"/>
      <c r="T294" s="55"/>
      <c r="U294" s="55"/>
      <c r="V294" s="55"/>
      <c r="W294" s="55"/>
      <c r="X294" s="55"/>
      <c r="Y294" s="55"/>
    </row>
    <row r="295" spans="1:25" ht="15.75" customHeight="1">
      <c r="A295" s="55"/>
      <c r="B295" s="11"/>
      <c r="C295" s="11"/>
      <c r="D295" s="11"/>
      <c r="E295" s="11"/>
      <c r="F295" s="11"/>
      <c r="G295" s="28"/>
      <c r="H295" s="11"/>
      <c r="I295" s="11"/>
      <c r="J295" s="11"/>
      <c r="K295" s="55"/>
      <c r="L295" s="55"/>
      <c r="M295" s="55"/>
      <c r="N295" s="55"/>
      <c r="O295" s="55"/>
      <c r="P295" s="55"/>
      <c r="Q295" s="55"/>
      <c r="R295" s="55"/>
      <c r="S295" s="55"/>
      <c r="T295" s="55"/>
      <c r="U295" s="55"/>
      <c r="V295" s="55"/>
      <c r="W295" s="55"/>
      <c r="X295" s="55"/>
      <c r="Y295" s="55"/>
    </row>
    <row r="296" spans="1:25" ht="15.75" customHeight="1">
      <c r="A296" s="55"/>
      <c r="B296" s="11"/>
      <c r="C296" s="11"/>
      <c r="D296" s="11"/>
      <c r="E296" s="11"/>
      <c r="F296" s="11"/>
      <c r="G296" s="28"/>
      <c r="H296" s="11"/>
      <c r="I296" s="11"/>
      <c r="J296" s="11"/>
      <c r="K296" s="55"/>
      <c r="L296" s="55"/>
      <c r="M296" s="55"/>
      <c r="N296" s="55"/>
      <c r="O296" s="55"/>
      <c r="P296" s="55"/>
      <c r="Q296" s="55"/>
      <c r="R296" s="55"/>
      <c r="S296" s="55"/>
      <c r="T296" s="55"/>
      <c r="U296" s="55"/>
      <c r="V296" s="55"/>
      <c r="W296" s="55"/>
      <c r="X296" s="55"/>
      <c r="Y296" s="55"/>
    </row>
    <row r="297" spans="1:25" ht="15.75" customHeight="1">
      <c r="A297" s="55"/>
      <c r="B297" s="11"/>
      <c r="C297" s="11"/>
      <c r="D297" s="11"/>
      <c r="E297" s="11"/>
      <c r="F297" s="11"/>
      <c r="G297" s="28"/>
      <c r="H297" s="11"/>
      <c r="I297" s="11"/>
      <c r="J297" s="11"/>
      <c r="K297" s="55"/>
      <c r="L297" s="55"/>
      <c r="M297" s="55"/>
      <c r="N297" s="55"/>
      <c r="O297" s="55"/>
      <c r="P297" s="55"/>
      <c r="Q297" s="55"/>
      <c r="R297" s="55"/>
      <c r="S297" s="55"/>
      <c r="T297" s="55"/>
      <c r="U297" s="55"/>
      <c r="V297" s="55"/>
      <c r="W297" s="55"/>
      <c r="X297" s="55"/>
      <c r="Y297" s="55"/>
    </row>
    <row r="298" spans="1:25" ht="15.75" customHeight="1">
      <c r="A298" s="55"/>
      <c r="B298" s="11"/>
      <c r="C298" s="11"/>
      <c r="D298" s="11"/>
      <c r="E298" s="11"/>
      <c r="F298" s="11"/>
      <c r="G298" s="28"/>
      <c r="H298" s="11"/>
      <c r="I298" s="11"/>
      <c r="J298" s="11"/>
      <c r="K298" s="55"/>
      <c r="L298" s="55"/>
      <c r="M298" s="55"/>
      <c r="N298" s="55"/>
      <c r="O298" s="55"/>
      <c r="P298" s="55"/>
      <c r="Q298" s="55"/>
      <c r="R298" s="55"/>
      <c r="S298" s="55"/>
      <c r="T298" s="55"/>
      <c r="U298" s="55"/>
      <c r="V298" s="55"/>
      <c r="W298" s="55"/>
      <c r="X298" s="55"/>
      <c r="Y298" s="55"/>
    </row>
    <row r="299" spans="1:25" ht="15.75" customHeight="1">
      <c r="A299" s="55"/>
      <c r="B299" s="11"/>
      <c r="C299" s="11"/>
      <c r="D299" s="11"/>
      <c r="E299" s="11"/>
      <c r="F299" s="11"/>
      <c r="G299" s="28"/>
      <c r="H299" s="11"/>
      <c r="I299" s="11"/>
      <c r="J299" s="11"/>
      <c r="K299" s="55"/>
      <c r="L299" s="55"/>
      <c r="M299" s="55"/>
      <c r="N299" s="55"/>
      <c r="O299" s="55"/>
      <c r="P299" s="55"/>
      <c r="Q299" s="55"/>
      <c r="R299" s="55"/>
      <c r="S299" s="55"/>
      <c r="T299" s="55"/>
      <c r="U299" s="55"/>
      <c r="V299" s="55"/>
      <c r="W299" s="55"/>
      <c r="X299" s="55"/>
      <c r="Y299" s="55"/>
    </row>
    <row r="300" spans="1:25" ht="15.75" customHeight="1">
      <c r="A300" s="55"/>
      <c r="B300" s="11"/>
      <c r="C300" s="11"/>
      <c r="D300" s="11"/>
      <c r="E300" s="11"/>
      <c r="F300" s="11"/>
      <c r="G300" s="28"/>
      <c r="H300" s="11"/>
      <c r="I300" s="11"/>
      <c r="J300" s="11"/>
      <c r="K300" s="55"/>
      <c r="L300" s="55"/>
      <c r="M300" s="55"/>
      <c r="N300" s="55"/>
      <c r="O300" s="55"/>
      <c r="P300" s="55"/>
      <c r="Q300" s="55"/>
      <c r="R300" s="55"/>
      <c r="S300" s="55"/>
      <c r="T300" s="55"/>
      <c r="U300" s="55"/>
      <c r="V300" s="55"/>
      <c r="W300" s="55"/>
      <c r="X300" s="55"/>
      <c r="Y300" s="55"/>
    </row>
    <row r="301" spans="1:25" ht="15.75" customHeight="1">
      <c r="A301" s="55"/>
      <c r="B301" s="11"/>
      <c r="C301" s="11"/>
      <c r="D301" s="11"/>
      <c r="E301" s="11"/>
      <c r="F301" s="11"/>
      <c r="G301" s="28"/>
      <c r="H301" s="11"/>
      <c r="I301" s="11"/>
      <c r="J301" s="11"/>
      <c r="K301" s="55"/>
      <c r="L301" s="55"/>
      <c r="M301" s="55"/>
      <c r="N301" s="55"/>
      <c r="O301" s="55"/>
      <c r="P301" s="55"/>
      <c r="Q301" s="55"/>
      <c r="R301" s="55"/>
      <c r="S301" s="55"/>
      <c r="T301" s="55"/>
      <c r="U301" s="55"/>
      <c r="V301" s="55"/>
      <c r="W301" s="55"/>
      <c r="X301" s="55"/>
      <c r="Y301" s="55"/>
    </row>
    <row r="302" spans="1:25" ht="15.75" customHeight="1">
      <c r="A302" s="55"/>
      <c r="B302" s="11"/>
      <c r="C302" s="11"/>
      <c r="D302" s="11"/>
      <c r="E302" s="11"/>
      <c r="F302" s="11"/>
      <c r="G302" s="28"/>
      <c r="H302" s="11"/>
      <c r="I302" s="11"/>
      <c r="J302" s="11"/>
      <c r="K302" s="55"/>
      <c r="L302" s="55"/>
      <c r="M302" s="55"/>
      <c r="N302" s="55"/>
      <c r="O302" s="55"/>
      <c r="P302" s="55"/>
      <c r="Q302" s="55"/>
      <c r="R302" s="55"/>
      <c r="S302" s="55"/>
      <c r="T302" s="55"/>
      <c r="U302" s="55"/>
      <c r="V302" s="55"/>
      <c r="W302" s="55"/>
      <c r="X302" s="55"/>
      <c r="Y302" s="55"/>
    </row>
    <row r="303" spans="1:25" ht="15.75" customHeight="1">
      <c r="A303" s="55"/>
      <c r="B303" s="11"/>
      <c r="C303" s="11"/>
      <c r="D303" s="11"/>
      <c r="E303" s="11"/>
      <c r="F303" s="11"/>
      <c r="G303" s="28"/>
      <c r="H303" s="11"/>
      <c r="I303" s="11"/>
      <c r="J303" s="11"/>
      <c r="K303" s="55"/>
      <c r="L303" s="55"/>
      <c r="M303" s="55"/>
      <c r="N303" s="55"/>
      <c r="O303" s="55"/>
      <c r="P303" s="55"/>
      <c r="Q303" s="55"/>
      <c r="R303" s="55"/>
      <c r="S303" s="55"/>
      <c r="T303" s="55"/>
      <c r="U303" s="55"/>
      <c r="V303" s="55"/>
      <c r="W303" s="55"/>
      <c r="X303" s="55"/>
      <c r="Y303" s="55"/>
    </row>
    <row r="304" spans="1:25" ht="15.75" customHeight="1">
      <c r="A304" s="55"/>
      <c r="B304" s="11"/>
      <c r="C304" s="11"/>
      <c r="D304" s="11"/>
      <c r="E304" s="11"/>
      <c r="F304" s="11"/>
      <c r="G304" s="28"/>
      <c r="H304" s="11"/>
      <c r="I304" s="11"/>
      <c r="J304" s="11"/>
      <c r="K304" s="55"/>
      <c r="L304" s="55"/>
      <c r="M304" s="55"/>
      <c r="N304" s="55"/>
      <c r="O304" s="55"/>
      <c r="P304" s="55"/>
      <c r="Q304" s="55"/>
      <c r="R304" s="55"/>
      <c r="S304" s="55"/>
      <c r="T304" s="55"/>
      <c r="U304" s="55"/>
      <c r="V304" s="55"/>
      <c r="W304" s="55"/>
      <c r="X304" s="55"/>
      <c r="Y304" s="55"/>
    </row>
    <row r="305" spans="1:25" ht="15.75" customHeight="1">
      <c r="A305" s="55"/>
      <c r="B305" s="11"/>
      <c r="C305" s="11"/>
      <c r="D305" s="11"/>
      <c r="E305" s="11"/>
      <c r="F305" s="11"/>
      <c r="G305" s="28"/>
      <c r="H305" s="11"/>
      <c r="I305" s="11"/>
      <c r="J305" s="11"/>
      <c r="K305" s="55"/>
      <c r="L305" s="55"/>
      <c r="M305" s="55"/>
      <c r="N305" s="55"/>
      <c r="O305" s="55"/>
      <c r="P305" s="55"/>
      <c r="Q305" s="55"/>
      <c r="R305" s="55"/>
      <c r="S305" s="55"/>
      <c r="T305" s="55"/>
      <c r="U305" s="55"/>
      <c r="V305" s="55"/>
      <c r="W305" s="55"/>
      <c r="X305" s="55"/>
      <c r="Y305" s="55"/>
    </row>
    <row r="306" spans="1:25" ht="15.75" customHeight="1">
      <c r="A306" s="55"/>
      <c r="B306" s="11"/>
      <c r="C306" s="11"/>
      <c r="D306" s="11"/>
      <c r="E306" s="11"/>
      <c r="F306" s="11"/>
      <c r="G306" s="28"/>
      <c r="H306" s="11"/>
      <c r="I306" s="11"/>
      <c r="J306" s="11"/>
      <c r="K306" s="55"/>
      <c r="L306" s="55"/>
      <c r="M306" s="55"/>
      <c r="N306" s="55"/>
      <c r="O306" s="55"/>
      <c r="P306" s="55"/>
      <c r="Q306" s="55"/>
      <c r="R306" s="55"/>
      <c r="S306" s="55"/>
      <c r="T306" s="55"/>
      <c r="U306" s="55"/>
      <c r="V306" s="55"/>
      <c r="W306" s="55"/>
      <c r="X306" s="55"/>
      <c r="Y306" s="55"/>
    </row>
    <row r="307" spans="1:25" ht="15.75" customHeight="1">
      <c r="A307" s="55"/>
      <c r="B307" s="11"/>
      <c r="C307" s="11"/>
      <c r="D307" s="11"/>
      <c r="E307" s="11"/>
      <c r="F307" s="11"/>
      <c r="G307" s="28"/>
      <c r="H307" s="11"/>
      <c r="I307" s="11"/>
      <c r="J307" s="11"/>
      <c r="K307" s="55"/>
      <c r="L307" s="55"/>
      <c r="M307" s="55"/>
      <c r="N307" s="55"/>
      <c r="O307" s="55"/>
      <c r="P307" s="55"/>
      <c r="Q307" s="55"/>
      <c r="R307" s="55"/>
      <c r="S307" s="55"/>
      <c r="T307" s="55"/>
      <c r="U307" s="55"/>
      <c r="V307" s="55"/>
      <c r="W307" s="55"/>
      <c r="X307" s="55"/>
      <c r="Y307" s="55"/>
    </row>
    <row r="308" spans="1:25" ht="15.75" customHeight="1">
      <c r="A308" s="55"/>
      <c r="B308" s="11"/>
      <c r="C308" s="11"/>
      <c r="D308" s="11"/>
      <c r="E308" s="11"/>
      <c r="F308" s="11"/>
      <c r="G308" s="28"/>
      <c r="H308" s="11"/>
      <c r="I308" s="11"/>
      <c r="J308" s="11"/>
      <c r="K308" s="55"/>
      <c r="L308" s="55"/>
      <c r="M308" s="55"/>
      <c r="N308" s="55"/>
      <c r="O308" s="55"/>
      <c r="P308" s="55"/>
      <c r="Q308" s="55"/>
      <c r="R308" s="55"/>
      <c r="S308" s="55"/>
      <c r="T308" s="55"/>
      <c r="U308" s="55"/>
      <c r="V308" s="55"/>
      <c r="W308" s="55"/>
      <c r="X308" s="55"/>
      <c r="Y308" s="55"/>
    </row>
    <row r="309" spans="1:25" ht="15.75" customHeight="1">
      <c r="A309" s="55"/>
      <c r="B309" s="11"/>
      <c r="C309" s="11"/>
      <c r="D309" s="11"/>
      <c r="E309" s="11"/>
      <c r="F309" s="11"/>
      <c r="G309" s="28"/>
      <c r="H309" s="11"/>
      <c r="I309" s="11"/>
      <c r="J309" s="11"/>
      <c r="K309" s="55"/>
      <c r="L309" s="55"/>
      <c r="M309" s="55"/>
      <c r="N309" s="55"/>
      <c r="O309" s="55"/>
      <c r="P309" s="55"/>
      <c r="Q309" s="55"/>
      <c r="R309" s="55"/>
      <c r="S309" s="55"/>
      <c r="T309" s="55"/>
      <c r="U309" s="55"/>
      <c r="V309" s="55"/>
      <c r="W309" s="55"/>
      <c r="X309" s="55"/>
      <c r="Y309" s="55"/>
    </row>
    <row r="310" spans="1:25" ht="15.75" customHeight="1">
      <c r="A310" s="55"/>
      <c r="B310" s="11"/>
      <c r="C310" s="11"/>
      <c r="D310" s="11"/>
      <c r="E310" s="11"/>
      <c r="F310" s="11"/>
      <c r="G310" s="28"/>
      <c r="H310" s="11"/>
      <c r="I310" s="11"/>
      <c r="J310" s="11"/>
      <c r="K310" s="55"/>
      <c r="L310" s="55"/>
      <c r="M310" s="55"/>
      <c r="N310" s="55"/>
      <c r="O310" s="55"/>
      <c r="P310" s="55"/>
      <c r="Q310" s="55"/>
      <c r="R310" s="55"/>
      <c r="S310" s="55"/>
      <c r="T310" s="55"/>
      <c r="U310" s="55"/>
      <c r="V310" s="55"/>
      <c r="W310" s="55"/>
      <c r="X310" s="55"/>
      <c r="Y310" s="55"/>
    </row>
    <row r="311" spans="1:25" ht="15.75" customHeight="1">
      <c r="A311" s="55"/>
      <c r="B311" s="11"/>
      <c r="C311" s="11"/>
      <c r="D311" s="11"/>
      <c r="E311" s="11"/>
      <c r="F311" s="11"/>
      <c r="G311" s="28"/>
      <c r="H311" s="11"/>
      <c r="I311" s="11"/>
      <c r="J311" s="11"/>
      <c r="K311" s="55"/>
      <c r="L311" s="55"/>
      <c r="M311" s="55"/>
      <c r="N311" s="55"/>
      <c r="O311" s="55"/>
      <c r="P311" s="55"/>
      <c r="Q311" s="55"/>
      <c r="R311" s="55"/>
      <c r="S311" s="55"/>
      <c r="T311" s="55"/>
      <c r="U311" s="55"/>
      <c r="V311" s="55"/>
      <c r="W311" s="55"/>
      <c r="X311" s="55"/>
      <c r="Y311" s="55"/>
    </row>
    <row r="312" spans="1:25" ht="15.75" customHeight="1">
      <c r="A312" s="55"/>
      <c r="B312" s="11"/>
      <c r="C312" s="11"/>
      <c r="D312" s="11"/>
      <c r="E312" s="11"/>
      <c r="F312" s="11"/>
      <c r="G312" s="28"/>
      <c r="H312" s="11"/>
      <c r="I312" s="11"/>
      <c r="J312" s="11"/>
      <c r="K312" s="55"/>
      <c r="L312" s="55"/>
      <c r="M312" s="55"/>
      <c r="N312" s="55"/>
      <c r="O312" s="55"/>
      <c r="P312" s="55"/>
      <c r="Q312" s="55"/>
      <c r="R312" s="55"/>
      <c r="S312" s="55"/>
      <c r="T312" s="55"/>
      <c r="U312" s="55"/>
      <c r="V312" s="55"/>
      <c r="W312" s="55"/>
      <c r="X312" s="55"/>
      <c r="Y312" s="55"/>
    </row>
    <row r="313" spans="1:25" ht="15.75" customHeight="1">
      <c r="A313" s="55"/>
      <c r="B313" s="11"/>
      <c r="C313" s="11"/>
      <c r="D313" s="11"/>
      <c r="E313" s="11"/>
      <c r="F313" s="11"/>
      <c r="G313" s="28"/>
      <c r="H313" s="11"/>
      <c r="I313" s="11"/>
      <c r="J313" s="11"/>
      <c r="K313" s="55"/>
      <c r="L313" s="55"/>
      <c r="M313" s="55"/>
      <c r="N313" s="55"/>
      <c r="O313" s="55"/>
      <c r="P313" s="55"/>
      <c r="Q313" s="55"/>
      <c r="R313" s="55"/>
      <c r="S313" s="55"/>
      <c r="T313" s="55"/>
      <c r="U313" s="55"/>
      <c r="V313" s="55"/>
      <c r="W313" s="55"/>
      <c r="X313" s="55"/>
      <c r="Y313" s="55"/>
    </row>
    <row r="314" spans="1:25" ht="15.75" customHeight="1">
      <c r="A314" s="55"/>
      <c r="B314" s="11"/>
      <c r="C314" s="11"/>
      <c r="D314" s="11"/>
      <c r="E314" s="11"/>
      <c r="F314" s="11"/>
      <c r="G314" s="28"/>
      <c r="H314" s="11"/>
      <c r="I314" s="11"/>
      <c r="J314" s="11"/>
      <c r="K314" s="55"/>
      <c r="L314" s="55"/>
      <c r="M314" s="55"/>
      <c r="N314" s="55"/>
      <c r="O314" s="55"/>
      <c r="P314" s="55"/>
      <c r="Q314" s="55"/>
      <c r="R314" s="55"/>
      <c r="S314" s="55"/>
      <c r="T314" s="55"/>
      <c r="U314" s="55"/>
      <c r="V314" s="55"/>
      <c r="W314" s="55"/>
      <c r="X314" s="55"/>
      <c r="Y314" s="55"/>
    </row>
    <row r="315" spans="1:25" ht="15.75" customHeight="1">
      <c r="A315" s="55"/>
      <c r="B315" s="11"/>
      <c r="C315" s="11"/>
      <c r="D315" s="11"/>
      <c r="E315" s="11"/>
      <c r="F315" s="11"/>
      <c r="G315" s="28"/>
      <c r="H315" s="11"/>
      <c r="I315" s="11"/>
      <c r="J315" s="11"/>
      <c r="K315" s="55"/>
      <c r="L315" s="55"/>
      <c r="M315" s="55"/>
      <c r="N315" s="55"/>
      <c r="O315" s="55"/>
      <c r="P315" s="55"/>
      <c r="Q315" s="55"/>
      <c r="R315" s="55"/>
      <c r="S315" s="55"/>
      <c r="T315" s="55"/>
      <c r="U315" s="55"/>
      <c r="V315" s="55"/>
      <c r="W315" s="55"/>
      <c r="X315" s="55"/>
      <c r="Y315" s="55"/>
    </row>
    <row r="316" spans="1:25" ht="15.75" customHeight="1">
      <c r="A316" s="55"/>
      <c r="B316" s="11"/>
      <c r="C316" s="11"/>
      <c r="D316" s="11"/>
      <c r="E316" s="11"/>
      <c r="F316" s="11"/>
      <c r="G316" s="28"/>
      <c r="H316" s="11"/>
      <c r="I316" s="11"/>
      <c r="J316" s="11"/>
      <c r="K316" s="55"/>
      <c r="L316" s="55"/>
      <c r="M316" s="55"/>
      <c r="N316" s="55"/>
      <c r="O316" s="55"/>
      <c r="P316" s="55"/>
      <c r="Q316" s="55"/>
      <c r="R316" s="55"/>
      <c r="S316" s="55"/>
      <c r="T316" s="55"/>
      <c r="U316" s="55"/>
      <c r="V316" s="55"/>
      <c r="W316" s="55"/>
      <c r="X316" s="55"/>
      <c r="Y316" s="55"/>
    </row>
    <row r="317" spans="1:25" ht="15.75" customHeight="1">
      <c r="A317" s="55"/>
      <c r="B317" s="11"/>
      <c r="C317" s="11"/>
      <c r="D317" s="11"/>
      <c r="E317" s="11"/>
      <c r="F317" s="11"/>
      <c r="G317" s="28"/>
      <c r="H317" s="11"/>
      <c r="I317" s="11"/>
      <c r="J317" s="11"/>
      <c r="K317" s="55"/>
      <c r="L317" s="55"/>
      <c r="M317" s="55"/>
      <c r="N317" s="55"/>
      <c r="O317" s="55"/>
      <c r="P317" s="55"/>
      <c r="Q317" s="55"/>
      <c r="R317" s="55"/>
      <c r="S317" s="55"/>
      <c r="T317" s="55"/>
      <c r="U317" s="55"/>
      <c r="V317" s="55"/>
      <c r="W317" s="55"/>
      <c r="X317" s="55"/>
      <c r="Y317" s="55"/>
    </row>
    <row r="318" spans="1:25" ht="15.75" customHeight="1">
      <c r="A318" s="55"/>
      <c r="B318" s="11"/>
      <c r="C318" s="11"/>
      <c r="D318" s="11"/>
      <c r="E318" s="11"/>
      <c r="F318" s="11"/>
      <c r="G318" s="28"/>
      <c r="H318" s="11"/>
      <c r="I318" s="11"/>
      <c r="J318" s="11"/>
      <c r="K318" s="55"/>
      <c r="L318" s="55"/>
      <c r="M318" s="55"/>
      <c r="N318" s="55"/>
      <c r="O318" s="55"/>
      <c r="P318" s="55"/>
      <c r="Q318" s="55"/>
      <c r="R318" s="55"/>
      <c r="S318" s="55"/>
      <c r="T318" s="55"/>
      <c r="U318" s="55"/>
      <c r="V318" s="55"/>
      <c r="W318" s="55"/>
      <c r="X318" s="55"/>
      <c r="Y318" s="55"/>
    </row>
    <row r="319" spans="1:25" ht="15.75" customHeight="1">
      <c r="A319" s="55"/>
      <c r="B319" s="11"/>
      <c r="C319" s="11"/>
      <c r="D319" s="11"/>
      <c r="E319" s="11"/>
      <c r="F319" s="11"/>
      <c r="G319" s="28"/>
      <c r="H319" s="11"/>
      <c r="I319" s="11"/>
      <c r="J319" s="11"/>
      <c r="K319" s="55"/>
      <c r="L319" s="55"/>
      <c r="M319" s="55"/>
      <c r="N319" s="55"/>
      <c r="O319" s="55"/>
      <c r="P319" s="55"/>
      <c r="Q319" s="55"/>
      <c r="R319" s="55"/>
      <c r="S319" s="55"/>
      <c r="T319" s="55"/>
      <c r="U319" s="55"/>
      <c r="V319" s="55"/>
      <c r="W319" s="55"/>
      <c r="X319" s="55"/>
      <c r="Y319" s="55"/>
    </row>
    <row r="320" spans="1:25" ht="15.75" customHeight="1">
      <c r="A320" s="55"/>
      <c r="B320" s="11"/>
      <c r="C320" s="11"/>
      <c r="D320" s="11"/>
      <c r="E320" s="11"/>
      <c r="F320" s="11"/>
      <c r="G320" s="28"/>
      <c r="H320" s="11"/>
      <c r="I320" s="11"/>
      <c r="J320" s="11"/>
      <c r="K320" s="55"/>
      <c r="L320" s="55"/>
      <c r="M320" s="55"/>
      <c r="N320" s="55"/>
      <c r="O320" s="55"/>
      <c r="P320" s="55"/>
      <c r="Q320" s="55"/>
      <c r="R320" s="55"/>
      <c r="S320" s="55"/>
      <c r="T320" s="55"/>
      <c r="U320" s="55"/>
      <c r="V320" s="55"/>
      <c r="W320" s="55"/>
      <c r="X320" s="55"/>
      <c r="Y320" s="55"/>
    </row>
    <row r="321" spans="1:25" ht="15.75" customHeight="1">
      <c r="A321" s="55"/>
      <c r="B321" s="11"/>
      <c r="C321" s="11"/>
      <c r="D321" s="11"/>
      <c r="E321" s="11"/>
      <c r="F321" s="11"/>
      <c r="G321" s="28"/>
      <c r="H321" s="11"/>
      <c r="I321" s="11"/>
      <c r="J321" s="11"/>
      <c r="K321" s="55"/>
      <c r="L321" s="55"/>
      <c r="M321" s="55"/>
      <c r="N321" s="55"/>
      <c r="O321" s="55"/>
      <c r="P321" s="55"/>
      <c r="Q321" s="55"/>
      <c r="R321" s="55"/>
      <c r="S321" s="55"/>
      <c r="T321" s="55"/>
      <c r="U321" s="55"/>
      <c r="V321" s="55"/>
      <c r="W321" s="55"/>
      <c r="X321" s="55"/>
      <c r="Y321" s="55"/>
    </row>
    <row r="322" spans="1:25" ht="15.75" customHeight="1">
      <c r="A322" s="55"/>
      <c r="B322" s="11"/>
      <c r="C322" s="11"/>
      <c r="D322" s="11"/>
      <c r="E322" s="11"/>
      <c r="F322" s="11"/>
      <c r="G322" s="28"/>
      <c r="H322" s="11"/>
      <c r="I322" s="11"/>
      <c r="J322" s="11"/>
      <c r="K322" s="55"/>
      <c r="L322" s="55"/>
      <c r="M322" s="55"/>
      <c r="N322" s="55"/>
      <c r="O322" s="55"/>
      <c r="P322" s="55"/>
      <c r="Q322" s="55"/>
      <c r="R322" s="55"/>
      <c r="S322" s="55"/>
      <c r="T322" s="55"/>
      <c r="U322" s="55"/>
      <c r="V322" s="55"/>
      <c r="W322" s="55"/>
      <c r="X322" s="55"/>
      <c r="Y322" s="55"/>
    </row>
    <row r="323" spans="1:25" ht="15.75" customHeight="1">
      <c r="A323" s="55"/>
      <c r="B323" s="11"/>
      <c r="C323" s="11"/>
      <c r="D323" s="11"/>
      <c r="E323" s="11"/>
      <c r="F323" s="11"/>
      <c r="G323" s="28"/>
      <c r="H323" s="11"/>
      <c r="I323" s="11"/>
      <c r="J323" s="11"/>
      <c r="K323" s="55"/>
      <c r="L323" s="55"/>
      <c r="M323" s="55"/>
      <c r="N323" s="55"/>
      <c r="O323" s="55"/>
      <c r="P323" s="55"/>
      <c r="Q323" s="55"/>
      <c r="R323" s="55"/>
      <c r="S323" s="55"/>
      <c r="T323" s="55"/>
      <c r="U323" s="55"/>
      <c r="V323" s="55"/>
      <c r="W323" s="55"/>
      <c r="X323" s="55"/>
      <c r="Y323" s="55"/>
    </row>
    <row r="324" spans="1:25" ht="15.75" customHeight="1">
      <c r="A324" s="55"/>
      <c r="B324" s="11"/>
      <c r="C324" s="11"/>
      <c r="D324" s="11"/>
      <c r="E324" s="11"/>
      <c r="F324" s="11"/>
      <c r="G324" s="28"/>
      <c r="H324" s="11"/>
      <c r="I324" s="11"/>
      <c r="J324" s="11"/>
      <c r="K324" s="55"/>
      <c r="L324" s="55"/>
      <c r="M324" s="55"/>
      <c r="N324" s="55"/>
      <c r="O324" s="55"/>
      <c r="P324" s="55"/>
      <c r="Q324" s="55"/>
      <c r="R324" s="55"/>
      <c r="S324" s="55"/>
      <c r="T324" s="55"/>
      <c r="U324" s="55"/>
      <c r="V324" s="55"/>
      <c r="W324" s="55"/>
      <c r="X324" s="55"/>
      <c r="Y324" s="55"/>
    </row>
    <row r="325" spans="1:25" ht="15.75" customHeight="1">
      <c r="A325" s="55"/>
      <c r="B325" s="11"/>
      <c r="C325" s="11"/>
      <c r="D325" s="11"/>
      <c r="E325" s="11"/>
      <c r="F325" s="11"/>
      <c r="G325" s="28"/>
      <c r="H325" s="11"/>
      <c r="I325" s="11"/>
      <c r="J325" s="11"/>
      <c r="K325" s="55"/>
      <c r="L325" s="55"/>
      <c r="M325" s="55"/>
      <c r="N325" s="55"/>
      <c r="O325" s="55"/>
      <c r="P325" s="55"/>
      <c r="Q325" s="55"/>
      <c r="R325" s="55"/>
      <c r="S325" s="55"/>
      <c r="T325" s="55"/>
      <c r="U325" s="55"/>
      <c r="V325" s="55"/>
      <c r="W325" s="55"/>
      <c r="X325" s="55"/>
      <c r="Y325" s="55"/>
    </row>
    <row r="326" spans="1:25" ht="15.75" customHeight="1">
      <c r="A326" s="55"/>
      <c r="B326" s="11"/>
      <c r="C326" s="11"/>
      <c r="D326" s="11"/>
      <c r="E326" s="11"/>
      <c r="F326" s="11"/>
      <c r="G326" s="28"/>
      <c r="H326" s="11"/>
      <c r="I326" s="11"/>
      <c r="J326" s="11"/>
      <c r="K326" s="55"/>
      <c r="L326" s="55"/>
      <c r="M326" s="55"/>
      <c r="N326" s="55"/>
      <c r="O326" s="55"/>
      <c r="P326" s="55"/>
      <c r="Q326" s="55"/>
      <c r="R326" s="55"/>
      <c r="S326" s="55"/>
      <c r="T326" s="55"/>
      <c r="U326" s="55"/>
      <c r="V326" s="55"/>
      <c r="W326" s="55"/>
      <c r="X326" s="55"/>
      <c r="Y326" s="55"/>
    </row>
    <row r="327" spans="1:25" ht="15.75" customHeight="1">
      <c r="A327" s="55"/>
      <c r="B327" s="11"/>
      <c r="C327" s="11"/>
      <c r="D327" s="11"/>
      <c r="E327" s="11"/>
      <c r="F327" s="11"/>
      <c r="G327" s="28"/>
      <c r="H327" s="11"/>
      <c r="I327" s="11"/>
      <c r="J327" s="11"/>
      <c r="K327" s="55"/>
      <c r="L327" s="55"/>
      <c r="M327" s="55"/>
      <c r="N327" s="55"/>
      <c r="O327" s="55"/>
      <c r="P327" s="55"/>
      <c r="Q327" s="55"/>
      <c r="R327" s="55"/>
      <c r="S327" s="55"/>
      <c r="T327" s="55"/>
      <c r="U327" s="55"/>
      <c r="V327" s="55"/>
      <c r="W327" s="55"/>
      <c r="X327" s="55"/>
      <c r="Y327" s="55"/>
    </row>
    <row r="328" spans="1:25" ht="15.75" customHeight="1">
      <c r="A328" s="55"/>
      <c r="B328" s="11"/>
      <c r="C328" s="11"/>
      <c r="D328" s="11"/>
      <c r="E328" s="11"/>
      <c r="F328" s="11"/>
      <c r="G328" s="28"/>
      <c r="H328" s="11"/>
      <c r="I328" s="11"/>
      <c r="J328" s="11"/>
      <c r="K328" s="55"/>
      <c r="L328" s="55"/>
      <c r="M328" s="55"/>
      <c r="N328" s="55"/>
      <c r="O328" s="55"/>
      <c r="P328" s="55"/>
      <c r="Q328" s="55"/>
      <c r="R328" s="55"/>
      <c r="S328" s="55"/>
      <c r="T328" s="55"/>
      <c r="U328" s="55"/>
      <c r="V328" s="55"/>
      <c r="W328" s="55"/>
      <c r="X328" s="55"/>
      <c r="Y328" s="55"/>
    </row>
    <row r="329" spans="1:25" ht="15.75" customHeight="1">
      <c r="A329" s="55"/>
      <c r="B329" s="11"/>
      <c r="C329" s="11"/>
      <c r="D329" s="11"/>
      <c r="E329" s="11"/>
      <c r="F329" s="11"/>
      <c r="G329" s="28"/>
      <c r="H329" s="11"/>
      <c r="I329" s="11"/>
      <c r="J329" s="11"/>
      <c r="K329" s="55"/>
      <c r="L329" s="55"/>
      <c r="M329" s="55"/>
      <c r="N329" s="55"/>
      <c r="O329" s="55"/>
      <c r="P329" s="55"/>
      <c r="Q329" s="55"/>
      <c r="R329" s="55"/>
      <c r="S329" s="55"/>
      <c r="T329" s="55"/>
      <c r="U329" s="55"/>
      <c r="V329" s="55"/>
      <c r="W329" s="55"/>
      <c r="X329" s="55"/>
      <c r="Y329" s="55"/>
    </row>
    <row r="330" spans="1:25" ht="15.75" customHeight="1">
      <c r="A330" s="55"/>
      <c r="B330" s="11"/>
      <c r="C330" s="11"/>
      <c r="D330" s="11"/>
      <c r="E330" s="11"/>
      <c r="F330" s="11"/>
      <c r="G330" s="28"/>
      <c r="H330" s="11"/>
      <c r="I330" s="11"/>
      <c r="J330" s="11"/>
      <c r="K330" s="55"/>
      <c r="L330" s="55"/>
      <c r="M330" s="55"/>
      <c r="N330" s="55"/>
      <c r="O330" s="55"/>
      <c r="P330" s="55"/>
      <c r="Q330" s="55"/>
      <c r="R330" s="55"/>
      <c r="S330" s="55"/>
      <c r="T330" s="55"/>
      <c r="U330" s="55"/>
      <c r="V330" s="55"/>
      <c r="W330" s="55"/>
      <c r="X330" s="55"/>
      <c r="Y330" s="55"/>
    </row>
    <row r="331" spans="1:25" ht="15.75" customHeight="1">
      <c r="A331" s="55"/>
      <c r="B331" s="11"/>
      <c r="C331" s="11"/>
      <c r="D331" s="11"/>
      <c r="E331" s="11"/>
      <c r="F331" s="11"/>
      <c r="G331" s="28"/>
      <c r="H331" s="11"/>
      <c r="I331" s="11"/>
      <c r="J331" s="11"/>
      <c r="K331" s="55"/>
      <c r="L331" s="55"/>
      <c r="M331" s="55"/>
      <c r="N331" s="55"/>
      <c r="O331" s="55"/>
      <c r="P331" s="55"/>
      <c r="Q331" s="55"/>
      <c r="R331" s="55"/>
      <c r="S331" s="55"/>
      <c r="T331" s="55"/>
      <c r="U331" s="55"/>
      <c r="V331" s="55"/>
      <c r="W331" s="55"/>
      <c r="X331" s="55"/>
      <c r="Y331" s="55"/>
    </row>
    <row r="332" spans="1:25" ht="15.75" customHeight="1">
      <c r="A332" s="55"/>
      <c r="B332" s="11"/>
      <c r="C332" s="11"/>
      <c r="D332" s="11"/>
      <c r="E332" s="11"/>
      <c r="F332" s="11"/>
      <c r="G332" s="28"/>
      <c r="H332" s="11"/>
      <c r="I332" s="11"/>
      <c r="J332" s="11"/>
      <c r="K332" s="55"/>
      <c r="L332" s="55"/>
      <c r="M332" s="55"/>
      <c r="N332" s="55"/>
      <c r="O332" s="55"/>
      <c r="P332" s="55"/>
      <c r="Q332" s="55"/>
      <c r="R332" s="55"/>
      <c r="S332" s="55"/>
      <c r="T332" s="55"/>
      <c r="U332" s="55"/>
      <c r="V332" s="55"/>
      <c r="W332" s="55"/>
      <c r="X332" s="55"/>
      <c r="Y332" s="55"/>
    </row>
    <row r="333" spans="1:25" ht="15.75" customHeight="1">
      <c r="A333" s="55"/>
      <c r="B333" s="11"/>
      <c r="C333" s="11"/>
      <c r="D333" s="11"/>
      <c r="E333" s="11"/>
      <c r="F333" s="11"/>
      <c r="G333" s="28"/>
      <c r="H333" s="11"/>
      <c r="I333" s="11"/>
      <c r="J333" s="11"/>
      <c r="K333" s="55"/>
      <c r="L333" s="55"/>
      <c r="M333" s="55"/>
      <c r="N333" s="55"/>
      <c r="O333" s="55"/>
      <c r="P333" s="55"/>
      <c r="Q333" s="55"/>
      <c r="R333" s="55"/>
      <c r="S333" s="55"/>
      <c r="T333" s="55"/>
      <c r="U333" s="55"/>
      <c r="V333" s="55"/>
      <c r="W333" s="55"/>
      <c r="X333" s="55"/>
      <c r="Y333" s="55"/>
    </row>
    <row r="334" spans="1:25" ht="15.75" customHeight="1">
      <c r="A334" s="55"/>
      <c r="B334" s="11"/>
      <c r="C334" s="11"/>
      <c r="D334" s="11"/>
      <c r="E334" s="11"/>
      <c r="F334" s="11"/>
      <c r="G334" s="28"/>
      <c r="H334" s="11"/>
      <c r="I334" s="11"/>
      <c r="J334" s="11"/>
      <c r="K334" s="55"/>
      <c r="L334" s="55"/>
      <c r="M334" s="55"/>
      <c r="N334" s="55"/>
      <c r="O334" s="55"/>
      <c r="P334" s="55"/>
      <c r="Q334" s="55"/>
      <c r="R334" s="55"/>
      <c r="S334" s="55"/>
      <c r="T334" s="55"/>
      <c r="U334" s="55"/>
      <c r="V334" s="55"/>
      <c r="W334" s="55"/>
      <c r="X334" s="55"/>
      <c r="Y334" s="55"/>
    </row>
    <row r="335" spans="1:25" ht="15.75" customHeight="1">
      <c r="A335" s="55"/>
      <c r="B335" s="11"/>
      <c r="C335" s="11"/>
      <c r="D335" s="11"/>
      <c r="E335" s="11"/>
      <c r="F335" s="11"/>
      <c r="G335" s="28"/>
      <c r="H335" s="11"/>
      <c r="I335" s="11"/>
      <c r="J335" s="11"/>
      <c r="K335" s="55"/>
      <c r="L335" s="55"/>
      <c r="M335" s="55"/>
      <c r="N335" s="55"/>
      <c r="O335" s="55"/>
      <c r="P335" s="55"/>
      <c r="Q335" s="55"/>
      <c r="R335" s="55"/>
      <c r="S335" s="55"/>
      <c r="T335" s="55"/>
      <c r="U335" s="55"/>
      <c r="V335" s="55"/>
      <c r="W335" s="55"/>
      <c r="X335" s="55"/>
      <c r="Y335" s="55"/>
    </row>
    <row r="336" spans="1:25" ht="15.75" customHeight="1">
      <c r="A336" s="55"/>
      <c r="B336" s="11"/>
      <c r="C336" s="11"/>
      <c r="D336" s="11"/>
      <c r="E336" s="11"/>
      <c r="F336" s="11"/>
      <c r="G336" s="28"/>
      <c r="H336" s="11"/>
      <c r="I336" s="11"/>
      <c r="J336" s="11"/>
      <c r="K336" s="55"/>
      <c r="L336" s="55"/>
      <c r="M336" s="55"/>
      <c r="N336" s="55"/>
      <c r="O336" s="55"/>
      <c r="P336" s="55"/>
      <c r="Q336" s="55"/>
      <c r="R336" s="55"/>
      <c r="S336" s="55"/>
      <c r="T336" s="55"/>
      <c r="U336" s="55"/>
      <c r="V336" s="55"/>
      <c r="W336" s="55"/>
      <c r="X336" s="55"/>
      <c r="Y336" s="55"/>
    </row>
    <row r="337" spans="1:25" ht="15.75" customHeight="1">
      <c r="A337" s="55"/>
      <c r="B337" s="11"/>
      <c r="C337" s="11"/>
      <c r="D337" s="11"/>
      <c r="E337" s="11"/>
      <c r="F337" s="11"/>
      <c r="G337" s="28"/>
      <c r="H337" s="11"/>
      <c r="I337" s="11"/>
      <c r="J337" s="11"/>
      <c r="K337" s="55"/>
      <c r="L337" s="55"/>
      <c r="M337" s="55"/>
      <c r="N337" s="55"/>
      <c r="O337" s="55"/>
      <c r="P337" s="55"/>
      <c r="Q337" s="55"/>
      <c r="R337" s="55"/>
      <c r="S337" s="55"/>
      <c r="T337" s="55"/>
      <c r="U337" s="55"/>
      <c r="V337" s="55"/>
      <c r="W337" s="55"/>
      <c r="X337" s="55"/>
      <c r="Y337" s="55"/>
    </row>
    <row r="338" spans="1:25" ht="15.75" customHeight="1">
      <c r="A338" s="55"/>
      <c r="B338" s="11"/>
      <c r="C338" s="11"/>
      <c r="D338" s="11"/>
      <c r="E338" s="11"/>
      <c r="F338" s="11"/>
      <c r="G338" s="28"/>
      <c r="H338" s="11"/>
      <c r="I338" s="11"/>
      <c r="J338" s="11"/>
      <c r="K338" s="55"/>
      <c r="L338" s="55"/>
      <c r="M338" s="55"/>
      <c r="N338" s="55"/>
      <c r="O338" s="55"/>
      <c r="P338" s="55"/>
      <c r="Q338" s="55"/>
      <c r="R338" s="55"/>
      <c r="S338" s="55"/>
      <c r="T338" s="55"/>
      <c r="U338" s="55"/>
      <c r="V338" s="55"/>
      <c r="W338" s="55"/>
      <c r="X338" s="55"/>
      <c r="Y338" s="55"/>
    </row>
    <row r="339" spans="1:25" ht="15.75" customHeight="1">
      <c r="A339" s="55"/>
      <c r="B339" s="11"/>
      <c r="C339" s="11"/>
      <c r="D339" s="11"/>
      <c r="E339" s="11"/>
      <c r="F339" s="11"/>
      <c r="G339" s="28"/>
      <c r="H339" s="11"/>
      <c r="I339" s="11"/>
      <c r="J339" s="11"/>
      <c r="K339" s="55"/>
      <c r="L339" s="55"/>
      <c r="M339" s="55"/>
      <c r="N339" s="55"/>
      <c r="O339" s="55"/>
      <c r="P339" s="55"/>
      <c r="Q339" s="55"/>
      <c r="R339" s="55"/>
      <c r="S339" s="55"/>
      <c r="T339" s="55"/>
      <c r="U339" s="55"/>
      <c r="V339" s="55"/>
      <c r="W339" s="55"/>
      <c r="X339" s="55"/>
      <c r="Y339" s="55"/>
    </row>
    <row r="340" spans="1:25" ht="15.75" customHeight="1">
      <c r="A340" s="55"/>
      <c r="B340" s="11"/>
      <c r="C340" s="11"/>
      <c r="D340" s="11"/>
      <c r="E340" s="11"/>
      <c r="F340" s="11"/>
      <c r="G340" s="28"/>
      <c r="H340" s="11"/>
      <c r="I340" s="11"/>
      <c r="J340" s="11"/>
      <c r="K340" s="55"/>
      <c r="L340" s="55"/>
      <c r="M340" s="55"/>
      <c r="N340" s="55"/>
      <c r="O340" s="55"/>
      <c r="P340" s="55"/>
      <c r="Q340" s="55"/>
      <c r="R340" s="55"/>
      <c r="S340" s="55"/>
      <c r="T340" s="55"/>
      <c r="U340" s="55"/>
      <c r="V340" s="55"/>
      <c r="W340" s="55"/>
      <c r="X340" s="55"/>
      <c r="Y340" s="55"/>
    </row>
    <row r="341" spans="1:25" ht="15.75" customHeight="1">
      <c r="A341" s="55"/>
      <c r="B341" s="11"/>
      <c r="C341" s="11"/>
      <c r="D341" s="11"/>
      <c r="E341" s="11"/>
      <c r="F341" s="11"/>
      <c r="G341" s="28"/>
      <c r="H341" s="11"/>
      <c r="I341" s="11"/>
      <c r="J341" s="11"/>
      <c r="K341" s="55"/>
      <c r="L341" s="55"/>
      <c r="M341" s="55"/>
      <c r="N341" s="55"/>
      <c r="O341" s="55"/>
      <c r="P341" s="55"/>
      <c r="Q341" s="55"/>
      <c r="R341" s="55"/>
      <c r="S341" s="55"/>
      <c r="T341" s="55"/>
      <c r="U341" s="55"/>
      <c r="V341" s="55"/>
      <c r="W341" s="55"/>
      <c r="X341" s="55"/>
      <c r="Y341" s="55"/>
    </row>
    <row r="342" spans="1:25" ht="15.75" customHeight="1">
      <c r="A342" s="55"/>
      <c r="B342" s="11"/>
      <c r="C342" s="11"/>
      <c r="D342" s="11"/>
      <c r="E342" s="11"/>
      <c r="F342" s="11"/>
      <c r="G342" s="28"/>
      <c r="H342" s="11"/>
      <c r="I342" s="11"/>
      <c r="J342" s="11"/>
      <c r="K342" s="55"/>
      <c r="L342" s="55"/>
      <c r="M342" s="55"/>
      <c r="N342" s="55"/>
      <c r="O342" s="55"/>
      <c r="P342" s="55"/>
      <c r="Q342" s="55"/>
      <c r="R342" s="55"/>
      <c r="S342" s="55"/>
      <c r="T342" s="55"/>
      <c r="U342" s="55"/>
      <c r="V342" s="55"/>
      <c r="W342" s="55"/>
      <c r="X342" s="55"/>
      <c r="Y342" s="55"/>
    </row>
    <row r="343" spans="1:25" ht="15.75" customHeight="1">
      <c r="A343" s="55"/>
      <c r="B343" s="11"/>
      <c r="C343" s="11"/>
      <c r="D343" s="11"/>
      <c r="E343" s="11"/>
      <c r="F343" s="11"/>
      <c r="G343" s="28"/>
      <c r="H343" s="11"/>
      <c r="I343" s="11"/>
      <c r="J343" s="11"/>
      <c r="K343" s="55"/>
      <c r="L343" s="55"/>
      <c r="M343" s="55"/>
      <c r="N343" s="55"/>
      <c r="O343" s="55"/>
      <c r="P343" s="55"/>
      <c r="Q343" s="55"/>
      <c r="R343" s="55"/>
      <c r="S343" s="55"/>
      <c r="T343" s="55"/>
      <c r="U343" s="55"/>
      <c r="V343" s="55"/>
      <c r="W343" s="55"/>
      <c r="X343" s="55"/>
      <c r="Y343" s="55"/>
    </row>
    <row r="344" spans="1:25" ht="15.75" customHeight="1">
      <c r="A344" s="55"/>
      <c r="B344" s="11"/>
      <c r="C344" s="11"/>
      <c r="D344" s="11"/>
      <c r="E344" s="11"/>
      <c r="F344" s="11"/>
      <c r="G344" s="28"/>
      <c r="H344" s="11"/>
      <c r="I344" s="11"/>
      <c r="J344" s="11"/>
      <c r="K344" s="55"/>
      <c r="L344" s="55"/>
      <c r="M344" s="55"/>
      <c r="N344" s="55"/>
      <c r="O344" s="55"/>
      <c r="P344" s="55"/>
      <c r="Q344" s="55"/>
      <c r="R344" s="55"/>
      <c r="S344" s="55"/>
      <c r="T344" s="55"/>
      <c r="U344" s="55"/>
      <c r="V344" s="55"/>
      <c r="W344" s="55"/>
      <c r="X344" s="55"/>
      <c r="Y344" s="55"/>
    </row>
    <row r="345" spans="1:25" ht="15.75" customHeight="1">
      <c r="A345" s="55"/>
      <c r="B345" s="11"/>
      <c r="C345" s="11"/>
      <c r="D345" s="11"/>
      <c r="E345" s="11"/>
      <c r="F345" s="11"/>
      <c r="G345" s="28"/>
      <c r="H345" s="11"/>
      <c r="I345" s="11"/>
      <c r="J345" s="11"/>
      <c r="K345" s="55"/>
      <c r="L345" s="55"/>
      <c r="M345" s="55"/>
      <c r="N345" s="55"/>
      <c r="O345" s="55"/>
      <c r="P345" s="55"/>
      <c r="Q345" s="55"/>
      <c r="R345" s="55"/>
      <c r="S345" s="55"/>
      <c r="T345" s="55"/>
      <c r="U345" s="55"/>
      <c r="V345" s="55"/>
      <c r="W345" s="55"/>
      <c r="X345" s="55"/>
      <c r="Y345" s="55"/>
    </row>
    <row r="346" spans="1:25" ht="15.75" customHeight="1">
      <c r="A346" s="55"/>
      <c r="B346" s="11"/>
      <c r="C346" s="11"/>
      <c r="D346" s="11"/>
      <c r="E346" s="11"/>
      <c r="F346" s="11"/>
      <c r="G346" s="28"/>
      <c r="H346" s="11"/>
      <c r="I346" s="11"/>
      <c r="J346" s="11"/>
      <c r="K346" s="55"/>
      <c r="L346" s="55"/>
      <c r="M346" s="55"/>
      <c r="N346" s="55"/>
      <c r="O346" s="55"/>
      <c r="P346" s="55"/>
      <c r="Q346" s="55"/>
      <c r="R346" s="55"/>
      <c r="S346" s="55"/>
      <c r="T346" s="55"/>
      <c r="U346" s="55"/>
      <c r="V346" s="55"/>
      <c r="W346" s="55"/>
      <c r="X346" s="55"/>
      <c r="Y346" s="55"/>
    </row>
    <row r="347" spans="1:25" ht="15.75" customHeight="1">
      <c r="A347" s="55"/>
      <c r="B347" s="11"/>
      <c r="C347" s="11"/>
      <c r="D347" s="11"/>
      <c r="E347" s="11"/>
      <c r="F347" s="11"/>
      <c r="G347" s="28"/>
      <c r="H347" s="11"/>
      <c r="I347" s="11"/>
      <c r="J347" s="11"/>
      <c r="K347" s="55"/>
      <c r="L347" s="55"/>
      <c r="M347" s="55"/>
      <c r="N347" s="55"/>
      <c r="O347" s="55"/>
      <c r="P347" s="55"/>
      <c r="Q347" s="55"/>
      <c r="R347" s="55"/>
      <c r="S347" s="55"/>
      <c r="T347" s="55"/>
      <c r="U347" s="55"/>
      <c r="V347" s="55"/>
      <c r="W347" s="55"/>
      <c r="X347" s="55"/>
      <c r="Y347" s="55"/>
    </row>
    <row r="348" spans="1:25" ht="15.75" customHeight="1">
      <c r="A348" s="55"/>
      <c r="B348" s="11"/>
      <c r="C348" s="11"/>
      <c r="D348" s="11"/>
      <c r="E348" s="11"/>
      <c r="F348" s="11"/>
      <c r="G348" s="28"/>
      <c r="H348" s="11"/>
      <c r="I348" s="11"/>
      <c r="J348" s="11"/>
      <c r="K348" s="55"/>
      <c r="L348" s="55"/>
      <c r="M348" s="55"/>
      <c r="N348" s="55"/>
      <c r="O348" s="55"/>
      <c r="P348" s="55"/>
      <c r="Q348" s="55"/>
      <c r="R348" s="55"/>
      <c r="S348" s="55"/>
      <c r="T348" s="55"/>
      <c r="U348" s="55"/>
      <c r="V348" s="55"/>
      <c r="W348" s="55"/>
      <c r="X348" s="55"/>
      <c r="Y348" s="55"/>
    </row>
    <row r="349" spans="1:25" ht="15.75" customHeight="1">
      <c r="A349" s="55"/>
      <c r="B349" s="11"/>
      <c r="C349" s="11"/>
      <c r="D349" s="11"/>
      <c r="E349" s="11"/>
      <c r="F349" s="11"/>
      <c r="G349" s="28"/>
      <c r="H349" s="11"/>
      <c r="I349" s="11"/>
      <c r="J349" s="11"/>
      <c r="K349" s="55"/>
      <c r="L349" s="55"/>
      <c r="M349" s="55"/>
      <c r="N349" s="55"/>
      <c r="O349" s="55"/>
      <c r="P349" s="55"/>
      <c r="Q349" s="55"/>
      <c r="R349" s="55"/>
      <c r="S349" s="55"/>
      <c r="T349" s="55"/>
      <c r="U349" s="55"/>
      <c r="V349" s="55"/>
      <c r="W349" s="55"/>
      <c r="X349" s="55"/>
      <c r="Y349" s="55"/>
    </row>
    <row r="350" spans="1:25" ht="15.75" customHeight="1">
      <c r="A350" s="55"/>
      <c r="B350" s="11"/>
      <c r="C350" s="11"/>
      <c r="D350" s="11"/>
      <c r="E350" s="11"/>
      <c r="F350" s="11"/>
      <c r="G350" s="28"/>
      <c r="H350" s="11"/>
      <c r="I350" s="11"/>
      <c r="J350" s="11"/>
      <c r="K350" s="55"/>
      <c r="L350" s="55"/>
      <c r="M350" s="55"/>
      <c r="N350" s="55"/>
      <c r="O350" s="55"/>
      <c r="P350" s="55"/>
      <c r="Q350" s="55"/>
      <c r="R350" s="55"/>
      <c r="S350" s="55"/>
      <c r="T350" s="55"/>
      <c r="U350" s="55"/>
      <c r="V350" s="55"/>
      <c r="W350" s="55"/>
      <c r="X350" s="55"/>
      <c r="Y350" s="55"/>
    </row>
    <row r="351" spans="1:25" ht="15.75" customHeight="1">
      <c r="A351" s="55"/>
      <c r="B351" s="11"/>
      <c r="C351" s="11"/>
      <c r="D351" s="11"/>
      <c r="E351" s="11"/>
      <c r="F351" s="11"/>
      <c r="G351" s="28"/>
      <c r="H351" s="11"/>
      <c r="I351" s="11"/>
      <c r="J351" s="11"/>
      <c r="K351" s="55"/>
      <c r="L351" s="55"/>
      <c r="M351" s="55"/>
      <c r="N351" s="55"/>
      <c r="O351" s="55"/>
      <c r="P351" s="55"/>
      <c r="Q351" s="55"/>
      <c r="R351" s="55"/>
      <c r="S351" s="55"/>
      <c r="T351" s="55"/>
      <c r="U351" s="55"/>
      <c r="V351" s="55"/>
      <c r="W351" s="55"/>
      <c r="X351" s="55"/>
      <c r="Y351" s="55"/>
    </row>
    <row r="352" spans="1:25" ht="15.75" customHeight="1">
      <c r="A352" s="55"/>
      <c r="B352" s="11"/>
      <c r="C352" s="11"/>
      <c r="D352" s="11"/>
      <c r="E352" s="11"/>
      <c r="F352" s="11"/>
      <c r="G352" s="28"/>
      <c r="H352" s="11"/>
      <c r="I352" s="11"/>
      <c r="J352" s="11"/>
      <c r="K352" s="55"/>
      <c r="L352" s="55"/>
      <c r="M352" s="55"/>
      <c r="N352" s="55"/>
      <c r="O352" s="55"/>
      <c r="P352" s="55"/>
      <c r="Q352" s="55"/>
      <c r="R352" s="55"/>
      <c r="S352" s="55"/>
      <c r="T352" s="55"/>
      <c r="U352" s="55"/>
      <c r="V352" s="55"/>
      <c r="W352" s="55"/>
      <c r="X352" s="55"/>
      <c r="Y352" s="55"/>
    </row>
    <row r="353" spans="1:25" ht="15.75" customHeight="1">
      <c r="A353" s="55"/>
      <c r="B353" s="11"/>
      <c r="C353" s="11"/>
      <c r="D353" s="11"/>
      <c r="E353" s="11"/>
      <c r="F353" s="11"/>
      <c r="G353" s="28"/>
      <c r="H353" s="11"/>
      <c r="I353" s="11"/>
      <c r="J353" s="11"/>
      <c r="K353" s="55"/>
      <c r="L353" s="55"/>
      <c r="M353" s="55"/>
      <c r="N353" s="55"/>
      <c r="O353" s="55"/>
      <c r="P353" s="55"/>
      <c r="Q353" s="55"/>
      <c r="R353" s="55"/>
      <c r="S353" s="55"/>
      <c r="T353" s="55"/>
      <c r="U353" s="55"/>
      <c r="V353" s="55"/>
      <c r="W353" s="55"/>
      <c r="X353" s="55"/>
      <c r="Y353" s="55"/>
    </row>
    <row r="354" spans="1:25" ht="15.75" customHeight="1">
      <c r="A354" s="55"/>
      <c r="B354" s="11"/>
      <c r="C354" s="11"/>
      <c r="D354" s="11"/>
      <c r="E354" s="11"/>
      <c r="F354" s="11"/>
      <c r="G354" s="28"/>
      <c r="H354" s="11"/>
      <c r="I354" s="11"/>
      <c r="J354" s="11"/>
      <c r="K354" s="55"/>
      <c r="L354" s="55"/>
      <c r="M354" s="55"/>
      <c r="N354" s="55"/>
      <c r="O354" s="55"/>
      <c r="P354" s="55"/>
      <c r="Q354" s="55"/>
      <c r="R354" s="55"/>
      <c r="S354" s="55"/>
      <c r="T354" s="55"/>
      <c r="U354" s="55"/>
      <c r="V354" s="55"/>
      <c r="W354" s="55"/>
      <c r="X354" s="55"/>
      <c r="Y354" s="55"/>
    </row>
    <row r="355" spans="1:25" ht="15.75" customHeight="1">
      <c r="A355" s="55"/>
      <c r="B355" s="11"/>
      <c r="C355" s="11"/>
      <c r="D355" s="11"/>
      <c r="E355" s="11"/>
      <c r="F355" s="11"/>
      <c r="G355" s="28"/>
      <c r="H355" s="11"/>
      <c r="I355" s="11"/>
      <c r="J355" s="11"/>
      <c r="K355" s="55"/>
      <c r="L355" s="55"/>
      <c r="M355" s="55"/>
      <c r="N355" s="55"/>
      <c r="O355" s="55"/>
      <c r="P355" s="55"/>
      <c r="Q355" s="55"/>
      <c r="R355" s="55"/>
      <c r="S355" s="55"/>
      <c r="T355" s="55"/>
      <c r="U355" s="55"/>
      <c r="V355" s="55"/>
      <c r="W355" s="55"/>
      <c r="X355" s="55"/>
      <c r="Y355" s="55"/>
    </row>
    <row r="356" spans="1:25" ht="15.75" customHeight="1">
      <c r="A356" s="55"/>
      <c r="B356" s="11"/>
      <c r="C356" s="11"/>
      <c r="D356" s="11"/>
      <c r="E356" s="11"/>
      <c r="F356" s="11"/>
      <c r="G356" s="28"/>
      <c r="H356" s="11"/>
      <c r="I356" s="11"/>
      <c r="J356" s="11"/>
      <c r="K356" s="55"/>
      <c r="L356" s="55"/>
      <c r="M356" s="55"/>
      <c r="N356" s="55"/>
      <c r="O356" s="55"/>
      <c r="P356" s="55"/>
      <c r="Q356" s="55"/>
      <c r="R356" s="55"/>
      <c r="S356" s="55"/>
      <c r="T356" s="55"/>
      <c r="U356" s="55"/>
      <c r="V356" s="55"/>
      <c r="W356" s="55"/>
      <c r="X356" s="55"/>
      <c r="Y356" s="55"/>
    </row>
    <row r="357" spans="1:25" ht="15.75" customHeight="1">
      <c r="A357" s="55"/>
      <c r="B357" s="11"/>
      <c r="C357" s="11"/>
      <c r="D357" s="11"/>
      <c r="E357" s="11"/>
      <c r="F357" s="11"/>
      <c r="G357" s="28"/>
      <c r="H357" s="11"/>
      <c r="I357" s="11"/>
      <c r="J357" s="11"/>
      <c r="K357" s="55"/>
      <c r="L357" s="55"/>
      <c r="M357" s="55"/>
      <c r="N357" s="55"/>
      <c r="O357" s="55"/>
      <c r="P357" s="55"/>
      <c r="Q357" s="55"/>
      <c r="R357" s="55"/>
      <c r="S357" s="55"/>
      <c r="T357" s="55"/>
      <c r="U357" s="55"/>
      <c r="V357" s="55"/>
      <c r="W357" s="55"/>
      <c r="X357" s="55"/>
      <c r="Y357" s="55"/>
    </row>
    <row r="358" spans="1:25" ht="15.75" customHeight="1">
      <c r="A358" s="55"/>
      <c r="B358" s="11"/>
      <c r="C358" s="11"/>
      <c r="D358" s="11"/>
      <c r="E358" s="11"/>
      <c r="F358" s="11"/>
      <c r="G358" s="28"/>
      <c r="H358" s="11"/>
      <c r="I358" s="11"/>
      <c r="J358" s="11"/>
      <c r="K358" s="55"/>
      <c r="L358" s="55"/>
      <c r="M358" s="55"/>
      <c r="N358" s="55"/>
      <c r="O358" s="55"/>
      <c r="P358" s="55"/>
      <c r="Q358" s="55"/>
      <c r="R358" s="55"/>
      <c r="S358" s="55"/>
      <c r="T358" s="55"/>
      <c r="U358" s="55"/>
      <c r="V358" s="55"/>
      <c r="W358" s="55"/>
      <c r="X358" s="55"/>
      <c r="Y358" s="55"/>
    </row>
    <row r="359" spans="1:25" ht="15.75" customHeight="1">
      <c r="A359" s="55"/>
      <c r="B359" s="11"/>
      <c r="C359" s="11"/>
      <c r="D359" s="11"/>
      <c r="E359" s="11"/>
      <c r="F359" s="11"/>
      <c r="G359" s="28"/>
      <c r="H359" s="11"/>
      <c r="I359" s="11"/>
      <c r="J359" s="11"/>
      <c r="K359" s="55"/>
      <c r="L359" s="55"/>
      <c r="M359" s="55"/>
      <c r="N359" s="55"/>
      <c r="O359" s="55"/>
      <c r="P359" s="55"/>
      <c r="Q359" s="55"/>
      <c r="R359" s="55"/>
      <c r="S359" s="55"/>
      <c r="T359" s="55"/>
      <c r="U359" s="55"/>
      <c r="V359" s="55"/>
      <c r="W359" s="55"/>
      <c r="X359" s="55"/>
      <c r="Y359" s="55"/>
    </row>
    <row r="360" spans="1:25" ht="15.75" customHeight="1">
      <c r="A360" s="55"/>
      <c r="B360" s="11"/>
      <c r="C360" s="11"/>
      <c r="D360" s="11"/>
      <c r="E360" s="11"/>
      <c r="F360" s="11"/>
      <c r="G360" s="28"/>
      <c r="H360" s="11"/>
      <c r="I360" s="11"/>
      <c r="J360" s="11"/>
      <c r="K360" s="55"/>
      <c r="L360" s="55"/>
      <c r="M360" s="55"/>
      <c r="N360" s="55"/>
      <c r="O360" s="55"/>
      <c r="P360" s="55"/>
      <c r="Q360" s="55"/>
      <c r="R360" s="55"/>
      <c r="S360" s="55"/>
      <c r="T360" s="55"/>
      <c r="U360" s="55"/>
      <c r="V360" s="55"/>
      <c r="W360" s="55"/>
      <c r="X360" s="55"/>
      <c r="Y360" s="55"/>
    </row>
    <row r="361" spans="1:25" ht="15.75" customHeight="1">
      <c r="A361" s="55"/>
      <c r="B361" s="11"/>
      <c r="C361" s="11"/>
      <c r="D361" s="11"/>
      <c r="E361" s="11"/>
      <c r="F361" s="11"/>
      <c r="G361" s="28"/>
      <c r="H361" s="11"/>
      <c r="I361" s="11"/>
      <c r="J361" s="11"/>
      <c r="K361" s="55"/>
      <c r="L361" s="55"/>
      <c r="M361" s="55"/>
      <c r="N361" s="55"/>
      <c r="O361" s="55"/>
      <c r="P361" s="55"/>
      <c r="Q361" s="55"/>
      <c r="R361" s="55"/>
      <c r="S361" s="55"/>
      <c r="T361" s="55"/>
      <c r="U361" s="55"/>
      <c r="V361" s="55"/>
      <c r="W361" s="55"/>
      <c r="X361" s="55"/>
      <c r="Y361" s="55"/>
    </row>
    <row r="362" spans="1:25" ht="15.75" customHeight="1">
      <c r="A362" s="55"/>
      <c r="B362" s="11"/>
      <c r="C362" s="11"/>
      <c r="D362" s="11"/>
      <c r="E362" s="11"/>
      <c r="F362" s="11"/>
      <c r="G362" s="28"/>
      <c r="H362" s="11"/>
      <c r="I362" s="11"/>
      <c r="J362" s="11"/>
      <c r="K362" s="55"/>
      <c r="L362" s="55"/>
      <c r="M362" s="55"/>
      <c r="N362" s="55"/>
      <c r="O362" s="55"/>
      <c r="P362" s="55"/>
      <c r="Q362" s="55"/>
      <c r="R362" s="55"/>
      <c r="S362" s="55"/>
      <c r="T362" s="55"/>
      <c r="U362" s="55"/>
      <c r="V362" s="55"/>
      <c r="W362" s="55"/>
      <c r="X362" s="55"/>
      <c r="Y362" s="55"/>
    </row>
    <row r="363" spans="1:25" ht="15.75" customHeight="1">
      <c r="A363" s="55"/>
      <c r="B363" s="11"/>
      <c r="C363" s="11"/>
      <c r="D363" s="11"/>
      <c r="E363" s="11"/>
      <c r="F363" s="11"/>
      <c r="G363" s="28"/>
      <c r="H363" s="11"/>
      <c r="I363" s="11"/>
      <c r="J363" s="11"/>
      <c r="K363" s="55"/>
      <c r="L363" s="55"/>
      <c r="M363" s="55"/>
      <c r="N363" s="55"/>
      <c r="O363" s="55"/>
      <c r="P363" s="55"/>
      <c r="Q363" s="55"/>
      <c r="R363" s="55"/>
      <c r="S363" s="55"/>
      <c r="T363" s="55"/>
      <c r="U363" s="55"/>
      <c r="V363" s="55"/>
      <c r="W363" s="55"/>
      <c r="X363" s="55"/>
      <c r="Y363" s="55"/>
    </row>
    <row r="364" spans="1:25" ht="15.75" customHeight="1">
      <c r="A364" s="55"/>
      <c r="B364" s="11"/>
      <c r="C364" s="11"/>
      <c r="D364" s="11"/>
      <c r="E364" s="11"/>
      <c r="F364" s="11"/>
      <c r="G364" s="28"/>
      <c r="H364" s="11"/>
      <c r="I364" s="11"/>
      <c r="J364" s="11"/>
      <c r="K364" s="55"/>
      <c r="L364" s="55"/>
      <c r="M364" s="55"/>
      <c r="N364" s="55"/>
      <c r="O364" s="55"/>
      <c r="P364" s="55"/>
      <c r="Q364" s="55"/>
      <c r="R364" s="55"/>
      <c r="S364" s="55"/>
      <c r="T364" s="55"/>
      <c r="U364" s="55"/>
      <c r="V364" s="55"/>
      <c r="W364" s="55"/>
      <c r="X364" s="55"/>
      <c r="Y364" s="55"/>
    </row>
    <row r="365" spans="1:25" ht="15.75" customHeight="1">
      <c r="A365" s="55"/>
      <c r="B365" s="11"/>
      <c r="C365" s="11"/>
      <c r="D365" s="11"/>
      <c r="E365" s="11"/>
      <c r="F365" s="11"/>
      <c r="J365" s="11"/>
      <c r="K365" s="55"/>
      <c r="L365" s="55"/>
      <c r="M365" s="55"/>
      <c r="N365" s="55"/>
      <c r="O365" s="55"/>
      <c r="P365" s="55"/>
      <c r="Q365" s="55"/>
      <c r="R365" s="55"/>
      <c r="S365" s="55"/>
      <c r="T365" s="55"/>
      <c r="U365" s="55"/>
      <c r="V365" s="55"/>
      <c r="W365" s="55"/>
      <c r="X365" s="55"/>
      <c r="Y365" s="55"/>
    </row>
    <row r="366" spans="1:25" ht="15.75" customHeight="1">
      <c r="A366" s="55"/>
      <c r="B366" s="11"/>
      <c r="C366" s="11"/>
      <c r="D366" s="11"/>
      <c r="E366" s="11"/>
      <c r="F366" s="11"/>
      <c r="J366" s="11"/>
      <c r="K366" s="55"/>
      <c r="L366" s="55"/>
      <c r="M366" s="55"/>
      <c r="N366" s="55"/>
      <c r="O366" s="55"/>
      <c r="P366" s="55"/>
      <c r="Q366" s="55"/>
      <c r="R366" s="55"/>
      <c r="S366" s="55"/>
      <c r="T366" s="55"/>
      <c r="U366" s="55"/>
      <c r="V366" s="55"/>
      <c r="W366" s="55"/>
      <c r="X366" s="55"/>
      <c r="Y366" s="55"/>
    </row>
    <row r="367" spans="1:25" ht="15.75" customHeight="1">
      <c r="A367" s="55"/>
      <c r="B367" s="11"/>
      <c r="C367" s="11"/>
      <c r="D367" s="11"/>
      <c r="E367" s="11"/>
      <c r="F367" s="11"/>
      <c r="J367" s="11"/>
      <c r="K367" s="55"/>
      <c r="L367" s="55"/>
      <c r="M367" s="55"/>
      <c r="N367" s="55"/>
      <c r="O367" s="55"/>
      <c r="P367" s="55"/>
      <c r="Q367" s="55"/>
      <c r="R367" s="55"/>
      <c r="S367" s="55"/>
      <c r="T367" s="55"/>
      <c r="U367" s="55"/>
      <c r="V367" s="55"/>
      <c r="W367" s="55"/>
      <c r="X367" s="55"/>
      <c r="Y367" s="55"/>
    </row>
    <row r="368" spans="1:25" ht="15.75" customHeight="1">
      <c r="A368" s="55"/>
      <c r="B368" s="11"/>
      <c r="C368" s="11"/>
      <c r="D368" s="11"/>
      <c r="E368" s="11"/>
      <c r="F368" s="11"/>
      <c r="J368" s="11"/>
      <c r="K368" s="55"/>
      <c r="L368" s="55"/>
      <c r="M368" s="55"/>
      <c r="N368" s="55"/>
      <c r="O368" s="55"/>
      <c r="P368" s="55"/>
      <c r="Q368" s="55"/>
      <c r="R368" s="55"/>
      <c r="S368" s="55"/>
      <c r="T368" s="55"/>
      <c r="U368" s="55"/>
      <c r="V368" s="55"/>
      <c r="W368" s="55"/>
      <c r="X368" s="55"/>
      <c r="Y368" s="55"/>
    </row>
    <row r="369" spans="1:25" ht="15.75" customHeight="1">
      <c r="A369" s="55"/>
      <c r="B369" s="11"/>
      <c r="C369" s="11"/>
      <c r="D369" s="11"/>
      <c r="E369" s="11"/>
      <c r="F369" s="11"/>
      <c r="J369" s="11"/>
      <c r="K369" s="55"/>
      <c r="L369" s="55"/>
      <c r="M369" s="55"/>
      <c r="N369" s="55"/>
      <c r="O369" s="55"/>
      <c r="P369" s="55"/>
      <c r="Q369" s="55"/>
      <c r="R369" s="55"/>
      <c r="S369" s="55"/>
      <c r="T369" s="55"/>
      <c r="U369" s="55"/>
      <c r="V369" s="55"/>
      <c r="W369" s="55"/>
      <c r="X369" s="55"/>
      <c r="Y369" s="55"/>
    </row>
    <row r="370" spans="1:25" ht="15.75" customHeight="1">
      <c r="A370" s="55"/>
      <c r="B370" s="11"/>
      <c r="C370" s="11"/>
      <c r="D370" s="11"/>
      <c r="E370" s="11"/>
      <c r="F370" s="11"/>
      <c r="J370" s="11"/>
      <c r="K370" s="55"/>
      <c r="L370" s="55"/>
      <c r="M370" s="55"/>
      <c r="N370" s="55"/>
      <c r="O370" s="55"/>
      <c r="P370" s="55"/>
      <c r="Q370" s="55"/>
      <c r="R370" s="55"/>
      <c r="S370" s="55"/>
      <c r="T370" s="55"/>
      <c r="U370" s="55"/>
      <c r="V370" s="55"/>
      <c r="W370" s="55"/>
      <c r="X370" s="55"/>
      <c r="Y370" s="55"/>
    </row>
    <row r="371" spans="1:25" ht="15.75" customHeight="1">
      <c r="A371" s="55"/>
      <c r="B371" s="11"/>
      <c r="C371" s="11"/>
      <c r="D371" s="11"/>
      <c r="E371" s="11"/>
      <c r="F371" s="11"/>
      <c r="J371" s="11"/>
      <c r="K371" s="55"/>
      <c r="L371" s="55"/>
      <c r="M371" s="55"/>
      <c r="N371" s="55"/>
      <c r="O371" s="55"/>
      <c r="P371" s="55"/>
      <c r="Q371" s="55"/>
      <c r="R371" s="55"/>
      <c r="S371" s="55"/>
      <c r="T371" s="55"/>
      <c r="U371" s="55"/>
      <c r="V371" s="55"/>
      <c r="W371" s="55"/>
      <c r="X371" s="55"/>
      <c r="Y371" s="55"/>
    </row>
    <row r="372" spans="1:25" ht="15.75" customHeight="1">
      <c r="A372" s="55"/>
      <c r="B372" s="11"/>
      <c r="C372" s="11"/>
      <c r="D372" s="11"/>
      <c r="E372" s="11"/>
      <c r="F372" s="11"/>
      <c r="J372" s="11"/>
      <c r="K372" s="55"/>
      <c r="L372" s="55"/>
      <c r="M372" s="55"/>
      <c r="N372" s="55"/>
      <c r="O372" s="55"/>
      <c r="P372" s="55"/>
      <c r="Q372" s="55"/>
      <c r="R372" s="55"/>
      <c r="S372" s="55"/>
      <c r="T372" s="55"/>
      <c r="U372" s="55"/>
      <c r="V372" s="55"/>
      <c r="W372" s="55"/>
      <c r="X372" s="55"/>
      <c r="Y372" s="55"/>
    </row>
    <row r="373" spans="1:25" ht="15.75" customHeight="1">
      <c r="A373" s="55"/>
      <c r="B373" s="11"/>
      <c r="C373" s="11"/>
      <c r="D373" s="11"/>
      <c r="E373" s="11"/>
      <c r="F373" s="11"/>
      <c r="J373" s="11"/>
      <c r="K373" s="55"/>
      <c r="L373" s="55"/>
      <c r="M373" s="55"/>
      <c r="N373" s="55"/>
      <c r="O373" s="55"/>
      <c r="P373" s="55"/>
      <c r="Q373" s="55"/>
      <c r="R373" s="55"/>
      <c r="S373" s="55"/>
      <c r="T373" s="55"/>
      <c r="U373" s="55"/>
      <c r="V373" s="55"/>
      <c r="W373" s="55"/>
      <c r="X373" s="55"/>
      <c r="Y373" s="55"/>
    </row>
    <row r="374" spans="1:25" ht="15.75" customHeight="1"/>
    <row r="375" spans="1:25" ht="15.75" customHeight="1"/>
    <row r="376" spans="1:25" ht="15.75" customHeight="1"/>
    <row r="377" spans="1:25" ht="15.75" customHeight="1"/>
    <row r="378" spans="1:25" ht="15.75" customHeight="1"/>
    <row r="379" spans="1:25" ht="15.75" customHeight="1"/>
    <row r="380" spans="1:25" ht="15.75" customHeight="1"/>
    <row r="381" spans="1:25" ht="15.75" customHeight="1"/>
    <row r="382" spans="1:25" ht="15.75" customHeight="1"/>
    <row r="383" spans="1:25" ht="15.75" customHeight="1"/>
    <row r="384" spans="1:25"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48568" spans="9:9" ht="15" customHeight="1">
      <c r="I1048568" s="57"/>
    </row>
  </sheetData>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outlinePr summaryBelow="0" summaryRight="0"/>
  </sheetPr>
  <dimension ref="A1:Z1000"/>
  <sheetViews>
    <sheetView workbookViewId="0"/>
  </sheetViews>
  <sheetFormatPr baseColWidth="10" defaultColWidth="14.5" defaultRowHeight="15" customHeight="1"/>
  <cols>
    <col min="1" max="5" width="14.5" style="17" customWidth="1"/>
    <col min="6" max="6" width="16.1640625" style="17" customWidth="1"/>
    <col min="7" max="12" width="14.5" style="17"/>
    <col min="13" max="13" width="15" style="17" customWidth="1"/>
    <col min="14" max="16384" width="14.5" style="17"/>
  </cols>
  <sheetData>
    <row r="1" spans="1:26" ht="51.75" customHeight="1">
      <c r="A1" s="19" t="s">
        <v>39</v>
      </c>
      <c r="B1" s="19" t="s">
        <v>2894</v>
      </c>
      <c r="C1" s="19" t="s">
        <v>2895</v>
      </c>
      <c r="D1" s="19" t="s">
        <v>2896</v>
      </c>
      <c r="E1" s="19" t="s">
        <v>2897</v>
      </c>
      <c r="F1" s="19" t="s">
        <v>2898</v>
      </c>
      <c r="G1" s="19" t="s">
        <v>2899</v>
      </c>
      <c r="H1" s="19" t="s">
        <v>2900</v>
      </c>
      <c r="I1" s="19" t="s">
        <v>2901</v>
      </c>
      <c r="J1" s="19" t="s">
        <v>2902</v>
      </c>
      <c r="K1" s="19" t="s">
        <v>2903</v>
      </c>
      <c r="L1" s="19" t="s">
        <v>2904</v>
      </c>
      <c r="M1" s="19" t="s">
        <v>2905</v>
      </c>
      <c r="N1" s="19" t="s">
        <v>2906</v>
      </c>
      <c r="O1" s="19" t="s">
        <v>2907</v>
      </c>
      <c r="P1" s="19" t="s">
        <v>2908</v>
      </c>
      <c r="Q1" s="15"/>
      <c r="R1" s="15"/>
      <c r="S1" s="15"/>
      <c r="T1" s="15"/>
      <c r="U1" s="15"/>
      <c r="V1" s="15"/>
      <c r="W1" s="15"/>
      <c r="X1" s="15"/>
      <c r="Y1" s="15"/>
      <c r="Z1" s="15"/>
    </row>
    <row r="2" spans="1:26" ht="14">
      <c r="A2" s="15">
        <v>1966</v>
      </c>
      <c r="B2" s="89">
        <v>196560338</v>
      </c>
      <c r="C2" s="89">
        <v>11040</v>
      </c>
      <c r="D2" s="15">
        <v>56.165959579999999</v>
      </c>
      <c r="E2" s="15">
        <v>2</v>
      </c>
      <c r="F2" s="15">
        <v>1.017499268E-2</v>
      </c>
      <c r="G2" s="15">
        <v>2</v>
      </c>
      <c r="H2" s="15"/>
      <c r="I2" s="15"/>
      <c r="J2" s="15"/>
      <c r="K2" s="15">
        <v>20</v>
      </c>
      <c r="L2" s="15">
        <v>10</v>
      </c>
      <c r="M2" s="15">
        <v>0.1017499268</v>
      </c>
      <c r="N2" s="15"/>
      <c r="O2" s="15"/>
      <c r="P2" s="15"/>
      <c r="Q2" s="15"/>
      <c r="R2" s="15"/>
      <c r="S2" s="15"/>
      <c r="T2" s="15"/>
      <c r="U2" s="15"/>
      <c r="V2" s="15"/>
      <c r="W2" s="15"/>
      <c r="X2" s="15"/>
      <c r="Y2" s="15"/>
      <c r="Z2" s="15"/>
    </row>
    <row r="3" spans="1:26" ht="14">
      <c r="A3" s="15">
        <v>1967</v>
      </c>
      <c r="B3" s="89">
        <v>198712056</v>
      </c>
      <c r="C3" s="89">
        <v>12240</v>
      </c>
      <c r="D3" s="15">
        <v>61.596665280000003</v>
      </c>
      <c r="E3" s="15">
        <v>1</v>
      </c>
      <c r="F3" s="15">
        <v>5.0324072939999997E-3</v>
      </c>
      <c r="G3" s="15">
        <v>2.06</v>
      </c>
      <c r="H3" s="15"/>
      <c r="I3" s="15"/>
      <c r="J3" s="15"/>
      <c r="K3" s="15">
        <v>6</v>
      </c>
      <c r="L3" s="15">
        <v>6</v>
      </c>
      <c r="M3" s="15">
        <v>3.0194443759999998E-2</v>
      </c>
      <c r="N3" s="15"/>
      <c r="O3" s="15"/>
      <c r="P3" s="15"/>
      <c r="Q3" s="15"/>
      <c r="R3" s="15"/>
      <c r="S3" s="15"/>
      <c r="T3" s="15"/>
      <c r="U3" s="15"/>
      <c r="V3" s="15"/>
      <c r="W3" s="15"/>
      <c r="X3" s="15"/>
      <c r="Y3" s="15"/>
      <c r="Z3" s="15"/>
    </row>
    <row r="4" spans="1:26" ht="14">
      <c r="A4" s="15">
        <v>1968</v>
      </c>
      <c r="B4" s="89">
        <v>200706052</v>
      </c>
      <c r="C4" s="89">
        <v>13800</v>
      </c>
      <c r="D4" s="15">
        <v>68.757268960000005</v>
      </c>
      <c r="E4" s="15">
        <v>1</v>
      </c>
      <c r="F4" s="15">
        <v>4.9824107939999999E-3</v>
      </c>
      <c r="G4" s="15">
        <v>2.12</v>
      </c>
      <c r="H4" s="15">
        <v>1.3333333329999999</v>
      </c>
      <c r="I4" s="15"/>
      <c r="J4" s="15"/>
      <c r="K4" s="15">
        <v>7</v>
      </c>
      <c r="L4" s="15">
        <v>7</v>
      </c>
      <c r="M4" s="15">
        <v>3.4876875559999999E-2</v>
      </c>
      <c r="N4" s="15">
        <v>11</v>
      </c>
      <c r="O4" s="15"/>
      <c r="P4" s="15"/>
      <c r="Q4" s="15"/>
      <c r="R4" s="15"/>
      <c r="S4" s="15"/>
      <c r="T4" s="15"/>
      <c r="U4" s="15"/>
      <c r="V4" s="15"/>
      <c r="W4" s="15"/>
      <c r="X4" s="15"/>
      <c r="Y4" s="15"/>
      <c r="Z4" s="15"/>
    </row>
    <row r="5" spans="1:26" ht="14">
      <c r="A5" s="15">
        <v>1969</v>
      </c>
      <c r="B5" s="89">
        <v>202676946</v>
      </c>
      <c r="C5" s="89">
        <v>14760</v>
      </c>
      <c r="D5" s="15">
        <v>72.82525364</v>
      </c>
      <c r="E5" s="15">
        <v>1</v>
      </c>
      <c r="F5" s="15">
        <v>4.933960274E-3</v>
      </c>
      <c r="G5" s="15">
        <v>2.1800000000000002</v>
      </c>
      <c r="H5" s="15">
        <v>1</v>
      </c>
      <c r="I5" s="15"/>
      <c r="J5" s="15"/>
      <c r="K5" s="15">
        <v>4</v>
      </c>
      <c r="L5" s="15">
        <v>4</v>
      </c>
      <c r="M5" s="15">
        <v>1.9735841099999998E-2</v>
      </c>
      <c r="N5" s="15">
        <v>5.6666666670000003</v>
      </c>
      <c r="O5" s="15"/>
      <c r="P5" s="15"/>
      <c r="Q5" s="15"/>
      <c r="R5" s="15"/>
      <c r="S5" s="15"/>
      <c r="T5" s="15"/>
      <c r="U5" s="15"/>
      <c r="V5" s="15"/>
      <c r="W5" s="15"/>
      <c r="X5" s="15"/>
      <c r="Y5" s="15"/>
      <c r="Z5" s="15"/>
    </row>
    <row r="6" spans="1:26" ht="14">
      <c r="A6" s="15">
        <v>1970</v>
      </c>
      <c r="B6" s="89">
        <v>205052174</v>
      </c>
      <c r="C6" s="89">
        <v>16000</v>
      </c>
      <c r="D6" s="15">
        <v>78.028921560000001</v>
      </c>
      <c r="E6" s="15">
        <v>1</v>
      </c>
      <c r="F6" s="15">
        <v>4.8768075970000001E-3</v>
      </c>
      <c r="G6" s="15">
        <v>2.25</v>
      </c>
      <c r="H6" s="15">
        <v>1</v>
      </c>
      <c r="I6" s="15">
        <v>1.2</v>
      </c>
      <c r="J6" s="15"/>
      <c r="K6" s="15">
        <v>4</v>
      </c>
      <c r="L6" s="15">
        <v>4</v>
      </c>
      <c r="M6" s="15">
        <v>1.9507230390000001E-2</v>
      </c>
      <c r="N6" s="15">
        <v>5</v>
      </c>
      <c r="O6" s="15">
        <v>8.1999999999999993</v>
      </c>
      <c r="P6" s="15"/>
      <c r="Q6" s="15"/>
      <c r="R6" s="15"/>
      <c r="S6" s="15"/>
      <c r="T6" s="15"/>
      <c r="U6" s="15"/>
      <c r="V6" s="15"/>
      <c r="W6" s="15"/>
      <c r="X6" s="15"/>
      <c r="Y6" s="15"/>
      <c r="Z6" s="15"/>
    </row>
    <row r="7" spans="1:26" ht="14">
      <c r="A7" s="15">
        <v>1971</v>
      </c>
      <c r="B7" s="89">
        <v>207660677</v>
      </c>
      <c r="C7" s="89">
        <v>17780</v>
      </c>
      <c r="D7" s="15">
        <v>85.620447049999996</v>
      </c>
      <c r="E7" s="15"/>
      <c r="F7" s="15">
        <v>0</v>
      </c>
      <c r="G7" s="15">
        <v>2.31</v>
      </c>
      <c r="H7" s="15">
        <v>1</v>
      </c>
      <c r="I7" s="15">
        <v>1</v>
      </c>
      <c r="J7" s="15"/>
      <c r="K7" s="15"/>
      <c r="L7" s="15"/>
      <c r="M7" s="15">
        <v>0</v>
      </c>
      <c r="N7" s="15">
        <v>4</v>
      </c>
      <c r="O7" s="15">
        <v>5.25</v>
      </c>
      <c r="P7" s="15"/>
      <c r="Q7" s="15"/>
      <c r="R7" s="15"/>
      <c r="S7" s="15"/>
      <c r="T7" s="15"/>
      <c r="U7" s="15"/>
      <c r="V7" s="15"/>
      <c r="W7" s="15"/>
      <c r="X7" s="15"/>
      <c r="Y7" s="15"/>
      <c r="Z7" s="15"/>
    </row>
    <row r="8" spans="1:26" ht="14">
      <c r="A8" s="15">
        <v>1972</v>
      </c>
      <c r="B8" s="89">
        <v>209896021</v>
      </c>
      <c r="C8" s="89">
        <v>18670</v>
      </c>
      <c r="D8" s="15">
        <v>88.948803850000004</v>
      </c>
      <c r="E8" s="15">
        <v>2</v>
      </c>
      <c r="F8" s="15">
        <v>9.5285274610000005E-3</v>
      </c>
      <c r="G8" s="15">
        <v>2.38</v>
      </c>
      <c r="H8" s="15">
        <v>1.5</v>
      </c>
      <c r="I8" s="15">
        <v>1.25</v>
      </c>
      <c r="J8" s="15"/>
      <c r="K8" s="15">
        <v>10</v>
      </c>
      <c r="L8" s="15">
        <v>5</v>
      </c>
      <c r="M8" s="15">
        <v>4.7642637299999999E-2</v>
      </c>
      <c r="N8" s="15">
        <v>7</v>
      </c>
      <c r="O8" s="15">
        <v>6.25</v>
      </c>
      <c r="P8" s="15"/>
      <c r="Q8" s="15"/>
      <c r="R8" s="15"/>
      <c r="S8" s="15"/>
      <c r="T8" s="15"/>
      <c r="U8" s="15"/>
      <c r="V8" s="15"/>
      <c r="W8" s="15"/>
      <c r="X8" s="15"/>
      <c r="Y8" s="15"/>
      <c r="Z8" s="15"/>
    </row>
    <row r="9" spans="1:26" ht="14">
      <c r="A9" s="15">
        <v>1973</v>
      </c>
      <c r="B9" s="89">
        <v>211908788</v>
      </c>
      <c r="C9" s="89">
        <v>19640</v>
      </c>
      <c r="D9" s="15">
        <v>92.681385160000005</v>
      </c>
      <c r="E9" s="15">
        <v>1</v>
      </c>
      <c r="F9" s="15">
        <v>4.7190114640000003E-3</v>
      </c>
      <c r="G9" s="15">
        <v>2.4500000000000002</v>
      </c>
      <c r="H9" s="15">
        <v>1.5</v>
      </c>
      <c r="I9" s="15">
        <v>1.25</v>
      </c>
      <c r="J9" s="15"/>
      <c r="K9" s="15">
        <v>7</v>
      </c>
      <c r="L9" s="15">
        <v>7</v>
      </c>
      <c r="M9" s="15">
        <v>3.3033080249999999E-2</v>
      </c>
      <c r="N9" s="15">
        <v>8.5</v>
      </c>
      <c r="O9" s="15">
        <v>6.25</v>
      </c>
      <c r="P9" s="15"/>
      <c r="Q9" s="15"/>
      <c r="R9" s="15"/>
      <c r="S9" s="15"/>
      <c r="T9" s="15"/>
      <c r="U9" s="15"/>
      <c r="V9" s="15"/>
      <c r="W9" s="15"/>
      <c r="X9" s="15"/>
      <c r="Y9" s="15"/>
      <c r="Z9" s="15"/>
    </row>
    <row r="10" spans="1:26" ht="14">
      <c r="A10" s="15">
        <v>1974</v>
      </c>
      <c r="B10" s="89">
        <v>213853928</v>
      </c>
      <c r="C10" s="89">
        <v>20710</v>
      </c>
      <c r="D10" s="15">
        <v>96.841803159999998</v>
      </c>
      <c r="E10" s="15"/>
      <c r="F10" s="15">
        <v>0</v>
      </c>
      <c r="G10" s="15">
        <v>2.52</v>
      </c>
      <c r="H10" s="15">
        <v>1.5</v>
      </c>
      <c r="I10" s="15">
        <v>1.3333333329999999</v>
      </c>
      <c r="J10" s="15"/>
      <c r="K10" s="15"/>
      <c r="L10" s="15"/>
      <c r="M10" s="15">
        <v>0</v>
      </c>
      <c r="N10" s="15">
        <v>8.5</v>
      </c>
      <c r="O10" s="15">
        <v>7</v>
      </c>
      <c r="P10" s="15"/>
      <c r="Q10" s="15"/>
      <c r="R10" s="15"/>
      <c r="S10" s="15"/>
      <c r="T10" s="15"/>
      <c r="U10" s="15"/>
      <c r="V10" s="15"/>
      <c r="W10" s="15"/>
      <c r="X10" s="15"/>
      <c r="Y10" s="15"/>
      <c r="Z10" s="15"/>
    </row>
    <row r="11" spans="1:26" ht="14">
      <c r="A11" s="15">
        <v>1975</v>
      </c>
      <c r="B11" s="89">
        <v>215973199</v>
      </c>
      <c r="C11" s="89">
        <v>20510</v>
      </c>
      <c r="D11" s="15">
        <v>94.965486900000002</v>
      </c>
      <c r="E11" s="15">
        <v>1</v>
      </c>
      <c r="F11" s="15">
        <v>4.6302041389999996E-3</v>
      </c>
      <c r="G11" s="15">
        <v>2.59</v>
      </c>
      <c r="H11" s="15">
        <v>1</v>
      </c>
      <c r="I11" s="15">
        <v>1.3333333329999999</v>
      </c>
      <c r="J11" s="15">
        <v>1.25</v>
      </c>
      <c r="K11" s="15">
        <v>5</v>
      </c>
      <c r="L11" s="15">
        <v>5</v>
      </c>
      <c r="M11" s="15">
        <v>2.31510207E-2</v>
      </c>
      <c r="N11" s="15">
        <v>6</v>
      </c>
      <c r="O11" s="15">
        <v>7.3333333329999997</v>
      </c>
      <c r="P11" s="15">
        <v>7.875</v>
      </c>
      <c r="Q11" s="15"/>
      <c r="R11" s="15"/>
      <c r="S11" s="15"/>
      <c r="T11" s="15"/>
      <c r="U11" s="15"/>
      <c r="V11" s="15"/>
      <c r="W11" s="15"/>
      <c r="X11" s="15"/>
      <c r="Y11" s="15"/>
      <c r="Z11" s="15"/>
    </row>
    <row r="12" spans="1:26" ht="14">
      <c r="A12" s="15">
        <v>1976</v>
      </c>
      <c r="B12" s="89">
        <v>218035164</v>
      </c>
      <c r="C12" s="89">
        <v>18780</v>
      </c>
      <c r="D12" s="15">
        <v>86.132895520000005</v>
      </c>
      <c r="E12" s="15">
        <v>1</v>
      </c>
      <c r="F12" s="15">
        <v>4.5864161619999996E-3</v>
      </c>
      <c r="G12" s="15">
        <v>2.67</v>
      </c>
      <c r="H12" s="15">
        <v>1</v>
      </c>
      <c r="I12" s="15">
        <v>1.25</v>
      </c>
      <c r="J12" s="15">
        <v>1.125</v>
      </c>
      <c r="K12" s="15">
        <v>7</v>
      </c>
      <c r="L12" s="15">
        <v>7</v>
      </c>
      <c r="M12" s="15">
        <v>3.2104913130000003E-2</v>
      </c>
      <c r="N12" s="15">
        <v>6</v>
      </c>
      <c r="O12" s="15">
        <v>7.25</v>
      </c>
      <c r="P12" s="15">
        <v>6.25</v>
      </c>
      <c r="Q12" s="15"/>
      <c r="R12" s="15"/>
      <c r="S12" s="15"/>
      <c r="T12" s="15"/>
      <c r="U12" s="15"/>
      <c r="V12" s="15"/>
      <c r="W12" s="15"/>
      <c r="X12" s="15"/>
      <c r="Y12" s="15"/>
      <c r="Z12" s="15"/>
    </row>
    <row r="13" spans="1:26" ht="14">
      <c r="A13" s="15">
        <v>1977</v>
      </c>
      <c r="B13" s="89">
        <v>220239425</v>
      </c>
      <c r="C13" s="89">
        <v>19120</v>
      </c>
      <c r="D13" s="15">
        <v>86.814610959999996</v>
      </c>
      <c r="E13" s="15">
        <v>3</v>
      </c>
      <c r="F13" s="15">
        <v>1.362153938E-2</v>
      </c>
      <c r="G13" s="15">
        <v>2.75</v>
      </c>
      <c r="H13" s="15">
        <v>1.6666666670000001</v>
      </c>
      <c r="I13" s="15">
        <v>1.5</v>
      </c>
      <c r="J13" s="15">
        <v>1.375</v>
      </c>
      <c r="K13" s="15">
        <v>17</v>
      </c>
      <c r="L13" s="15">
        <v>5.6666666670000003</v>
      </c>
      <c r="M13" s="15">
        <v>7.7188723139999998E-2</v>
      </c>
      <c r="N13" s="15">
        <v>9.6666666669999994</v>
      </c>
      <c r="O13" s="15">
        <v>9</v>
      </c>
      <c r="P13" s="15">
        <v>7.625</v>
      </c>
      <c r="Q13" s="15"/>
      <c r="R13" s="15"/>
      <c r="S13" s="15"/>
      <c r="T13" s="15"/>
      <c r="U13" s="15"/>
      <c r="V13" s="15"/>
      <c r="W13" s="15"/>
      <c r="X13" s="15"/>
      <c r="Y13" s="15"/>
      <c r="Z13" s="15"/>
    </row>
    <row r="14" spans="1:26" ht="14">
      <c r="A14" s="15">
        <v>1978</v>
      </c>
      <c r="B14" s="89">
        <v>222584545</v>
      </c>
      <c r="C14" s="89">
        <v>19560</v>
      </c>
      <c r="D14" s="15">
        <v>87.876721180000004</v>
      </c>
      <c r="E14" s="15">
        <v>1</v>
      </c>
      <c r="F14" s="15">
        <v>4.4926749069999997E-3</v>
      </c>
      <c r="G14" s="15">
        <v>2.83</v>
      </c>
      <c r="H14" s="15">
        <v>1.6666666670000001</v>
      </c>
      <c r="I14" s="15">
        <v>1.5</v>
      </c>
      <c r="J14" s="15">
        <v>1.375</v>
      </c>
      <c r="K14" s="15">
        <v>5</v>
      </c>
      <c r="L14" s="15">
        <v>5</v>
      </c>
      <c r="M14" s="15">
        <v>2.246337453E-2</v>
      </c>
      <c r="N14" s="15">
        <v>9.6666666669999994</v>
      </c>
      <c r="O14" s="15">
        <v>8.5</v>
      </c>
      <c r="P14" s="15">
        <v>7.375</v>
      </c>
      <c r="Q14" s="15"/>
      <c r="R14" s="15"/>
      <c r="S14" s="15"/>
      <c r="T14" s="15"/>
      <c r="U14" s="15"/>
      <c r="V14" s="15"/>
      <c r="W14" s="15"/>
      <c r="X14" s="15"/>
      <c r="Y14" s="15"/>
      <c r="Z14" s="15"/>
    </row>
    <row r="15" spans="1:26" ht="14">
      <c r="A15" s="15">
        <v>1979</v>
      </c>
      <c r="B15" s="89">
        <v>225055487</v>
      </c>
      <c r="C15" s="89">
        <v>21460</v>
      </c>
      <c r="D15" s="15">
        <v>95.354262570000003</v>
      </c>
      <c r="E15" s="15"/>
      <c r="F15" s="15">
        <v>0</v>
      </c>
      <c r="G15" s="15">
        <v>2.91</v>
      </c>
      <c r="H15" s="15">
        <v>2</v>
      </c>
      <c r="I15" s="15">
        <v>1.5</v>
      </c>
      <c r="J15" s="87">
        <v>1.428571429</v>
      </c>
      <c r="K15" s="15"/>
      <c r="L15" s="15"/>
      <c r="M15" s="15">
        <v>0</v>
      </c>
      <c r="N15" s="15">
        <v>11</v>
      </c>
      <c r="O15" s="15">
        <v>8.5</v>
      </c>
      <c r="P15" s="87">
        <v>7.8571428570000004</v>
      </c>
      <c r="Q15" s="15"/>
      <c r="R15" s="15"/>
      <c r="S15" s="15"/>
      <c r="T15" s="15"/>
      <c r="U15" s="15"/>
      <c r="V15" s="15"/>
      <c r="W15" s="15"/>
      <c r="X15" s="15"/>
      <c r="Y15" s="15"/>
      <c r="Z15" s="15"/>
    </row>
    <row r="16" spans="1:26" ht="14">
      <c r="A16" s="15">
        <v>1980</v>
      </c>
      <c r="B16" s="89">
        <v>227224681</v>
      </c>
      <c r="C16" s="89">
        <v>23040</v>
      </c>
      <c r="D16" s="15">
        <v>101.3974358</v>
      </c>
      <c r="E16" s="15">
        <v>3</v>
      </c>
      <c r="F16" s="15">
        <v>1.320279112E-2</v>
      </c>
      <c r="G16" s="15">
        <v>3</v>
      </c>
      <c r="H16" s="15">
        <v>2</v>
      </c>
      <c r="I16" s="15">
        <v>2</v>
      </c>
      <c r="J16" s="15">
        <v>1.7142857140000001</v>
      </c>
      <c r="K16" s="15">
        <v>14</v>
      </c>
      <c r="L16" s="15">
        <v>4.6666666670000003</v>
      </c>
      <c r="M16" s="15">
        <v>6.1613025219999999E-2</v>
      </c>
      <c r="N16" s="15">
        <v>9.5</v>
      </c>
      <c r="O16" s="15">
        <v>10.75</v>
      </c>
      <c r="P16" s="15">
        <v>9.2857142859999993</v>
      </c>
      <c r="Q16" s="15"/>
      <c r="R16" s="15"/>
      <c r="S16" s="15"/>
      <c r="T16" s="15"/>
      <c r="U16" s="15"/>
      <c r="V16" s="15"/>
      <c r="W16" s="15"/>
      <c r="X16" s="15"/>
      <c r="Y16" s="15"/>
      <c r="Z16" s="15"/>
    </row>
    <row r="17" spans="1:26" ht="14">
      <c r="A17" s="15">
        <v>1981</v>
      </c>
      <c r="B17" s="89">
        <v>229465714</v>
      </c>
      <c r="C17" s="89">
        <v>22520</v>
      </c>
      <c r="D17" s="15">
        <v>98.141023369999999</v>
      </c>
      <c r="E17" s="15">
        <v>2</v>
      </c>
      <c r="F17" s="15">
        <v>8.7158990560000007E-3</v>
      </c>
      <c r="G17" s="15">
        <v>3.09</v>
      </c>
      <c r="H17" s="15">
        <v>2.5</v>
      </c>
      <c r="I17" s="15">
        <v>2.25</v>
      </c>
      <c r="J17" s="15">
        <v>1.75</v>
      </c>
      <c r="K17" s="15">
        <v>9</v>
      </c>
      <c r="L17" s="15">
        <v>4.5</v>
      </c>
      <c r="M17" s="15">
        <v>3.9221545750000003E-2</v>
      </c>
      <c r="N17" s="15">
        <v>11.5</v>
      </c>
      <c r="O17" s="15">
        <v>11.25</v>
      </c>
      <c r="P17" s="15">
        <v>9.25</v>
      </c>
      <c r="Q17" s="15"/>
      <c r="R17" s="15"/>
      <c r="S17" s="15"/>
      <c r="T17" s="15"/>
      <c r="U17" s="15"/>
      <c r="V17" s="15"/>
      <c r="W17" s="15"/>
      <c r="X17" s="15"/>
      <c r="Y17" s="15"/>
      <c r="Z17" s="15"/>
    </row>
    <row r="18" spans="1:26" ht="14">
      <c r="A18" s="15">
        <v>1982</v>
      </c>
      <c r="B18" s="89">
        <v>231664458</v>
      </c>
      <c r="C18" s="89">
        <v>21010</v>
      </c>
      <c r="D18" s="15">
        <v>90.691512119999999</v>
      </c>
      <c r="E18" s="15">
        <v>3</v>
      </c>
      <c r="F18" s="15">
        <v>1.2949763749999999E-2</v>
      </c>
      <c r="G18" s="15">
        <v>3.18</v>
      </c>
      <c r="H18" s="15">
        <v>2.6666666669999999</v>
      </c>
      <c r="I18" s="15">
        <v>2.25</v>
      </c>
      <c r="J18" s="15">
        <v>1.875</v>
      </c>
      <c r="K18" s="15">
        <v>18</v>
      </c>
      <c r="L18" s="15">
        <v>6</v>
      </c>
      <c r="M18" s="15">
        <v>7.7698582490000001E-2</v>
      </c>
      <c r="N18" s="15">
        <v>13.66666667</v>
      </c>
      <c r="O18" s="15">
        <v>11.5</v>
      </c>
      <c r="P18" s="15">
        <v>10.25</v>
      </c>
      <c r="Q18" s="15"/>
      <c r="R18" s="15"/>
      <c r="S18" s="15"/>
      <c r="T18" s="15"/>
      <c r="U18" s="15"/>
      <c r="V18" s="15"/>
      <c r="W18" s="15"/>
      <c r="X18" s="15"/>
      <c r="Y18" s="15"/>
      <c r="Z18" s="15"/>
    </row>
    <row r="19" spans="1:26" ht="14">
      <c r="A19" s="15">
        <v>1983</v>
      </c>
      <c r="B19" s="89">
        <v>233791994</v>
      </c>
      <c r="C19" s="89">
        <v>19310</v>
      </c>
      <c r="D19" s="15">
        <v>82.594787229999994</v>
      </c>
      <c r="E19" s="15">
        <v>3</v>
      </c>
      <c r="F19" s="15">
        <v>1.2831919299999999E-2</v>
      </c>
      <c r="G19" s="15">
        <v>3.27</v>
      </c>
      <c r="H19" s="15">
        <v>2.6666666669999999</v>
      </c>
      <c r="I19" s="15">
        <v>2.75</v>
      </c>
      <c r="J19" s="15">
        <v>2.125</v>
      </c>
      <c r="K19" s="15">
        <v>16</v>
      </c>
      <c r="L19" s="15">
        <v>5.3333333329999997</v>
      </c>
      <c r="M19" s="15">
        <v>6.8436902930000001E-2</v>
      </c>
      <c r="N19" s="15">
        <v>14.33333333</v>
      </c>
      <c r="O19" s="15">
        <v>14.25</v>
      </c>
      <c r="P19" s="15">
        <v>11.375</v>
      </c>
      <c r="Q19" s="15"/>
      <c r="R19" s="15"/>
      <c r="S19" s="15"/>
      <c r="T19" s="15"/>
      <c r="U19" s="15"/>
      <c r="V19" s="15"/>
      <c r="W19" s="15"/>
      <c r="X19" s="15"/>
      <c r="Y19" s="15"/>
      <c r="Z19" s="15"/>
    </row>
    <row r="20" spans="1:26" ht="14">
      <c r="A20" s="15">
        <v>1984</v>
      </c>
      <c r="B20" s="89">
        <v>235824902</v>
      </c>
      <c r="C20" s="89">
        <v>18690</v>
      </c>
      <c r="D20" s="15">
        <v>79.25371681</v>
      </c>
      <c r="E20" s="15">
        <v>4</v>
      </c>
      <c r="F20" s="15">
        <v>1.696173715E-2</v>
      </c>
      <c r="G20" s="15">
        <v>3.37</v>
      </c>
      <c r="H20" s="15">
        <v>3.3333333330000001</v>
      </c>
      <c r="I20" s="15">
        <v>3</v>
      </c>
      <c r="J20" s="15">
        <v>2.3333333330000001</v>
      </c>
      <c r="K20" s="15">
        <v>40</v>
      </c>
      <c r="L20" s="15">
        <v>10</v>
      </c>
      <c r="M20" s="15">
        <v>0.1696173715</v>
      </c>
      <c r="N20" s="15">
        <v>24.666666670000001</v>
      </c>
      <c r="O20" s="15">
        <v>19.399999999999999</v>
      </c>
      <c r="P20" s="15">
        <v>14.55555556</v>
      </c>
      <c r="Q20" s="15"/>
      <c r="R20" s="15"/>
      <c r="S20" s="15"/>
      <c r="T20" s="15"/>
      <c r="U20" s="15"/>
      <c r="V20" s="15"/>
      <c r="W20" s="15"/>
      <c r="X20" s="15"/>
      <c r="Y20" s="15"/>
      <c r="Z20" s="15"/>
    </row>
    <row r="21" spans="1:26" ht="15.75" customHeight="1">
      <c r="A21" s="15">
        <v>1985</v>
      </c>
      <c r="B21" s="89">
        <v>237923795</v>
      </c>
      <c r="C21" s="89">
        <v>18980</v>
      </c>
      <c r="D21" s="15">
        <v>79.773441739999996</v>
      </c>
      <c r="E21" s="15">
        <v>1</v>
      </c>
      <c r="F21" s="15">
        <v>4.2030264349999999E-3</v>
      </c>
      <c r="G21" s="15">
        <v>3.47</v>
      </c>
      <c r="H21" s="15">
        <v>2.6666666669999999</v>
      </c>
      <c r="I21" s="15">
        <v>2.6</v>
      </c>
      <c r="J21" s="15">
        <v>2.3333333330000001</v>
      </c>
      <c r="K21" s="15">
        <v>4</v>
      </c>
      <c r="L21" s="15">
        <v>4</v>
      </c>
      <c r="M21" s="15">
        <v>1.681210574E-2</v>
      </c>
      <c r="N21" s="15">
        <v>20</v>
      </c>
      <c r="O21" s="15">
        <v>17.399999999999999</v>
      </c>
      <c r="P21" s="15">
        <v>14.44444444</v>
      </c>
      <c r="Q21" s="15"/>
      <c r="R21" s="15"/>
      <c r="S21" s="15"/>
      <c r="T21" s="15"/>
      <c r="U21" s="15"/>
      <c r="V21" s="15"/>
      <c r="W21" s="15"/>
      <c r="X21" s="15"/>
      <c r="Y21" s="15"/>
      <c r="Z21" s="15"/>
    </row>
    <row r="22" spans="1:26" ht="15.75" customHeight="1">
      <c r="A22" s="15">
        <v>1986</v>
      </c>
      <c r="B22" s="89">
        <v>240132887</v>
      </c>
      <c r="C22" s="89">
        <v>20613</v>
      </c>
      <c r="D22" s="15">
        <v>85.839970769999994</v>
      </c>
      <c r="E22" s="15">
        <v>1</v>
      </c>
      <c r="F22" s="15">
        <v>4.1643608770000002E-3</v>
      </c>
      <c r="G22" s="15">
        <v>3.57</v>
      </c>
      <c r="H22" s="15">
        <v>2</v>
      </c>
      <c r="I22" s="15">
        <v>2.4</v>
      </c>
      <c r="J22" s="15">
        <v>2.3333333330000001</v>
      </c>
      <c r="K22" s="15">
        <v>14</v>
      </c>
      <c r="L22" s="15">
        <v>14</v>
      </c>
      <c r="M22" s="15">
        <v>5.8301052280000001E-2</v>
      </c>
      <c r="N22" s="15">
        <v>19.333333329999999</v>
      </c>
      <c r="O22" s="15">
        <v>18.399999999999999</v>
      </c>
      <c r="P22" s="15">
        <v>15.222222220000001</v>
      </c>
      <c r="Q22" s="15"/>
      <c r="R22" s="15"/>
      <c r="S22" s="15"/>
      <c r="T22" s="15"/>
      <c r="U22" s="15"/>
      <c r="V22" s="15"/>
      <c r="W22" s="15"/>
      <c r="X22" s="15"/>
      <c r="Y22" s="15"/>
      <c r="Z22" s="15"/>
    </row>
    <row r="23" spans="1:26" ht="15.75" customHeight="1">
      <c r="A23" s="15">
        <v>1987</v>
      </c>
      <c r="B23" s="89">
        <v>242288918</v>
      </c>
      <c r="C23" s="89">
        <v>20096</v>
      </c>
      <c r="D23" s="15">
        <v>82.942299489999996</v>
      </c>
      <c r="E23" s="15">
        <v>1</v>
      </c>
      <c r="F23" s="15">
        <v>4.1273039160000004E-3</v>
      </c>
      <c r="G23" s="15">
        <v>3.67</v>
      </c>
      <c r="H23" s="15">
        <v>1</v>
      </c>
      <c r="I23" s="15">
        <v>2</v>
      </c>
      <c r="J23" s="15">
        <v>2.111111111</v>
      </c>
      <c r="K23" s="15">
        <v>6</v>
      </c>
      <c r="L23" s="15">
        <v>6</v>
      </c>
      <c r="M23" s="15">
        <v>2.476382349E-2</v>
      </c>
      <c r="N23" s="15">
        <v>8</v>
      </c>
      <c r="O23" s="15">
        <v>16</v>
      </c>
      <c r="P23" s="15">
        <v>14</v>
      </c>
      <c r="Q23" s="15"/>
      <c r="R23" s="15"/>
      <c r="S23" s="15"/>
      <c r="T23" s="15"/>
      <c r="U23" s="15"/>
      <c r="V23" s="15"/>
      <c r="W23" s="15"/>
      <c r="X23" s="15"/>
      <c r="Y23" s="15"/>
      <c r="Z23" s="15"/>
    </row>
    <row r="24" spans="1:26" ht="15.75" customHeight="1">
      <c r="A24" s="15">
        <v>1988</v>
      </c>
      <c r="B24" s="89">
        <v>244498982</v>
      </c>
      <c r="C24" s="89">
        <v>20680</v>
      </c>
      <c r="D24" s="15">
        <v>84.581129259999997</v>
      </c>
      <c r="E24" s="15">
        <v>3</v>
      </c>
      <c r="F24" s="15">
        <v>1.2269989740000001E-2</v>
      </c>
      <c r="G24" s="15">
        <v>3.78</v>
      </c>
      <c r="H24" s="15">
        <v>1.6666666670000001</v>
      </c>
      <c r="I24" s="15">
        <v>2</v>
      </c>
      <c r="J24" s="15">
        <v>2.3333333330000001</v>
      </c>
      <c r="K24" s="15">
        <v>15</v>
      </c>
      <c r="L24" s="15">
        <v>5</v>
      </c>
      <c r="M24" s="15">
        <v>6.1349948690000003E-2</v>
      </c>
      <c r="N24" s="15">
        <v>11.66666667</v>
      </c>
      <c r="O24" s="15">
        <v>15.8</v>
      </c>
      <c r="P24" s="15">
        <v>15.11111111</v>
      </c>
      <c r="Q24" s="15"/>
      <c r="R24" s="15"/>
      <c r="S24" s="15"/>
      <c r="T24" s="15"/>
      <c r="U24" s="15"/>
      <c r="V24" s="15"/>
      <c r="W24" s="15"/>
      <c r="X24" s="15"/>
      <c r="Y24" s="15"/>
      <c r="Z24" s="15"/>
    </row>
    <row r="25" spans="1:26" ht="15.75" customHeight="1">
      <c r="A25" s="15">
        <v>1989</v>
      </c>
      <c r="B25" s="89">
        <v>246819230</v>
      </c>
      <c r="C25" s="89">
        <v>21500</v>
      </c>
      <c r="D25" s="15">
        <v>87.108285690000002</v>
      </c>
      <c r="E25" s="15">
        <v>2</v>
      </c>
      <c r="F25" s="15">
        <v>8.1030963430000005E-3</v>
      </c>
      <c r="G25" s="15">
        <v>3.89</v>
      </c>
      <c r="H25" s="15">
        <v>2</v>
      </c>
      <c r="I25" s="15">
        <v>1.6</v>
      </c>
      <c r="J25" s="87">
        <v>2.2999999999999998</v>
      </c>
      <c r="K25" s="15">
        <v>14</v>
      </c>
      <c r="L25" s="15">
        <v>7</v>
      </c>
      <c r="M25" s="15">
        <v>5.6721674399999998E-2</v>
      </c>
      <c r="N25" s="15">
        <v>11.66666667</v>
      </c>
      <c r="O25" s="15">
        <v>10.6</v>
      </c>
      <c r="P25" s="87">
        <v>15</v>
      </c>
      <c r="Q25" s="15"/>
      <c r="R25" s="15"/>
      <c r="S25" s="15"/>
      <c r="T25" s="15"/>
      <c r="U25" s="15"/>
      <c r="V25" s="15"/>
      <c r="W25" s="15"/>
      <c r="X25" s="15"/>
      <c r="Y25" s="15"/>
      <c r="Z25" s="15"/>
    </row>
    <row r="26" spans="1:26" ht="15.75" customHeight="1">
      <c r="A26" s="15">
        <v>1990</v>
      </c>
      <c r="B26" s="89">
        <v>249464396</v>
      </c>
      <c r="C26" s="89">
        <v>23440</v>
      </c>
      <c r="D26" s="15">
        <v>93.961304200000001</v>
      </c>
      <c r="E26" s="15">
        <v>1</v>
      </c>
      <c r="F26" s="15">
        <v>4.0085880629999997E-3</v>
      </c>
      <c r="G26" s="15">
        <v>4</v>
      </c>
      <c r="H26" s="15">
        <v>2</v>
      </c>
      <c r="I26" s="15">
        <v>1.6</v>
      </c>
      <c r="J26" s="15">
        <v>2.1</v>
      </c>
      <c r="K26" s="15">
        <v>11</v>
      </c>
      <c r="L26" s="15">
        <v>11</v>
      </c>
      <c r="M26" s="15">
        <v>4.40944687E-2</v>
      </c>
      <c r="N26" s="15">
        <v>13.33333333</v>
      </c>
      <c r="O26" s="15">
        <v>12</v>
      </c>
      <c r="P26" s="15">
        <v>14.7</v>
      </c>
      <c r="Q26" s="15"/>
      <c r="R26" s="15"/>
      <c r="S26" s="15"/>
      <c r="T26" s="15"/>
      <c r="U26" s="15"/>
      <c r="V26" s="15"/>
      <c r="W26" s="15"/>
      <c r="X26" s="15"/>
      <c r="Y26" s="15"/>
      <c r="Z26" s="15"/>
    </row>
    <row r="27" spans="1:26" ht="15.75" customHeight="1">
      <c r="A27" s="15">
        <v>1991</v>
      </c>
      <c r="B27" s="89">
        <v>252153092</v>
      </c>
      <c r="C27" s="89">
        <v>24700</v>
      </c>
      <c r="D27" s="15">
        <v>97.956363749999994</v>
      </c>
      <c r="E27" s="15">
        <v>5</v>
      </c>
      <c r="F27" s="15">
        <v>1.9829223430000001E-2</v>
      </c>
      <c r="G27" s="15">
        <v>4.12</v>
      </c>
      <c r="H27" s="15">
        <v>2.6666666669999999</v>
      </c>
      <c r="I27" s="15">
        <v>2.4</v>
      </c>
      <c r="J27" s="15">
        <v>2.4</v>
      </c>
      <c r="K27" s="15">
        <v>40</v>
      </c>
      <c r="L27" s="15">
        <v>8</v>
      </c>
      <c r="M27" s="15">
        <v>0.1586337874</v>
      </c>
      <c r="N27" s="15">
        <v>21.666666670000001</v>
      </c>
      <c r="O27" s="15">
        <v>17.2</v>
      </c>
      <c r="P27" s="15">
        <v>17.8</v>
      </c>
      <c r="Q27" s="15"/>
      <c r="R27" s="15"/>
      <c r="S27" s="15"/>
      <c r="T27" s="15"/>
      <c r="U27" s="15"/>
      <c r="V27" s="15"/>
      <c r="W27" s="15"/>
      <c r="X27" s="15"/>
      <c r="Y27" s="15"/>
      <c r="Z27" s="15"/>
    </row>
    <row r="28" spans="1:26" ht="15.75" customHeight="1">
      <c r="A28" s="15">
        <v>1992</v>
      </c>
      <c r="B28" s="89">
        <v>255029699</v>
      </c>
      <c r="C28" s="89">
        <v>23760</v>
      </c>
      <c r="D28" s="15">
        <v>93.165619899999996</v>
      </c>
      <c r="E28" s="15">
        <v>4</v>
      </c>
      <c r="F28" s="15">
        <v>1.568444779E-2</v>
      </c>
      <c r="G28" s="15">
        <v>4.24</v>
      </c>
      <c r="H28" s="15">
        <v>3.3333333330000001</v>
      </c>
      <c r="I28" s="15">
        <v>3</v>
      </c>
      <c r="J28" s="15">
        <v>2.5</v>
      </c>
      <c r="K28" s="15">
        <v>18</v>
      </c>
      <c r="L28" s="15">
        <v>4.5</v>
      </c>
      <c r="M28" s="15">
        <v>7.0580015080000003E-2</v>
      </c>
      <c r="N28" s="15">
        <v>23</v>
      </c>
      <c r="O28" s="15">
        <v>19.600000000000001</v>
      </c>
      <c r="P28" s="15">
        <v>17.8</v>
      </c>
      <c r="Q28" s="15"/>
      <c r="R28" s="15"/>
      <c r="S28" s="15"/>
      <c r="T28" s="15"/>
      <c r="U28" s="15"/>
      <c r="V28" s="15"/>
      <c r="W28" s="15"/>
      <c r="X28" s="15"/>
      <c r="Y28" s="15"/>
      <c r="Z28" s="15"/>
    </row>
    <row r="29" spans="1:26" ht="15.75" customHeight="1">
      <c r="A29" s="15">
        <v>1993</v>
      </c>
      <c r="B29" s="89">
        <v>257782608</v>
      </c>
      <c r="C29" s="89">
        <v>24530</v>
      </c>
      <c r="D29" s="15">
        <v>95.157699699999995</v>
      </c>
      <c r="E29" s="15">
        <v>6</v>
      </c>
      <c r="F29" s="15">
        <v>2.327542594E-2</v>
      </c>
      <c r="G29" s="15">
        <v>4.37</v>
      </c>
      <c r="H29" s="15">
        <v>5</v>
      </c>
      <c r="I29" s="15">
        <v>3.6</v>
      </c>
      <c r="J29" s="15">
        <v>2.8</v>
      </c>
      <c r="K29" s="15">
        <v>30</v>
      </c>
      <c r="L29" s="15">
        <v>5</v>
      </c>
      <c r="M29" s="15">
        <v>0.1163771297</v>
      </c>
      <c r="N29" s="15">
        <v>29.333333329999999</v>
      </c>
      <c r="O29" s="15">
        <v>22.6</v>
      </c>
      <c r="P29" s="15">
        <v>19.2</v>
      </c>
      <c r="Q29" s="15"/>
      <c r="R29" s="15"/>
      <c r="S29" s="15"/>
      <c r="T29" s="15"/>
      <c r="U29" s="15"/>
      <c r="V29" s="15"/>
      <c r="W29" s="15"/>
      <c r="X29" s="15"/>
      <c r="Y29" s="15"/>
      <c r="Z29" s="15"/>
    </row>
    <row r="30" spans="1:26" ht="15.75" customHeight="1">
      <c r="A30" s="15">
        <v>1994</v>
      </c>
      <c r="B30" s="89">
        <v>260327021</v>
      </c>
      <c r="C30" s="89">
        <v>23330</v>
      </c>
      <c r="D30" s="15">
        <v>89.618050060000002</v>
      </c>
      <c r="E30" s="15">
        <v>2</v>
      </c>
      <c r="F30" s="15">
        <v>7.6826446690000001E-3</v>
      </c>
      <c r="G30" s="15">
        <v>4.5</v>
      </c>
      <c r="H30" s="15">
        <v>4</v>
      </c>
      <c r="I30" s="15">
        <v>3.6</v>
      </c>
      <c r="J30" s="15">
        <v>2.6</v>
      </c>
      <c r="K30" s="15">
        <v>9</v>
      </c>
      <c r="L30" s="15">
        <v>4.5</v>
      </c>
      <c r="M30" s="15">
        <v>3.4571901010000003E-2</v>
      </c>
      <c r="N30" s="15">
        <v>19</v>
      </c>
      <c r="O30" s="15">
        <v>21.6</v>
      </c>
      <c r="P30" s="15">
        <v>16.100000000000001</v>
      </c>
      <c r="Q30" s="15"/>
      <c r="R30" s="15"/>
      <c r="S30" s="15"/>
      <c r="T30" s="15"/>
      <c r="U30" s="15"/>
      <c r="V30" s="15"/>
      <c r="W30" s="15"/>
      <c r="X30" s="15"/>
      <c r="Y30" s="15"/>
      <c r="Z30" s="15"/>
    </row>
    <row r="31" spans="1:26" ht="15.75" customHeight="1">
      <c r="A31" s="15">
        <v>1995</v>
      </c>
      <c r="B31" s="89">
        <v>262803276</v>
      </c>
      <c r="C31" s="89">
        <v>21610</v>
      </c>
      <c r="D31" s="15">
        <v>82.228807529999997</v>
      </c>
      <c r="E31" s="15">
        <v>3</v>
      </c>
      <c r="F31" s="15">
        <v>1.1415382809999999E-2</v>
      </c>
      <c r="G31" s="15">
        <v>4.63</v>
      </c>
      <c r="H31" s="15">
        <v>3.6666666669999999</v>
      </c>
      <c r="I31" s="15">
        <v>4</v>
      </c>
      <c r="J31" s="15">
        <v>2.8</v>
      </c>
      <c r="K31" s="15">
        <v>14</v>
      </c>
      <c r="L31" s="15">
        <v>4.6666666670000003</v>
      </c>
      <c r="M31" s="15">
        <v>5.3271786459999998E-2</v>
      </c>
      <c r="N31" s="15">
        <v>17.666666670000001</v>
      </c>
      <c r="O31" s="15">
        <v>22.2</v>
      </c>
      <c r="P31" s="15">
        <v>17.100000000000001</v>
      </c>
      <c r="Q31" s="15"/>
      <c r="R31" s="15"/>
      <c r="S31" s="15"/>
      <c r="T31" s="15"/>
      <c r="U31" s="15"/>
      <c r="V31" s="15"/>
      <c r="W31" s="15"/>
      <c r="X31" s="15"/>
      <c r="Y31" s="15"/>
      <c r="Z31" s="15"/>
    </row>
    <row r="32" spans="1:26" ht="15.75" customHeight="1">
      <c r="A32" s="15">
        <v>1996</v>
      </c>
      <c r="B32" s="89">
        <v>265228572</v>
      </c>
      <c r="C32" s="89">
        <v>19650</v>
      </c>
      <c r="D32" s="15">
        <v>74.087040669999993</v>
      </c>
      <c r="E32" s="15">
        <v>2</v>
      </c>
      <c r="F32" s="15">
        <v>7.5406657170000004E-3</v>
      </c>
      <c r="G32" s="15">
        <v>4.76</v>
      </c>
      <c r="H32" s="15">
        <v>2.3333333330000001</v>
      </c>
      <c r="I32" s="15">
        <v>3.4</v>
      </c>
      <c r="J32" s="15">
        <v>2.9</v>
      </c>
      <c r="K32" s="15">
        <v>10</v>
      </c>
      <c r="L32" s="15">
        <v>5</v>
      </c>
      <c r="M32" s="15">
        <v>3.7703328580000001E-2</v>
      </c>
      <c r="N32" s="15">
        <v>11</v>
      </c>
      <c r="O32" s="15">
        <v>16.2</v>
      </c>
      <c r="P32" s="15">
        <v>16.7</v>
      </c>
      <c r="Q32" s="15"/>
      <c r="R32" s="15"/>
      <c r="S32" s="15"/>
      <c r="T32" s="15"/>
      <c r="U32" s="15"/>
      <c r="V32" s="15"/>
      <c r="W32" s="15"/>
      <c r="X32" s="15"/>
      <c r="Y32" s="15"/>
      <c r="Z32" s="15"/>
    </row>
    <row r="33" spans="1:26" ht="15.75" customHeight="1">
      <c r="A33" s="15">
        <v>1997</v>
      </c>
      <c r="B33" s="89">
        <v>267783607</v>
      </c>
      <c r="C33" s="89">
        <v>18208</v>
      </c>
      <c r="D33" s="15">
        <v>67.995200319999995</v>
      </c>
      <c r="E33" s="15">
        <v>4</v>
      </c>
      <c r="F33" s="15">
        <v>1.4937434160000001E-2</v>
      </c>
      <c r="G33" s="15">
        <v>4.9000000000000004</v>
      </c>
      <c r="H33" s="15">
        <v>3</v>
      </c>
      <c r="I33" s="15">
        <v>3.4</v>
      </c>
      <c r="J33" s="15">
        <v>3.2</v>
      </c>
      <c r="K33" s="15">
        <v>16</v>
      </c>
      <c r="L33" s="15">
        <v>4</v>
      </c>
      <c r="M33" s="15">
        <v>5.9749736659999997E-2</v>
      </c>
      <c r="N33" s="15">
        <v>13.33333333</v>
      </c>
      <c r="O33" s="15">
        <v>15.8</v>
      </c>
      <c r="P33" s="15">
        <v>17.7</v>
      </c>
      <c r="Q33" s="15"/>
      <c r="R33" s="15"/>
      <c r="S33" s="15"/>
      <c r="T33" s="15"/>
      <c r="U33" s="15"/>
      <c r="V33" s="15"/>
      <c r="W33" s="15"/>
      <c r="X33" s="15"/>
      <c r="Y33" s="15"/>
      <c r="Z33" s="15"/>
    </row>
    <row r="34" spans="1:26" ht="15.75" customHeight="1">
      <c r="A34" s="15">
        <v>1998</v>
      </c>
      <c r="B34" s="89">
        <v>270248003</v>
      </c>
      <c r="C34" s="89">
        <v>16914</v>
      </c>
      <c r="D34" s="15">
        <v>62.586956469999997</v>
      </c>
      <c r="E34" s="15">
        <v>3</v>
      </c>
      <c r="F34" s="15">
        <v>1.110091459E-2</v>
      </c>
      <c r="G34" s="15">
        <v>5.05</v>
      </c>
      <c r="H34" s="15">
        <v>3</v>
      </c>
      <c r="I34" s="15">
        <v>2.8</v>
      </c>
      <c r="J34" s="15">
        <v>3.2</v>
      </c>
      <c r="K34" s="15">
        <v>13</v>
      </c>
      <c r="L34" s="15">
        <v>4.3333333329999997</v>
      </c>
      <c r="M34" s="15">
        <v>4.8103963229999998E-2</v>
      </c>
      <c r="N34" s="15">
        <v>13</v>
      </c>
      <c r="O34" s="15">
        <v>12.4</v>
      </c>
      <c r="P34" s="15">
        <v>17.5</v>
      </c>
      <c r="Q34" s="15"/>
      <c r="R34" s="15"/>
      <c r="S34" s="15"/>
      <c r="T34" s="15"/>
      <c r="U34" s="15"/>
      <c r="V34" s="15"/>
      <c r="W34" s="15"/>
      <c r="X34" s="15"/>
      <c r="Y34" s="15"/>
      <c r="Z34" s="15"/>
    </row>
    <row r="35" spans="1:26" ht="15.75" customHeight="1">
      <c r="A35" s="15">
        <v>1999</v>
      </c>
      <c r="B35" s="89">
        <v>272690813</v>
      </c>
      <c r="C35" s="89">
        <v>15522</v>
      </c>
      <c r="D35" s="15">
        <v>56.921609599999996</v>
      </c>
      <c r="E35" s="15">
        <v>7</v>
      </c>
      <c r="F35" s="15">
        <v>2.567009839E-2</v>
      </c>
      <c r="G35" s="15">
        <v>5.19</v>
      </c>
      <c r="H35" s="15">
        <v>4.6666666670000003</v>
      </c>
      <c r="I35" s="15">
        <v>3.8</v>
      </c>
      <c r="J35" s="87">
        <v>3.7</v>
      </c>
      <c r="K35" s="15">
        <v>52</v>
      </c>
      <c r="L35" s="15">
        <v>7.4285714289999998</v>
      </c>
      <c r="M35" s="15">
        <v>0.19069215950000001</v>
      </c>
      <c r="N35" s="15">
        <v>27</v>
      </c>
      <c r="O35" s="15">
        <v>21</v>
      </c>
      <c r="P35" s="87">
        <v>21.3</v>
      </c>
      <c r="Q35" s="15"/>
      <c r="R35" s="15"/>
      <c r="S35" s="15"/>
      <c r="T35" s="15"/>
      <c r="U35" s="15"/>
      <c r="V35" s="15"/>
      <c r="W35" s="15"/>
      <c r="X35" s="15"/>
      <c r="Y35" s="15"/>
      <c r="Z35" s="15"/>
    </row>
    <row r="36" spans="1:26" ht="15.75" customHeight="1">
      <c r="A36" s="15">
        <v>2000</v>
      </c>
      <c r="B36" s="89">
        <v>281421906</v>
      </c>
      <c r="C36" s="89">
        <v>15586</v>
      </c>
      <c r="D36" s="15">
        <v>55.383037590000001</v>
      </c>
      <c r="E36" s="15">
        <v>3</v>
      </c>
      <c r="F36" s="15">
        <v>1.0660150950000001E-2</v>
      </c>
      <c r="G36" s="15">
        <v>5.35</v>
      </c>
      <c r="H36" s="15">
        <v>4.3333333329999997</v>
      </c>
      <c r="I36" s="15">
        <v>3.8</v>
      </c>
      <c r="J36" s="15">
        <v>3.9</v>
      </c>
      <c r="K36" s="15">
        <v>17</v>
      </c>
      <c r="L36" s="15">
        <v>5.6666666670000003</v>
      </c>
      <c r="M36" s="15">
        <v>6.0407522079999998E-2</v>
      </c>
      <c r="N36" s="15">
        <v>27.333333329999999</v>
      </c>
      <c r="O36" s="15">
        <v>21.6</v>
      </c>
      <c r="P36" s="15">
        <v>21.9</v>
      </c>
      <c r="Q36" s="15"/>
      <c r="R36" s="15"/>
      <c r="S36" s="15"/>
      <c r="T36" s="15"/>
      <c r="U36" s="15"/>
      <c r="V36" s="15"/>
      <c r="W36" s="15"/>
      <c r="X36" s="15"/>
      <c r="Y36" s="15"/>
      <c r="Z36" s="15"/>
    </row>
    <row r="37" spans="1:26" ht="15.75" customHeight="1">
      <c r="A37" s="15">
        <v>2001</v>
      </c>
      <c r="B37" s="89">
        <v>285317559</v>
      </c>
      <c r="C37" s="89">
        <v>16037</v>
      </c>
      <c r="D37" s="15">
        <v>56.207546620000002</v>
      </c>
      <c r="E37" s="15">
        <v>4</v>
      </c>
      <c r="F37" s="15">
        <v>1.401946664E-2</v>
      </c>
      <c r="G37" s="15">
        <v>5.5</v>
      </c>
      <c r="H37" s="15">
        <v>4.6666666670000003</v>
      </c>
      <c r="I37" s="15">
        <v>4.2</v>
      </c>
      <c r="J37" s="15">
        <v>3.8</v>
      </c>
      <c r="K37" s="15">
        <v>17</v>
      </c>
      <c r="L37" s="15">
        <v>4.25</v>
      </c>
      <c r="M37" s="15">
        <v>5.9582733220000003E-2</v>
      </c>
      <c r="N37" s="15">
        <v>28.666666670000001</v>
      </c>
      <c r="O37" s="15">
        <v>23</v>
      </c>
      <c r="P37" s="15">
        <v>19.600000000000001</v>
      </c>
      <c r="Q37" s="15"/>
      <c r="R37" s="15"/>
      <c r="S37" s="15"/>
      <c r="T37" s="15"/>
      <c r="U37" s="15"/>
      <c r="V37" s="15"/>
      <c r="W37" s="15"/>
      <c r="X37" s="15"/>
      <c r="Y37" s="15"/>
      <c r="Z37" s="15"/>
    </row>
    <row r="38" spans="1:26" ht="15.75" customHeight="1">
      <c r="A38" s="15">
        <v>2002</v>
      </c>
      <c r="B38" s="89">
        <v>287973924</v>
      </c>
      <c r="C38" s="89">
        <v>16229</v>
      </c>
      <c r="D38" s="15">
        <v>56.355796990000002</v>
      </c>
      <c r="E38" s="15">
        <v>1</v>
      </c>
      <c r="F38" s="15">
        <v>3.4725366310000001E-3</v>
      </c>
      <c r="G38" s="15">
        <v>5.67</v>
      </c>
      <c r="H38" s="15">
        <v>2.6666666669999999</v>
      </c>
      <c r="I38" s="15">
        <v>3.6</v>
      </c>
      <c r="J38" s="15">
        <v>3.5</v>
      </c>
      <c r="K38" s="15">
        <v>4</v>
      </c>
      <c r="L38" s="15">
        <v>4</v>
      </c>
      <c r="M38" s="15">
        <v>1.389014653E-2</v>
      </c>
      <c r="N38" s="15">
        <v>12.66666667</v>
      </c>
      <c r="O38" s="15">
        <v>20.6</v>
      </c>
      <c r="P38" s="15">
        <v>18.2</v>
      </c>
      <c r="Q38" s="15"/>
      <c r="R38" s="15"/>
      <c r="S38" s="15"/>
      <c r="T38" s="15"/>
      <c r="U38" s="15"/>
      <c r="V38" s="15"/>
      <c r="W38" s="15"/>
      <c r="X38" s="15"/>
      <c r="Y38" s="15"/>
      <c r="Z38" s="15"/>
    </row>
    <row r="39" spans="1:26" ht="15.75" customHeight="1">
      <c r="A39" s="15">
        <v>2003</v>
      </c>
      <c r="B39" s="89">
        <v>290788976</v>
      </c>
      <c r="C39" s="89">
        <v>16528</v>
      </c>
      <c r="D39" s="15">
        <v>56.838468319999997</v>
      </c>
      <c r="E39" s="15">
        <v>4</v>
      </c>
      <c r="F39" s="15">
        <v>1.375567965E-2</v>
      </c>
      <c r="G39" s="15">
        <v>5.83</v>
      </c>
      <c r="H39" s="15">
        <v>3</v>
      </c>
      <c r="I39" s="15">
        <v>3.8</v>
      </c>
      <c r="J39" s="15">
        <v>3.3</v>
      </c>
      <c r="K39" s="15">
        <v>20</v>
      </c>
      <c r="L39" s="15">
        <v>5</v>
      </c>
      <c r="M39" s="15">
        <v>6.8778398259999998E-2</v>
      </c>
      <c r="N39" s="15">
        <v>13.66666667</v>
      </c>
      <c r="O39" s="15">
        <v>22</v>
      </c>
      <c r="P39" s="15">
        <v>17.2</v>
      </c>
      <c r="Q39" s="15"/>
      <c r="R39" s="15"/>
      <c r="S39" s="15"/>
      <c r="T39" s="15"/>
      <c r="U39" s="15"/>
      <c r="V39" s="15"/>
      <c r="W39" s="15"/>
      <c r="X39" s="15"/>
      <c r="Y39" s="15"/>
      <c r="Z39" s="15"/>
    </row>
    <row r="40" spans="1:26" ht="15.75" customHeight="1">
      <c r="A40" s="15">
        <v>2004</v>
      </c>
      <c r="B40" s="89">
        <v>293656842</v>
      </c>
      <c r="C40" s="89">
        <v>16148</v>
      </c>
      <c r="D40" s="15">
        <v>54.989353870000002</v>
      </c>
      <c r="E40" s="15">
        <v>3</v>
      </c>
      <c r="F40" s="15">
        <v>1.02160058E-2</v>
      </c>
      <c r="G40" s="15">
        <v>6</v>
      </c>
      <c r="H40" s="15">
        <v>2.6666666669999999</v>
      </c>
      <c r="I40" s="15">
        <v>3</v>
      </c>
      <c r="J40" s="15">
        <v>3.4</v>
      </c>
      <c r="K40" s="15">
        <v>16</v>
      </c>
      <c r="L40" s="15">
        <v>5.3333333329999997</v>
      </c>
      <c r="M40" s="15">
        <v>5.4485364250000001E-2</v>
      </c>
      <c r="N40" s="15">
        <v>13.33333333</v>
      </c>
      <c r="O40" s="15">
        <v>14.8</v>
      </c>
      <c r="P40" s="15">
        <v>17.899999999999999</v>
      </c>
      <c r="Q40" s="15"/>
      <c r="R40" s="15"/>
      <c r="S40" s="15"/>
      <c r="T40" s="15"/>
      <c r="U40" s="15"/>
      <c r="V40" s="15"/>
      <c r="W40" s="15"/>
      <c r="X40" s="15"/>
      <c r="Y40" s="15"/>
      <c r="Z40" s="15"/>
    </row>
    <row r="41" spans="1:26" ht="15.75" customHeight="1">
      <c r="A41" s="15">
        <v>2005</v>
      </c>
      <c r="B41" s="89">
        <v>296507061</v>
      </c>
      <c r="C41" s="89">
        <v>16740</v>
      </c>
      <c r="D41" s="15">
        <v>56.45734015</v>
      </c>
      <c r="E41" s="15">
        <v>4</v>
      </c>
      <c r="F41" s="15">
        <v>1.349040386E-2</v>
      </c>
      <c r="G41" s="15">
        <v>6.18</v>
      </c>
      <c r="H41" s="15">
        <v>3.6666666669999999</v>
      </c>
      <c r="I41" s="15">
        <v>3.2</v>
      </c>
      <c r="J41" s="15">
        <v>3.5</v>
      </c>
      <c r="K41" s="15">
        <v>24</v>
      </c>
      <c r="L41" s="15">
        <v>6</v>
      </c>
      <c r="M41" s="15">
        <v>8.0942423159999999E-2</v>
      </c>
      <c r="N41" s="15">
        <v>20</v>
      </c>
      <c r="O41" s="15">
        <v>16.2</v>
      </c>
      <c r="P41" s="15">
        <v>18.899999999999999</v>
      </c>
      <c r="Q41" s="15"/>
      <c r="R41" s="15"/>
      <c r="S41" s="15"/>
      <c r="T41" s="15"/>
      <c r="U41" s="15"/>
      <c r="V41" s="15"/>
      <c r="W41" s="15"/>
      <c r="X41" s="15"/>
      <c r="Y41" s="15"/>
      <c r="Z41" s="15"/>
    </row>
    <row r="42" spans="1:26" ht="15.75" customHeight="1">
      <c r="A42" s="15">
        <v>2006</v>
      </c>
      <c r="B42" s="89">
        <v>299398484</v>
      </c>
      <c r="C42" s="89">
        <v>17030</v>
      </c>
      <c r="D42" s="15">
        <v>56.880715530000003</v>
      </c>
      <c r="E42" s="15">
        <v>4</v>
      </c>
      <c r="F42" s="15">
        <v>1.336012109E-2</v>
      </c>
      <c r="G42" s="15">
        <v>6.36</v>
      </c>
      <c r="H42" s="15">
        <v>3.6666666669999999</v>
      </c>
      <c r="I42" s="15">
        <v>3.2</v>
      </c>
      <c r="J42" s="15">
        <v>3.7</v>
      </c>
      <c r="K42" s="15">
        <v>23</v>
      </c>
      <c r="L42" s="15">
        <v>5.75</v>
      </c>
      <c r="M42" s="15">
        <v>7.6820696260000002E-2</v>
      </c>
      <c r="N42" s="15">
        <v>21</v>
      </c>
      <c r="O42" s="15">
        <v>17.399999999999999</v>
      </c>
      <c r="P42" s="15">
        <v>20.2</v>
      </c>
      <c r="Q42" s="15"/>
      <c r="R42" s="15"/>
      <c r="S42" s="15"/>
      <c r="T42" s="15"/>
      <c r="U42" s="15"/>
      <c r="V42" s="15"/>
      <c r="W42" s="15"/>
      <c r="X42" s="15"/>
      <c r="Y42" s="15"/>
      <c r="Z42" s="15"/>
    </row>
    <row r="43" spans="1:26" ht="15.75" customHeight="1">
      <c r="A43" s="15">
        <v>2007</v>
      </c>
      <c r="B43" s="89">
        <v>301621157</v>
      </c>
      <c r="C43" s="89">
        <v>16929</v>
      </c>
      <c r="D43" s="15">
        <v>56.126699360000003</v>
      </c>
      <c r="E43" s="15">
        <v>4</v>
      </c>
      <c r="F43" s="15">
        <v>1.326166917E-2</v>
      </c>
      <c r="G43" s="15">
        <v>6.55</v>
      </c>
      <c r="H43" s="15">
        <v>4</v>
      </c>
      <c r="I43" s="15">
        <v>3.8</v>
      </c>
      <c r="J43" s="15">
        <v>3.7</v>
      </c>
      <c r="K43" s="15">
        <v>49</v>
      </c>
      <c r="L43" s="15">
        <v>12.25</v>
      </c>
      <c r="M43" s="15">
        <v>0.16245544740000001</v>
      </c>
      <c r="N43" s="15">
        <v>32</v>
      </c>
      <c r="O43" s="15">
        <v>26.4</v>
      </c>
      <c r="P43" s="15">
        <v>23.5</v>
      </c>
      <c r="Q43" s="15"/>
      <c r="R43" s="15"/>
      <c r="S43" s="15"/>
      <c r="T43" s="15"/>
      <c r="U43" s="15"/>
      <c r="V43" s="15"/>
      <c r="W43" s="15"/>
      <c r="X43" s="15"/>
      <c r="Y43" s="15"/>
      <c r="Z43" s="15"/>
    </row>
    <row r="44" spans="1:26" ht="15.75" customHeight="1">
      <c r="A44" s="15">
        <v>2008</v>
      </c>
      <c r="B44" s="89">
        <v>304059724</v>
      </c>
      <c r="C44" s="89">
        <v>16442</v>
      </c>
      <c r="D44" s="15">
        <v>54.074902729999998</v>
      </c>
      <c r="E44" s="15">
        <v>5</v>
      </c>
      <c r="F44" s="15">
        <v>1.6444137800000001E-2</v>
      </c>
      <c r="G44" s="15">
        <v>6.74</v>
      </c>
      <c r="H44" s="15">
        <v>4.3333333329999997</v>
      </c>
      <c r="I44" s="15">
        <v>4</v>
      </c>
      <c r="J44" s="15">
        <v>3.9</v>
      </c>
      <c r="K44" s="15">
        <v>26</v>
      </c>
      <c r="L44" s="15">
        <v>5.2</v>
      </c>
      <c r="M44" s="15">
        <v>8.5509516539999997E-2</v>
      </c>
      <c r="N44" s="15">
        <v>32.666666669999998</v>
      </c>
      <c r="O44" s="15">
        <v>27.6</v>
      </c>
      <c r="P44" s="15">
        <v>24.8</v>
      </c>
      <c r="Q44" s="15"/>
      <c r="R44" s="15"/>
      <c r="S44" s="15"/>
      <c r="T44" s="15"/>
      <c r="U44" s="15"/>
      <c r="V44" s="15"/>
      <c r="W44" s="15"/>
      <c r="X44" s="15"/>
      <c r="Y44" s="15"/>
      <c r="Z44" s="15"/>
    </row>
    <row r="45" spans="1:26" ht="15.75" customHeight="1">
      <c r="A45" s="15">
        <v>2009</v>
      </c>
      <c r="B45" s="89">
        <v>307006550</v>
      </c>
      <c r="C45" s="89">
        <v>15399</v>
      </c>
      <c r="D45" s="15">
        <v>50.158538960000001</v>
      </c>
      <c r="E45" s="15">
        <v>5</v>
      </c>
      <c r="F45" s="15">
        <v>1.6286297469999999E-2</v>
      </c>
      <c r="G45" s="15">
        <v>6.94</v>
      </c>
      <c r="H45" s="15">
        <v>4.6666666670000003</v>
      </c>
      <c r="I45" s="15">
        <v>4.4000000000000004</v>
      </c>
      <c r="J45" s="87">
        <v>3.7</v>
      </c>
      <c r="K45" s="15">
        <v>42</v>
      </c>
      <c r="L45" s="15">
        <v>8.4</v>
      </c>
      <c r="M45" s="15">
        <v>0.13680489879999999</v>
      </c>
      <c r="N45" s="15">
        <v>39</v>
      </c>
      <c r="O45" s="15">
        <v>32.799999999999997</v>
      </c>
      <c r="P45" s="87">
        <v>23.8</v>
      </c>
      <c r="Q45" s="15"/>
      <c r="R45" s="15"/>
      <c r="S45" s="15"/>
      <c r="T45" s="15"/>
      <c r="U45" s="15"/>
      <c r="V45" s="15"/>
      <c r="W45" s="15"/>
      <c r="X45" s="15"/>
      <c r="Y45" s="15"/>
      <c r="Z45" s="15"/>
    </row>
    <row r="46" spans="1:26" ht="15.75" customHeight="1">
      <c r="A46" s="15">
        <v>2010</v>
      </c>
      <c r="B46" s="89">
        <v>309330219</v>
      </c>
      <c r="C46" s="89">
        <v>14772</v>
      </c>
      <c r="D46" s="15">
        <v>47.754791130000001</v>
      </c>
      <c r="E46" s="15">
        <v>5</v>
      </c>
      <c r="F46" s="15">
        <v>1.6163955840000001E-2</v>
      </c>
      <c r="G46" s="15">
        <v>7.14</v>
      </c>
      <c r="H46" s="15">
        <v>5</v>
      </c>
      <c r="I46" s="15">
        <v>4.5999999999999996</v>
      </c>
      <c r="J46" s="15">
        <v>3.9</v>
      </c>
      <c r="K46" s="15">
        <v>25</v>
      </c>
      <c r="L46" s="15">
        <v>5</v>
      </c>
      <c r="M46" s="15">
        <v>8.0819779199999997E-2</v>
      </c>
      <c r="N46" s="15">
        <v>31</v>
      </c>
      <c r="O46" s="15">
        <v>33</v>
      </c>
      <c r="P46" s="15">
        <v>24.6</v>
      </c>
      <c r="Q46" s="15"/>
      <c r="R46" s="15"/>
      <c r="S46" s="15"/>
      <c r="T46" s="15"/>
      <c r="U46" s="15"/>
      <c r="V46" s="15"/>
      <c r="W46" s="15"/>
      <c r="X46" s="15"/>
      <c r="Y46" s="15"/>
      <c r="Z46" s="15"/>
    </row>
    <row r="47" spans="1:26" ht="15.75" customHeight="1">
      <c r="A47" s="15">
        <v>2011</v>
      </c>
      <c r="B47" s="89">
        <v>311580009</v>
      </c>
      <c r="C47" s="89">
        <v>14661</v>
      </c>
      <c r="D47" s="15">
        <v>47.053724809999999</v>
      </c>
      <c r="E47" s="15">
        <v>4</v>
      </c>
      <c r="F47" s="15">
        <v>1.2837794099999999E-2</v>
      </c>
      <c r="G47" s="15">
        <v>7.35</v>
      </c>
      <c r="H47" s="15">
        <v>4.6666666670000003</v>
      </c>
      <c r="I47" s="15">
        <v>4.5999999999999996</v>
      </c>
      <c r="J47" s="15">
        <v>3.9</v>
      </c>
      <c r="K47" s="15">
        <v>25</v>
      </c>
      <c r="L47" s="15">
        <v>6.25</v>
      </c>
      <c r="M47" s="15">
        <v>8.0236213099999995E-2</v>
      </c>
      <c r="N47" s="15">
        <v>30.666666670000001</v>
      </c>
      <c r="O47" s="15">
        <v>33.4</v>
      </c>
      <c r="P47" s="15">
        <v>25.4</v>
      </c>
      <c r="Q47" s="15"/>
      <c r="R47" s="15"/>
      <c r="S47" s="15"/>
      <c r="T47" s="15"/>
      <c r="U47" s="15"/>
      <c r="V47" s="15"/>
      <c r="W47" s="15"/>
      <c r="X47" s="15"/>
      <c r="Y47" s="15"/>
      <c r="Z47" s="15"/>
    </row>
    <row r="48" spans="1:26" ht="15.75" customHeight="1">
      <c r="A48" s="15">
        <v>2012</v>
      </c>
      <c r="B48" s="89">
        <v>313874218</v>
      </c>
      <c r="C48" s="89">
        <v>14866</v>
      </c>
      <c r="D48" s="15">
        <v>47.362921669999999</v>
      </c>
      <c r="E48" s="15">
        <v>6</v>
      </c>
      <c r="F48" s="15">
        <v>1.9115937709999999E-2</v>
      </c>
      <c r="G48" s="15">
        <v>7.57</v>
      </c>
      <c r="H48" s="15">
        <v>5</v>
      </c>
      <c r="I48" s="15">
        <v>5</v>
      </c>
      <c r="J48" s="15">
        <v>4.4000000000000004</v>
      </c>
      <c r="K48" s="15">
        <v>63</v>
      </c>
      <c r="L48" s="15">
        <v>10.5</v>
      </c>
      <c r="M48" s="15">
        <v>0.20071734599999999</v>
      </c>
      <c r="N48" s="15">
        <v>37.666666669999998</v>
      </c>
      <c r="O48" s="15">
        <v>36.200000000000003</v>
      </c>
      <c r="P48" s="15">
        <v>31.3</v>
      </c>
      <c r="Q48" s="15"/>
      <c r="R48" s="15"/>
      <c r="S48" s="15"/>
      <c r="T48" s="15"/>
      <c r="U48" s="15"/>
      <c r="V48" s="15"/>
      <c r="W48" s="15"/>
      <c r="X48" s="15"/>
      <c r="Y48" s="15"/>
      <c r="Z48" s="15"/>
    </row>
    <row r="49" spans="1:26" ht="15.75" customHeight="1">
      <c r="A49" s="15">
        <v>2013</v>
      </c>
      <c r="B49" s="89">
        <v>316057727</v>
      </c>
      <c r="C49" s="89">
        <v>14319</v>
      </c>
      <c r="D49" s="15">
        <v>45.305014800000002</v>
      </c>
      <c r="E49" s="15">
        <v>5</v>
      </c>
      <c r="F49" s="15">
        <v>1.581989483E-2</v>
      </c>
      <c r="G49" s="15">
        <v>7.79</v>
      </c>
      <c r="H49" s="15">
        <v>5</v>
      </c>
      <c r="I49" s="15">
        <v>5</v>
      </c>
      <c r="J49" s="15">
        <v>4.5</v>
      </c>
      <c r="K49" s="15">
        <v>31</v>
      </c>
      <c r="L49" s="15">
        <v>6.2</v>
      </c>
      <c r="M49" s="15">
        <v>9.8083347919999994E-2</v>
      </c>
      <c r="N49" s="15">
        <v>39.666666669999998</v>
      </c>
      <c r="O49" s="15">
        <v>37.200000000000003</v>
      </c>
      <c r="P49" s="15">
        <v>32.4</v>
      </c>
      <c r="Q49" s="15"/>
      <c r="R49" s="15"/>
      <c r="S49" s="15"/>
      <c r="T49" s="15"/>
      <c r="U49" s="15"/>
      <c r="V49" s="15"/>
      <c r="W49" s="15"/>
      <c r="X49" s="15"/>
      <c r="Y49" s="15"/>
      <c r="Z49" s="15"/>
    </row>
    <row r="50" spans="1:26" ht="15.75" customHeight="1">
      <c r="A50" s="15">
        <v>2014</v>
      </c>
      <c r="B50" s="89">
        <v>318386421</v>
      </c>
      <c r="C50" s="89">
        <v>14164</v>
      </c>
      <c r="D50" s="15">
        <v>44.486821880000001</v>
      </c>
      <c r="E50" s="15">
        <v>3</v>
      </c>
      <c r="F50" s="15">
        <v>9.4225123999999993E-3</v>
      </c>
      <c r="G50" s="15">
        <v>8.02</v>
      </c>
      <c r="H50" s="15">
        <v>4.6666666670000003</v>
      </c>
      <c r="I50" s="15">
        <v>4.5999999999999996</v>
      </c>
      <c r="J50" s="15">
        <v>4.5</v>
      </c>
      <c r="K50" s="15">
        <v>14</v>
      </c>
      <c r="L50" s="15">
        <v>4.6666666670000003</v>
      </c>
      <c r="M50" s="15">
        <v>4.397172454E-2</v>
      </c>
      <c r="N50" s="15">
        <v>36</v>
      </c>
      <c r="O50" s="15">
        <v>31.6</v>
      </c>
      <c r="P50" s="15">
        <v>32.200000000000003</v>
      </c>
      <c r="Q50" s="15"/>
      <c r="R50" s="15"/>
      <c r="S50" s="15"/>
      <c r="T50" s="15"/>
      <c r="U50" s="15"/>
      <c r="V50" s="15"/>
      <c r="W50" s="15"/>
      <c r="X50" s="15"/>
      <c r="Y50" s="15"/>
      <c r="Z50" s="15"/>
    </row>
    <row r="51" spans="1:26" ht="15.75" customHeight="1">
      <c r="A51" s="15">
        <v>2015</v>
      </c>
      <c r="B51" s="89">
        <v>320742673</v>
      </c>
      <c r="C51" s="89">
        <v>15883</v>
      </c>
      <c r="D51" s="15">
        <v>49.519447640000003</v>
      </c>
      <c r="E51" s="15">
        <v>5</v>
      </c>
      <c r="F51" s="15">
        <v>1.5588820640000001E-2</v>
      </c>
      <c r="G51" s="15">
        <v>8.25</v>
      </c>
      <c r="H51" s="15">
        <v>4.3333333329999997</v>
      </c>
      <c r="I51" s="15">
        <v>4.5999999999999996</v>
      </c>
      <c r="J51" s="15">
        <v>4.5999999999999996</v>
      </c>
      <c r="K51" s="15">
        <v>43</v>
      </c>
      <c r="L51" s="15">
        <v>8.6</v>
      </c>
      <c r="M51" s="15">
        <v>0.13406385749999999</v>
      </c>
      <c r="N51" s="15">
        <v>29.333333329999999</v>
      </c>
      <c r="O51" s="15">
        <v>35.200000000000003</v>
      </c>
      <c r="P51" s="15">
        <v>34.1</v>
      </c>
      <c r="Q51" s="15"/>
      <c r="R51" s="15"/>
      <c r="S51" s="15"/>
      <c r="T51" s="15"/>
      <c r="U51" s="15"/>
      <c r="V51" s="15"/>
      <c r="W51" s="15"/>
      <c r="X51" s="15"/>
      <c r="Y51" s="15"/>
      <c r="Z51" s="15"/>
    </row>
    <row r="52" spans="1:26" ht="15.75" customHeight="1">
      <c r="A52" s="15">
        <v>2016</v>
      </c>
      <c r="B52" s="89">
        <v>323071342</v>
      </c>
      <c r="C52" s="89">
        <v>17413</v>
      </c>
      <c r="D52" s="15">
        <v>53.89831203</v>
      </c>
      <c r="E52" s="15">
        <v>5</v>
      </c>
      <c r="F52" s="15">
        <v>1.547645783E-2</v>
      </c>
      <c r="G52" s="15">
        <v>8.49</v>
      </c>
      <c r="H52" s="15">
        <v>4.3333333329999997</v>
      </c>
      <c r="I52" s="15">
        <v>4.8</v>
      </c>
      <c r="J52" s="15">
        <v>4.7</v>
      </c>
      <c r="K52" s="15">
        <v>70</v>
      </c>
      <c r="L52" s="15">
        <v>14</v>
      </c>
      <c r="M52" s="15">
        <v>0.2166704096</v>
      </c>
      <c r="N52" s="15">
        <v>42.333333330000002</v>
      </c>
      <c r="O52" s="15">
        <v>44.2</v>
      </c>
      <c r="P52" s="15">
        <v>38.799999999999997</v>
      </c>
      <c r="Q52" s="15"/>
      <c r="R52" s="15"/>
      <c r="S52" s="15"/>
      <c r="T52" s="15"/>
      <c r="U52" s="15"/>
      <c r="V52" s="15"/>
      <c r="W52" s="15"/>
      <c r="X52" s="15"/>
      <c r="Y52" s="15"/>
      <c r="Z52" s="15"/>
    </row>
    <row r="53" spans="1:26" ht="15.75" customHeight="1">
      <c r="A53" s="15">
        <v>2017</v>
      </c>
      <c r="B53" s="89">
        <v>325147121</v>
      </c>
      <c r="C53" s="89">
        <v>17294</v>
      </c>
      <c r="D53" s="15">
        <v>53.188230439999998</v>
      </c>
      <c r="E53" s="15">
        <v>7</v>
      </c>
      <c r="F53" s="15">
        <v>2.152871592E-2</v>
      </c>
      <c r="G53" s="15">
        <v>8.74</v>
      </c>
      <c r="H53" s="15">
        <v>5.6666666670000003</v>
      </c>
      <c r="I53" s="15">
        <v>5</v>
      </c>
      <c r="J53" s="15">
        <v>5</v>
      </c>
      <c r="K53" s="15">
        <v>106</v>
      </c>
      <c r="L53" s="15">
        <v>15.14285714</v>
      </c>
      <c r="M53" s="15">
        <v>0.32600626960000001</v>
      </c>
      <c r="N53" s="15">
        <v>73</v>
      </c>
      <c r="O53" s="15">
        <v>52.8</v>
      </c>
      <c r="P53" s="15">
        <v>44.5</v>
      </c>
      <c r="Q53" s="15"/>
      <c r="R53" s="15"/>
      <c r="S53" s="15"/>
      <c r="T53" s="15"/>
      <c r="U53" s="15"/>
      <c r="V53" s="15"/>
      <c r="W53" s="15"/>
      <c r="X53" s="15"/>
      <c r="Y53" s="15"/>
      <c r="Z53" s="15"/>
    </row>
    <row r="54" spans="1:26" ht="15.75" customHeight="1">
      <c r="A54" s="15">
        <v>2018</v>
      </c>
      <c r="B54" s="89">
        <v>327167434</v>
      </c>
      <c r="C54" s="89">
        <v>16214</v>
      </c>
      <c r="D54" s="15">
        <v>49.558722279999998</v>
      </c>
      <c r="E54" s="15">
        <v>9</v>
      </c>
      <c r="F54" s="15">
        <v>2.7508850410000001E-2</v>
      </c>
      <c r="G54" s="15">
        <v>9</v>
      </c>
      <c r="H54" s="15">
        <v>7</v>
      </c>
      <c r="I54" s="15">
        <v>5.8</v>
      </c>
      <c r="J54" s="15">
        <v>5.4</v>
      </c>
      <c r="K54" s="15">
        <v>72</v>
      </c>
      <c r="L54" s="15">
        <v>8</v>
      </c>
      <c r="M54" s="15">
        <v>0.22007080330000001</v>
      </c>
      <c r="N54" s="15">
        <v>82.666666669999998</v>
      </c>
      <c r="O54" s="15">
        <v>61</v>
      </c>
      <c r="P54" s="15">
        <v>49.1</v>
      </c>
      <c r="Q54" s="15"/>
      <c r="R54" s="15"/>
      <c r="S54" s="15"/>
      <c r="T54" s="15"/>
      <c r="U54" s="15"/>
      <c r="V54" s="15"/>
      <c r="W54" s="15"/>
      <c r="X54" s="15"/>
      <c r="Y54" s="15"/>
      <c r="Z54" s="15"/>
    </row>
    <row r="55" spans="1:26" ht="15.75" customHeight="1">
      <c r="A55" s="15">
        <v>2019</v>
      </c>
      <c r="B55" s="89">
        <v>329865258</v>
      </c>
      <c r="C55" s="15"/>
      <c r="D55" s="15"/>
      <c r="E55" s="15">
        <v>7</v>
      </c>
      <c r="F55" s="15">
        <f>SUM(E55/B55)*1000000</f>
        <v>2.1220785851900778E-2</v>
      </c>
      <c r="G55" s="15">
        <v>9.26</v>
      </c>
      <c r="H55" s="15">
        <v>7.67</v>
      </c>
      <c r="I55" s="15">
        <v>6.6</v>
      </c>
      <c r="J55" s="87">
        <v>5.6</v>
      </c>
      <c r="K55" s="15">
        <v>65</v>
      </c>
      <c r="L55" s="15">
        <v>9.2899999999999991</v>
      </c>
      <c r="M55" s="15">
        <f>(K55/B55)*1000000</f>
        <v>0.19705015433907866</v>
      </c>
      <c r="N55" s="15">
        <v>81</v>
      </c>
      <c r="O55" s="15">
        <v>71.2</v>
      </c>
      <c r="P55" s="87">
        <v>51.4</v>
      </c>
      <c r="Q55" s="15"/>
      <c r="R55" s="15"/>
      <c r="S55" s="15"/>
      <c r="T55" s="15"/>
      <c r="U55" s="15"/>
      <c r="V55" s="15"/>
      <c r="W55" s="15"/>
      <c r="X55" s="15"/>
      <c r="Y55" s="15"/>
      <c r="Z55" s="15"/>
    </row>
    <row r="56" spans="1:26" ht="15.75" customHeight="1">
      <c r="A56" s="87" t="s">
        <v>2909</v>
      </c>
      <c r="B56" s="15"/>
      <c r="C56" s="88">
        <v>964827</v>
      </c>
      <c r="D56" s="87"/>
      <c r="E56" s="87">
        <f>SUM(E2:E55)</f>
        <v>168</v>
      </c>
      <c r="G56" s="15"/>
      <c r="H56" s="15"/>
      <c r="I56" s="15"/>
      <c r="J56" s="15"/>
      <c r="K56" s="87">
        <f>SUM(K2:K55)</f>
        <v>1207</v>
      </c>
      <c r="L56" s="15"/>
      <c r="M56" s="15"/>
      <c r="N56" s="15"/>
      <c r="O56" s="15"/>
      <c r="P56" s="15"/>
      <c r="Q56" s="15"/>
      <c r="R56" s="15"/>
      <c r="S56" s="15"/>
      <c r="T56" s="15"/>
      <c r="U56" s="15"/>
      <c r="V56" s="15"/>
      <c r="W56" s="15"/>
      <c r="X56" s="15"/>
      <c r="Y56" s="15"/>
      <c r="Z56" s="15"/>
    </row>
    <row r="57" spans="1:26" ht="15.75" customHeight="1">
      <c r="A57" s="87" t="s">
        <v>2910</v>
      </c>
      <c r="B57" s="15"/>
      <c r="C57" s="88">
        <v>18342</v>
      </c>
      <c r="D57" s="87">
        <v>72.577830140000003</v>
      </c>
      <c r="E57" s="87">
        <v>3.111111111</v>
      </c>
      <c r="F57" s="15"/>
      <c r="G57" s="15"/>
      <c r="H57" s="15"/>
      <c r="I57" s="15"/>
      <c r="J57" s="15"/>
      <c r="K57" s="87">
        <v>22.3518519</v>
      </c>
      <c r="L57" s="15"/>
      <c r="M57" s="15"/>
      <c r="N57" s="15"/>
      <c r="O57" s="15"/>
      <c r="P57" s="15"/>
      <c r="Q57" s="15"/>
      <c r="R57" s="15"/>
      <c r="S57" s="15"/>
      <c r="T57" s="15"/>
      <c r="U57" s="15"/>
      <c r="V57" s="15"/>
      <c r="W57" s="15"/>
      <c r="X57" s="15"/>
      <c r="Y57" s="15"/>
      <c r="Z57" s="15"/>
    </row>
    <row r="58" spans="1:26" ht="15.75" customHeight="1">
      <c r="A58" s="87" t="s">
        <v>2911</v>
      </c>
      <c r="B58" s="15"/>
      <c r="C58" s="15"/>
      <c r="D58" s="87"/>
      <c r="E58" s="87">
        <v>2.9346943E-2</v>
      </c>
      <c r="F58" s="15"/>
      <c r="G58" s="15"/>
      <c r="H58" s="15"/>
      <c r="I58" s="15"/>
      <c r="J58" s="15"/>
      <c r="K58" s="15"/>
      <c r="L58" s="15"/>
      <c r="M58" s="15"/>
      <c r="N58" s="15"/>
      <c r="O58" s="15"/>
      <c r="P58" s="15"/>
      <c r="Q58" s="15"/>
      <c r="R58" s="15"/>
      <c r="S58" s="15"/>
      <c r="T58" s="15"/>
      <c r="U58" s="15"/>
      <c r="V58" s="15"/>
      <c r="W58" s="15"/>
      <c r="X58" s="15"/>
      <c r="Y58" s="15"/>
      <c r="Z58" s="15"/>
    </row>
    <row r="59" spans="1:26" ht="15.7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c r="A62" s="87" t="s">
        <v>2912</v>
      </c>
      <c r="B62" s="87" t="s">
        <v>2913</v>
      </c>
      <c r="C62" s="87" t="s">
        <v>2914</v>
      </c>
      <c r="D62" s="15"/>
      <c r="E62" s="87" t="s">
        <v>2915</v>
      </c>
      <c r="F62" s="87" t="s">
        <v>2916</v>
      </c>
      <c r="G62" s="87" t="s">
        <v>2917</v>
      </c>
      <c r="H62" s="15"/>
      <c r="I62" s="15"/>
      <c r="J62" s="15"/>
      <c r="K62" s="15"/>
      <c r="L62" s="15"/>
      <c r="M62" s="15"/>
      <c r="N62" s="15"/>
      <c r="O62" s="15"/>
      <c r="P62" s="15"/>
      <c r="Q62" s="15"/>
      <c r="R62" s="15"/>
      <c r="S62" s="15"/>
      <c r="T62" s="15"/>
      <c r="U62" s="15"/>
      <c r="V62" s="15"/>
      <c r="W62" s="15"/>
      <c r="X62" s="15"/>
      <c r="Y62" s="15"/>
      <c r="Z62" s="15"/>
    </row>
    <row r="63" spans="1:26" ht="15.75" customHeight="1">
      <c r="A63" s="15" t="s">
        <v>2918</v>
      </c>
      <c r="B63" s="15">
        <v>5</v>
      </c>
      <c r="C63" s="15">
        <f>(B63/168)*100</f>
        <v>2.9761904761904758</v>
      </c>
      <c r="D63" s="15"/>
      <c r="E63" s="15">
        <v>1</v>
      </c>
      <c r="F63" s="15" t="s">
        <v>2919</v>
      </c>
      <c r="G63" s="15">
        <v>58</v>
      </c>
      <c r="H63" s="15"/>
      <c r="I63" s="15"/>
      <c r="J63" s="15"/>
      <c r="K63" s="15"/>
      <c r="L63" s="15"/>
      <c r="M63" s="15"/>
      <c r="N63" s="15"/>
      <c r="O63" s="15"/>
      <c r="P63" s="15"/>
      <c r="Q63" s="15"/>
      <c r="R63" s="15"/>
      <c r="S63" s="15"/>
      <c r="T63" s="15"/>
      <c r="U63" s="15"/>
      <c r="V63" s="15"/>
      <c r="W63" s="15"/>
      <c r="X63" s="15"/>
      <c r="Y63" s="15"/>
      <c r="Z63" s="15"/>
    </row>
    <row r="64" spans="1:26" ht="15.75" customHeight="1">
      <c r="A64" s="15" t="s">
        <v>2920</v>
      </c>
      <c r="B64" s="15">
        <v>10</v>
      </c>
      <c r="C64" s="15">
        <f t="shared" ref="C64:C68" si="0">(B64/168)*100</f>
        <v>5.9523809523809517</v>
      </c>
      <c r="D64" s="15"/>
      <c r="E64" s="15">
        <v>2</v>
      </c>
      <c r="F64" s="15" t="s">
        <v>2921</v>
      </c>
      <c r="G64" s="15">
        <v>49</v>
      </c>
      <c r="H64" s="15"/>
      <c r="I64" s="15"/>
      <c r="J64" s="15"/>
      <c r="K64" s="15"/>
      <c r="L64" s="15"/>
      <c r="M64" s="15"/>
      <c r="N64" s="15"/>
      <c r="O64" s="15"/>
      <c r="P64" s="15"/>
      <c r="Q64" s="15"/>
      <c r="R64" s="15"/>
      <c r="S64" s="15"/>
      <c r="T64" s="15"/>
      <c r="U64" s="15"/>
      <c r="V64" s="15"/>
      <c r="W64" s="15"/>
      <c r="X64" s="15"/>
      <c r="Y64" s="15"/>
      <c r="Z64" s="15"/>
    </row>
    <row r="65" spans="1:26" ht="15.75" customHeight="1">
      <c r="A65" s="15" t="s">
        <v>2922</v>
      </c>
      <c r="B65" s="15">
        <v>23</v>
      </c>
      <c r="C65" s="15">
        <f t="shared" si="0"/>
        <v>13.690476190476192</v>
      </c>
      <c r="D65" s="15"/>
      <c r="E65" s="15">
        <v>3</v>
      </c>
      <c r="F65" s="15" t="s">
        <v>2923</v>
      </c>
      <c r="G65" s="15">
        <v>32</v>
      </c>
      <c r="H65" s="15"/>
      <c r="I65" s="15"/>
      <c r="J65" s="15"/>
      <c r="K65" s="15"/>
      <c r="L65" s="15"/>
      <c r="M65" s="15"/>
      <c r="N65" s="15"/>
      <c r="O65" s="15"/>
      <c r="P65" s="15"/>
      <c r="Q65" s="15"/>
      <c r="R65" s="15"/>
      <c r="S65" s="15"/>
      <c r="T65" s="15"/>
      <c r="U65" s="15"/>
      <c r="V65" s="15"/>
      <c r="W65" s="15"/>
      <c r="X65" s="15"/>
      <c r="Y65" s="15"/>
      <c r="Z65" s="15"/>
    </row>
    <row r="66" spans="1:26" ht="15.75" customHeight="1">
      <c r="A66" s="15" t="s">
        <v>2924</v>
      </c>
      <c r="B66" s="15">
        <v>37</v>
      </c>
      <c r="C66" s="15">
        <f t="shared" si="0"/>
        <v>22.023809523809522</v>
      </c>
      <c r="D66" s="15"/>
      <c r="E66" s="15">
        <v>4</v>
      </c>
      <c r="F66" s="15" t="s">
        <v>2925</v>
      </c>
      <c r="G66" s="15">
        <v>27</v>
      </c>
      <c r="H66" s="15"/>
      <c r="I66" s="15"/>
      <c r="J66" s="15"/>
      <c r="K66" s="15"/>
      <c r="L66" s="15"/>
      <c r="M66" s="15"/>
      <c r="N66" s="15"/>
      <c r="O66" s="15"/>
      <c r="P66" s="15"/>
      <c r="Q66" s="15"/>
      <c r="R66" s="15"/>
      <c r="S66" s="15"/>
      <c r="T66" s="15"/>
      <c r="U66" s="15"/>
      <c r="V66" s="15"/>
      <c r="W66" s="15"/>
      <c r="X66" s="15"/>
      <c r="Y66" s="15"/>
      <c r="Z66" s="15"/>
    </row>
    <row r="67" spans="1:26" ht="15.75" customHeight="1">
      <c r="A67" s="15" t="s">
        <v>2926</v>
      </c>
      <c r="B67" s="15">
        <v>37</v>
      </c>
      <c r="C67" s="15">
        <f t="shared" si="0"/>
        <v>22.023809523809522</v>
      </c>
      <c r="D67" s="15"/>
      <c r="E67" s="15">
        <v>5</v>
      </c>
      <c r="F67" s="15" t="s">
        <v>2927</v>
      </c>
      <c r="G67" s="15">
        <v>25</v>
      </c>
      <c r="H67" s="15"/>
      <c r="I67" s="15"/>
      <c r="J67" s="15"/>
      <c r="K67" s="15"/>
      <c r="L67" s="15"/>
      <c r="M67" s="15"/>
      <c r="N67" s="15"/>
      <c r="O67" s="15"/>
      <c r="P67" s="15"/>
      <c r="Q67" s="15"/>
      <c r="R67" s="15"/>
      <c r="S67" s="15"/>
      <c r="T67" s="15"/>
      <c r="U67" s="15"/>
      <c r="V67" s="15"/>
      <c r="W67" s="15"/>
      <c r="X67" s="15"/>
      <c r="Y67" s="15"/>
      <c r="Z67" s="15"/>
    </row>
    <row r="68" spans="1:26" ht="15.75" customHeight="1">
      <c r="A68" s="15" t="s">
        <v>2928</v>
      </c>
      <c r="B68" s="15">
        <v>56</v>
      </c>
      <c r="C68" s="15">
        <f t="shared" si="0"/>
        <v>33.333333333333329</v>
      </c>
      <c r="D68" s="15"/>
      <c r="E68" s="15">
        <v>6</v>
      </c>
      <c r="F68" s="15" t="s">
        <v>2929</v>
      </c>
      <c r="G68" s="15">
        <v>23</v>
      </c>
      <c r="H68" s="15"/>
      <c r="I68" s="15"/>
      <c r="J68" s="15"/>
      <c r="K68" s="15"/>
      <c r="L68" s="15"/>
      <c r="M68" s="15"/>
      <c r="N68" s="15"/>
      <c r="O68" s="15"/>
      <c r="P68" s="15"/>
      <c r="Q68" s="15"/>
      <c r="R68" s="15"/>
      <c r="S68" s="15"/>
      <c r="T68" s="15"/>
      <c r="U68" s="15"/>
      <c r="V68" s="15"/>
      <c r="W68" s="15"/>
      <c r="X68" s="15"/>
      <c r="Y68" s="15"/>
      <c r="Z68" s="15"/>
    </row>
    <row r="69" spans="1:26" ht="15.75" customHeight="1">
      <c r="A69" s="87" t="s">
        <v>2909</v>
      </c>
      <c r="B69" s="87">
        <v>168</v>
      </c>
      <c r="C69" s="15"/>
      <c r="D69" s="15"/>
      <c r="E69" s="15">
        <v>7</v>
      </c>
      <c r="F69" s="15" t="s">
        <v>2930</v>
      </c>
      <c r="G69" s="15">
        <v>22</v>
      </c>
      <c r="H69" s="15"/>
      <c r="I69" s="15"/>
      <c r="J69" s="15"/>
      <c r="K69" s="15"/>
      <c r="L69" s="15"/>
      <c r="M69" s="15"/>
      <c r="N69" s="15"/>
      <c r="O69" s="15"/>
      <c r="P69" s="15"/>
      <c r="Q69" s="15"/>
      <c r="R69" s="15"/>
      <c r="S69" s="15"/>
      <c r="T69" s="15"/>
      <c r="U69" s="15"/>
      <c r="V69" s="15"/>
      <c r="W69" s="15"/>
      <c r="X69" s="15"/>
      <c r="Y69" s="15"/>
      <c r="Z69" s="15"/>
    </row>
    <row r="70" spans="1:26" ht="15.75" customHeight="1">
      <c r="A70" s="15"/>
      <c r="B70" s="15"/>
      <c r="C70" s="15"/>
      <c r="D70" s="15"/>
      <c r="E70" s="15">
        <v>8</v>
      </c>
      <c r="F70" s="15" t="s">
        <v>2931</v>
      </c>
      <c r="G70" s="15">
        <v>21</v>
      </c>
      <c r="H70" s="15"/>
      <c r="I70" s="15"/>
      <c r="J70" s="15"/>
      <c r="K70" s="15"/>
      <c r="L70" s="15"/>
      <c r="M70" s="15"/>
      <c r="N70" s="15"/>
      <c r="O70" s="15"/>
      <c r="P70" s="15"/>
      <c r="Q70" s="15"/>
      <c r="R70" s="15"/>
      <c r="S70" s="15"/>
      <c r="T70" s="15"/>
      <c r="U70" s="15"/>
      <c r="V70" s="15"/>
      <c r="W70" s="15"/>
      <c r="X70" s="15"/>
      <c r="Y70" s="15"/>
      <c r="Z70" s="15"/>
    </row>
    <row r="71" spans="1:26" ht="15.75" customHeight="1">
      <c r="A71" s="15"/>
      <c r="B71" s="15"/>
      <c r="C71" s="15"/>
      <c r="D71" s="15"/>
      <c r="E71" s="15">
        <v>9</v>
      </c>
      <c r="F71" s="15" t="s">
        <v>2932</v>
      </c>
      <c r="G71" s="15">
        <v>17</v>
      </c>
      <c r="H71" s="15"/>
      <c r="I71" s="15"/>
      <c r="J71" s="15"/>
      <c r="K71" s="15"/>
      <c r="L71" s="15"/>
      <c r="M71" s="15"/>
      <c r="N71" s="15"/>
      <c r="O71" s="15"/>
      <c r="P71" s="15"/>
      <c r="Q71" s="15"/>
      <c r="R71" s="15"/>
      <c r="S71" s="15"/>
      <c r="T71" s="15"/>
      <c r="U71" s="15"/>
      <c r="V71" s="15"/>
      <c r="W71" s="15"/>
      <c r="X71" s="15"/>
      <c r="Y71" s="15"/>
      <c r="Z71" s="15"/>
    </row>
    <row r="72" spans="1:26" ht="15.75" customHeight="1">
      <c r="A72" s="15"/>
      <c r="B72" s="15"/>
      <c r="C72" s="15"/>
      <c r="D72" s="15"/>
      <c r="E72" s="15">
        <v>10</v>
      </c>
      <c r="F72" s="15" t="s">
        <v>2933</v>
      </c>
      <c r="G72" s="15">
        <v>15</v>
      </c>
      <c r="H72" s="15"/>
      <c r="I72" s="15"/>
      <c r="J72" s="15"/>
      <c r="K72" s="15"/>
      <c r="L72" s="15"/>
      <c r="M72" s="15"/>
      <c r="N72" s="15"/>
      <c r="O72" s="15"/>
      <c r="P72" s="15"/>
      <c r="Q72" s="15"/>
      <c r="R72" s="15"/>
      <c r="S72" s="15"/>
      <c r="T72" s="15"/>
      <c r="U72" s="15"/>
      <c r="V72" s="15"/>
      <c r="W72" s="15"/>
      <c r="X72" s="15"/>
      <c r="Y72" s="15"/>
      <c r="Z72" s="15"/>
    </row>
    <row r="73" spans="1:26" ht="15.75" customHeight="1">
      <c r="A73" s="15"/>
      <c r="B73" s="15"/>
      <c r="C73" s="15"/>
      <c r="D73" s="15"/>
      <c r="E73" s="15">
        <v>11</v>
      </c>
      <c r="F73" s="15" t="s">
        <v>2934</v>
      </c>
      <c r="G73" s="15">
        <v>14</v>
      </c>
      <c r="H73" s="15"/>
      <c r="I73" s="15"/>
      <c r="J73" s="15"/>
      <c r="K73" s="15"/>
      <c r="L73" s="15"/>
      <c r="M73" s="15"/>
      <c r="N73" s="15"/>
      <c r="O73" s="15"/>
      <c r="P73" s="15"/>
      <c r="Q73" s="15"/>
      <c r="R73" s="15"/>
      <c r="S73" s="15"/>
      <c r="T73" s="15"/>
      <c r="U73" s="15"/>
      <c r="V73" s="15"/>
      <c r="W73" s="15"/>
      <c r="X73" s="15"/>
      <c r="Y73" s="15"/>
      <c r="Z73" s="15"/>
    </row>
    <row r="74" spans="1:26" ht="15.75" customHeight="1">
      <c r="A74" s="15"/>
      <c r="B74" s="15"/>
      <c r="C74" s="15"/>
      <c r="D74" s="15"/>
      <c r="E74" s="15">
        <v>12</v>
      </c>
      <c r="F74" s="15" t="s">
        <v>2935</v>
      </c>
      <c r="G74" s="15">
        <v>14</v>
      </c>
      <c r="H74" s="15"/>
      <c r="I74" s="15"/>
      <c r="J74" s="15"/>
      <c r="K74" s="15"/>
      <c r="L74" s="15"/>
      <c r="M74" s="15"/>
      <c r="N74" s="15"/>
      <c r="O74" s="15"/>
      <c r="P74" s="15"/>
      <c r="Q74" s="15"/>
      <c r="R74" s="15"/>
      <c r="S74" s="15"/>
      <c r="T74" s="15"/>
      <c r="U74" s="15"/>
      <c r="V74" s="15"/>
      <c r="W74" s="15"/>
      <c r="X74" s="15"/>
      <c r="Y74" s="15"/>
      <c r="Z74" s="15"/>
    </row>
    <row r="75" spans="1:26" ht="15.75" customHeight="1">
      <c r="A75" s="15"/>
      <c r="B75" s="15"/>
      <c r="C75" s="15"/>
      <c r="D75" s="15"/>
      <c r="E75" s="15">
        <v>13</v>
      </c>
      <c r="F75" s="15" t="s">
        <v>2936</v>
      </c>
      <c r="G75" s="15">
        <v>13</v>
      </c>
      <c r="H75" s="15"/>
      <c r="I75" s="15"/>
      <c r="J75" s="15"/>
      <c r="K75" s="15"/>
      <c r="L75" s="15"/>
      <c r="M75" s="15"/>
      <c r="N75" s="15"/>
      <c r="O75" s="15"/>
      <c r="P75" s="15"/>
      <c r="Q75" s="15"/>
      <c r="R75" s="15"/>
      <c r="S75" s="15"/>
      <c r="T75" s="15"/>
      <c r="U75" s="15"/>
      <c r="V75" s="15"/>
      <c r="W75" s="15"/>
      <c r="X75" s="15"/>
      <c r="Y75" s="15"/>
      <c r="Z75" s="15"/>
    </row>
    <row r="76" spans="1:26" ht="15.75" customHeight="1">
      <c r="A76" s="15"/>
      <c r="B76" s="15"/>
      <c r="C76" s="15"/>
      <c r="D76" s="15"/>
      <c r="E76" s="15">
        <v>14</v>
      </c>
      <c r="F76" s="15" t="s">
        <v>2937</v>
      </c>
      <c r="G76" s="15">
        <v>13</v>
      </c>
      <c r="H76" s="15"/>
      <c r="I76" s="15"/>
      <c r="J76" s="15"/>
      <c r="K76" s="15"/>
      <c r="L76" s="15"/>
      <c r="M76" s="15"/>
      <c r="N76" s="15"/>
      <c r="O76" s="15"/>
      <c r="P76" s="15"/>
      <c r="Q76" s="15"/>
      <c r="R76" s="15"/>
      <c r="S76" s="15"/>
      <c r="T76" s="15"/>
      <c r="U76" s="15"/>
      <c r="V76" s="15"/>
      <c r="W76" s="15"/>
      <c r="X76" s="15"/>
      <c r="Y76" s="15"/>
      <c r="Z76" s="15"/>
    </row>
    <row r="77" spans="1:26" ht="15.75" customHeight="1">
      <c r="A77" s="15"/>
      <c r="B77" s="15"/>
      <c r="C77" s="15"/>
      <c r="D77" s="15"/>
      <c r="E77" s="15">
        <v>15</v>
      </c>
      <c r="F77" s="15" t="s">
        <v>2938</v>
      </c>
      <c r="G77" s="15">
        <v>13</v>
      </c>
      <c r="H77" s="15"/>
      <c r="I77" s="15"/>
      <c r="J77" s="15"/>
      <c r="K77" s="15"/>
      <c r="L77" s="15"/>
      <c r="M77" s="15"/>
      <c r="N77" s="15"/>
      <c r="O77" s="15"/>
      <c r="P77" s="15"/>
      <c r="Q77" s="15"/>
      <c r="R77" s="15"/>
      <c r="S77" s="15"/>
      <c r="T77" s="15"/>
      <c r="U77" s="15"/>
      <c r="V77" s="15"/>
      <c r="W77" s="15"/>
      <c r="X77" s="15"/>
      <c r="Y77" s="15"/>
      <c r="Z77" s="15"/>
    </row>
    <row r="78" spans="1:26" ht="15.75" customHeight="1">
      <c r="A78" s="15"/>
      <c r="B78" s="15"/>
      <c r="C78" s="15"/>
      <c r="D78" s="15"/>
      <c r="E78" s="15">
        <v>16</v>
      </c>
      <c r="F78" s="15" t="s">
        <v>2939</v>
      </c>
      <c r="G78" s="15">
        <v>12</v>
      </c>
      <c r="H78" s="15"/>
      <c r="I78" s="15"/>
      <c r="J78" s="15"/>
      <c r="K78" s="15"/>
      <c r="L78" s="15"/>
      <c r="M78" s="15"/>
      <c r="N78" s="15"/>
      <c r="O78" s="15"/>
      <c r="P78" s="15"/>
      <c r="Q78" s="15"/>
      <c r="R78" s="15"/>
      <c r="S78" s="15"/>
      <c r="T78" s="15"/>
      <c r="U78" s="15"/>
      <c r="V78" s="15"/>
      <c r="W78" s="15"/>
      <c r="X78" s="15"/>
      <c r="Y78" s="15"/>
      <c r="Z78" s="15"/>
    </row>
    <row r="79" spans="1:26" ht="15.75" customHeight="1">
      <c r="A79" s="15"/>
      <c r="B79" s="15"/>
      <c r="C79" s="15"/>
      <c r="D79" s="15"/>
      <c r="E79" s="15">
        <v>17</v>
      </c>
      <c r="F79" s="15" t="s">
        <v>2940</v>
      </c>
      <c r="G79" s="15">
        <v>12</v>
      </c>
      <c r="H79" s="15"/>
      <c r="I79" s="15"/>
      <c r="J79" s="15"/>
      <c r="K79" s="15"/>
      <c r="L79" s="15"/>
      <c r="M79" s="15"/>
      <c r="N79" s="15"/>
      <c r="O79" s="15"/>
      <c r="P79" s="15"/>
      <c r="Q79" s="15"/>
      <c r="R79" s="15"/>
      <c r="S79" s="15"/>
      <c r="T79" s="15"/>
      <c r="U79" s="15"/>
      <c r="V79" s="15"/>
      <c r="W79" s="15"/>
      <c r="X79" s="15"/>
      <c r="Y79" s="15"/>
      <c r="Z79" s="15"/>
    </row>
    <row r="80" spans="1:26" ht="15.75" customHeight="1">
      <c r="A80" s="15"/>
      <c r="B80" s="15"/>
      <c r="C80" s="15"/>
      <c r="D80" s="15"/>
      <c r="E80" s="15">
        <v>18</v>
      </c>
      <c r="F80" s="15" t="s">
        <v>2941</v>
      </c>
      <c r="G80" s="15">
        <v>12</v>
      </c>
      <c r="H80" s="15"/>
      <c r="I80" s="15"/>
      <c r="J80" s="15"/>
      <c r="K80" s="15"/>
      <c r="L80" s="15"/>
      <c r="M80" s="15"/>
      <c r="N80" s="15"/>
      <c r="O80" s="15"/>
      <c r="P80" s="15"/>
      <c r="Q80" s="15"/>
      <c r="R80" s="15"/>
      <c r="S80" s="15"/>
      <c r="T80" s="15"/>
      <c r="U80" s="15"/>
      <c r="V80" s="15"/>
      <c r="W80" s="15"/>
      <c r="X80" s="15"/>
      <c r="Y80" s="15"/>
      <c r="Z80" s="15"/>
    </row>
    <row r="81" spans="1:26" ht="15.75" customHeight="1">
      <c r="A81" s="15"/>
      <c r="B81" s="15"/>
      <c r="C81" s="15"/>
      <c r="D81" s="15"/>
      <c r="E81" s="15">
        <v>19</v>
      </c>
      <c r="F81" s="15" t="s">
        <v>2942</v>
      </c>
      <c r="G81" s="15">
        <v>12</v>
      </c>
      <c r="H81" s="15"/>
      <c r="I81" s="15"/>
      <c r="J81" s="15"/>
      <c r="K81" s="15"/>
      <c r="L81" s="15"/>
      <c r="M81" s="15"/>
      <c r="N81" s="15"/>
      <c r="O81" s="15"/>
      <c r="P81" s="15"/>
      <c r="Q81" s="15"/>
      <c r="R81" s="15"/>
      <c r="S81" s="15"/>
      <c r="T81" s="15"/>
      <c r="U81" s="15"/>
      <c r="V81" s="15"/>
      <c r="W81" s="15"/>
      <c r="X81" s="15"/>
      <c r="Y81" s="15"/>
      <c r="Z81" s="15"/>
    </row>
    <row r="82" spans="1:26" ht="15.75" customHeight="1">
      <c r="A82" s="15"/>
      <c r="B82" s="15"/>
      <c r="C82" s="15"/>
      <c r="D82" s="15"/>
      <c r="E82" s="15">
        <v>20</v>
      </c>
      <c r="F82" s="15" t="s">
        <v>2943</v>
      </c>
      <c r="G82" s="15">
        <v>12</v>
      </c>
      <c r="H82" s="15"/>
      <c r="I82" s="15"/>
      <c r="J82" s="15"/>
      <c r="K82" s="15"/>
      <c r="L82" s="15"/>
      <c r="M82" s="15"/>
      <c r="N82" s="15"/>
      <c r="O82" s="15"/>
      <c r="P82" s="15"/>
      <c r="Q82" s="15"/>
      <c r="R82" s="15"/>
      <c r="S82" s="15"/>
      <c r="T82" s="15"/>
      <c r="U82" s="15"/>
      <c r="V82" s="15"/>
      <c r="W82" s="15"/>
      <c r="X82" s="15"/>
      <c r="Y82" s="15"/>
      <c r="Z82" s="15"/>
    </row>
    <row r="83" spans="1:26" ht="15.7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outlinePr summaryBelow="0" summaryRight="0"/>
  </sheetPr>
  <dimension ref="A1:M1000"/>
  <sheetViews>
    <sheetView workbookViewId="0">
      <selection activeCell="C84" sqref="C84"/>
    </sheetView>
  </sheetViews>
  <sheetFormatPr baseColWidth="10" defaultColWidth="14.5" defaultRowHeight="15" customHeight="1"/>
  <cols>
    <col min="1" max="1" width="15" customWidth="1"/>
    <col min="2" max="6" width="14.5" customWidth="1"/>
    <col min="13" max="13" width="19.33203125" customWidth="1"/>
  </cols>
  <sheetData>
    <row r="1" spans="1:13" ht="15" customHeight="1">
      <c r="A1" s="4"/>
      <c r="B1" s="4"/>
      <c r="C1" s="4"/>
      <c r="D1" s="4"/>
      <c r="E1" s="4"/>
      <c r="F1" s="4"/>
      <c r="G1" s="4"/>
      <c r="H1" s="5"/>
      <c r="I1" s="5"/>
      <c r="J1" s="5"/>
      <c r="K1" s="5"/>
      <c r="L1" s="5"/>
      <c r="M1" s="5"/>
    </row>
    <row r="2" spans="1:13" ht="15" customHeight="1">
      <c r="A2" s="4"/>
      <c r="B2" s="4"/>
      <c r="C2" s="4"/>
      <c r="D2" s="4"/>
      <c r="E2" s="4"/>
      <c r="F2" s="4"/>
      <c r="G2" s="4"/>
      <c r="H2" s="5"/>
      <c r="I2" s="5"/>
      <c r="J2" s="5"/>
      <c r="K2" s="5"/>
      <c r="L2" s="5"/>
      <c r="M2" s="5"/>
    </row>
    <row r="3" spans="1:13" ht="15" customHeight="1">
      <c r="A3" s="5"/>
      <c r="B3" s="5"/>
      <c r="C3" s="5"/>
      <c r="D3" s="5"/>
      <c r="E3" s="5"/>
      <c r="F3" s="5"/>
      <c r="G3" s="5"/>
      <c r="H3" s="5"/>
      <c r="I3" s="5"/>
      <c r="J3" s="5"/>
      <c r="K3" s="5"/>
      <c r="L3" s="5"/>
      <c r="M3" s="5"/>
    </row>
    <row r="4" spans="1:13" ht="15" customHeight="1">
      <c r="A4" s="4"/>
      <c r="B4" s="4"/>
      <c r="C4" s="4"/>
      <c r="D4" s="4"/>
      <c r="E4" s="4"/>
      <c r="F4" s="4"/>
      <c r="G4" s="4"/>
      <c r="H4" s="5"/>
      <c r="I4" s="5"/>
      <c r="J4" s="5"/>
      <c r="K4" s="5"/>
      <c r="L4" s="5"/>
      <c r="M4" s="5"/>
    </row>
    <row r="5" spans="1:13" ht="15" customHeight="1">
      <c r="A5" s="5"/>
      <c r="B5" s="5"/>
      <c r="C5" s="5"/>
      <c r="D5" s="5"/>
      <c r="E5" s="5"/>
      <c r="F5" s="5"/>
      <c r="G5" s="5"/>
      <c r="H5" s="5"/>
      <c r="I5" s="5"/>
      <c r="J5" s="5"/>
      <c r="K5" s="5"/>
      <c r="L5" s="5"/>
      <c r="M5" s="5"/>
    </row>
    <row r="6" spans="1:13" ht="15" customHeight="1">
      <c r="A6" s="6"/>
      <c r="B6" s="5"/>
      <c r="C6" s="5"/>
      <c r="D6" s="5"/>
      <c r="E6" s="5"/>
      <c r="F6" s="5"/>
      <c r="G6" s="5"/>
      <c r="H6" s="5"/>
      <c r="I6" s="5"/>
      <c r="J6" s="5"/>
      <c r="K6" s="5"/>
      <c r="L6" s="5"/>
      <c r="M6" s="5"/>
    </row>
    <row r="7" spans="1:13" ht="15" customHeight="1">
      <c r="A7" s="7"/>
      <c r="B7" s="5"/>
      <c r="C7" s="5"/>
      <c r="D7" s="5"/>
      <c r="E7" s="5"/>
      <c r="F7" s="5"/>
      <c r="G7" s="5"/>
      <c r="H7" s="5"/>
      <c r="I7" s="5"/>
      <c r="J7" s="5"/>
      <c r="K7" s="5"/>
      <c r="L7" s="5"/>
      <c r="M7" s="5"/>
    </row>
    <row r="8" spans="1:13" ht="15" customHeight="1">
      <c r="A8" s="8"/>
      <c r="B8" s="5"/>
      <c r="C8" s="5"/>
      <c r="D8" s="5"/>
      <c r="E8" s="5"/>
      <c r="F8" s="5"/>
      <c r="G8" s="5"/>
      <c r="H8" s="5"/>
      <c r="I8" s="5"/>
      <c r="J8" s="5"/>
      <c r="K8" s="5"/>
      <c r="L8" s="5"/>
      <c r="M8" s="5"/>
    </row>
    <row r="9" spans="1:13" ht="15" customHeight="1">
      <c r="A9" s="8"/>
      <c r="B9" s="5"/>
      <c r="C9" s="5"/>
      <c r="D9" s="5"/>
      <c r="E9" s="5"/>
      <c r="F9" s="5"/>
      <c r="G9" s="5"/>
      <c r="H9" s="5"/>
      <c r="I9" s="5"/>
      <c r="J9" s="5"/>
      <c r="K9" s="5"/>
      <c r="L9" s="5"/>
      <c r="M9" s="5"/>
    </row>
    <row r="10" spans="1:13" ht="15" customHeight="1">
      <c r="A10" s="8"/>
      <c r="B10" s="5"/>
      <c r="C10" s="5"/>
      <c r="D10" s="5"/>
      <c r="E10" s="5"/>
      <c r="F10" s="5"/>
      <c r="G10" s="5"/>
      <c r="H10" s="5"/>
      <c r="I10" s="5"/>
      <c r="J10" s="5"/>
      <c r="K10" s="5"/>
      <c r="L10" s="5"/>
      <c r="M10" s="5"/>
    </row>
    <row r="11" spans="1:13" ht="15" customHeight="1">
      <c r="A11" s="8"/>
      <c r="B11" s="5"/>
      <c r="C11" s="5"/>
      <c r="D11" s="5"/>
      <c r="E11" s="5"/>
      <c r="F11" s="5"/>
      <c r="G11" s="5"/>
      <c r="H11" s="5"/>
      <c r="I11" s="5"/>
      <c r="J11" s="5"/>
      <c r="K11" s="5"/>
      <c r="L11" s="5"/>
      <c r="M11" s="5"/>
    </row>
    <row r="12" spans="1:13" ht="15" customHeight="1">
      <c r="A12" s="5"/>
      <c r="B12" s="5"/>
      <c r="C12" s="5"/>
      <c r="D12" s="5"/>
      <c r="E12" s="5"/>
      <c r="F12" s="5"/>
      <c r="G12" s="5"/>
      <c r="H12" s="5"/>
      <c r="I12" s="5"/>
      <c r="J12" s="5"/>
      <c r="K12" s="5"/>
      <c r="L12" s="5"/>
      <c r="M12" s="5"/>
    </row>
    <row r="13" spans="1:13" ht="15" customHeight="1">
      <c r="A13" s="6"/>
      <c r="B13" s="5"/>
      <c r="C13" s="5"/>
      <c r="D13" s="5"/>
      <c r="E13" s="5"/>
      <c r="F13" s="5"/>
      <c r="G13" s="5"/>
      <c r="H13" s="5"/>
      <c r="I13" s="5"/>
      <c r="J13" s="5"/>
      <c r="K13" s="5"/>
      <c r="L13" s="5"/>
      <c r="M13" s="5"/>
    </row>
    <row r="14" spans="1:13" ht="15" customHeight="1">
      <c r="A14" s="5"/>
      <c r="B14" s="5"/>
      <c r="C14" s="5"/>
      <c r="D14" s="5"/>
      <c r="E14" s="5"/>
      <c r="F14" s="5"/>
      <c r="G14" s="5"/>
      <c r="H14" s="5"/>
      <c r="I14" s="5"/>
      <c r="J14" s="5"/>
      <c r="K14" s="5"/>
      <c r="L14" s="5"/>
      <c r="M14" s="5"/>
    </row>
    <row r="15" spans="1:13" ht="15" customHeight="1">
      <c r="A15" s="6"/>
      <c r="B15" s="5"/>
      <c r="C15" s="5"/>
      <c r="D15" s="5"/>
      <c r="E15" s="5"/>
      <c r="F15" s="5"/>
      <c r="G15" s="5"/>
      <c r="H15" s="5"/>
      <c r="I15" s="5"/>
      <c r="J15" s="5"/>
      <c r="K15" s="5"/>
      <c r="L15" s="5"/>
      <c r="M15" s="5"/>
    </row>
    <row r="16" spans="1:13" ht="15" customHeight="1">
      <c r="A16" s="5"/>
      <c r="B16" s="5"/>
      <c r="C16" s="5"/>
      <c r="D16" s="5"/>
      <c r="E16" s="5"/>
      <c r="F16" s="5"/>
      <c r="G16" s="5"/>
      <c r="H16" s="5"/>
      <c r="I16" s="5"/>
      <c r="J16" s="5"/>
      <c r="K16" s="5"/>
      <c r="L16" s="5"/>
      <c r="M16" s="5"/>
    </row>
    <row r="17" spans="1:13" ht="15" customHeight="1">
      <c r="A17" s="4"/>
      <c r="B17" s="5"/>
      <c r="C17" s="5"/>
      <c r="D17" s="5"/>
      <c r="E17" s="5"/>
      <c r="F17" s="5"/>
      <c r="G17" s="5"/>
      <c r="H17" s="5"/>
      <c r="I17" s="5"/>
      <c r="J17" s="5"/>
      <c r="K17" s="5"/>
      <c r="L17" s="5"/>
      <c r="M17" s="5"/>
    </row>
    <row r="18" spans="1:13" ht="15" customHeight="1">
      <c r="A18" s="5"/>
      <c r="B18" s="5"/>
      <c r="C18" s="5"/>
      <c r="D18" s="5"/>
      <c r="E18" s="5"/>
      <c r="F18" s="5"/>
      <c r="G18" s="5"/>
      <c r="H18" s="5"/>
      <c r="I18" s="5"/>
      <c r="J18" s="5"/>
      <c r="K18" s="5"/>
      <c r="L18" s="5"/>
      <c r="M18" s="5"/>
    </row>
    <row r="19" spans="1:13" ht="15" customHeight="1">
      <c r="A19" s="6"/>
      <c r="B19" s="5"/>
      <c r="C19" s="5"/>
      <c r="D19" s="5"/>
      <c r="E19" s="5"/>
      <c r="F19" s="5"/>
      <c r="G19" s="5"/>
      <c r="H19" s="5"/>
      <c r="I19" s="5"/>
      <c r="J19" s="5"/>
      <c r="K19" s="5"/>
      <c r="L19" s="5"/>
      <c r="M19" s="5"/>
    </row>
    <row r="20" spans="1:13" ht="15" customHeight="1">
      <c r="A20" s="5"/>
      <c r="B20" s="5"/>
      <c r="C20" s="5"/>
      <c r="D20" s="5"/>
      <c r="E20" s="5"/>
      <c r="F20" s="5"/>
      <c r="G20" s="5"/>
      <c r="H20" s="5"/>
      <c r="I20" s="5"/>
      <c r="J20" s="5"/>
      <c r="K20" s="5"/>
      <c r="L20" s="5"/>
      <c r="M20" s="5"/>
    </row>
    <row r="21" spans="1:13" ht="15" customHeight="1">
      <c r="A21" s="6"/>
      <c r="B21" s="5"/>
      <c r="C21" s="5"/>
      <c r="D21" s="5"/>
      <c r="E21" s="5"/>
      <c r="F21" s="5"/>
      <c r="G21" s="5"/>
      <c r="H21" s="5"/>
      <c r="I21" s="5"/>
      <c r="J21" s="5"/>
      <c r="K21" s="5"/>
      <c r="L21" s="5"/>
      <c r="M21" s="5"/>
    </row>
    <row r="22" spans="1:13" ht="15" customHeight="1">
      <c r="A22" s="6"/>
      <c r="B22" s="5"/>
      <c r="C22" s="5"/>
      <c r="D22" s="5"/>
      <c r="E22" s="5"/>
      <c r="F22" s="5"/>
      <c r="G22" s="5"/>
      <c r="H22" s="5"/>
      <c r="I22" s="5"/>
      <c r="J22" s="5"/>
      <c r="K22" s="5"/>
      <c r="L22" s="5"/>
      <c r="M22" s="5"/>
    </row>
    <row r="23" spans="1:13" ht="15" customHeight="1">
      <c r="A23" s="9"/>
      <c r="B23" s="5"/>
      <c r="C23" s="5"/>
      <c r="D23" s="5"/>
      <c r="E23" s="5"/>
      <c r="F23" s="5"/>
      <c r="G23" s="5"/>
      <c r="H23" s="5"/>
      <c r="I23" s="5"/>
      <c r="J23" s="5"/>
      <c r="K23" s="5"/>
      <c r="L23" s="5"/>
      <c r="M23" s="5"/>
    </row>
    <row r="24" spans="1:13" ht="15" customHeight="1">
      <c r="A24" s="5"/>
      <c r="B24" s="5"/>
      <c r="C24" s="5"/>
      <c r="D24" s="5"/>
      <c r="E24" s="5"/>
      <c r="F24" s="5"/>
      <c r="G24" s="5"/>
      <c r="H24" s="5"/>
      <c r="I24" s="5"/>
      <c r="J24" s="5"/>
      <c r="K24" s="5"/>
      <c r="L24" s="5"/>
      <c r="M24" s="5"/>
    </row>
    <row r="25" spans="1:13" ht="15" customHeight="1">
      <c r="A25" s="6"/>
      <c r="B25" s="5"/>
      <c r="C25" s="5"/>
      <c r="D25" s="5"/>
      <c r="E25" s="5"/>
      <c r="F25" s="5"/>
      <c r="G25" s="5"/>
      <c r="H25" s="5"/>
      <c r="I25" s="5"/>
      <c r="J25" s="5"/>
      <c r="K25" s="5"/>
      <c r="L25" s="5"/>
      <c r="M25" s="5"/>
    </row>
    <row r="26" spans="1:13" ht="15" customHeight="1">
      <c r="A26" s="5"/>
      <c r="B26" s="5"/>
      <c r="C26" s="5"/>
      <c r="D26" s="5"/>
      <c r="E26" s="5"/>
      <c r="F26" s="5"/>
      <c r="G26" s="5"/>
      <c r="H26" s="5"/>
      <c r="I26" s="5"/>
      <c r="J26" s="5"/>
      <c r="K26" s="5"/>
      <c r="L26" s="5"/>
      <c r="M26" s="5"/>
    </row>
    <row r="27" spans="1:13" ht="15" customHeight="1">
      <c r="A27" s="4"/>
      <c r="B27" s="5"/>
      <c r="C27" s="5"/>
      <c r="D27" s="5"/>
      <c r="E27" s="5"/>
      <c r="F27" s="5"/>
      <c r="G27" s="5"/>
      <c r="H27" s="5"/>
      <c r="I27" s="5"/>
      <c r="J27" s="5"/>
      <c r="K27" s="5"/>
      <c r="L27" s="5"/>
      <c r="M27" s="5"/>
    </row>
    <row r="28" spans="1:13" ht="15" customHeight="1">
      <c r="A28" s="5"/>
      <c r="B28" s="5"/>
      <c r="C28" s="5"/>
      <c r="D28" s="5"/>
      <c r="E28" s="5"/>
      <c r="F28" s="5"/>
      <c r="G28" s="5"/>
      <c r="H28" s="5"/>
      <c r="I28" s="5"/>
      <c r="J28" s="5"/>
      <c r="K28" s="5"/>
      <c r="L28" s="5"/>
      <c r="M28" s="5"/>
    </row>
    <row r="29" spans="1:13" ht="15" customHeight="1">
      <c r="A29" s="6"/>
      <c r="B29" s="5"/>
      <c r="C29" s="5"/>
      <c r="D29" s="5"/>
      <c r="E29" s="5"/>
      <c r="F29" s="5"/>
      <c r="G29" s="5"/>
      <c r="H29" s="5"/>
      <c r="I29" s="5"/>
      <c r="J29" s="5"/>
      <c r="K29" s="5"/>
      <c r="L29" s="5"/>
      <c r="M29" s="5"/>
    </row>
    <row r="30" spans="1:13" ht="15" customHeight="1">
      <c r="A30" s="5"/>
      <c r="B30" s="5"/>
      <c r="C30" s="5"/>
      <c r="D30" s="5"/>
      <c r="E30" s="5"/>
      <c r="F30" s="5"/>
      <c r="G30" s="5"/>
      <c r="H30" s="5"/>
      <c r="I30" s="5"/>
      <c r="J30" s="5"/>
      <c r="K30" s="5"/>
      <c r="L30" s="5"/>
      <c r="M30" s="5"/>
    </row>
    <row r="31" spans="1:13" ht="15" customHeight="1">
      <c r="A31" s="4"/>
      <c r="B31" s="5"/>
      <c r="C31" s="5"/>
      <c r="D31" s="5"/>
      <c r="E31" s="5"/>
      <c r="F31" s="5"/>
      <c r="G31" s="5"/>
      <c r="H31" s="5"/>
      <c r="I31" s="5"/>
      <c r="J31" s="5"/>
      <c r="K31" s="5"/>
      <c r="L31" s="5"/>
      <c r="M31" s="5"/>
    </row>
    <row r="32" spans="1:13" ht="15" customHeight="1">
      <c r="A32" s="5"/>
      <c r="B32" s="5"/>
      <c r="C32" s="5"/>
      <c r="D32" s="5"/>
      <c r="E32" s="5"/>
      <c r="F32" s="5"/>
      <c r="G32" s="5"/>
      <c r="H32" s="5"/>
      <c r="I32" s="5"/>
      <c r="J32" s="5"/>
      <c r="K32" s="5"/>
      <c r="L32" s="5"/>
      <c r="M32" s="5"/>
    </row>
    <row r="33" spans="1:13" ht="15" customHeight="1">
      <c r="A33" s="6"/>
      <c r="B33" s="5"/>
      <c r="C33" s="5"/>
      <c r="D33" s="5"/>
      <c r="E33" s="5"/>
      <c r="F33" s="5"/>
      <c r="G33" s="5"/>
      <c r="H33" s="5"/>
      <c r="I33" s="5"/>
      <c r="J33" s="5"/>
      <c r="K33" s="5"/>
      <c r="L33" s="5"/>
      <c r="M33" s="5"/>
    </row>
    <row r="34" spans="1:13" ht="15" customHeight="1">
      <c r="A34" s="5"/>
      <c r="B34" s="5"/>
      <c r="C34" s="5"/>
      <c r="D34" s="5"/>
      <c r="E34" s="5"/>
      <c r="F34" s="5"/>
      <c r="G34" s="5"/>
      <c r="H34" s="5"/>
      <c r="I34" s="5"/>
      <c r="J34" s="5"/>
      <c r="K34" s="5"/>
      <c r="L34" s="5"/>
      <c r="M34" s="5"/>
    </row>
    <row r="35" spans="1:13" ht="15" customHeight="1">
      <c r="A35" s="6"/>
      <c r="B35" s="5"/>
      <c r="C35" s="5"/>
      <c r="D35" s="5"/>
      <c r="E35" s="5"/>
      <c r="F35" s="5"/>
      <c r="G35" s="5"/>
      <c r="H35" s="5"/>
      <c r="I35" s="5"/>
      <c r="J35" s="5"/>
      <c r="K35" s="5"/>
      <c r="L35" s="5"/>
      <c r="M35" s="5"/>
    </row>
    <row r="36" spans="1:13" ht="15" customHeight="1">
      <c r="A36" s="5"/>
      <c r="B36" s="5"/>
      <c r="C36" s="5"/>
      <c r="D36" s="5"/>
      <c r="E36" s="5"/>
      <c r="F36" s="5"/>
      <c r="G36" s="5"/>
      <c r="H36" s="5"/>
      <c r="I36" s="5"/>
      <c r="J36" s="5"/>
      <c r="K36" s="5"/>
      <c r="L36" s="5"/>
      <c r="M36" s="5"/>
    </row>
    <row r="37" spans="1:13" ht="15" customHeight="1">
      <c r="A37" s="6"/>
      <c r="B37" s="5"/>
      <c r="C37" s="5"/>
      <c r="D37" s="5"/>
      <c r="E37" s="5"/>
      <c r="F37" s="5"/>
      <c r="G37" s="5"/>
      <c r="H37" s="5"/>
      <c r="I37" s="5"/>
      <c r="J37" s="5"/>
      <c r="K37" s="5"/>
      <c r="L37" s="5"/>
      <c r="M37" s="5"/>
    </row>
    <row r="38" spans="1:13" ht="15" customHeight="1">
      <c r="A38" s="5"/>
      <c r="B38" s="5"/>
      <c r="C38" s="5"/>
      <c r="D38" s="5"/>
      <c r="E38" s="5"/>
      <c r="F38" s="5"/>
      <c r="G38" s="5"/>
      <c r="H38" s="5"/>
      <c r="I38" s="5"/>
      <c r="J38" s="5"/>
      <c r="K38" s="5"/>
      <c r="L38" s="5"/>
      <c r="M38" s="5"/>
    </row>
    <row r="39" spans="1:13" ht="15" customHeight="1">
      <c r="A39" s="6"/>
      <c r="B39" s="5"/>
      <c r="C39" s="5"/>
      <c r="D39" s="5"/>
      <c r="E39" s="5"/>
      <c r="F39" s="5"/>
      <c r="G39" s="5"/>
      <c r="H39" s="5"/>
      <c r="I39" s="5"/>
      <c r="J39" s="5"/>
      <c r="K39" s="5"/>
      <c r="L39" s="5"/>
      <c r="M39" s="5"/>
    </row>
    <row r="40" spans="1:13" ht="15" customHeight="1">
      <c r="A40" s="5"/>
      <c r="B40" s="5"/>
      <c r="C40" s="5"/>
      <c r="D40" s="5"/>
      <c r="E40" s="5"/>
      <c r="F40" s="5"/>
      <c r="G40" s="5"/>
      <c r="H40" s="5"/>
      <c r="I40" s="5"/>
      <c r="J40" s="5"/>
      <c r="K40" s="5"/>
      <c r="L40" s="5"/>
      <c r="M40" s="5"/>
    </row>
    <row r="41" spans="1:13" ht="15" customHeight="1">
      <c r="A41" s="6"/>
      <c r="B41" s="5"/>
      <c r="C41" s="5"/>
      <c r="D41" s="5"/>
      <c r="E41" s="5"/>
      <c r="F41" s="5"/>
      <c r="G41" s="5"/>
      <c r="H41" s="5"/>
      <c r="I41" s="5"/>
      <c r="J41" s="5"/>
      <c r="K41" s="5"/>
      <c r="L41" s="5"/>
      <c r="M41" s="5"/>
    </row>
    <row r="42" spans="1:13" ht="15" customHeight="1">
      <c r="A42" s="5"/>
      <c r="B42" s="5"/>
      <c r="C42" s="5"/>
      <c r="D42" s="5"/>
      <c r="E42" s="5"/>
      <c r="F42" s="5"/>
      <c r="G42" s="5"/>
      <c r="H42" s="5"/>
      <c r="I42" s="5"/>
      <c r="J42" s="5"/>
      <c r="K42" s="5"/>
      <c r="L42" s="5"/>
      <c r="M42" s="5"/>
    </row>
    <row r="43" spans="1:13" ht="15" customHeight="1">
      <c r="A43" s="4"/>
      <c r="B43" s="5"/>
      <c r="C43" s="5"/>
      <c r="D43" s="5"/>
      <c r="E43" s="5"/>
      <c r="F43" s="5"/>
      <c r="G43" s="5"/>
      <c r="H43" s="5"/>
      <c r="I43" s="5"/>
      <c r="J43" s="5"/>
      <c r="K43" s="5"/>
      <c r="L43" s="5"/>
      <c r="M43" s="5"/>
    </row>
    <row r="44" spans="1:13" ht="15" customHeight="1">
      <c r="A44" s="5"/>
      <c r="B44" s="5"/>
      <c r="C44" s="5"/>
      <c r="D44" s="5"/>
      <c r="E44" s="5"/>
      <c r="F44" s="5"/>
      <c r="G44" s="5"/>
      <c r="H44" s="5"/>
      <c r="I44" s="5"/>
      <c r="J44" s="5"/>
      <c r="K44" s="5"/>
      <c r="L44" s="5"/>
      <c r="M44" s="5"/>
    </row>
    <row r="45" spans="1:13" ht="15" customHeight="1">
      <c r="A45" s="6"/>
      <c r="B45" s="5"/>
      <c r="C45" s="5"/>
      <c r="D45" s="5"/>
      <c r="E45" s="5"/>
      <c r="F45" s="5"/>
      <c r="G45" s="5"/>
      <c r="H45" s="5"/>
      <c r="I45" s="5"/>
      <c r="J45" s="5"/>
      <c r="K45" s="5"/>
      <c r="L45" s="5"/>
      <c r="M45" s="5"/>
    </row>
    <row r="46" spans="1:13" ht="15" customHeight="1">
      <c r="A46" s="5"/>
      <c r="B46" s="5"/>
      <c r="C46" s="5"/>
      <c r="D46" s="5"/>
      <c r="E46" s="5"/>
      <c r="F46" s="5"/>
      <c r="G46" s="5"/>
      <c r="H46" s="5"/>
      <c r="I46" s="5"/>
      <c r="J46" s="5"/>
      <c r="K46" s="5"/>
      <c r="L46" s="5"/>
      <c r="M46" s="5"/>
    </row>
    <row r="47" spans="1:13" ht="15" customHeight="1">
      <c r="A47" s="6"/>
      <c r="B47" s="5"/>
      <c r="C47" s="5"/>
      <c r="D47" s="5"/>
      <c r="E47" s="5"/>
      <c r="F47" s="5"/>
      <c r="G47" s="5"/>
      <c r="H47" s="5"/>
      <c r="I47" s="5"/>
      <c r="J47" s="5"/>
      <c r="K47" s="5"/>
      <c r="L47" s="5"/>
      <c r="M47" s="5"/>
    </row>
    <row r="48" spans="1:13" ht="15" customHeight="1">
      <c r="A48" s="5"/>
      <c r="B48" s="5"/>
      <c r="C48" s="5"/>
      <c r="D48" s="5"/>
      <c r="E48" s="5"/>
      <c r="F48" s="5"/>
      <c r="G48" s="5"/>
      <c r="H48" s="5"/>
      <c r="I48" s="5"/>
      <c r="J48" s="5"/>
      <c r="K48" s="5"/>
      <c r="L48" s="5"/>
      <c r="M48" s="5"/>
    </row>
    <row r="49" spans="1:13" ht="15" customHeight="1">
      <c r="A49" s="4"/>
      <c r="B49" s="5"/>
      <c r="C49" s="5"/>
      <c r="D49" s="5"/>
      <c r="E49" s="5"/>
      <c r="F49" s="5"/>
      <c r="G49" s="5"/>
      <c r="H49" s="5"/>
      <c r="I49" s="5"/>
      <c r="J49" s="5"/>
      <c r="K49" s="5"/>
      <c r="L49" s="5"/>
      <c r="M49" s="5"/>
    </row>
    <row r="50" spans="1:13" ht="15" customHeight="1">
      <c r="A50" s="5"/>
      <c r="B50" s="5"/>
      <c r="C50" s="5"/>
      <c r="D50" s="5"/>
      <c r="E50" s="5"/>
      <c r="F50" s="5"/>
      <c r="G50" s="5"/>
      <c r="H50" s="5"/>
      <c r="I50" s="5"/>
      <c r="J50" s="5"/>
      <c r="K50" s="5"/>
      <c r="L50" s="5"/>
      <c r="M50" s="5"/>
    </row>
    <row r="51" spans="1:13" ht="15" customHeight="1">
      <c r="A51" s="6"/>
      <c r="B51" s="5"/>
      <c r="C51" s="5"/>
      <c r="D51" s="5"/>
      <c r="E51" s="5"/>
      <c r="F51" s="5"/>
      <c r="G51" s="5"/>
      <c r="H51" s="5"/>
      <c r="I51" s="5"/>
      <c r="J51" s="5"/>
      <c r="K51" s="5"/>
      <c r="L51" s="5"/>
      <c r="M51" s="5"/>
    </row>
    <row r="52" spans="1:13" ht="15" customHeight="1">
      <c r="A52" s="5"/>
      <c r="B52" s="5"/>
      <c r="C52" s="5"/>
      <c r="D52" s="5"/>
      <c r="E52" s="5"/>
      <c r="F52" s="5"/>
      <c r="G52" s="5"/>
      <c r="H52" s="5"/>
      <c r="I52" s="5"/>
      <c r="J52" s="5"/>
      <c r="K52" s="5"/>
      <c r="L52" s="5"/>
      <c r="M52" s="5"/>
    </row>
    <row r="53" spans="1:13" ht="15" customHeight="1">
      <c r="A53" s="6"/>
      <c r="B53" s="5"/>
      <c r="C53" s="5"/>
      <c r="D53" s="5"/>
      <c r="E53" s="5"/>
      <c r="F53" s="5"/>
      <c r="G53" s="5"/>
      <c r="H53" s="5"/>
      <c r="I53" s="5"/>
      <c r="J53" s="5"/>
      <c r="K53" s="5"/>
      <c r="L53" s="5"/>
      <c r="M53" s="5"/>
    </row>
    <row r="54" spans="1:13" ht="15" customHeight="1">
      <c r="A54" s="5"/>
      <c r="B54" s="5"/>
      <c r="C54" s="5"/>
      <c r="D54" s="5"/>
      <c r="E54" s="5"/>
      <c r="F54" s="5"/>
      <c r="G54" s="5"/>
      <c r="H54" s="5"/>
      <c r="I54" s="5"/>
      <c r="J54" s="5"/>
      <c r="K54" s="5"/>
      <c r="L54" s="5"/>
      <c r="M54" s="5"/>
    </row>
    <row r="55" spans="1:13" ht="15" customHeight="1">
      <c r="A55" s="4"/>
      <c r="B55" s="5"/>
      <c r="C55" s="5"/>
      <c r="D55" s="5"/>
      <c r="E55" s="5"/>
      <c r="F55" s="5"/>
      <c r="G55" s="5"/>
      <c r="H55" s="5"/>
      <c r="I55" s="5"/>
      <c r="J55" s="5"/>
      <c r="K55" s="5"/>
      <c r="L55" s="5"/>
      <c r="M55" s="5"/>
    </row>
    <row r="56" spans="1:13" ht="15" customHeight="1">
      <c r="A56" s="5"/>
      <c r="B56" s="5"/>
      <c r="C56" s="5"/>
      <c r="D56" s="5"/>
      <c r="E56" s="5"/>
      <c r="F56" s="5"/>
      <c r="G56" s="5"/>
      <c r="H56" s="5"/>
      <c r="I56" s="5"/>
      <c r="J56" s="5"/>
      <c r="K56" s="5"/>
      <c r="L56" s="5"/>
      <c r="M56" s="5"/>
    </row>
    <row r="57" spans="1:13" ht="15" customHeight="1">
      <c r="A57" s="6"/>
      <c r="B57" s="5"/>
      <c r="C57" s="5"/>
      <c r="D57" s="5"/>
      <c r="E57" s="5"/>
      <c r="F57" s="5"/>
      <c r="G57" s="5"/>
      <c r="H57" s="5"/>
      <c r="I57" s="5"/>
      <c r="J57" s="5"/>
      <c r="K57" s="5"/>
      <c r="L57" s="5"/>
      <c r="M57" s="5"/>
    </row>
    <row r="58" spans="1:13" ht="15" customHeight="1">
      <c r="A58" s="6"/>
      <c r="B58" s="5"/>
      <c r="C58" s="5"/>
      <c r="D58" s="5"/>
      <c r="E58" s="5"/>
      <c r="F58" s="5"/>
      <c r="G58" s="5"/>
      <c r="H58" s="5"/>
      <c r="I58" s="5"/>
      <c r="J58" s="5"/>
      <c r="K58" s="5"/>
      <c r="L58" s="5"/>
      <c r="M58" s="5"/>
    </row>
    <row r="59" spans="1:13" ht="15" customHeight="1">
      <c r="A59" s="5"/>
      <c r="B59" s="5"/>
      <c r="C59" s="5"/>
      <c r="D59" s="5"/>
      <c r="E59" s="5"/>
      <c r="F59" s="5"/>
      <c r="G59" s="5"/>
      <c r="H59" s="5"/>
      <c r="I59" s="5"/>
      <c r="J59" s="5"/>
      <c r="K59" s="5"/>
      <c r="L59" s="5"/>
      <c r="M59" s="5"/>
    </row>
    <row r="60" spans="1:13" ht="15" customHeight="1">
      <c r="A60" s="6"/>
      <c r="B60" s="5"/>
      <c r="C60" s="5"/>
      <c r="D60" s="5"/>
      <c r="E60" s="5"/>
      <c r="F60" s="5"/>
      <c r="G60" s="5"/>
      <c r="H60" s="5"/>
      <c r="I60" s="5"/>
      <c r="J60" s="5"/>
      <c r="K60" s="5"/>
      <c r="L60" s="5"/>
      <c r="M60" s="5"/>
    </row>
    <row r="61" spans="1:13" ht="15" customHeight="1">
      <c r="A61" s="8"/>
      <c r="B61" s="5"/>
      <c r="C61" s="5"/>
      <c r="D61" s="5"/>
      <c r="E61" s="5"/>
      <c r="F61" s="5"/>
      <c r="G61" s="5"/>
      <c r="H61" s="5"/>
      <c r="I61" s="5"/>
      <c r="J61" s="5"/>
      <c r="K61" s="5"/>
      <c r="L61" s="5"/>
      <c r="M61" s="5"/>
    </row>
    <row r="62" spans="1:13" ht="15" customHeight="1">
      <c r="A62" s="8"/>
      <c r="B62" s="5"/>
      <c r="C62" s="5"/>
      <c r="D62" s="5"/>
      <c r="E62" s="5"/>
      <c r="F62" s="5"/>
      <c r="G62" s="5"/>
      <c r="H62" s="5"/>
      <c r="I62" s="5"/>
      <c r="J62" s="5"/>
      <c r="K62" s="5"/>
      <c r="L62" s="5"/>
      <c r="M62" s="5"/>
    </row>
    <row r="63" spans="1:13" ht="15" customHeight="1">
      <c r="A63" s="8"/>
      <c r="B63" s="5"/>
      <c r="C63" s="5"/>
      <c r="D63" s="5"/>
      <c r="E63" s="5"/>
      <c r="F63" s="5"/>
      <c r="G63" s="5"/>
      <c r="H63" s="5"/>
      <c r="I63" s="5"/>
      <c r="J63" s="5"/>
      <c r="K63" s="5"/>
      <c r="L63" s="5"/>
      <c r="M63" s="5"/>
    </row>
    <row r="64" spans="1:13" ht="15" customHeight="1">
      <c r="A64" s="8"/>
      <c r="B64" s="5"/>
      <c r="C64" s="5"/>
      <c r="D64" s="5"/>
      <c r="E64" s="5"/>
      <c r="F64" s="5"/>
      <c r="G64" s="5"/>
      <c r="H64" s="5"/>
      <c r="I64" s="5"/>
      <c r="J64" s="5"/>
      <c r="K64" s="5"/>
      <c r="L64" s="5"/>
      <c r="M64" s="5"/>
    </row>
    <row r="65" spans="1:13" ht="15" customHeight="1">
      <c r="A65" s="8"/>
      <c r="B65" s="5"/>
      <c r="C65" s="5"/>
      <c r="D65" s="5"/>
      <c r="E65" s="5"/>
      <c r="F65" s="5"/>
      <c r="G65" s="5"/>
      <c r="H65" s="5"/>
      <c r="I65" s="5"/>
      <c r="J65" s="5"/>
      <c r="K65" s="5"/>
      <c r="L65" s="5"/>
      <c r="M65" s="5"/>
    </row>
    <row r="66" spans="1:13" ht="15" customHeight="1">
      <c r="A66" s="8"/>
      <c r="B66" s="5"/>
      <c r="C66" s="5"/>
      <c r="D66" s="5"/>
      <c r="E66" s="5"/>
      <c r="F66" s="5"/>
      <c r="G66" s="5"/>
      <c r="H66" s="5"/>
      <c r="I66" s="5"/>
      <c r="J66" s="5"/>
      <c r="K66" s="5"/>
      <c r="L66" s="5"/>
      <c r="M66" s="5"/>
    </row>
    <row r="67" spans="1:13" ht="15" customHeight="1">
      <c r="A67" s="5"/>
      <c r="B67" s="5"/>
      <c r="C67" s="5"/>
      <c r="D67" s="5"/>
      <c r="E67" s="5"/>
      <c r="F67" s="5"/>
      <c r="G67" s="5"/>
      <c r="H67" s="5"/>
      <c r="I67" s="5"/>
      <c r="J67" s="5"/>
      <c r="K67" s="5"/>
      <c r="L67" s="5"/>
      <c r="M67" s="5"/>
    </row>
    <row r="68" spans="1:13" ht="15" customHeight="1">
      <c r="A68" s="6"/>
      <c r="B68" s="5"/>
      <c r="C68" s="5"/>
      <c r="D68" s="5"/>
      <c r="E68" s="5"/>
      <c r="F68" s="5"/>
      <c r="G68" s="5"/>
      <c r="H68" s="5"/>
      <c r="I68" s="5"/>
      <c r="J68" s="5"/>
      <c r="K68" s="5"/>
      <c r="L68" s="5"/>
      <c r="M68" s="5"/>
    </row>
    <row r="69" spans="1:13" ht="15" customHeight="1">
      <c r="A69" s="5"/>
      <c r="B69" s="5"/>
      <c r="C69" s="5"/>
      <c r="D69" s="5"/>
      <c r="E69" s="5"/>
      <c r="F69" s="5"/>
      <c r="G69" s="5"/>
      <c r="H69" s="5"/>
      <c r="I69" s="5"/>
      <c r="J69" s="5"/>
      <c r="K69" s="5"/>
      <c r="L69" s="5"/>
      <c r="M69" s="5"/>
    </row>
    <row r="70" spans="1:13" ht="15" customHeight="1">
      <c r="A70" s="6"/>
      <c r="B70" s="5"/>
      <c r="C70" s="5"/>
      <c r="D70" s="5"/>
      <c r="E70" s="5"/>
      <c r="F70" s="5"/>
      <c r="G70" s="5"/>
      <c r="H70" s="5"/>
      <c r="I70" s="5"/>
      <c r="J70" s="5"/>
      <c r="K70" s="5"/>
      <c r="L70" s="5"/>
      <c r="M70" s="5"/>
    </row>
    <row r="71" spans="1:13" ht="15" customHeight="1">
      <c r="A71" s="5"/>
      <c r="B71" s="5"/>
      <c r="C71" s="5"/>
      <c r="D71" s="5"/>
      <c r="E71" s="5"/>
      <c r="F71" s="5"/>
      <c r="G71" s="5"/>
      <c r="H71" s="5"/>
      <c r="I71" s="5"/>
      <c r="J71" s="5"/>
      <c r="K71" s="5"/>
      <c r="L71" s="5"/>
      <c r="M71" s="5"/>
    </row>
    <row r="72" spans="1:13" ht="15" customHeight="1">
      <c r="A72" s="6"/>
      <c r="B72" s="5"/>
      <c r="C72" s="5"/>
      <c r="D72" s="5"/>
      <c r="E72" s="5"/>
      <c r="F72" s="5"/>
      <c r="G72" s="5"/>
      <c r="H72" s="5"/>
      <c r="I72" s="5"/>
      <c r="J72" s="5"/>
      <c r="K72" s="5"/>
      <c r="L72" s="5"/>
      <c r="M72" s="5"/>
    </row>
    <row r="73" spans="1:13" ht="15" customHeight="1">
      <c r="A73" s="5"/>
      <c r="B73" s="5"/>
      <c r="C73" s="5"/>
      <c r="D73" s="5"/>
      <c r="E73" s="5"/>
      <c r="F73" s="5"/>
      <c r="G73" s="5"/>
      <c r="H73" s="5"/>
      <c r="I73" s="5"/>
      <c r="J73" s="5"/>
      <c r="K73" s="5"/>
      <c r="L73" s="5"/>
      <c r="M73" s="5"/>
    </row>
    <row r="74" spans="1:13" ht="15" customHeight="1">
      <c r="A74" s="4"/>
      <c r="B74" s="5"/>
      <c r="C74" s="5"/>
      <c r="D74" s="5"/>
      <c r="E74" s="5"/>
      <c r="F74" s="5"/>
      <c r="G74" s="5"/>
      <c r="H74" s="5"/>
      <c r="I74" s="5"/>
      <c r="J74" s="5"/>
      <c r="K74" s="5"/>
      <c r="L74" s="5"/>
      <c r="M74" s="5"/>
    </row>
    <row r="75" spans="1:13" ht="15" customHeight="1">
      <c r="A75" s="5"/>
      <c r="B75" s="5"/>
      <c r="C75" s="5"/>
      <c r="D75" s="5"/>
      <c r="E75" s="5"/>
      <c r="F75" s="5"/>
      <c r="G75" s="5"/>
      <c r="H75" s="5"/>
      <c r="I75" s="5"/>
      <c r="J75" s="5"/>
      <c r="K75" s="5"/>
      <c r="L75" s="5"/>
      <c r="M75" s="5"/>
    </row>
    <row r="76" spans="1:13" ht="15" customHeight="1">
      <c r="A76" s="6"/>
      <c r="B76" s="5"/>
      <c r="C76" s="5"/>
      <c r="D76" s="5"/>
      <c r="E76" s="5"/>
      <c r="F76" s="5"/>
      <c r="G76" s="5"/>
      <c r="H76" s="5"/>
      <c r="I76" s="5"/>
      <c r="J76" s="5"/>
      <c r="K76" s="5"/>
      <c r="L76" s="5"/>
      <c r="M76" s="5"/>
    </row>
    <row r="77" spans="1:13" ht="15" customHeight="1">
      <c r="A77" s="5"/>
      <c r="B77" s="5"/>
      <c r="C77" s="5"/>
      <c r="D77" s="5"/>
      <c r="E77" s="5"/>
      <c r="F77" s="5"/>
      <c r="G77" s="5"/>
      <c r="H77" s="5"/>
      <c r="I77" s="5"/>
      <c r="J77" s="5"/>
      <c r="K77" s="5"/>
      <c r="L77" s="5"/>
      <c r="M77" s="5"/>
    </row>
    <row r="78" spans="1:13" ht="15" customHeight="1">
      <c r="A78" s="5"/>
      <c r="B78" s="5"/>
      <c r="C78" s="5"/>
      <c r="D78" s="5"/>
      <c r="E78" s="5"/>
      <c r="F78" s="5"/>
      <c r="G78" s="5"/>
      <c r="H78" s="5"/>
      <c r="I78" s="5"/>
      <c r="J78" s="5"/>
      <c r="K78" s="5"/>
      <c r="L78" s="5"/>
      <c r="M78" s="5"/>
    </row>
    <row r="79" spans="1:13" ht="15" customHeight="1">
      <c r="A79" s="5"/>
      <c r="B79" s="5"/>
      <c r="C79" s="5"/>
      <c r="D79" s="5"/>
      <c r="E79" s="5"/>
      <c r="F79" s="5"/>
      <c r="G79" s="5"/>
      <c r="H79" s="5"/>
      <c r="I79" s="5"/>
      <c r="J79" s="5"/>
      <c r="K79" s="5"/>
      <c r="L79" s="5"/>
      <c r="M79" s="5"/>
    </row>
    <row r="80" spans="1:13" ht="15" customHeight="1">
      <c r="A80" s="5"/>
      <c r="B80" s="5"/>
      <c r="C80" s="5"/>
      <c r="D80" s="5"/>
      <c r="E80" s="5"/>
      <c r="F80" s="5"/>
      <c r="G80" s="5"/>
      <c r="H80" s="5"/>
      <c r="I80" s="5"/>
      <c r="J80" s="5"/>
      <c r="K80" s="5"/>
      <c r="L80" s="5"/>
      <c r="M80" s="5"/>
    </row>
    <row r="81" spans="1:13" ht="15" customHeight="1">
      <c r="A81" s="5"/>
      <c r="B81" s="5"/>
      <c r="C81" s="5"/>
      <c r="D81" s="5"/>
      <c r="E81" s="5"/>
      <c r="F81" s="5"/>
      <c r="G81" s="5"/>
      <c r="H81" s="5"/>
      <c r="I81" s="5"/>
      <c r="J81" s="5"/>
      <c r="K81" s="5"/>
      <c r="L81" s="5"/>
      <c r="M81" s="5"/>
    </row>
    <row r="82" spans="1:13" ht="15" customHeight="1">
      <c r="A82" s="5"/>
      <c r="B82" s="5"/>
      <c r="C82" s="5"/>
      <c r="D82" s="5"/>
      <c r="E82" s="5"/>
      <c r="F82" s="5"/>
      <c r="G82" s="5"/>
      <c r="H82" s="5"/>
      <c r="I82" s="5"/>
      <c r="J82" s="5"/>
      <c r="K82" s="5"/>
      <c r="L82" s="5"/>
      <c r="M82" s="5"/>
    </row>
    <row r="83" spans="1:13" ht="91.5" customHeight="1">
      <c r="A83" s="5"/>
      <c r="B83" s="5"/>
      <c r="C83" s="5"/>
      <c r="D83" s="5"/>
      <c r="E83" s="5"/>
      <c r="F83" s="5"/>
      <c r="G83" s="5"/>
      <c r="H83" s="5"/>
      <c r="I83" s="5"/>
      <c r="J83" s="5"/>
      <c r="K83" s="5"/>
      <c r="L83" s="5"/>
      <c r="M83" s="5"/>
    </row>
    <row r="84" spans="1:13" ht="15" customHeight="1">
      <c r="A84" s="5"/>
      <c r="B84" s="5"/>
      <c r="C84" s="5"/>
      <c r="D84" s="5"/>
      <c r="E84" s="5"/>
      <c r="F84" s="5"/>
      <c r="G84" s="5"/>
      <c r="H84" s="5"/>
      <c r="I84" s="5"/>
      <c r="J84" s="5"/>
      <c r="K84" s="5"/>
      <c r="L84" s="5"/>
      <c r="M84" s="5"/>
    </row>
    <row r="85" spans="1:13" ht="15" customHeight="1">
      <c r="A85" s="5"/>
      <c r="B85" s="5"/>
      <c r="C85" s="5"/>
      <c r="D85" s="5"/>
      <c r="E85" s="5"/>
      <c r="F85" s="5"/>
      <c r="G85" s="5"/>
      <c r="H85" s="5"/>
      <c r="I85" s="5"/>
      <c r="J85" s="5"/>
      <c r="K85" s="5"/>
      <c r="L85" s="5"/>
      <c r="M85" s="5"/>
    </row>
    <row r="86" spans="1:13" ht="15" customHeight="1">
      <c r="A86" s="5"/>
      <c r="B86" s="5"/>
      <c r="C86" s="5"/>
      <c r="D86" s="5"/>
      <c r="E86" s="5"/>
      <c r="F86" s="5"/>
      <c r="G86" s="5"/>
      <c r="H86" s="5"/>
      <c r="I86" s="5"/>
      <c r="J86" s="5"/>
      <c r="K86" s="5"/>
      <c r="L86" s="5"/>
      <c r="M86" s="5"/>
    </row>
    <row r="87" spans="1:13" ht="15" customHeight="1">
      <c r="A87" s="5"/>
      <c r="B87" s="5"/>
      <c r="C87" s="5"/>
      <c r="D87" s="5"/>
      <c r="E87" s="5"/>
      <c r="F87" s="5"/>
      <c r="G87" s="5"/>
      <c r="H87" s="5"/>
      <c r="I87" s="5"/>
      <c r="J87" s="5"/>
      <c r="K87" s="5"/>
      <c r="L87" s="5"/>
      <c r="M87" s="5"/>
    </row>
    <row r="88" spans="1:13" ht="15" customHeight="1">
      <c r="A88" s="5"/>
      <c r="B88" s="5"/>
      <c r="C88" s="5"/>
      <c r="D88" s="5"/>
      <c r="E88" s="5"/>
      <c r="F88" s="5"/>
      <c r="G88" s="5"/>
      <c r="H88" s="5"/>
      <c r="I88" s="5"/>
      <c r="J88" s="5"/>
      <c r="K88" s="5"/>
      <c r="L88" s="5"/>
      <c r="M88" s="5"/>
    </row>
    <row r="89" spans="1:13" ht="15" customHeight="1">
      <c r="A89" s="5"/>
      <c r="B89" s="5"/>
      <c r="C89" s="5"/>
      <c r="D89" s="5"/>
      <c r="E89" s="5"/>
      <c r="F89" s="5"/>
      <c r="G89" s="5"/>
      <c r="H89" s="5"/>
      <c r="I89" s="5"/>
      <c r="J89" s="5"/>
      <c r="K89" s="5"/>
      <c r="L89" s="5"/>
      <c r="M89" s="5"/>
    </row>
    <row r="90" spans="1:13" ht="15" customHeight="1">
      <c r="A90" s="5"/>
      <c r="B90" s="5"/>
      <c r="C90" s="5"/>
      <c r="D90" s="5"/>
      <c r="E90" s="5"/>
      <c r="F90" s="5"/>
      <c r="G90" s="5"/>
      <c r="H90" s="5"/>
      <c r="I90" s="5"/>
      <c r="J90" s="5"/>
      <c r="K90" s="5"/>
      <c r="L90" s="5"/>
      <c r="M90" s="5"/>
    </row>
    <row r="91" spans="1:13" ht="15" customHeight="1">
      <c r="A91" s="5"/>
      <c r="B91" s="5"/>
      <c r="C91" s="5"/>
      <c r="D91" s="5"/>
      <c r="E91" s="5"/>
      <c r="F91" s="5"/>
      <c r="G91" s="5"/>
      <c r="H91" s="5"/>
      <c r="I91" s="5"/>
      <c r="J91" s="5"/>
      <c r="K91" s="5"/>
      <c r="L91" s="5"/>
      <c r="M91" s="5"/>
    </row>
    <row r="92" spans="1:13" ht="15" customHeight="1">
      <c r="A92" s="5"/>
      <c r="B92" s="5"/>
      <c r="C92" s="5"/>
      <c r="D92" s="5"/>
      <c r="E92" s="5"/>
      <c r="F92" s="5"/>
      <c r="G92" s="5"/>
      <c r="H92" s="5"/>
      <c r="I92" s="5"/>
      <c r="J92" s="5"/>
      <c r="K92" s="5"/>
      <c r="L92" s="5"/>
      <c r="M92" s="5"/>
    </row>
    <row r="93" spans="1:13" ht="15" customHeight="1">
      <c r="A93" s="5"/>
      <c r="B93" s="5"/>
      <c r="C93" s="5"/>
      <c r="D93" s="5"/>
      <c r="E93" s="5"/>
      <c r="F93" s="5"/>
      <c r="G93" s="5"/>
      <c r="H93" s="5"/>
      <c r="I93" s="5"/>
      <c r="J93" s="5"/>
      <c r="K93" s="5"/>
      <c r="L93" s="5"/>
      <c r="M93" s="5"/>
    </row>
    <row r="94" spans="1:13" ht="15" customHeight="1">
      <c r="A94" s="5"/>
      <c r="B94" s="5"/>
      <c r="C94" s="5"/>
      <c r="D94" s="5"/>
      <c r="E94" s="5"/>
      <c r="F94" s="5"/>
      <c r="G94" s="5"/>
      <c r="H94" s="5"/>
      <c r="I94" s="5"/>
      <c r="J94" s="5"/>
      <c r="K94" s="5"/>
      <c r="L94" s="5"/>
      <c r="M94" s="5"/>
    </row>
    <row r="95" spans="1:13" ht="15" customHeight="1">
      <c r="A95" s="5"/>
      <c r="B95" s="5"/>
      <c r="C95" s="5"/>
      <c r="D95" s="5"/>
      <c r="E95" s="5"/>
      <c r="F95" s="5"/>
      <c r="G95" s="5"/>
      <c r="H95" s="5"/>
      <c r="I95" s="5"/>
      <c r="J95" s="5"/>
      <c r="K95" s="5"/>
      <c r="L95" s="5"/>
      <c r="M95" s="5"/>
    </row>
    <row r="96" spans="1:13" ht="15" customHeight="1">
      <c r="A96" s="5"/>
      <c r="B96" s="5"/>
      <c r="C96" s="5"/>
      <c r="D96" s="5"/>
      <c r="E96" s="5"/>
      <c r="F96" s="5"/>
      <c r="G96" s="5"/>
      <c r="H96" s="5"/>
      <c r="I96" s="5"/>
      <c r="J96" s="5"/>
      <c r="K96" s="5"/>
      <c r="L96" s="5"/>
      <c r="M96" s="5"/>
    </row>
    <row r="97" spans="1:13" ht="15" customHeight="1">
      <c r="A97" s="5"/>
      <c r="B97" s="5"/>
      <c r="C97" s="5"/>
      <c r="D97" s="5"/>
      <c r="E97" s="5"/>
      <c r="F97" s="5"/>
      <c r="G97" s="5"/>
      <c r="H97" s="5"/>
      <c r="I97" s="5"/>
      <c r="J97" s="5"/>
      <c r="K97" s="5"/>
      <c r="L97" s="5"/>
      <c r="M97" s="5"/>
    </row>
    <row r="98" spans="1:13" ht="15" customHeight="1">
      <c r="A98" s="5"/>
      <c r="B98" s="5"/>
      <c r="C98" s="5"/>
      <c r="D98" s="5"/>
      <c r="E98" s="5"/>
      <c r="F98" s="5"/>
      <c r="G98" s="5"/>
      <c r="H98" s="5"/>
      <c r="I98" s="5"/>
      <c r="J98" s="5"/>
      <c r="K98" s="5"/>
      <c r="L98" s="5"/>
      <c r="M98" s="5"/>
    </row>
    <row r="99" spans="1:13" ht="15" customHeight="1">
      <c r="A99" s="5"/>
      <c r="B99" s="5"/>
      <c r="C99" s="5"/>
      <c r="D99" s="5"/>
      <c r="E99" s="5"/>
      <c r="F99" s="5"/>
      <c r="G99" s="5"/>
      <c r="H99" s="5"/>
      <c r="I99" s="5"/>
      <c r="J99" s="5"/>
      <c r="K99" s="5"/>
      <c r="L99" s="5"/>
      <c r="M99" s="5"/>
    </row>
    <row r="100" spans="1:13" ht="15" customHeight="1">
      <c r="A100" s="5"/>
      <c r="B100" s="5"/>
      <c r="C100" s="5"/>
      <c r="D100" s="5"/>
      <c r="E100" s="5"/>
      <c r="F100" s="5"/>
      <c r="G100" s="5"/>
      <c r="H100" s="5"/>
      <c r="I100" s="5"/>
      <c r="J100" s="5"/>
      <c r="K100" s="5"/>
      <c r="L100" s="5"/>
      <c r="M100" s="5"/>
    </row>
    <row r="101" spans="1:13" ht="15" customHeight="1">
      <c r="A101" s="10"/>
    </row>
    <row r="102" spans="1:13" ht="15.75" customHeight="1"/>
    <row r="103" spans="1:13" ht="15.75" customHeight="1"/>
    <row r="104" spans="1:13" ht="15.75" customHeight="1"/>
    <row r="105" spans="1:13" ht="15.75" customHeight="1"/>
    <row r="106" spans="1:13" ht="15.75" customHeight="1"/>
    <row r="107" spans="1:13" ht="15.75" customHeight="1"/>
    <row r="108" spans="1:13" ht="15.75" customHeight="1"/>
    <row r="109" spans="1:13" ht="15.75" customHeight="1"/>
    <row r="110" spans="1:13" ht="15.75" customHeight="1"/>
    <row r="111" spans="1:13" ht="15.75" customHeight="1"/>
    <row r="112" spans="1:13"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3DBC7-8042-4ADB-9AA5-2E78D724EBA9}">
  <sheetPr>
    <tabColor rgb="FFFFC000"/>
  </sheetPr>
  <dimension ref="A1:A76"/>
  <sheetViews>
    <sheetView workbookViewId="0"/>
  </sheetViews>
  <sheetFormatPr baseColWidth="10" defaultColWidth="8.83203125" defaultRowHeight="14"/>
  <cols>
    <col min="1" max="1" width="105.83203125" style="24" customWidth="1"/>
    <col min="2" max="16384" width="8.83203125" style="24"/>
  </cols>
  <sheetData>
    <row r="1" spans="1:1">
      <c r="A1" s="248" t="s">
        <v>3434</v>
      </c>
    </row>
    <row r="2" spans="1:1">
      <c r="A2" s="248" t="s">
        <v>3435</v>
      </c>
    </row>
    <row r="4" spans="1:1">
      <c r="A4" s="32" t="s">
        <v>3416</v>
      </c>
    </row>
    <row r="5" spans="1:1">
      <c r="A5" s="32" t="s">
        <v>3436</v>
      </c>
    </row>
    <row r="6" spans="1:1">
      <c r="A6" s="32" t="s">
        <v>3460</v>
      </c>
    </row>
    <row r="7" spans="1:1">
      <c r="A7" s="32"/>
    </row>
    <row r="8" spans="1:1">
      <c r="A8" s="33" t="s">
        <v>3461</v>
      </c>
    </row>
    <row r="9" spans="1:1">
      <c r="A9" s="31" t="s">
        <v>3340</v>
      </c>
    </row>
    <row r="10" spans="1:1">
      <c r="A10" s="31" t="s">
        <v>3341</v>
      </c>
    </row>
    <row r="11" spans="1:1">
      <c r="A11" s="31" t="s">
        <v>3342</v>
      </c>
    </row>
    <row r="13" spans="1:1">
      <c r="A13" s="33" t="s">
        <v>3462</v>
      </c>
    </row>
    <row r="14" spans="1:1">
      <c r="A14" s="31" t="s">
        <v>3343</v>
      </c>
    </row>
    <row r="15" spans="1:1">
      <c r="A15" s="31" t="s">
        <v>3344</v>
      </c>
    </row>
    <row r="16" spans="1:1">
      <c r="A16" s="31" t="s">
        <v>2749</v>
      </c>
    </row>
    <row r="17" spans="1:1">
      <c r="A17" s="31" t="s">
        <v>3125</v>
      </c>
    </row>
    <row r="18" spans="1:1">
      <c r="A18" s="31" t="s">
        <v>3345</v>
      </c>
    </row>
    <row r="19" spans="1:1">
      <c r="A19" s="31" t="s">
        <v>2750</v>
      </c>
    </row>
    <row r="20" spans="1:1">
      <c r="A20" s="31" t="s">
        <v>2751</v>
      </c>
    </row>
    <row r="21" spans="1:1">
      <c r="A21" s="31" t="s">
        <v>2752</v>
      </c>
    </row>
    <row r="22" spans="1:1">
      <c r="A22" s="31" t="s">
        <v>2753</v>
      </c>
    </row>
    <row r="23" spans="1:1">
      <c r="A23" s="31" t="s">
        <v>777</v>
      </c>
    </row>
    <row r="24" spans="1:1">
      <c r="A24" s="31" t="s">
        <v>3346</v>
      </c>
    </row>
    <row r="25" spans="1:1">
      <c r="A25" s="31" t="s">
        <v>2755</v>
      </c>
    </row>
    <row r="27" spans="1:1">
      <c r="A27" s="33" t="s">
        <v>3463</v>
      </c>
    </row>
    <row r="28" spans="1:1">
      <c r="A28" s="31" t="s">
        <v>3347</v>
      </c>
    </row>
    <row r="29" spans="1:1">
      <c r="A29" s="31" t="s">
        <v>3348</v>
      </c>
    </row>
    <row r="30" spans="1:1">
      <c r="A30" s="31" t="s">
        <v>3349</v>
      </c>
    </row>
    <row r="31" spans="1:1">
      <c r="A31" s="31" t="s">
        <v>3350</v>
      </c>
    </row>
    <row r="32" spans="1:1">
      <c r="A32" s="31" t="s">
        <v>3441</v>
      </c>
    </row>
    <row r="34" spans="1:1">
      <c r="A34" s="33" t="s">
        <v>3464</v>
      </c>
    </row>
    <row r="35" spans="1:1">
      <c r="A35" s="31" t="s">
        <v>3417</v>
      </c>
    </row>
    <row r="36" spans="1:1">
      <c r="A36" s="31" t="s">
        <v>3321</v>
      </c>
    </row>
    <row r="37" spans="1:1">
      <c r="A37" s="31" t="s">
        <v>3354</v>
      </c>
    </row>
    <row r="38" spans="1:1">
      <c r="A38" s="31" t="s">
        <v>3351</v>
      </c>
    </row>
    <row r="39" spans="1:1">
      <c r="A39" s="31" t="s">
        <v>3352</v>
      </c>
    </row>
    <row r="40" spans="1:1">
      <c r="A40" s="31" t="s">
        <v>3353</v>
      </c>
    </row>
    <row r="41" spans="1:1">
      <c r="A41" s="31" t="s">
        <v>3442</v>
      </c>
    </row>
    <row r="42" spans="1:1">
      <c r="A42" s="31" t="s">
        <v>3443</v>
      </c>
    </row>
    <row r="44" spans="1:1">
      <c r="A44" s="33" t="s">
        <v>3465</v>
      </c>
    </row>
    <row r="45" spans="1:1">
      <c r="A45" s="31" t="s">
        <v>3355</v>
      </c>
    </row>
    <row r="46" spans="1:1">
      <c r="A46" s="31" t="s">
        <v>3356</v>
      </c>
    </row>
    <row r="47" spans="1:1">
      <c r="A47" s="31" t="s">
        <v>3368</v>
      </c>
    </row>
    <row r="48" spans="1:1">
      <c r="A48" s="31" t="s">
        <v>3357</v>
      </c>
    </row>
    <row r="49" spans="1:1">
      <c r="A49" s="31"/>
    </row>
    <row r="50" spans="1:1">
      <c r="A50" s="33" t="s">
        <v>3466</v>
      </c>
    </row>
    <row r="51" spans="1:1">
      <c r="A51" s="24" t="s">
        <v>3418</v>
      </c>
    </row>
    <row r="53" spans="1:1">
      <c r="A53" s="33" t="s">
        <v>3467</v>
      </c>
    </row>
    <row r="54" spans="1:1">
      <c r="A54" s="31" t="s">
        <v>3473</v>
      </c>
    </row>
    <row r="55" spans="1:1">
      <c r="A55" s="31" t="s">
        <v>3358</v>
      </c>
    </row>
    <row r="56" spans="1:1">
      <c r="A56" s="31" t="s">
        <v>3359</v>
      </c>
    </row>
    <row r="57" spans="1:1">
      <c r="A57" s="31" t="s">
        <v>3440</v>
      </c>
    </row>
    <row r="59" spans="1:1">
      <c r="A59" s="33" t="s">
        <v>3468</v>
      </c>
    </row>
    <row r="60" spans="1:1">
      <c r="A60" s="31" t="s">
        <v>3360</v>
      </c>
    </row>
    <row r="61" spans="1:1">
      <c r="A61" s="31" t="s">
        <v>3361</v>
      </c>
    </row>
    <row r="62" spans="1:1">
      <c r="A62" s="31" t="s">
        <v>3362</v>
      </c>
    </row>
    <row r="64" spans="1:1">
      <c r="A64" s="33" t="s">
        <v>3469</v>
      </c>
    </row>
    <row r="65" spans="1:1">
      <c r="A65" s="31" t="s">
        <v>3363</v>
      </c>
    </row>
    <row r="66" spans="1:1">
      <c r="A66" s="31" t="s">
        <v>3364</v>
      </c>
    </row>
    <row r="67" spans="1:1">
      <c r="A67" s="31" t="s">
        <v>3450</v>
      </c>
    </row>
    <row r="69" spans="1:1">
      <c r="A69" s="33" t="s">
        <v>3470</v>
      </c>
    </row>
    <row r="70" spans="1:1">
      <c r="A70" s="31" t="s">
        <v>3365</v>
      </c>
    </row>
    <row r="71" spans="1:1">
      <c r="A71" s="31" t="s">
        <v>2704</v>
      </c>
    </row>
    <row r="72" spans="1:1">
      <c r="A72" s="31" t="s">
        <v>3401</v>
      </c>
    </row>
    <row r="73" spans="1:1">
      <c r="A73" s="31" t="s">
        <v>3366</v>
      </c>
    </row>
    <row r="74" spans="1:1">
      <c r="A74" s="31" t="s">
        <v>3367</v>
      </c>
    </row>
    <row r="76" spans="1:1">
      <c r="A76" s="248" t="s">
        <v>3471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outlinePr summaryBelow="0" summaryRight="0"/>
  </sheetPr>
  <dimension ref="A1:BU375"/>
  <sheetViews>
    <sheetView workbookViewId="0"/>
  </sheetViews>
  <sheetFormatPr baseColWidth="10" defaultColWidth="14.5" defaultRowHeight="15" customHeight="1"/>
  <cols>
    <col min="1" max="1" width="49.33203125" style="252" customWidth="1"/>
    <col min="2" max="2" width="16.33203125" style="252" customWidth="1"/>
    <col min="3" max="3" width="23.5" style="252" customWidth="1"/>
    <col min="4" max="4" width="25.5" style="252" customWidth="1"/>
    <col min="5" max="6" width="23.6640625" style="252" customWidth="1"/>
    <col min="7" max="7" width="19.6640625" style="252" customWidth="1"/>
    <col min="8" max="8" width="14.5" style="252"/>
    <col min="9" max="9" width="16.1640625" style="252" customWidth="1"/>
    <col min="10" max="10" width="19.33203125" style="252" customWidth="1"/>
    <col min="11" max="12" width="14.5" style="252"/>
    <col min="13" max="13" width="16.1640625" style="252" customWidth="1"/>
    <col min="14" max="16384" width="14.5" style="252"/>
  </cols>
  <sheetData>
    <row r="1" spans="1:72">
      <c r="A1" s="251" t="s">
        <v>3413</v>
      </c>
    </row>
    <row r="2" spans="1:72" ht="14">
      <c r="A2" s="253" t="s">
        <v>21</v>
      </c>
    </row>
    <row r="3" spans="1:72" ht="14">
      <c r="A3" s="253" t="s">
        <v>33</v>
      </c>
    </row>
    <row r="4" spans="1:72" ht="14">
      <c r="A4" s="253" t="s">
        <v>34</v>
      </c>
    </row>
    <row r="5" spans="1:72" ht="14">
      <c r="B5" s="254"/>
      <c r="C5" s="254"/>
      <c r="D5" s="254"/>
      <c r="E5" s="254"/>
      <c r="F5" s="254"/>
      <c r="G5" s="254"/>
      <c r="H5" s="254"/>
      <c r="I5" s="254"/>
    </row>
    <row r="6" spans="1:72">
      <c r="A6" s="255" t="s">
        <v>2550</v>
      </c>
      <c r="B6" s="254"/>
      <c r="C6" s="254"/>
      <c r="D6" s="254"/>
      <c r="E6" s="254"/>
      <c r="F6" s="254"/>
      <c r="G6" s="254"/>
      <c r="H6" s="254"/>
      <c r="I6" s="254"/>
    </row>
    <row r="7" spans="1:72">
      <c r="A7" s="255" t="s">
        <v>2551</v>
      </c>
      <c r="B7" s="254"/>
      <c r="C7" s="254"/>
      <c r="D7" s="254"/>
      <c r="E7" s="254"/>
      <c r="F7" s="254"/>
      <c r="G7" s="254"/>
      <c r="H7" s="254"/>
      <c r="I7" s="254"/>
    </row>
    <row r="8" spans="1:72">
      <c r="A8" s="255" t="s">
        <v>2552</v>
      </c>
      <c r="B8" s="254"/>
      <c r="C8" s="254"/>
      <c r="D8" s="254"/>
      <c r="E8" s="254"/>
      <c r="F8" s="254"/>
      <c r="G8" s="254"/>
      <c r="H8" s="254"/>
      <c r="I8" s="254"/>
    </row>
    <row r="9" spans="1:72">
      <c r="A9" s="255" t="s">
        <v>37</v>
      </c>
      <c r="B9" s="254"/>
      <c r="C9" s="254"/>
      <c r="D9" s="254"/>
      <c r="E9" s="254"/>
      <c r="F9" s="254"/>
      <c r="G9" s="254"/>
      <c r="H9" s="254"/>
      <c r="I9" s="254"/>
    </row>
    <row r="10" spans="1:72">
      <c r="A10" s="255" t="s">
        <v>38</v>
      </c>
      <c r="B10" s="256" t="s">
        <v>2553</v>
      </c>
      <c r="C10" s="256" t="s">
        <v>2554</v>
      </c>
      <c r="D10" s="256" t="s">
        <v>2555</v>
      </c>
      <c r="E10" s="256" t="s">
        <v>2556</v>
      </c>
      <c r="F10" s="256" t="s">
        <v>2557</v>
      </c>
      <c r="G10" s="256" t="s">
        <v>2558</v>
      </c>
      <c r="H10" s="256" t="s">
        <v>2559</v>
      </c>
      <c r="I10" s="256" t="s">
        <v>2560</v>
      </c>
      <c r="J10" s="256" t="s">
        <v>2561</v>
      </c>
      <c r="K10" s="256" t="s">
        <v>2562</v>
      </c>
      <c r="L10" s="256" t="s">
        <v>2563</v>
      </c>
      <c r="M10" s="256" t="s">
        <v>2564</v>
      </c>
      <c r="N10" s="257"/>
    </row>
    <row r="11" spans="1:72">
      <c r="A11" s="255" t="s">
        <v>39</v>
      </c>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c r="AG11" s="254"/>
    </row>
    <row r="12" spans="1:72" ht="14">
      <c r="A12" s="258"/>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9"/>
      <c r="AI12" s="259"/>
      <c r="AJ12" s="259"/>
      <c r="AK12" s="259"/>
      <c r="AL12" s="259"/>
      <c r="AM12" s="259"/>
      <c r="AN12" s="259"/>
      <c r="AO12" s="259"/>
      <c r="AP12" s="259"/>
      <c r="AQ12" s="259"/>
      <c r="AR12" s="259"/>
      <c r="AS12" s="259"/>
      <c r="AT12" s="259"/>
      <c r="AU12" s="259"/>
      <c r="AV12" s="259"/>
      <c r="AW12" s="259"/>
      <c r="AX12" s="259"/>
      <c r="AY12" s="259"/>
      <c r="AZ12" s="259"/>
      <c r="BA12" s="259"/>
      <c r="BB12" s="259"/>
      <c r="BC12" s="259"/>
      <c r="BD12" s="259"/>
      <c r="BE12" s="259"/>
      <c r="BF12" s="259"/>
      <c r="BG12" s="259"/>
      <c r="BH12" s="259"/>
      <c r="BI12" s="259"/>
      <c r="BJ12" s="259"/>
      <c r="BK12" s="259"/>
      <c r="BL12" s="259"/>
      <c r="BM12" s="259"/>
      <c r="BN12" s="259"/>
      <c r="BO12" s="259"/>
      <c r="BP12" s="259"/>
      <c r="BQ12" s="259"/>
      <c r="BR12" s="259"/>
      <c r="BS12" s="259"/>
      <c r="BT12" s="259"/>
    </row>
    <row r="13" spans="1:72">
      <c r="A13" s="249" t="s">
        <v>2565</v>
      </c>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row>
    <row r="14" spans="1:72">
      <c r="A14" s="249" t="s">
        <v>2566</v>
      </c>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row>
    <row r="15" spans="1:72">
      <c r="A15" s="249" t="s">
        <v>41</v>
      </c>
      <c r="B15" s="260" t="s">
        <v>2567</v>
      </c>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c r="AG15" s="254"/>
    </row>
    <row r="16" spans="1:72" ht="30">
      <c r="A16" s="249" t="s">
        <v>42</v>
      </c>
      <c r="B16" s="260" t="s">
        <v>2568</v>
      </c>
      <c r="C16" s="260" t="s">
        <v>2569</v>
      </c>
      <c r="D16" s="260" t="s">
        <v>2570</v>
      </c>
      <c r="E16" s="260" t="s">
        <v>2571</v>
      </c>
      <c r="F16" s="260" t="s">
        <v>2572</v>
      </c>
      <c r="G16" s="260" t="s">
        <v>2573</v>
      </c>
      <c r="H16" s="260" t="s">
        <v>2574</v>
      </c>
      <c r="I16" s="260" t="s">
        <v>2575</v>
      </c>
      <c r="J16" s="260" t="s">
        <v>2576</v>
      </c>
      <c r="K16" s="260" t="s">
        <v>2577</v>
      </c>
      <c r="L16" s="260" t="s">
        <v>2578</v>
      </c>
      <c r="M16" s="260" t="s">
        <v>2579</v>
      </c>
      <c r="N16" s="260" t="s">
        <v>2580</v>
      </c>
      <c r="O16" s="260" t="s">
        <v>2581</v>
      </c>
      <c r="P16" s="260" t="s">
        <v>2582</v>
      </c>
      <c r="Q16" s="260" t="s">
        <v>2583</v>
      </c>
      <c r="R16" s="260" t="s">
        <v>2584</v>
      </c>
      <c r="S16" s="260" t="s">
        <v>2585</v>
      </c>
      <c r="T16" s="260" t="s">
        <v>2586</v>
      </c>
      <c r="U16" s="260" t="s">
        <v>2587</v>
      </c>
      <c r="V16" s="260" t="s">
        <v>2588</v>
      </c>
      <c r="W16" s="260" t="s">
        <v>2589</v>
      </c>
      <c r="X16" s="260" t="s">
        <v>2590</v>
      </c>
      <c r="Y16" s="260" t="s">
        <v>2591</v>
      </c>
      <c r="Z16" s="260" t="s">
        <v>2592</v>
      </c>
      <c r="AA16" s="260" t="s">
        <v>2593</v>
      </c>
      <c r="AB16" s="260" t="s">
        <v>2594</v>
      </c>
      <c r="AC16" s="260" t="s">
        <v>2595</v>
      </c>
      <c r="AD16" s="260" t="s">
        <v>2596</v>
      </c>
      <c r="AE16" s="260" t="s">
        <v>2597</v>
      </c>
      <c r="AF16" s="260" t="s">
        <v>2598</v>
      </c>
      <c r="AG16" s="260" t="s">
        <v>2599</v>
      </c>
      <c r="AH16" s="260" t="s">
        <v>2600</v>
      </c>
      <c r="AI16" s="260" t="s">
        <v>2601</v>
      </c>
      <c r="AJ16" s="260" t="s">
        <v>2602</v>
      </c>
      <c r="AK16" s="260" t="s">
        <v>2603</v>
      </c>
      <c r="AL16" s="260" t="s">
        <v>2604</v>
      </c>
      <c r="AM16" s="260" t="s">
        <v>2605</v>
      </c>
      <c r="AN16" s="260" t="s">
        <v>2606</v>
      </c>
      <c r="AO16" s="260" t="s">
        <v>2607</v>
      </c>
      <c r="AP16" s="260" t="s">
        <v>2608</v>
      </c>
      <c r="AQ16" s="260" t="s">
        <v>2609</v>
      </c>
      <c r="AR16" s="260" t="s">
        <v>2610</v>
      </c>
      <c r="AS16" s="260" t="s">
        <v>2611</v>
      </c>
      <c r="AT16" s="260" t="s">
        <v>2612</v>
      </c>
      <c r="AU16" s="260" t="s">
        <v>2613</v>
      </c>
      <c r="AV16" s="260" t="s">
        <v>2614</v>
      </c>
      <c r="AW16" s="260" t="s">
        <v>2615</v>
      </c>
      <c r="AX16" s="260" t="s">
        <v>2616</v>
      </c>
      <c r="AY16" s="260" t="s">
        <v>2617</v>
      </c>
      <c r="AZ16" s="260" t="s">
        <v>2618</v>
      </c>
    </row>
    <row r="17" spans="1:72" ht="240">
      <c r="A17" s="249" t="s">
        <v>43</v>
      </c>
      <c r="B17" s="260" t="s">
        <v>2619</v>
      </c>
      <c r="C17" s="260" t="s">
        <v>2620</v>
      </c>
      <c r="D17" s="260" t="s">
        <v>2621</v>
      </c>
      <c r="E17" s="260" t="s">
        <v>2622</v>
      </c>
      <c r="H17" s="254"/>
      <c r="I17" s="254"/>
      <c r="J17" s="254"/>
      <c r="K17" s="254"/>
      <c r="L17" s="254"/>
      <c r="M17" s="254"/>
      <c r="N17" s="254"/>
      <c r="O17" s="254"/>
      <c r="P17" s="254"/>
    </row>
    <row r="18" spans="1:72">
      <c r="A18" s="249" t="s">
        <v>2623</v>
      </c>
      <c r="B18" s="260" t="s">
        <v>2624</v>
      </c>
      <c r="C18" s="260" t="s">
        <v>2625</v>
      </c>
      <c r="D18" s="260" t="s">
        <v>2626</v>
      </c>
      <c r="E18" s="254"/>
      <c r="F18" s="254"/>
      <c r="G18" s="254"/>
      <c r="H18" s="254"/>
      <c r="I18" s="254"/>
      <c r="J18" s="254"/>
      <c r="K18" s="254"/>
      <c r="L18" s="254"/>
      <c r="M18" s="254"/>
      <c r="N18" s="254"/>
      <c r="O18" s="254"/>
      <c r="P18" s="254"/>
    </row>
    <row r="19" spans="1:72" ht="30">
      <c r="A19" s="249" t="s">
        <v>2627</v>
      </c>
      <c r="B19" s="260" t="s">
        <v>2628</v>
      </c>
      <c r="C19" s="260" t="s">
        <v>2629</v>
      </c>
      <c r="D19" s="260" t="s">
        <v>2630</v>
      </c>
      <c r="E19" s="260" t="s">
        <v>2631</v>
      </c>
      <c r="F19" s="260" t="s">
        <v>2632</v>
      </c>
      <c r="G19" s="260" t="s">
        <v>2633</v>
      </c>
      <c r="H19" s="260" t="s">
        <v>2634</v>
      </c>
      <c r="I19" s="260" t="s">
        <v>2965</v>
      </c>
      <c r="J19" s="260" t="s">
        <v>2966</v>
      </c>
      <c r="K19" s="254"/>
      <c r="L19" s="254"/>
      <c r="M19" s="254"/>
      <c r="N19" s="254"/>
      <c r="O19" s="254"/>
      <c r="P19" s="254"/>
    </row>
    <row r="20" spans="1:72">
      <c r="A20" s="249" t="s">
        <v>2635</v>
      </c>
      <c r="B20" s="260" t="s">
        <v>2636</v>
      </c>
      <c r="C20" s="260" t="s">
        <v>2637</v>
      </c>
      <c r="D20" s="259"/>
      <c r="E20" s="259"/>
      <c r="F20" s="259"/>
      <c r="G20" s="259"/>
      <c r="H20" s="259"/>
      <c r="I20" s="259"/>
      <c r="J20" s="254"/>
      <c r="K20" s="254"/>
      <c r="L20" s="254"/>
      <c r="M20" s="254"/>
      <c r="N20" s="254"/>
      <c r="O20" s="254"/>
      <c r="P20" s="254"/>
    </row>
    <row r="21" spans="1:72" ht="30">
      <c r="A21" s="249" t="s">
        <v>2638</v>
      </c>
      <c r="B21" s="260" t="s">
        <v>2628</v>
      </c>
      <c r="C21" s="260" t="s">
        <v>2629</v>
      </c>
      <c r="D21" s="260" t="s">
        <v>2630</v>
      </c>
      <c r="E21" s="260" t="s">
        <v>2631</v>
      </c>
      <c r="F21" s="260" t="s">
        <v>2632</v>
      </c>
      <c r="G21" s="260" t="s">
        <v>2633</v>
      </c>
      <c r="H21" s="260" t="s">
        <v>2634</v>
      </c>
      <c r="I21" s="260" t="s">
        <v>2965</v>
      </c>
      <c r="J21" s="260" t="s">
        <v>2966</v>
      </c>
      <c r="K21" s="254"/>
      <c r="L21" s="254"/>
      <c r="M21" s="254"/>
      <c r="N21" s="254"/>
      <c r="O21" s="254"/>
      <c r="P21" s="254"/>
    </row>
    <row r="22" spans="1:72">
      <c r="A22" s="249" t="s">
        <v>2639</v>
      </c>
      <c r="B22" s="260" t="s">
        <v>2636</v>
      </c>
      <c r="C22" s="260" t="s">
        <v>2637</v>
      </c>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row>
    <row r="23" spans="1:72" ht="30">
      <c r="A23" s="249" t="s">
        <v>3113</v>
      </c>
      <c r="B23" s="250" t="s">
        <v>2636</v>
      </c>
      <c r="C23" s="250" t="s">
        <v>3448</v>
      </c>
      <c r="D23" s="250" t="s">
        <v>3449</v>
      </c>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row>
    <row r="24" spans="1:72" ht="14">
      <c r="A24" s="258"/>
      <c r="B24" s="261"/>
      <c r="C24" s="254"/>
      <c r="D24" s="254"/>
      <c r="E24" s="254"/>
      <c r="F24" s="254"/>
      <c r="G24" s="254"/>
      <c r="H24" s="254"/>
      <c r="I24" s="254"/>
    </row>
    <row r="25" spans="1:72">
      <c r="A25" s="262" t="s">
        <v>2640</v>
      </c>
      <c r="B25" s="261"/>
      <c r="C25" s="254"/>
      <c r="D25" s="254"/>
      <c r="E25" s="254"/>
      <c r="F25" s="254"/>
      <c r="G25" s="254"/>
      <c r="H25" s="254"/>
      <c r="I25" s="254"/>
    </row>
    <row r="26" spans="1:72">
      <c r="A26" s="262" t="s">
        <v>2641</v>
      </c>
      <c r="B26" s="263" t="s">
        <v>2642</v>
      </c>
      <c r="C26" s="254"/>
      <c r="D26" s="254"/>
      <c r="E26" s="254"/>
      <c r="F26" s="254"/>
      <c r="G26" s="254"/>
      <c r="H26" s="254"/>
      <c r="I26" s="254"/>
    </row>
    <row r="27" spans="1:72">
      <c r="A27" s="262" t="s">
        <v>2643</v>
      </c>
      <c r="B27" s="263" t="s">
        <v>2642</v>
      </c>
      <c r="C27" s="254"/>
      <c r="D27" s="254"/>
      <c r="E27" s="254"/>
      <c r="F27" s="254"/>
      <c r="G27" s="254"/>
      <c r="H27" s="254"/>
      <c r="I27" s="254"/>
    </row>
    <row r="28" spans="1:72">
      <c r="A28" s="262" t="s">
        <v>2645</v>
      </c>
      <c r="B28" s="263" t="s">
        <v>2636</v>
      </c>
      <c r="C28" s="263" t="s">
        <v>2637</v>
      </c>
      <c r="D28" s="254"/>
      <c r="E28" s="254"/>
      <c r="F28" s="254"/>
      <c r="G28" s="254"/>
      <c r="H28" s="254"/>
      <c r="I28" s="254"/>
    </row>
    <row r="29" spans="1:72" ht="14">
      <c r="A29" s="258"/>
      <c r="B29" s="259"/>
      <c r="C29" s="254"/>
      <c r="D29" s="254"/>
      <c r="E29" s="254"/>
      <c r="F29" s="254"/>
      <c r="G29" s="254"/>
      <c r="H29" s="254"/>
      <c r="I29" s="254"/>
      <c r="J29" s="254"/>
      <c r="K29" s="254"/>
      <c r="L29" s="254"/>
      <c r="M29" s="254"/>
      <c r="N29" s="254"/>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row>
    <row r="30" spans="1:72">
      <c r="A30" s="264" t="s">
        <v>3398</v>
      </c>
      <c r="B30" s="259"/>
      <c r="C30" s="254"/>
      <c r="D30" s="254"/>
      <c r="E30" s="254"/>
      <c r="F30" s="254"/>
      <c r="G30" s="254"/>
      <c r="H30" s="254"/>
      <c r="I30" s="254"/>
      <c r="J30" s="254"/>
      <c r="K30" s="254"/>
      <c r="L30" s="254"/>
      <c r="M30" s="254"/>
      <c r="N30" s="254"/>
    </row>
    <row r="31" spans="1:72">
      <c r="A31" s="264" t="s">
        <v>51</v>
      </c>
      <c r="B31" s="265" t="s">
        <v>3411</v>
      </c>
      <c r="C31" s="254"/>
      <c r="D31" s="254"/>
      <c r="E31" s="254"/>
      <c r="F31" s="254"/>
      <c r="G31" s="254"/>
      <c r="H31" s="254"/>
      <c r="I31" s="254"/>
      <c r="J31" s="254"/>
    </row>
    <row r="32" spans="1:72">
      <c r="A32" s="264" t="s">
        <v>52</v>
      </c>
      <c r="B32" s="265" t="s">
        <v>2646</v>
      </c>
      <c r="C32" s="265" t="s">
        <v>2647</v>
      </c>
      <c r="D32" s="254"/>
      <c r="E32" s="254"/>
      <c r="F32" s="254"/>
      <c r="G32" s="254"/>
      <c r="H32" s="254"/>
      <c r="I32" s="254"/>
    </row>
    <row r="33" spans="1:11">
      <c r="A33" s="264" t="s">
        <v>53</v>
      </c>
      <c r="B33" s="265" t="s">
        <v>2648</v>
      </c>
      <c r="C33" s="265" t="s">
        <v>2649</v>
      </c>
      <c r="D33" s="265" t="s">
        <v>2650</v>
      </c>
      <c r="E33" s="265" t="s">
        <v>2651</v>
      </c>
      <c r="F33" s="265" t="s">
        <v>2652</v>
      </c>
      <c r="G33" s="265" t="s">
        <v>2653</v>
      </c>
      <c r="H33" s="265" t="s">
        <v>2654</v>
      </c>
      <c r="I33" s="254"/>
    </row>
    <row r="34" spans="1:11">
      <c r="A34" s="264" t="s">
        <v>54</v>
      </c>
      <c r="B34" s="265" t="s">
        <v>2636</v>
      </c>
      <c r="C34" s="265" t="s">
        <v>2637</v>
      </c>
      <c r="D34" s="254"/>
      <c r="E34" s="254"/>
      <c r="F34" s="254"/>
      <c r="G34" s="254"/>
      <c r="H34" s="254"/>
      <c r="I34" s="254"/>
    </row>
    <row r="35" spans="1:11">
      <c r="A35" s="264" t="s">
        <v>2655</v>
      </c>
      <c r="B35" s="265" t="s">
        <v>2656</v>
      </c>
      <c r="C35" s="265" t="s">
        <v>3397</v>
      </c>
      <c r="D35" s="254"/>
      <c r="E35" s="254"/>
      <c r="F35" s="254"/>
      <c r="G35" s="254"/>
      <c r="H35" s="254"/>
      <c r="I35" s="254"/>
    </row>
    <row r="36" spans="1:11" ht="30">
      <c r="A36" s="264" t="s">
        <v>56</v>
      </c>
      <c r="B36" s="265" t="s">
        <v>2657</v>
      </c>
      <c r="C36" s="265" t="s">
        <v>2658</v>
      </c>
      <c r="D36" s="265" t="s">
        <v>2659</v>
      </c>
      <c r="E36" s="265" t="s">
        <v>2660</v>
      </c>
      <c r="F36" s="265" t="s">
        <v>2661</v>
      </c>
      <c r="G36" s="265" t="s">
        <v>2662</v>
      </c>
      <c r="H36" s="266" t="s">
        <v>3371</v>
      </c>
      <c r="I36" s="254"/>
    </row>
    <row r="37" spans="1:11" ht="30">
      <c r="A37" s="264" t="s">
        <v>57</v>
      </c>
      <c r="B37" s="265" t="s">
        <v>2663</v>
      </c>
      <c r="C37" s="265" t="s">
        <v>2664</v>
      </c>
      <c r="D37" s="265" t="s">
        <v>2665</v>
      </c>
      <c r="E37" s="265" t="s">
        <v>2666</v>
      </c>
      <c r="F37" s="265" t="s">
        <v>2667</v>
      </c>
      <c r="I37" s="254"/>
    </row>
    <row r="38" spans="1:11" ht="75">
      <c r="A38" s="264" t="s">
        <v>2668</v>
      </c>
      <c r="B38" s="265" t="s">
        <v>2669</v>
      </c>
      <c r="C38" s="265" t="s">
        <v>2670</v>
      </c>
      <c r="D38" s="265" t="s">
        <v>2671</v>
      </c>
      <c r="E38" s="254"/>
      <c r="F38" s="254"/>
      <c r="G38" s="254"/>
      <c r="H38" s="254"/>
      <c r="I38" s="254"/>
      <c r="J38" s="254"/>
      <c r="K38" s="254"/>
    </row>
    <row r="39" spans="1:11">
      <c r="A39" s="264" t="s">
        <v>2672</v>
      </c>
      <c r="B39" s="254"/>
      <c r="C39" s="254"/>
      <c r="D39" s="254"/>
      <c r="E39" s="254"/>
      <c r="F39" s="254"/>
      <c r="G39" s="254"/>
      <c r="H39" s="254"/>
      <c r="I39" s="254"/>
    </row>
    <row r="40" spans="1:11">
      <c r="A40" s="264" t="s">
        <v>2673</v>
      </c>
      <c r="B40" s="265" t="s">
        <v>2674</v>
      </c>
      <c r="C40" s="265" t="s">
        <v>2675</v>
      </c>
      <c r="D40" s="265" t="s">
        <v>2676</v>
      </c>
      <c r="E40" s="265" t="s">
        <v>2677</v>
      </c>
      <c r="F40" s="265" t="s">
        <v>2678</v>
      </c>
    </row>
    <row r="41" spans="1:11">
      <c r="A41" s="264" t="s">
        <v>2679</v>
      </c>
      <c r="B41" s="265" t="s">
        <v>2642</v>
      </c>
      <c r="C41" s="254"/>
      <c r="D41" s="254"/>
      <c r="E41" s="254"/>
      <c r="F41" s="254"/>
    </row>
    <row r="42" spans="1:11">
      <c r="A42" s="264" t="s">
        <v>2680</v>
      </c>
      <c r="B42" s="265" t="s">
        <v>2642</v>
      </c>
      <c r="C42" s="254"/>
      <c r="D42" s="254"/>
      <c r="E42" s="254"/>
      <c r="F42" s="254"/>
    </row>
    <row r="43" spans="1:11">
      <c r="A43" s="264" t="s">
        <v>2681</v>
      </c>
      <c r="B43" s="265" t="s">
        <v>2642</v>
      </c>
      <c r="C43" s="254"/>
      <c r="D43" s="254"/>
      <c r="E43" s="254"/>
      <c r="F43" s="254"/>
    </row>
    <row r="44" spans="1:11" ht="30">
      <c r="A44" s="264" t="s">
        <v>2682</v>
      </c>
      <c r="B44" s="265" t="s">
        <v>2683</v>
      </c>
      <c r="C44" s="265" t="s">
        <v>2684</v>
      </c>
      <c r="D44" s="265" t="s">
        <v>2685</v>
      </c>
      <c r="E44" s="265" t="s">
        <v>2686</v>
      </c>
    </row>
    <row r="45" spans="1:11">
      <c r="A45" s="264" t="s">
        <v>2687</v>
      </c>
      <c r="B45" s="265" t="s">
        <v>2636</v>
      </c>
      <c r="C45" s="265" t="s">
        <v>2637</v>
      </c>
      <c r="D45" s="254"/>
      <c r="E45" s="254"/>
      <c r="F45" s="254"/>
      <c r="G45" s="254"/>
      <c r="H45" s="254"/>
      <c r="I45" s="254"/>
    </row>
    <row r="46" spans="1:11">
      <c r="A46" s="264" t="s">
        <v>2688</v>
      </c>
      <c r="B46" s="265" t="s">
        <v>2689</v>
      </c>
      <c r="C46" s="265" t="s">
        <v>2690</v>
      </c>
      <c r="D46" s="254"/>
      <c r="E46" s="254"/>
      <c r="F46" s="254"/>
      <c r="G46" s="254"/>
      <c r="H46" s="254"/>
      <c r="I46" s="254"/>
    </row>
    <row r="47" spans="1:11">
      <c r="A47" s="264" t="s">
        <v>2691</v>
      </c>
      <c r="B47" s="265" t="s">
        <v>2692</v>
      </c>
      <c r="C47" s="265" t="s">
        <v>2693</v>
      </c>
      <c r="D47" s="265" t="s">
        <v>2694</v>
      </c>
      <c r="E47" s="254"/>
      <c r="F47" s="254"/>
      <c r="G47" s="254"/>
      <c r="H47" s="254"/>
      <c r="I47" s="254"/>
    </row>
    <row r="48" spans="1:11" ht="30">
      <c r="A48" s="264" t="s">
        <v>2695</v>
      </c>
      <c r="B48" s="265" t="s">
        <v>2636</v>
      </c>
      <c r="C48" s="265" t="s">
        <v>2637</v>
      </c>
      <c r="D48" s="265" t="s">
        <v>2696</v>
      </c>
      <c r="E48" s="254"/>
      <c r="F48" s="254"/>
      <c r="G48" s="254"/>
      <c r="H48" s="254"/>
      <c r="I48" s="254"/>
    </row>
    <row r="49" spans="1:72" ht="30">
      <c r="A49" s="264" t="s">
        <v>2697</v>
      </c>
      <c r="B49" s="265" t="s">
        <v>2698</v>
      </c>
      <c r="C49" s="265" t="s">
        <v>2699</v>
      </c>
      <c r="D49" s="265" t="s">
        <v>2700</v>
      </c>
      <c r="E49" s="265" t="s">
        <v>2701</v>
      </c>
      <c r="F49" s="265" t="s">
        <v>2702</v>
      </c>
      <c r="G49" s="265" t="s">
        <v>2703</v>
      </c>
    </row>
    <row r="50" spans="1:72" ht="30">
      <c r="A50" s="264" t="s">
        <v>3472</v>
      </c>
      <c r="B50" s="265" t="s">
        <v>2705</v>
      </c>
      <c r="C50" s="265" t="s">
        <v>2706</v>
      </c>
      <c r="D50" s="265" t="s">
        <v>2707</v>
      </c>
      <c r="E50" s="265" t="s">
        <v>2708</v>
      </c>
      <c r="F50" s="254"/>
      <c r="G50" s="254"/>
      <c r="H50" s="254"/>
      <c r="I50" s="254"/>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59"/>
      <c r="AN50" s="259"/>
      <c r="AO50" s="259"/>
      <c r="AP50" s="259"/>
      <c r="AQ50" s="259"/>
      <c r="AR50" s="259"/>
      <c r="AS50" s="259"/>
      <c r="AT50" s="259"/>
      <c r="AU50" s="259"/>
      <c r="AV50" s="259"/>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row>
    <row r="51" spans="1:72">
      <c r="A51" s="264" t="s">
        <v>2709</v>
      </c>
      <c r="B51" s="254"/>
      <c r="C51" s="254"/>
      <c r="D51" s="254"/>
      <c r="E51" s="254"/>
      <c r="F51" s="254"/>
      <c r="G51" s="254"/>
      <c r="H51" s="254"/>
      <c r="I51" s="254"/>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59"/>
      <c r="AN51" s="259"/>
      <c r="AO51" s="259"/>
      <c r="AP51" s="259"/>
      <c r="AQ51" s="259"/>
      <c r="AR51" s="259"/>
      <c r="AS51" s="259"/>
      <c r="AT51" s="259"/>
      <c r="AU51" s="259"/>
      <c r="AV51" s="259"/>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row>
    <row r="52" spans="1:72" ht="14">
      <c r="A52" s="258"/>
      <c r="B52" s="254"/>
      <c r="C52" s="254"/>
      <c r="D52" s="254"/>
      <c r="E52" s="254"/>
      <c r="F52" s="254"/>
      <c r="G52" s="254"/>
      <c r="H52" s="254"/>
      <c r="I52" s="254"/>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row>
    <row r="53" spans="1:72">
      <c r="A53" s="267" t="s">
        <v>2714</v>
      </c>
      <c r="B53" s="254"/>
      <c r="C53" s="254"/>
      <c r="D53" s="254"/>
      <c r="E53" s="254"/>
      <c r="F53" s="254"/>
      <c r="G53" s="254"/>
      <c r="H53" s="254"/>
      <c r="I53" s="254"/>
    </row>
    <row r="54" spans="1:72">
      <c r="A54" s="267" t="s">
        <v>2715</v>
      </c>
      <c r="B54" s="268" t="s">
        <v>2636</v>
      </c>
      <c r="C54" s="268" t="s">
        <v>2637</v>
      </c>
      <c r="D54" s="254"/>
      <c r="E54" s="254"/>
      <c r="F54" s="254"/>
      <c r="G54" s="254"/>
      <c r="H54" s="254"/>
      <c r="I54" s="254"/>
    </row>
    <row r="55" spans="1:72">
      <c r="A55" s="267" t="s">
        <v>2716</v>
      </c>
      <c r="B55" s="268" t="s">
        <v>2636</v>
      </c>
      <c r="C55" s="268" t="s">
        <v>2637</v>
      </c>
      <c r="D55" s="254"/>
      <c r="E55" s="254"/>
      <c r="F55" s="254"/>
      <c r="G55" s="254"/>
      <c r="H55" s="254"/>
      <c r="I55" s="254"/>
    </row>
    <row r="56" spans="1:72">
      <c r="A56" s="267" t="s">
        <v>2717</v>
      </c>
      <c r="B56" s="268" t="s">
        <v>2636</v>
      </c>
      <c r="C56" s="268" t="s">
        <v>2637</v>
      </c>
      <c r="D56" s="254"/>
      <c r="E56" s="254"/>
      <c r="F56" s="254"/>
      <c r="G56" s="254"/>
      <c r="H56" s="254"/>
      <c r="I56" s="254"/>
    </row>
    <row r="57" spans="1:72" ht="45">
      <c r="A57" s="267" t="s">
        <v>2718</v>
      </c>
      <c r="B57" s="268" t="s">
        <v>2636</v>
      </c>
      <c r="C57" s="268" t="s">
        <v>2719</v>
      </c>
      <c r="D57" s="268" t="s">
        <v>2720</v>
      </c>
      <c r="E57" s="268" t="s">
        <v>2721</v>
      </c>
      <c r="F57" s="254"/>
      <c r="G57" s="254"/>
      <c r="H57" s="254"/>
      <c r="I57" s="254"/>
    </row>
    <row r="58" spans="1:72" ht="45">
      <c r="A58" s="267" t="s">
        <v>3114</v>
      </c>
      <c r="B58" s="268" t="s">
        <v>2722</v>
      </c>
      <c r="C58" s="268" t="s">
        <v>2723</v>
      </c>
      <c r="D58" s="268" t="s">
        <v>2724</v>
      </c>
      <c r="E58" s="268" t="s">
        <v>2725</v>
      </c>
      <c r="F58" s="254"/>
      <c r="G58" s="254"/>
      <c r="H58" s="254"/>
      <c r="I58" s="254"/>
    </row>
    <row r="59" spans="1:72" ht="45">
      <c r="A59" s="267" t="s">
        <v>3115</v>
      </c>
      <c r="B59" s="268" t="s">
        <v>2722</v>
      </c>
      <c r="C59" s="268" t="s">
        <v>2723</v>
      </c>
      <c r="D59" s="268" t="s">
        <v>2724</v>
      </c>
      <c r="E59" s="268" t="s">
        <v>2725</v>
      </c>
      <c r="F59" s="254"/>
      <c r="G59" s="254"/>
      <c r="H59" s="254"/>
      <c r="I59" s="254"/>
      <c r="J59" s="254"/>
    </row>
    <row r="60" spans="1:72" ht="45">
      <c r="A60" s="267" t="s">
        <v>3116</v>
      </c>
      <c r="B60" s="268" t="s">
        <v>2722</v>
      </c>
      <c r="C60" s="268" t="s">
        <v>2723</v>
      </c>
      <c r="D60" s="268" t="s">
        <v>2724</v>
      </c>
      <c r="E60" s="268" t="s">
        <v>2725</v>
      </c>
      <c r="F60" s="254"/>
      <c r="G60" s="254"/>
      <c r="H60" s="254"/>
      <c r="I60" s="254"/>
      <c r="J60" s="254"/>
    </row>
    <row r="61" spans="1:72" ht="45">
      <c r="A61" s="267" t="s">
        <v>2726</v>
      </c>
      <c r="B61" s="268" t="s">
        <v>2636</v>
      </c>
      <c r="C61" s="268" t="s">
        <v>2637</v>
      </c>
      <c r="D61" s="254"/>
      <c r="E61" s="254"/>
      <c r="F61" s="254"/>
      <c r="G61" s="254"/>
      <c r="H61" s="254"/>
      <c r="I61" s="254"/>
      <c r="J61" s="254"/>
      <c r="K61" s="254"/>
    </row>
    <row r="62" spans="1:72">
      <c r="A62" s="267" t="s">
        <v>3399</v>
      </c>
      <c r="B62" s="268" t="s">
        <v>2636</v>
      </c>
      <c r="C62" s="268" t="s">
        <v>2637</v>
      </c>
      <c r="D62" s="254"/>
      <c r="E62" s="254"/>
      <c r="F62" s="254"/>
      <c r="G62" s="254"/>
      <c r="H62" s="254"/>
      <c r="I62" s="254"/>
      <c r="J62" s="254"/>
      <c r="K62" s="254"/>
    </row>
    <row r="63" spans="1:72">
      <c r="A63" s="267" t="s">
        <v>3400</v>
      </c>
      <c r="B63" s="268" t="s">
        <v>2636</v>
      </c>
      <c r="C63" s="268" t="s">
        <v>2637</v>
      </c>
      <c r="D63" s="254"/>
      <c r="E63" s="254"/>
      <c r="F63" s="254"/>
      <c r="G63" s="254"/>
      <c r="H63" s="254"/>
      <c r="I63" s="254"/>
    </row>
    <row r="64" spans="1:72" ht="45">
      <c r="A64" s="267" t="s">
        <v>3401</v>
      </c>
      <c r="B64" s="268" t="s">
        <v>2636</v>
      </c>
      <c r="C64" s="268" t="s">
        <v>2728</v>
      </c>
      <c r="D64" s="268" t="s">
        <v>2729</v>
      </c>
      <c r="E64" s="268" t="s">
        <v>2730</v>
      </c>
      <c r="F64" s="268" t="s">
        <v>2731</v>
      </c>
      <c r="G64" s="254"/>
      <c r="H64" s="254"/>
      <c r="I64" s="254"/>
      <c r="J64" s="254"/>
    </row>
    <row r="65" spans="1:72" ht="30">
      <c r="A65" s="269" t="s">
        <v>2824</v>
      </c>
      <c r="B65" s="270" t="s">
        <v>2636</v>
      </c>
      <c r="C65" s="270" t="s">
        <v>2637</v>
      </c>
      <c r="D65" s="270" t="s">
        <v>2825</v>
      </c>
      <c r="E65" s="270" t="s">
        <v>2826</v>
      </c>
      <c r="F65" s="254"/>
      <c r="G65" s="254"/>
      <c r="H65" s="254"/>
      <c r="I65" s="254"/>
      <c r="J65" s="254"/>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row>
    <row r="66" spans="1:72">
      <c r="A66" s="267" t="s">
        <v>3117</v>
      </c>
      <c r="B66" s="268" t="s">
        <v>2636</v>
      </c>
      <c r="C66" s="268" t="s">
        <v>2637</v>
      </c>
      <c r="D66" s="254"/>
      <c r="E66" s="254"/>
      <c r="F66" s="254"/>
      <c r="G66" s="254"/>
      <c r="H66" s="254"/>
      <c r="I66" s="254"/>
      <c r="J66" s="254"/>
    </row>
    <row r="67" spans="1:72" ht="14">
      <c r="A67" s="258"/>
      <c r="B67" s="254"/>
      <c r="C67" s="254"/>
      <c r="D67" s="254"/>
      <c r="E67" s="254"/>
      <c r="F67" s="254"/>
      <c r="G67" s="254"/>
      <c r="H67" s="254"/>
      <c r="I67" s="254"/>
      <c r="J67" s="254"/>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row>
    <row r="68" spans="1:72">
      <c r="A68" s="271" t="s">
        <v>2732</v>
      </c>
      <c r="B68" s="254"/>
      <c r="C68" s="254"/>
      <c r="D68" s="254"/>
      <c r="E68" s="254"/>
      <c r="F68" s="254"/>
      <c r="G68" s="254"/>
      <c r="H68" s="254"/>
      <c r="I68" s="254"/>
      <c r="J68" s="254"/>
    </row>
    <row r="69" spans="1:72">
      <c r="A69" s="271" t="s">
        <v>3118</v>
      </c>
      <c r="B69" s="272" t="s">
        <v>2636</v>
      </c>
      <c r="C69" s="272" t="s">
        <v>2637</v>
      </c>
      <c r="D69" s="254"/>
      <c r="E69" s="254"/>
      <c r="F69" s="254"/>
      <c r="G69" s="254"/>
      <c r="H69" s="254"/>
      <c r="I69" s="254"/>
      <c r="J69" s="254"/>
    </row>
    <row r="70" spans="1:72">
      <c r="A70" s="271" t="s">
        <v>2733</v>
      </c>
      <c r="B70" s="272" t="s">
        <v>2636</v>
      </c>
      <c r="C70" s="272" t="s">
        <v>2637</v>
      </c>
      <c r="D70" s="254"/>
      <c r="E70" s="254"/>
      <c r="F70" s="254"/>
      <c r="G70" s="254"/>
      <c r="H70" s="254"/>
      <c r="I70" s="254"/>
      <c r="J70" s="254"/>
    </row>
    <row r="71" spans="1:72">
      <c r="A71" s="271" t="s">
        <v>2734</v>
      </c>
      <c r="B71" s="272" t="s">
        <v>2636</v>
      </c>
      <c r="C71" s="272" t="s">
        <v>2735</v>
      </c>
      <c r="D71" s="272" t="s">
        <v>2736</v>
      </c>
      <c r="E71" s="254"/>
      <c r="F71" s="254"/>
      <c r="G71" s="254"/>
      <c r="H71" s="254"/>
      <c r="I71" s="254"/>
      <c r="J71" s="254"/>
    </row>
    <row r="72" spans="1:72" ht="30">
      <c r="A72" s="271" t="s">
        <v>69</v>
      </c>
      <c r="B72" s="272" t="s">
        <v>2636</v>
      </c>
      <c r="C72" s="272" t="s">
        <v>2737</v>
      </c>
      <c r="D72" s="272" t="s">
        <v>2738</v>
      </c>
      <c r="E72" s="272" t="s">
        <v>2739</v>
      </c>
      <c r="F72" s="272" t="s">
        <v>2740</v>
      </c>
      <c r="G72" s="272" t="s">
        <v>2741</v>
      </c>
      <c r="H72" s="272" t="s">
        <v>2742</v>
      </c>
      <c r="I72" s="259"/>
    </row>
    <row r="73" spans="1:72">
      <c r="A73" s="271" t="s">
        <v>2743</v>
      </c>
      <c r="B73" s="272" t="s">
        <v>2744</v>
      </c>
      <c r="C73" s="272" t="s">
        <v>2745</v>
      </c>
      <c r="D73" s="272" t="s">
        <v>2746</v>
      </c>
      <c r="E73" s="254"/>
      <c r="F73" s="254"/>
      <c r="G73" s="254"/>
      <c r="H73" s="254"/>
      <c r="I73" s="254"/>
      <c r="J73" s="254"/>
    </row>
    <row r="74" spans="1:72">
      <c r="A74" s="271" t="s">
        <v>70</v>
      </c>
      <c r="B74" s="272" t="s">
        <v>2636</v>
      </c>
      <c r="C74" s="272" t="s">
        <v>2637</v>
      </c>
      <c r="D74" s="254"/>
      <c r="E74" s="254"/>
      <c r="F74" s="254"/>
      <c r="G74" s="254"/>
      <c r="H74" s="254"/>
      <c r="I74" s="254"/>
      <c r="J74" s="254"/>
    </row>
    <row r="75" spans="1:72">
      <c r="A75" s="271" t="s">
        <v>2747</v>
      </c>
      <c r="B75" s="272" t="s">
        <v>2636</v>
      </c>
      <c r="C75" s="272" t="s">
        <v>2637</v>
      </c>
      <c r="D75" s="254"/>
      <c r="E75" s="254"/>
      <c r="F75" s="254"/>
      <c r="G75" s="254"/>
      <c r="H75" s="254"/>
      <c r="I75" s="254"/>
      <c r="J75" s="254"/>
    </row>
    <row r="76" spans="1:72" ht="30">
      <c r="A76" s="271" t="s">
        <v>2748</v>
      </c>
      <c r="B76" s="272" t="s">
        <v>2636</v>
      </c>
      <c r="C76" s="272" t="s">
        <v>2637</v>
      </c>
      <c r="D76" s="254"/>
      <c r="E76" s="254"/>
      <c r="F76" s="254"/>
      <c r="G76" s="254"/>
      <c r="H76" s="254"/>
      <c r="I76" s="254"/>
      <c r="J76" s="254"/>
    </row>
    <row r="77" spans="1:72">
      <c r="A77" s="271" t="s">
        <v>3124</v>
      </c>
      <c r="B77" s="272" t="s">
        <v>2636</v>
      </c>
      <c r="C77" s="272" t="s">
        <v>2637</v>
      </c>
      <c r="D77" s="254"/>
      <c r="E77" s="254"/>
      <c r="F77" s="254"/>
      <c r="G77" s="254"/>
      <c r="H77" s="254"/>
      <c r="I77" s="254"/>
      <c r="J77" s="254"/>
    </row>
    <row r="78" spans="1:72" ht="30">
      <c r="A78" s="271" t="s">
        <v>3120</v>
      </c>
      <c r="B78" s="272" t="s">
        <v>3119</v>
      </c>
      <c r="C78" s="272" t="s">
        <v>3121</v>
      </c>
      <c r="D78" s="273" t="s">
        <v>3122</v>
      </c>
      <c r="E78" s="273" t="s">
        <v>3123</v>
      </c>
      <c r="F78" s="254"/>
      <c r="G78" s="254"/>
      <c r="H78" s="254"/>
      <c r="I78" s="254"/>
      <c r="J78" s="254"/>
    </row>
    <row r="79" spans="1:72">
      <c r="A79" s="271" t="s">
        <v>3126</v>
      </c>
      <c r="D79" s="254"/>
      <c r="E79" s="254"/>
      <c r="F79" s="254"/>
      <c r="G79" s="254"/>
      <c r="H79" s="254"/>
      <c r="I79" s="254"/>
      <c r="J79" s="254"/>
    </row>
    <row r="80" spans="1:72">
      <c r="A80" s="271" t="s">
        <v>2749</v>
      </c>
      <c r="B80" s="272" t="s">
        <v>2636</v>
      </c>
      <c r="C80" s="272" t="s">
        <v>2637</v>
      </c>
      <c r="D80" s="254"/>
      <c r="E80" s="254"/>
      <c r="F80" s="254"/>
      <c r="G80" s="254"/>
      <c r="H80" s="254"/>
      <c r="I80" s="254"/>
      <c r="J80" s="254"/>
    </row>
    <row r="81" spans="1:72">
      <c r="A81" s="271" t="s">
        <v>2750</v>
      </c>
      <c r="B81" s="272" t="s">
        <v>2636</v>
      </c>
      <c r="C81" s="272" t="s">
        <v>2637</v>
      </c>
      <c r="D81" s="254"/>
      <c r="E81" s="254"/>
      <c r="F81" s="254"/>
      <c r="G81" s="254"/>
      <c r="H81" s="254"/>
      <c r="I81" s="254"/>
      <c r="J81" s="254"/>
    </row>
    <row r="82" spans="1:72">
      <c r="A82" s="271" t="s">
        <v>3125</v>
      </c>
      <c r="B82" s="272" t="s">
        <v>2636</v>
      </c>
      <c r="C82" s="272" t="s">
        <v>2637</v>
      </c>
      <c r="D82" s="254"/>
      <c r="E82" s="254"/>
      <c r="F82" s="254"/>
      <c r="G82" s="254"/>
      <c r="H82" s="254"/>
      <c r="I82" s="254"/>
      <c r="J82" s="254"/>
    </row>
    <row r="83" spans="1:72">
      <c r="A83" s="271" t="s">
        <v>3127</v>
      </c>
      <c r="B83" s="272" t="s">
        <v>2636</v>
      </c>
      <c r="C83" s="272" t="s">
        <v>2637</v>
      </c>
      <c r="D83" s="254"/>
      <c r="E83" s="254"/>
      <c r="F83" s="254"/>
      <c r="G83" s="254"/>
      <c r="H83" s="254"/>
      <c r="I83" s="254"/>
      <c r="J83" s="254"/>
    </row>
    <row r="84" spans="1:72">
      <c r="A84" s="271" t="s">
        <v>2751</v>
      </c>
      <c r="B84" s="272" t="s">
        <v>2636</v>
      </c>
      <c r="C84" s="272" t="s">
        <v>2637</v>
      </c>
      <c r="D84" s="254"/>
      <c r="E84" s="254"/>
      <c r="F84" s="254"/>
      <c r="G84" s="254"/>
      <c r="H84" s="254"/>
      <c r="I84" s="254"/>
      <c r="J84" s="254"/>
    </row>
    <row r="85" spans="1:72">
      <c r="A85" s="271" t="s">
        <v>2752</v>
      </c>
      <c r="B85" s="272" t="s">
        <v>2636</v>
      </c>
      <c r="C85" s="272" t="s">
        <v>2637</v>
      </c>
      <c r="D85" s="254"/>
      <c r="E85" s="254"/>
      <c r="F85" s="254"/>
      <c r="G85" s="254"/>
      <c r="H85" s="254"/>
      <c r="I85" s="254"/>
      <c r="J85" s="254"/>
    </row>
    <row r="86" spans="1:72">
      <c r="A86" s="271" t="s">
        <v>2753</v>
      </c>
      <c r="B86" s="272" t="s">
        <v>2636</v>
      </c>
      <c r="C86" s="272" t="s">
        <v>2637</v>
      </c>
      <c r="D86" s="254"/>
      <c r="E86" s="254"/>
      <c r="F86" s="254"/>
      <c r="G86" s="254"/>
      <c r="H86" s="254"/>
      <c r="I86" s="254"/>
      <c r="J86" s="254"/>
    </row>
    <row r="87" spans="1:72">
      <c r="A87" s="271" t="s">
        <v>777</v>
      </c>
      <c r="B87" s="272" t="s">
        <v>2636</v>
      </c>
      <c r="C87" s="272" t="s">
        <v>2637</v>
      </c>
      <c r="D87" s="254"/>
      <c r="E87" s="254"/>
      <c r="F87" s="254"/>
      <c r="G87" s="254"/>
      <c r="H87" s="254"/>
      <c r="I87" s="254"/>
      <c r="J87" s="254"/>
    </row>
    <row r="88" spans="1:72">
      <c r="A88" s="271" t="s">
        <v>2754</v>
      </c>
      <c r="B88" s="272" t="s">
        <v>2636</v>
      </c>
      <c r="C88" s="272" t="s">
        <v>2637</v>
      </c>
      <c r="D88" s="254"/>
      <c r="E88" s="254"/>
      <c r="F88" s="254"/>
      <c r="G88" s="254"/>
      <c r="H88" s="254"/>
      <c r="I88" s="254"/>
      <c r="J88" s="254"/>
    </row>
    <row r="89" spans="1:72">
      <c r="A89" s="271" t="s">
        <v>2755</v>
      </c>
      <c r="B89" s="272" t="s">
        <v>2636</v>
      </c>
      <c r="C89" s="272" t="s">
        <v>2637</v>
      </c>
      <c r="D89" s="254"/>
      <c r="E89" s="254"/>
      <c r="F89" s="254"/>
      <c r="G89" s="254"/>
      <c r="H89" s="254"/>
      <c r="I89" s="254"/>
      <c r="J89" s="254"/>
    </row>
    <row r="90" spans="1:72" ht="14">
      <c r="A90" s="258"/>
      <c r="B90" s="259"/>
      <c r="C90" s="259"/>
      <c r="D90" s="254"/>
      <c r="E90" s="254"/>
      <c r="F90" s="254"/>
      <c r="G90" s="254"/>
      <c r="H90" s="254"/>
      <c r="I90" s="254"/>
      <c r="J90" s="254"/>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row>
    <row r="91" spans="1:72">
      <c r="A91" s="274" t="s">
        <v>2756</v>
      </c>
      <c r="B91" s="259"/>
      <c r="C91" s="259"/>
      <c r="D91" s="254"/>
      <c r="E91" s="254"/>
      <c r="F91" s="254"/>
      <c r="G91" s="254"/>
      <c r="H91" s="254"/>
      <c r="I91" s="254"/>
      <c r="J91" s="254"/>
    </row>
    <row r="92" spans="1:72" ht="45">
      <c r="A92" s="274" t="s">
        <v>71</v>
      </c>
      <c r="B92" s="275" t="s">
        <v>2636</v>
      </c>
      <c r="C92" s="275" t="s">
        <v>2757</v>
      </c>
      <c r="D92" s="275" t="s">
        <v>2758</v>
      </c>
      <c r="E92" s="254"/>
      <c r="F92" s="254"/>
      <c r="G92" s="254"/>
      <c r="H92" s="254"/>
      <c r="I92" s="254"/>
    </row>
    <row r="93" spans="1:72">
      <c r="A93" s="274" t="s">
        <v>2759</v>
      </c>
      <c r="B93" s="275" t="s">
        <v>2636</v>
      </c>
      <c r="C93" s="275" t="s">
        <v>2637</v>
      </c>
      <c r="D93" s="254"/>
      <c r="E93" s="254"/>
      <c r="F93" s="254"/>
      <c r="G93" s="254"/>
      <c r="H93" s="254"/>
      <c r="I93" s="254"/>
    </row>
    <row r="94" spans="1:72">
      <c r="A94" s="274" t="s">
        <v>2760</v>
      </c>
      <c r="B94" s="275" t="s">
        <v>2636</v>
      </c>
      <c r="C94" s="275" t="s">
        <v>2637</v>
      </c>
      <c r="D94" s="254"/>
      <c r="E94" s="254"/>
      <c r="F94" s="254"/>
      <c r="G94" s="254"/>
      <c r="H94" s="254"/>
      <c r="I94" s="254"/>
    </row>
    <row r="95" spans="1:72" ht="30">
      <c r="A95" s="274" t="s">
        <v>2761</v>
      </c>
      <c r="B95" s="275" t="s">
        <v>2762</v>
      </c>
      <c r="C95" s="275" t="s">
        <v>2763</v>
      </c>
      <c r="D95" s="275" t="s">
        <v>2644</v>
      </c>
      <c r="E95" s="254"/>
      <c r="F95" s="254"/>
      <c r="G95" s="254"/>
      <c r="H95" s="254"/>
      <c r="I95" s="254"/>
    </row>
    <row r="96" spans="1:72">
      <c r="A96" s="274" t="s">
        <v>2764</v>
      </c>
      <c r="B96" s="275" t="s">
        <v>2636</v>
      </c>
      <c r="C96" s="275" t="s">
        <v>2637</v>
      </c>
      <c r="D96" s="254"/>
      <c r="E96" s="254"/>
      <c r="F96" s="254"/>
      <c r="G96" s="254"/>
      <c r="H96" s="254"/>
      <c r="I96" s="254"/>
    </row>
    <row r="97" spans="1:72" ht="30">
      <c r="A97" s="274" t="s">
        <v>2765</v>
      </c>
      <c r="B97" s="275" t="s">
        <v>2636</v>
      </c>
      <c r="C97" s="275" t="s">
        <v>2637</v>
      </c>
      <c r="D97" s="254"/>
      <c r="E97" s="254"/>
      <c r="F97" s="254"/>
      <c r="G97" s="254"/>
      <c r="H97" s="254"/>
      <c r="I97" s="254"/>
    </row>
    <row r="98" spans="1:72" ht="45">
      <c r="A98" s="274" t="s">
        <v>2766</v>
      </c>
      <c r="B98" s="275" t="s">
        <v>2767</v>
      </c>
      <c r="C98" s="275" t="s">
        <v>2768</v>
      </c>
      <c r="D98" s="275" t="s">
        <v>2769</v>
      </c>
      <c r="E98" s="275" t="s">
        <v>2770</v>
      </c>
      <c r="F98" s="275" t="s">
        <v>2771</v>
      </c>
      <c r="G98" s="275" t="s">
        <v>2772</v>
      </c>
    </row>
    <row r="99" spans="1:72" ht="45">
      <c r="A99" s="274" t="s">
        <v>2773</v>
      </c>
      <c r="B99" s="275" t="s">
        <v>2774</v>
      </c>
      <c r="C99" s="275" t="s">
        <v>2775</v>
      </c>
      <c r="D99" s="275" t="s">
        <v>2776</v>
      </c>
      <c r="E99" s="254"/>
      <c r="F99" s="254"/>
      <c r="G99" s="254"/>
      <c r="H99" s="254"/>
      <c r="I99" s="254"/>
    </row>
    <row r="100" spans="1:72" ht="30">
      <c r="A100" s="274" t="s">
        <v>2777</v>
      </c>
      <c r="B100" s="275" t="s">
        <v>2636</v>
      </c>
      <c r="C100" s="275" t="s">
        <v>2778</v>
      </c>
      <c r="D100" s="254"/>
      <c r="E100" s="254"/>
      <c r="F100" s="254"/>
      <c r="G100" s="254"/>
      <c r="H100" s="254"/>
      <c r="I100" s="254"/>
    </row>
    <row r="101" spans="1:72" ht="30">
      <c r="A101" s="274" t="s">
        <v>2779</v>
      </c>
      <c r="B101" s="275" t="s">
        <v>2657</v>
      </c>
      <c r="C101" s="275" t="s">
        <v>2780</v>
      </c>
      <c r="D101" s="275" t="s">
        <v>2781</v>
      </c>
      <c r="E101" s="275" t="s">
        <v>2782</v>
      </c>
      <c r="F101" s="275" t="s">
        <v>2783</v>
      </c>
      <c r="G101" s="275" t="s">
        <v>2784</v>
      </c>
    </row>
    <row r="102" spans="1:72">
      <c r="A102" s="274" t="s">
        <v>78</v>
      </c>
      <c r="B102" s="275" t="s">
        <v>2657</v>
      </c>
      <c r="C102" s="275" t="s">
        <v>2637</v>
      </c>
      <c r="D102" s="254"/>
      <c r="E102" s="254"/>
      <c r="F102" s="254"/>
      <c r="G102" s="254"/>
      <c r="H102" s="254"/>
      <c r="I102" s="254"/>
    </row>
    <row r="103" spans="1:72">
      <c r="A103" s="274" t="s">
        <v>2785</v>
      </c>
    </row>
    <row r="104" spans="1:72" ht="14">
      <c r="A104" s="258"/>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row>
    <row r="105" spans="1:72">
      <c r="A105" s="276" t="s">
        <v>2786</v>
      </c>
      <c r="B105" s="254"/>
      <c r="C105" s="254"/>
      <c r="D105" s="254"/>
      <c r="E105" s="254"/>
      <c r="F105" s="254"/>
      <c r="G105" s="254"/>
      <c r="H105" s="254"/>
      <c r="I105" s="254"/>
      <c r="J105" s="254"/>
      <c r="K105" s="254"/>
      <c r="L105" s="254"/>
      <c r="M105" s="254"/>
      <c r="N105" s="254"/>
      <c r="O105" s="254"/>
      <c r="P105" s="254"/>
      <c r="Q105" s="254"/>
      <c r="R105" s="254"/>
      <c r="S105" s="254"/>
      <c r="T105" s="254"/>
      <c r="U105" s="254"/>
      <c r="V105" s="254"/>
    </row>
    <row r="106" spans="1:72">
      <c r="A106" s="276" t="s">
        <v>3135</v>
      </c>
      <c r="B106" s="277" t="s">
        <v>3128</v>
      </c>
      <c r="C106" s="277" t="s">
        <v>3129</v>
      </c>
      <c r="D106" s="277" t="s">
        <v>3130</v>
      </c>
      <c r="E106" s="277" t="s">
        <v>3131</v>
      </c>
      <c r="F106" s="278" t="s">
        <v>3132</v>
      </c>
      <c r="J106" s="254"/>
      <c r="K106" s="254"/>
      <c r="L106" s="254"/>
      <c r="M106" s="254"/>
      <c r="N106" s="254"/>
      <c r="O106" s="254"/>
      <c r="P106" s="254"/>
      <c r="Q106" s="254"/>
      <c r="R106" s="254"/>
      <c r="S106" s="254"/>
      <c r="T106" s="254"/>
      <c r="U106" s="254"/>
      <c r="V106" s="254"/>
    </row>
    <row r="107" spans="1:72">
      <c r="A107" s="276" t="s">
        <v>3136</v>
      </c>
      <c r="B107" s="277" t="s">
        <v>3128</v>
      </c>
      <c r="C107" s="277" t="s">
        <v>3129</v>
      </c>
      <c r="D107" s="277" t="s">
        <v>3130</v>
      </c>
      <c r="E107" s="277" t="s">
        <v>3131</v>
      </c>
      <c r="F107" s="278" t="s">
        <v>3132</v>
      </c>
      <c r="J107" s="254"/>
      <c r="K107" s="254"/>
      <c r="L107" s="254"/>
      <c r="M107" s="254"/>
      <c r="N107" s="254"/>
      <c r="O107" s="254"/>
      <c r="P107" s="254"/>
      <c r="Q107" s="254"/>
      <c r="R107" s="254"/>
      <c r="S107" s="254"/>
      <c r="T107" s="254"/>
      <c r="U107" s="254"/>
      <c r="V107" s="254"/>
    </row>
    <row r="108" spans="1:72">
      <c r="A108" s="276" t="s">
        <v>3137</v>
      </c>
      <c r="B108" s="277" t="s">
        <v>3128</v>
      </c>
      <c r="C108" s="277" t="s">
        <v>3129</v>
      </c>
      <c r="D108" s="277" t="s">
        <v>3130</v>
      </c>
      <c r="E108" s="277" t="s">
        <v>3131</v>
      </c>
      <c r="F108" s="278" t="s">
        <v>3132</v>
      </c>
      <c r="J108" s="254"/>
      <c r="K108" s="254"/>
      <c r="L108" s="254"/>
      <c r="M108" s="254"/>
      <c r="N108" s="254"/>
      <c r="O108" s="254"/>
      <c r="P108" s="254"/>
      <c r="Q108" s="254"/>
      <c r="R108" s="254"/>
      <c r="S108" s="254"/>
      <c r="T108" s="254"/>
      <c r="U108" s="254"/>
      <c r="V108" s="254"/>
    </row>
    <row r="109" spans="1:72" ht="30">
      <c r="A109" s="276" t="s">
        <v>3138</v>
      </c>
      <c r="B109" s="277" t="s">
        <v>2636</v>
      </c>
      <c r="C109" s="277" t="s">
        <v>3133</v>
      </c>
      <c r="D109" s="279" t="s">
        <v>3134</v>
      </c>
      <c r="E109" s="254"/>
      <c r="F109" s="254"/>
      <c r="G109" s="254"/>
      <c r="H109" s="254"/>
      <c r="I109" s="254"/>
      <c r="J109" s="254"/>
      <c r="K109" s="254"/>
      <c r="L109" s="254"/>
      <c r="M109" s="254"/>
      <c r="N109" s="254"/>
      <c r="O109" s="254"/>
      <c r="P109" s="254"/>
      <c r="Q109" s="254"/>
      <c r="R109" s="254"/>
      <c r="S109" s="254"/>
      <c r="T109" s="254"/>
      <c r="U109" s="254"/>
      <c r="V109" s="254"/>
    </row>
    <row r="110" spans="1:72" ht="30">
      <c r="A110" s="276" t="s">
        <v>3139</v>
      </c>
      <c r="B110" s="277" t="s">
        <v>2636</v>
      </c>
      <c r="C110" s="277" t="s">
        <v>2787</v>
      </c>
      <c r="D110" s="277" t="s">
        <v>2788</v>
      </c>
      <c r="E110" s="277" t="s">
        <v>2789</v>
      </c>
      <c r="F110" s="277" t="s">
        <v>3414</v>
      </c>
      <c r="G110" s="254"/>
      <c r="H110" s="254"/>
      <c r="I110" s="254"/>
      <c r="J110" s="254"/>
      <c r="K110" s="254"/>
      <c r="L110" s="254"/>
      <c r="M110" s="254"/>
      <c r="N110" s="254"/>
      <c r="O110" s="254"/>
      <c r="P110" s="254"/>
      <c r="Q110" s="254"/>
      <c r="R110" s="254"/>
      <c r="S110" s="254"/>
      <c r="T110" s="254"/>
      <c r="U110" s="254"/>
      <c r="V110" s="254"/>
    </row>
    <row r="111" spans="1:72">
      <c r="A111" s="276" t="s">
        <v>2954</v>
      </c>
      <c r="B111" s="277" t="s">
        <v>2636</v>
      </c>
      <c r="C111" s="277" t="s">
        <v>2637</v>
      </c>
      <c r="D111" s="254"/>
      <c r="E111" s="254"/>
      <c r="F111" s="261"/>
      <c r="G111" s="254"/>
      <c r="H111" s="254"/>
      <c r="I111" s="254"/>
      <c r="J111" s="254"/>
      <c r="K111" s="254"/>
      <c r="L111" s="254"/>
      <c r="M111" s="254"/>
      <c r="N111" s="254"/>
      <c r="O111" s="254"/>
      <c r="P111" s="254"/>
      <c r="Q111" s="254"/>
      <c r="R111" s="254"/>
      <c r="S111" s="254"/>
      <c r="T111" s="254"/>
      <c r="U111" s="254"/>
      <c r="V111" s="254"/>
    </row>
    <row r="112" spans="1:72">
      <c r="A112" s="276" t="s">
        <v>3140</v>
      </c>
      <c r="B112" s="277" t="s">
        <v>2636</v>
      </c>
      <c r="C112" s="277" t="s">
        <v>2637</v>
      </c>
      <c r="D112" s="254"/>
      <c r="E112" s="254"/>
      <c r="F112" s="254"/>
      <c r="G112" s="254"/>
      <c r="H112" s="254"/>
      <c r="I112" s="254"/>
      <c r="J112" s="254"/>
      <c r="K112" s="254"/>
      <c r="L112" s="254"/>
      <c r="M112" s="254"/>
      <c r="N112" s="254"/>
      <c r="O112" s="254"/>
      <c r="P112" s="254"/>
      <c r="Q112" s="254"/>
      <c r="R112" s="254"/>
      <c r="S112" s="254"/>
      <c r="T112" s="254"/>
      <c r="U112" s="254"/>
      <c r="V112" s="254"/>
    </row>
    <row r="113" spans="1:72">
      <c r="A113" s="276" t="s">
        <v>3141</v>
      </c>
      <c r="B113" s="277" t="s">
        <v>2636</v>
      </c>
      <c r="C113" s="277" t="s">
        <v>2637</v>
      </c>
      <c r="D113" s="254"/>
      <c r="E113" s="254"/>
      <c r="F113" s="254"/>
      <c r="G113" s="254"/>
      <c r="H113" s="254"/>
      <c r="I113" s="254"/>
      <c r="J113" s="254"/>
      <c r="K113" s="254"/>
      <c r="L113" s="254"/>
      <c r="M113" s="254"/>
      <c r="N113" s="254"/>
      <c r="O113" s="254"/>
      <c r="P113" s="254"/>
      <c r="Q113" s="254"/>
      <c r="R113" s="254"/>
      <c r="S113" s="254"/>
      <c r="T113" s="254"/>
      <c r="U113" s="254"/>
      <c r="V113" s="254"/>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row>
    <row r="114" spans="1:72">
      <c r="A114" s="276" t="s">
        <v>3142</v>
      </c>
      <c r="B114" s="277" t="s">
        <v>2636</v>
      </c>
      <c r="C114" s="277" t="s">
        <v>2637</v>
      </c>
      <c r="D114" s="254"/>
      <c r="E114" s="254"/>
      <c r="F114" s="254"/>
      <c r="G114" s="254"/>
      <c r="H114" s="254"/>
      <c r="I114" s="254"/>
      <c r="J114" s="254"/>
      <c r="K114" s="254"/>
      <c r="L114" s="254"/>
      <c r="M114" s="254"/>
      <c r="N114" s="254"/>
      <c r="O114" s="254"/>
      <c r="P114" s="254"/>
      <c r="Q114" s="254"/>
      <c r="R114" s="254"/>
      <c r="S114" s="254"/>
      <c r="T114" s="254"/>
      <c r="U114" s="254"/>
      <c r="V114" s="254"/>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row>
    <row r="115" spans="1:72">
      <c r="A115" s="276" t="s">
        <v>3143</v>
      </c>
      <c r="B115" s="277" t="s">
        <v>2636</v>
      </c>
      <c r="C115" s="277" t="s">
        <v>2637</v>
      </c>
      <c r="D115" s="254"/>
      <c r="E115" s="254"/>
      <c r="F115" s="254"/>
      <c r="G115" s="254"/>
      <c r="H115" s="254"/>
      <c r="I115" s="254"/>
      <c r="J115" s="254"/>
      <c r="K115" s="254"/>
      <c r="L115" s="254"/>
      <c r="M115" s="254"/>
      <c r="N115" s="254"/>
      <c r="O115" s="254"/>
      <c r="P115" s="254"/>
      <c r="Q115" s="254"/>
      <c r="R115" s="254"/>
      <c r="S115" s="254"/>
      <c r="T115" s="254"/>
      <c r="U115" s="254"/>
      <c r="V115" s="254"/>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row>
    <row r="116" spans="1:72">
      <c r="A116" s="276" t="s">
        <v>3145</v>
      </c>
      <c r="B116" s="277" t="s">
        <v>2636</v>
      </c>
      <c r="C116" s="277" t="s">
        <v>2637</v>
      </c>
      <c r="D116" s="254"/>
      <c r="E116" s="254"/>
      <c r="F116" s="254"/>
      <c r="G116" s="254"/>
      <c r="H116" s="254"/>
      <c r="I116" s="254"/>
      <c r="J116" s="254"/>
      <c r="K116" s="254"/>
      <c r="L116" s="254"/>
      <c r="M116" s="254"/>
      <c r="N116" s="254"/>
      <c r="O116" s="254"/>
      <c r="P116" s="254"/>
      <c r="Q116" s="254"/>
      <c r="R116" s="254"/>
      <c r="S116" s="254"/>
      <c r="T116" s="254"/>
      <c r="U116" s="254"/>
      <c r="V116" s="254"/>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row>
    <row r="117" spans="1:72" ht="30">
      <c r="A117" s="276" t="s">
        <v>3415</v>
      </c>
      <c r="B117" s="277" t="s">
        <v>2636</v>
      </c>
      <c r="C117" s="277" t="s">
        <v>2637</v>
      </c>
      <c r="D117" s="254"/>
      <c r="E117" s="254"/>
      <c r="F117" s="254"/>
      <c r="G117" s="254"/>
      <c r="H117" s="254"/>
      <c r="I117" s="254"/>
      <c r="J117" s="254"/>
      <c r="K117" s="254"/>
      <c r="L117" s="254"/>
      <c r="M117" s="254"/>
      <c r="N117" s="254"/>
      <c r="O117" s="254"/>
      <c r="P117" s="254"/>
      <c r="Q117" s="254"/>
      <c r="R117" s="254"/>
      <c r="S117" s="254"/>
      <c r="T117" s="254"/>
      <c r="U117" s="254"/>
      <c r="V117" s="254"/>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row>
    <row r="118" spans="1:72">
      <c r="A118" s="276" t="s">
        <v>3144</v>
      </c>
      <c r="B118" s="277" t="s">
        <v>2636</v>
      </c>
      <c r="C118" s="277" t="s">
        <v>2637</v>
      </c>
      <c r="D118" s="254"/>
      <c r="E118" s="254"/>
      <c r="F118" s="254"/>
      <c r="G118" s="254"/>
      <c r="H118" s="254"/>
      <c r="I118" s="254"/>
      <c r="J118" s="254"/>
      <c r="K118" s="254"/>
      <c r="L118" s="254"/>
      <c r="M118" s="254"/>
      <c r="N118" s="254"/>
      <c r="O118" s="254"/>
      <c r="P118" s="254"/>
      <c r="Q118" s="254"/>
      <c r="R118" s="254"/>
      <c r="S118" s="254"/>
      <c r="T118" s="254"/>
      <c r="U118" s="254"/>
      <c r="V118" s="254"/>
    </row>
    <row r="119" spans="1:72" ht="60">
      <c r="A119" s="276" t="s">
        <v>2962</v>
      </c>
      <c r="B119" s="277" t="s">
        <v>2636</v>
      </c>
      <c r="C119" s="277" t="s">
        <v>2637</v>
      </c>
      <c r="D119" s="277" t="s">
        <v>2796</v>
      </c>
      <c r="E119" s="254"/>
      <c r="F119" s="254"/>
      <c r="G119" s="254"/>
      <c r="H119" s="254"/>
      <c r="I119" s="254"/>
      <c r="J119" s="254"/>
      <c r="K119" s="254"/>
      <c r="L119" s="254"/>
      <c r="M119" s="254"/>
      <c r="N119" s="254"/>
      <c r="O119" s="254"/>
      <c r="P119" s="254"/>
      <c r="Q119" s="254"/>
      <c r="R119" s="254"/>
      <c r="S119" s="254"/>
      <c r="T119" s="254"/>
      <c r="U119" s="254"/>
      <c r="V119" s="254"/>
    </row>
    <row r="120" spans="1:72">
      <c r="A120" s="276" t="s">
        <v>2963</v>
      </c>
      <c r="B120" s="277" t="s">
        <v>2636</v>
      </c>
      <c r="C120" s="277" t="s">
        <v>2637</v>
      </c>
      <c r="J120" s="254"/>
      <c r="K120" s="254"/>
      <c r="L120" s="254"/>
      <c r="M120" s="254"/>
      <c r="N120" s="254"/>
      <c r="O120" s="254"/>
      <c r="P120" s="254"/>
      <c r="Q120" s="254"/>
      <c r="R120" s="254"/>
      <c r="S120" s="254"/>
      <c r="T120" s="254"/>
      <c r="U120" s="254"/>
      <c r="V120" s="254"/>
    </row>
    <row r="121" spans="1:72" ht="30">
      <c r="A121" s="276" t="s">
        <v>79</v>
      </c>
      <c r="B121" s="277" t="s">
        <v>2636</v>
      </c>
      <c r="C121" s="277" t="s">
        <v>2790</v>
      </c>
      <c r="J121" s="254"/>
      <c r="K121" s="254"/>
      <c r="L121" s="254"/>
      <c r="M121" s="254"/>
      <c r="N121" s="254"/>
      <c r="O121" s="254"/>
      <c r="P121" s="254"/>
      <c r="Q121" s="254"/>
      <c r="R121" s="254"/>
      <c r="S121" s="254"/>
      <c r="T121" s="254"/>
      <c r="U121" s="254"/>
      <c r="V121" s="254"/>
    </row>
    <row r="122" spans="1:72" ht="60">
      <c r="A122" s="276" t="s">
        <v>2791</v>
      </c>
      <c r="B122" s="277" t="s">
        <v>2792</v>
      </c>
      <c r="C122" s="277" t="s">
        <v>2793</v>
      </c>
      <c r="D122" s="277" t="s">
        <v>2794</v>
      </c>
      <c r="E122" s="277" t="s">
        <v>2795</v>
      </c>
      <c r="J122" s="254"/>
      <c r="K122" s="254"/>
      <c r="L122" s="254"/>
      <c r="M122" s="254"/>
      <c r="N122" s="254"/>
      <c r="O122" s="254"/>
      <c r="P122" s="254"/>
      <c r="Q122" s="254"/>
      <c r="R122" s="254"/>
      <c r="S122" s="254"/>
      <c r="T122" s="254"/>
      <c r="U122" s="254"/>
      <c r="V122" s="254"/>
    </row>
    <row r="123" spans="1:72" ht="14">
      <c r="A123" s="251"/>
      <c r="B123" s="254"/>
      <c r="C123" s="254"/>
      <c r="J123" s="254"/>
      <c r="K123" s="254"/>
      <c r="L123" s="254"/>
      <c r="M123" s="254"/>
      <c r="N123" s="254"/>
      <c r="O123" s="254"/>
      <c r="P123" s="254"/>
      <c r="Q123" s="254"/>
      <c r="R123" s="254"/>
      <c r="S123" s="254"/>
      <c r="T123" s="254"/>
      <c r="U123" s="254"/>
      <c r="V123" s="254"/>
    </row>
    <row r="124" spans="1:72">
      <c r="A124" s="280" t="s">
        <v>2797</v>
      </c>
      <c r="B124" s="254"/>
      <c r="C124" s="254"/>
      <c r="H124" s="254"/>
      <c r="I124" s="254"/>
      <c r="J124" s="254"/>
      <c r="K124" s="254"/>
      <c r="L124" s="254"/>
      <c r="M124" s="254"/>
      <c r="N124" s="254"/>
      <c r="O124" s="254"/>
      <c r="P124" s="254"/>
      <c r="Q124" s="254"/>
      <c r="R124" s="254"/>
      <c r="S124" s="254"/>
      <c r="T124" s="254"/>
      <c r="U124" s="254"/>
      <c r="V124" s="254"/>
    </row>
    <row r="125" spans="1:72">
      <c r="A125" s="280" t="s">
        <v>2798</v>
      </c>
      <c r="B125" s="281" t="s">
        <v>2636</v>
      </c>
      <c r="C125" s="281" t="s">
        <v>2637</v>
      </c>
      <c r="D125" s="281" t="s">
        <v>2799</v>
      </c>
      <c r="E125" s="254"/>
      <c r="F125" s="254"/>
      <c r="G125" s="254"/>
      <c r="H125" s="254"/>
      <c r="I125" s="254"/>
      <c r="J125" s="254"/>
      <c r="K125" s="254"/>
      <c r="L125" s="254"/>
      <c r="M125" s="254"/>
      <c r="N125" s="254"/>
      <c r="O125" s="254"/>
      <c r="P125" s="254"/>
      <c r="Q125" s="254"/>
      <c r="R125" s="254"/>
      <c r="S125" s="254"/>
      <c r="T125" s="254"/>
      <c r="U125" s="254"/>
      <c r="V125" s="254"/>
    </row>
    <row r="126" spans="1:72" ht="30">
      <c r="A126" s="280" t="s">
        <v>3437</v>
      </c>
      <c r="B126" s="281" t="s">
        <v>2636</v>
      </c>
      <c r="C126" s="281" t="s">
        <v>2637</v>
      </c>
      <c r="D126" s="259"/>
      <c r="E126" s="254"/>
      <c r="F126" s="254"/>
      <c r="G126" s="254"/>
      <c r="H126" s="254"/>
      <c r="I126" s="254"/>
      <c r="J126" s="254"/>
      <c r="K126" s="254"/>
      <c r="L126" s="254"/>
      <c r="M126" s="254"/>
      <c r="N126" s="254"/>
      <c r="O126" s="254"/>
      <c r="P126" s="254"/>
      <c r="Q126" s="254"/>
      <c r="R126" s="254"/>
      <c r="S126" s="254"/>
      <c r="T126" s="254"/>
      <c r="U126" s="254"/>
      <c r="V126" s="254"/>
    </row>
    <row r="127" spans="1:72">
      <c r="A127" s="280" t="s">
        <v>3402</v>
      </c>
      <c r="B127" s="281" t="s">
        <v>2800</v>
      </c>
      <c r="C127" s="281" t="s">
        <v>2801</v>
      </c>
      <c r="D127" s="281" t="s">
        <v>2802</v>
      </c>
      <c r="E127" s="281" t="s">
        <v>3439</v>
      </c>
      <c r="F127" s="281" t="s">
        <v>3438</v>
      </c>
      <c r="G127" s="281" t="s">
        <v>2803</v>
      </c>
      <c r="H127" s="254"/>
      <c r="I127" s="254"/>
    </row>
    <row r="128" spans="1:72" ht="30">
      <c r="A128" s="280" t="s">
        <v>3403</v>
      </c>
      <c r="B128" s="281" t="s">
        <v>2804</v>
      </c>
      <c r="C128" s="281" t="s">
        <v>2805</v>
      </c>
      <c r="D128" s="281" t="s">
        <v>2806</v>
      </c>
      <c r="E128" s="281" t="s">
        <v>2807</v>
      </c>
      <c r="F128" s="281" t="s">
        <v>2808</v>
      </c>
      <c r="G128" s="281" t="s">
        <v>2809</v>
      </c>
      <c r="H128" s="281" t="s">
        <v>2810</v>
      </c>
      <c r="I128" s="281" t="s">
        <v>2811</v>
      </c>
      <c r="J128" s="281" t="s">
        <v>2812</v>
      </c>
      <c r="K128" s="281" t="s">
        <v>2813</v>
      </c>
    </row>
    <row r="129" spans="1:73" ht="45">
      <c r="A129" s="280" t="s">
        <v>3406</v>
      </c>
      <c r="B129" s="281" t="s">
        <v>2814</v>
      </c>
      <c r="C129" s="281" t="s">
        <v>2815</v>
      </c>
      <c r="D129" s="254"/>
      <c r="E129" s="254"/>
      <c r="F129" s="254"/>
      <c r="G129" s="254"/>
      <c r="H129" s="254"/>
      <c r="I129" s="254"/>
      <c r="J129" s="254"/>
    </row>
    <row r="130" spans="1:73">
      <c r="A130" s="280" t="s">
        <v>3404</v>
      </c>
      <c r="B130" s="281" t="s">
        <v>2800</v>
      </c>
      <c r="C130" s="281" t="s">
        <v>2801</v>
      </c>
      <c r="D130" s="281" t="s">
        <v>2802</v>
      </c>
      <c r="E130" s="281" t="s">
        <v>3439</v>
      </c>
      <c r="F130" s="281" t="s">
        <v>3438</v>
      </c>
      <c r="G130" s="281" t="s">
        <v>2803</v>
      </c>
      <c r="H130" s="254"/>
      <c r="I130" s="254"/>
      <c r="J130" s="254"/>
    </row>
    <row r="131" spans="1:73" ht="30">
      <c r="A131" s="280" t="s">
        <v>3405</v>
      </c>
      <c r="B131" s="281" t="s">
        <v>2804</v>
      </c>
      <c r="C131" s="281" t="s">
        <v>2805</v>
      </c>
      <c r="D131" s="281" t="s">
        <v>2806</v>
      </c>
      <c r="E131" s="281" t="s">
        <v>2807</v>
      </c>
      <c r="F131" s="281" t="s">
        <v>2808</v>
      </c>
      <c r="G131" s="281" t="s">
        <v>2809</v>
      </c>
      <c r="H131" s="281" t="s">
        <v>2810</v>
      </c>
      <c r="I131" s="281" t="s">
        <v>2811</v>
      </c>
      <c r="J131" s="281" t="s">
        <v>2812</v>
      </c>
      <c r="K131" s="281" t="s">
        <v>2813</v>
      </c>
    </row>
    <row r="132" spans="1:73" ht="45">
      <c r="A132" s="280" t="s">
        <v>3407</v>
      </c>
      <c r="B132" s="281" t="s">
        <v>2814</v>
      </c>
      <c r="C132" s="281" t="s">
        <v>2815</v>
      </c>
      <c r="D132" s="254"/>
      <c r="E132" s="254"/>
      <c r="F132" s="254"/>
      <c r="G132" s="254"/>
      <c r="H132" s="254"/>
      <c r="I132" s="254"/>
      <c r="J132" s="254"/>
      <c r="K132" s="254"/>
    </row>
    <row r="133" spans="1:73">
      <c r="A133" s="280" t="s">
        <v>81</v>
      </c>
      <c r="B133" s="281" t="s">
        <v>2636</v>
      </c>
      <c r="C133" s="281" t="s">
        <v>2637</v>
      </c>
      <c r="D133" s="254"/>
      <c r="E133" s="254"/>
      <c r="F133" s="254"/>
      <c r="G133" s="254"/>
      <c r="H133" s="254"/>
      <c r="I133" s="254"/>
      <c r="J133" s="254"/>
      <c r="K133" s="254"/>
    </row>
    <row r="134" spans="1:73">
      <c r="A134" s="280" t="s">
        <v>2816</v>
      </c>
      <c r="B134" s="281" t="s">
        <v>2636</v>
      </c>
      <c r="C134" s="281" t="s">
        <v>2637</v>
      </c>
      <c r="D134" s="254"/>
      <c r="E134" s="254"/>
      <c r="F134" s="254"/>
      <c r="G134" s="254"/>
      <c r="H134" s="254"/>
      <c r="I134" s="254"/>
      <c r="J134" s="254"/>
      <c r="K134" s="254"/>
    </row>
    <row r="135" spans="1:73">
      <c r="A135" s="280" t="s">
        <v>2817</v>
      </c>
      <c r="D135" s="254"/>
      <c r="E135" s="254"/>
      <c r="F135" s="254"/>
      <c r="G135" s="254"/>
      <c r="H135" s="254"/>
      <c r="I135" s="254"/>
      <c r="J135" s="254"/>
      <c r="K135" s="254"/>
    </row>
    <row r="136" spans="1:73">
      <c r="A136" s="280" t="s">
        <v>2818</v>
      </c>
      <c r="B136" s="281" t="s">
        <v>2636</v>
      </c>
      <c r="C136" s="281" t="s">
        <v>2637</v>
      </c>
      <c r="D136" s="254"/>
      <c r="E136" s="254"/>
      <c r="F136" s="254"/>
      <c r="G136" s="254"/>
      <c r="H136" s="254"/>
      <c r="I136" s="254"/>
      <c r="J136" s="254"/>
      <c r="K136" s="254"/>
    </row>
    <row r="137" spans="1:73">
      <c r="A137" s="280" t="s">
        <v>2819</v>
      </c>
      <c r="B137" s="281" t="s">
        <v>2657</v>
      </c>
      <c r="C137" s="281" t="s">
        <v>2820</v>
      </c>
      <c r="D137" s="282" t="s">
        <v>3410</v>
      </c>
      <c r="E137" s="259"/>
      <c r="F137" s="254"/>
      <c r="G137" s="254"/>
      <c r="H137" s="254"/>
      <c r="I137" s="254"/>
      <c r="J137" s="254"/>
      <c r="K137" s="254"/>
    </row>
    <row r="138" spans="1:73">
      <c r="A138" s="280" t="s">
        <v>2821</v>
      </c>
      <c r="B138" s="259"/>
      <c r="C138" s="259"/>
      <c r="D138" s="254"/>
      <c r="E138" s="254"/>
      <c r="F138" s="254"/>
      <c r="G138" s="254"/>
      <c r="H138" s="254"/>
      <c r="I138" s="254"/>
      <c r="J138" s="254"/>
      <c r="K138" s="254"/>
    </row>
    <row r="139" spans="1:73">
      <c r="A139" s="280" t="s">
        <v>2822</v>
      </c>
      <c r="B139" s="281" t="s">
        <v>2636</v>
      </c>
      <c r="C139" s="281" t="s">
        <v>2637</v>
      </c>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AK139" s="254"/>
      <c r="AL139" s="254"/>
      <c r="AM139" s="254"/>
      <c r="AN139" s="254"/>
      <c r="AO139" s="254"/>
      <c r="AP139" s="254"/>
      <c r="AQ139" s="254"/>
      <c r="AR139" s="254"/>
      <c r="AS139" s="254"/>
      <c r="AT139" s="254"/>
      <c r="AU139" s="254"/>
      <c r="AV139" s="254"/>
      <c r="AW139" s="254"/>
      <c r="AX139" s="254"/>
      <c r="AY139" s="254"/>
      <c r="AZ139" s="254"/>
      <c r="BA139" s="254"/>
      <c r="BB139" s="254"/>
      <c r="BC139" s="254"/>
      <c r="BD139" s="254"/>
      <c r="BE139" s="254"/>
      <c r="BF139" s="254"/>
      <c r="BG139" s="254"/>
      <c r="BH139" s="254"/>
      <c r="BI139" s="254"/>
      <c r="BJ139" s="254"/>
      <c r="BK139" s="254"/>
      <c r="BL139" s="254"/>
      <c r="BM139" s="254"/>
      <c r="BN139" s="254"/>
      <c r="BO139" s="254"/>
      <c r="BP139" s="254"/>
      <c r="BQ139" s="254"/>
      <c r="BR139" s="254"/>
      <c r="BS139" s="254"/>
      <c r="BT139" s="254"/>
      <c r="BU139" s="254"/>
    </row>
    <row r="140" spans="1:73">
      <c r="A140" s="280" t="s">
        <v>2823</v>
      </c>
      <c r="B140" s="281" t="s">
        <v>2636</v>
      </c>
      <c r="C140" s="281" t="s">
        <v>2637</v>
      </c>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254"/>
      <c r="AA140" s="254"/>
      <c r="AB140" s="254"/>
      <c r="AC140" s="254"/>
      <c r="AD140" s="254"/>
      <c r="AE140" s="254"/>
      <c r="AF140" s="254"/>
      <c r="AG140" s="254"/>
      <c r="AH140" s="254"/>
      <c r="AI140" s="254"/>
      <c r="AJ140" s="254"/>
      <c r="AK140" s="254"/>
      <c r="AL140" s="254"/>
      <c r="AM140" s="254"/>
      <c r="AN140" s="254"/>
      <c r="AO140" s="254"/>
      <c r="AP140" s="254"/>
      <c r="AQ140" s="254"/>
      <c r="AR140" s="254"/>
      <c r="AS140" s="254"/>
      <c r="AT140" s="254"/>
      <c r="AU140" s="254"/>
      <c r="AV140" s="254"/>
      <c r="AW140" s="254"/>
      <c r="AX140" s="254"/>
      <c r="AY140" s="254"/>
      <c r="AZ140" s="254"/>
      <c r="BA140" s="254"/>
      <c r="BB140" s="254"/>
      <c r="BC140" s="254"/>
      <c r="BD140" s="254"/>
      <c r="BE140" s="254"/>
      <c r="BF140" s="254"/>
      <c r="BG140" s="254"/>
      <c r="BH140" s="254"/>
      <c r="BI140" s="254"/>
      <c r="BJ140" s="254"/>
      <c r="BK140" s="254"/>
      <c r="BL140" s="254"/>
      <c r="BM140" s="254"/>
      <c r="BN140" s="254"/>
      <c r="BO140" s="254"/>
      <c r="BP140" s="254"/>
      <c r="BQ140" s="254"/>
      <c r="BR140" s="254"/>
      <c r="BS140" s="254"/>
      <c r="BT140" s="254"/>
      <c r="BU140" s="254"/>
    </row>
    <row r="141" spans="1:73" ht="14">
      <c r="A141" s="261"/>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c r="AA141" s="254"/>
      <c r="AB141" s="254"/>
      <c r="AC141" s="254"/>
      <c r="AD141" s="254"/>
      <c r="AE141" s="254"/>
      <c r="AF141" s="254"/>
      <c r="AG141" s="254"/>
      <c r="AH141" s="254"/>
      <c r="AI141" s="254"/>
      <c r="AJ141" s="254"/>
      <c r="AK141" s="254"/>
      <c r="AL141" s="254"/>
      <c r="AM141" s="254"/>
      <c r="AN141" s="254"/>
      <c r="AO141" s="254"/>
      <c r="AP141" s="254"/>
      <c r="AQ141" s="254"/>
      <c r="AR141" s="254"/>
      <c r="AS141" s="254"/>
      <c r="AT141" s="254"/>
      <c r="AU141" s="254"/>
      <c r="AV141" s="254"/>
      <c r="AW141" s="254"/>
      <c r="AX141" s="254"/>
      <c r="AY141" s="254"/>
      <c r="AZ141" s="254"/>
      <c r="BA141" s="254"/>
      <c r="BB141" s="254"/>
      <c r="BC141" s="254"/>
      <c r="BD141" s="254"/>
      <c r="BE141" s="254"/>
      <c r="BF141" s="254"/>
      <c r="BG141" s="254"/>
      <c r="BH141" s="254"/>
      <c r="BI141" s="254"/>
      <c r="BJ141" s="254"/>
      <c r="BK141" s="254"/>
      <c r="BL141" s="254"/>
      <c r="BM141" s="254"/>
      <c r="BN141" s="254"/>
      <c r="BO141" s="254"/>
      <c r="BP141" s="254"/>
      <c r="BQ141" s="254"/>
      <c r="BR141" s="254"/>
      <c r="BS141" s="254"/>
      <c r="BT141" s="254"/>
      <c r="BU141" s="254"/>
    </row>
    <row r="142" spans="1:73">
      <c r="A142" s="283" t="s">
        <v>2846</v>
      </c>
      <c r="B142" s="284"/>
      <c r="C142" s="284"/>
      <c r="D142" s="285"/>
      <c r="E142" s="285"/>
      <c r="F142" s="285"/>
      <c r="G142" s="254"/>
      <c r="H142" s="254"/>
      <c r="I142" s="254"/>
      <c r="J142" s="254"/>
      <c r="K142" s="254"/>
      <c r="L142" s="254"/>
      <c r="M142" s="254"/>
      <c r="N142" s="254"/>
      <c r="O142" s="254"/>
      <c r="P142" s="254"/>
      <c r="Q142" s="254"/>
      <c r="R142" s="254"/>
      <c r="S142" s="254"/>
      <c r="T142" s="254"/>
      <c r="U142" s="254"/>
      <c r="V142" s="254"/>
      <c r="W142" s="254"/>
      <c r="X142" s="254"/>
      <c r="Y142" s="254"/>
      <c r="Z142" s="254"/>
      <c r="AA142" s="254"/>
      <c r="AB142" s="254"/>
      <c r="AC142" s="254"/>
      <c r="AD142" s="254"/>
      <c r="AE142" s="254"/>
      <c r="AF142" s="254"/>
      <c r="AG142" s="254"/>
      <c r="AH142" s="254"/>
      <c r="AI142" s="254"/>
      <c r="AJ142" s="254"/>
      <c r="AK142" s="254"/>
      <c r="AL142" s="254"/>
      <c r="AM142" s="254"/>
      <c r="AN142" s="254"/>
      <c r="AO142" s="254"/>
      <c r="AP142" s="254"/>
      <c r="AQ142" s="254"/>
      <c r="AR142" s="254"/>
      <c r="AS142" s="254"/>
      <c r="AT142" s="254"/>
      <c r="AU142" s="254"/>
      <c r="AV142" s="254"/>
      <c r="AW142" s="254"/>
      <c r="AX142" s="254"/>
      <c r="AY142" s="254"/>
      <c r="AZ142" s="254"/>
      <c r="BA142" s="254"/>
      <c r="BB142" s="254"/>
      <c r="BC142" s="254"/>
      <c r="BD142" s="254"/>
      <c r="BE142" s="254"/>
      <c r="BF142" s="254"/>
      <c r="BG142" s="254"/>
      <c r="BH142" s="254"/>
      <c r="BI142" s="254"/>
      <c r="BJ142" s="254"/>
      <c r="BK142" s="254"/>
      <c r="BL142" s="254"/>
      <c r="BM142" s="254"/>
      <c r="BN142" s="254"/>
      <c r="BO142" s="254"/>
      <c r="BP142" s="254"/>
      <c r="BQ142" s="254"/>
      <c r="BR142" s="254"/>
      <c r="BS142" s="254"/>
      <c r="BT142" s="254"/>
      <c r="BU142" s="254"/>
    </row>
    <row r="143" spans="1:73">
      <c r="A143" s="286" t="s">
        <v>2727</v>
      </c>
      <c r="B143" s="287" t="s">
        <v>2636</v>
      </c>
      <c r="C143" s="287" t="s">
        <v>2637</v>
      </c>
      <c r="D143" s="254"/>
      <c r="E143" s="254"/>
      <c r="F143" s="254"/>
      <c r="G143" s="254"/>
      <c r="H143" s="254"/>
      <c r="I143" s="254"/>
      <c r="J143" s="254"/>
      <c r="K143" s="254"/>
      <c r="L143" s="254"/>
      <c r="M143" s="254"/>
      <c r="N143" s="254"/>
      <c r="O143" s="254"/>
      <c r="P143" s="254"/>
      <c r="Q143" s="254"/>
      <c r="R143" s="254"/>
      <c r="S143" s="254"/>
      <c r="T143" s="254"/>
      <c r="U143" s="254"/>
      <c r="V143" s="254"/>
      <c r="W143" s="254"/>
      <c r="X143" s="254"/>
      <c r="Y143" s="254"/>
      <c r="Z143" s="254"/>
      <c r="AA143" s="254"/>
      <c r="AB143" s="254"/>
      <c r="AC143" s="254"/>
      <c r="AD143" s="254"/>
      <c r="AE143" s="254"/>
      <c r="AF143" s="254"/>
      <c r="AG143" s="254"/>
      <c r="AH143" s="254"/>
      <c r="AI143" s="254"/>
      <c r="AJ143" s="254"/>
      <c r="AK143" s="254"/>
      <c r="AL143" s="254"/>
      <c r="AM143" s="254"/>
      <c r="AN143" s="254"/>
      <c r="AO143" s="254"/>
      <c r="AP143" s="254"/>
      <c r="AQ143" s="254"/>
      <c r="AR143" s="254"/>
      <c r="AS143" s="254"/>
      <c r="AT143" s="254"/>
      <c r="AU143" s="254"/>
      <c r="AV143" s="254"/>
      <c r="AW143" s="254"/>
      <c r="AX143" s="254"/>
      <c r="AY143" s="254"/>
      <c r="AZ143" s="254"/>
      <c r="BA143" s="254"/>
      <c r="BB143" s="254"/>
      <c r="BC143" s="254"/>
      <c r="BD143" s="254"/>
      <c r="BE143" s="254"/>
      <c r="BF143" s="254"/>
      <c r="BG143" s="254"/>
      <c r="BH143" s="254"/>
      <c r="BI143" s="254"/>
      <c r="BJ143" s="254"/>
      <c r="BK143" s="254"/>
      <c r="BL143" s="254"/>
      <c r="BM143" s="254"/>
      <c r="BN143" s="254"/>
      <c r="BO143" s="254"/>
      <c r="BP143" s="254"/>
      <c r="BQ143" s="254"/>
      <c r="BR143" s="254"/>
      <c r="BS143" s="254"/>
      <c r="BT143" s="254"/>
      <c r="BU143" s="254"/>
    </row>
    <row r="144" spans="1:73" ht="75">
      <c r="A144" s="288" t="s">
        <v>3372</v>
      </c>
      <c r="B144" s="289" t="s">
        <v>2710</v>
      </c>
      <c r="C144" s="289" t="s">
        <v>2711</v>
      </c>
      <c r="D144" s="289" t="s">
        <v>2712</v>
      </c>
      <c r="E144" s="289" t="s">
        <v>2713</v>
      </c>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54"/>
      <c r="AE144" s="254"/>
      <c r="AF144" s="254"/>
      <c r="AG144" s="254"/>
      <c r="AH144" s="254"/>
      <c r="AI144" s="254"/>
      <c r="AJ144" s="254"/>
      <c r="AK144" s="254"/>
      <c r="AL144" s="254"/>
      <c r="AM144" s="254"/>
      <c r="AN144" s="254"/>
      <c r="AO144" s="254"/>
      <c r="AP144" s="254"/>
      <c r="AQ144" s="254"/>
      <c r="AR144" s="254"/>
      <c r="AS144" s="254"/>
      <c r="AT144" s="254"/>
      <c r="AU144" s="254"/>
      <c r="AV144" s="254"/>
      <c r="AW144" s="254"/>
      <c r="AX144" s="254"/>
      <c r="AY144" s="254"/>
      <c r="AZ144" s="254"/>
      <c r="BA144" s="254"/>
      <c r="BB144" s="254"/>
      <c r="BC144" s="254"/>
      <c r="BD144" s="254"/>
      <c r="BE144" s="254"/>
      <c r="BF144" s="254"/>
      <c r="BG144" s="254"/>
      <c r="BH144" s="254"/>
      <c r="BI144" s="254"/>
      <c r="BJ144" s="254"/>
      <c r="BK144" s="254"/>
      <c r="BL144" s="254"/>
      <c r="BM144" s="254"/>
      <c r="BN144" s="254"/>
      <c r="BO144" s="254"/>
      <c r="BP144" s="254"/>
      <c r="BQ144" s="254"/>
      <c r="BR144" s="254"/>
      <c r="BS144" s="254"/>
      <c r="BT144" s="254"/>
      <c r="BU144" s="254"/>
    </row>
    <row r="145" spans="1:73">
      <c r="A145" s="283" t="s">
        <v>84</v>
      </c>
      <c r="B145" s="290" t="s">
        <v>2642</v>
      </c>
      <c r="C145" s="284"/>
      <c r="D145" s="284"/>
      <c r="E145" s="284"/>
      <c r="F145" s="284"/>
      <c r="L145" s="254"/>
      <c r="M145" s="254"/>
      <c r="N145" s="254"/>
      <c r="O145" s="254"/>
      <c r="P145" s="254"/>
      <c r="Q145" s="254"/>
      <c r="R145" s="254"/>
      <c r="S145" s="254"/>
      <c r="T145" s="254"/>
      <c r="U145" s="254"/>
      <c r="V145" s="254"/>
      <c r="W145" s="254"/>
      <c r="X145" s="254"/>
      <c r="Y145" s="254"/>
      <c r="Z145" s="254"/>
      <c r="AA145" s="254"/>
      <c r="AB145" s="254"/>
      <c r="AC145" s="254"/>
      <c r="AD145" s="254"/>
      <c r="AE145" s="254"/>
      <c r="AF145" s="254"/>
      <c r="AG145" s="254"/>
      <c r="AH145" s="254"/>
      <c r="AI145" s="254"/>
      <c r="AJ145" s="254"/>
      <c r="AZ145" s="254"/>
      <c r="BA145" s="254"/>
      <c r="BB145" s="254"/>
      <c r="BC145" s="254"/>
      <c r="BD145" s="254"/>
      <c r="BE145" s="254"/>
      <c r="BF145" s="254"/>
      <c r="BG145" s="254"/>
      <c r="BH145" s="254"/>
      <c r="BI145" s="254"/>
      <c r="BJ145" s="254"/>
      <c r="BK145" s="254"/>
      <c r="BL145" s="254"/>
      <c r="BM145" s="254"/>
      <c r="BN145" s="254"/>
      <c r="BO145" s="254"/>
      <c r="BP145" s="254"/>
      <c r="BQ145" s="254"/>
      <c r="BR145" s="254"/>
      <c r="BS145" s="254"/>
      <c r="BT145" s="254"/>
      <c r="BU145" s="254"/>
    </row>
    <row r="146" spans="1:73">
      <c r="A146" s="283" t="s">
        <v>89</v>
      </c>
      <c r="B146" s="290" t="s">
        <v>2636</v>
      </c>
      <c r="C146" s="290" t="s">
        <v>2637</v>
      </c>
      <c r="D146" s="284"/>
      <c r="E146" s="284"/>
      <c r="F146" s="284"/>
    </row>
    <row r="147" spans="1:73">
      <c r="A147" s="283" t="s">
        <v>2847</v>
      </c>
      <c r="B147" s="284"/>
      <c r="C147" s="284"/>
      <c r="D147" s="284"/>
      <c r="E147" s="284"/>
      <c r="F147" s="284"/>
    </row>
    <row r="148" spans="1:73" ht="14">
      <c r="A148" s="258"/>
      <c r="B148" s="261"/>
      <c r="C148" s="254"/>
      <c r="D148" s="254"/>
      <c r="E148" s="254"/>
      <c r="F148" s="254"/>
      <c r="G148" s="254"/>
      <c r="H148" s="254"/>
      <c r="I148" s="254"/>
    </row>
    <row r="149" spans="1:73">
      <c r="A149" s="291" t="s">
        <v>2827</v>
      </c>
    </row>
    <row r="150" spans="1:73" ht="30">
      <c r="A150" s="291" t="s">
        <v>2828</v>
      </c>
      <c r="B150" s="292" t="s">
        <v>2829</v>
      </c>
      <c r="C150" s="292" t="s">
        <v>2830</v>
      </c>
      <c r="D150" s="292" t="s">
        <v>2831</v>
      </c>
      <c r="E150" s="292" t="s">
        <v>2832</v>
      </c>
      <c r="F150" s="254"/>
    </row>
    <row r="151" spans="1:73" ht="30">
      <c r="A151" s="291" t="s">
        <v>2833</v>
      </c>
      <c r="B151" s="292" t="s">
        <v>2834</v>
      </c>
      <c r="C151" s="292" t="s">
        <v>2835</v>
      </c>
      <c r="D151" s="259"/>
      <c r="E151" s="259"/>
      <c r="F151" s="254"/>
    </row>
    <row r="152" spans="1:73">
      <c r="A152" s="291" t="s">
        <v>2836</v>
      </c>
      <c r="B152" s="292" t="s">
        <v>2636</v>
      </c>
      <c r="C152" s="292" t="s">
        <v>2637</v>
      </c>
      <c r="D152" s="292" t="s">
        <v>2837</v>
      </c>
      <c r="E152" s="292" t="s">
        <v>2838</v>
      </c>
      <c r="F152" s="254"/>
    </row>
    <row r="153" spans="1:73" ht="30">
      <c r="A153" s="291" t="s">
        <v>2839</v>
      </c>
      <c r="B153" s="292" t="s">
        <v>2840</v>
      </c>
      <c r="C153" s="292" t="s">
        <v>2841</v>
      </c>
      <c r="D153" s="292" t="s">
        <v>2842</v>
      </c>
      <c r="E153" s="292" t="s">
        <v>2843</v>
      </c>
      <c r="F153" s="292" t="s">
        <v>2844</v>
      </c>
      <c r="G153" s="292" t="s">
        <v>2845</v>
      </c>
    </row>
    <row r="154" spans="1:73" ht="14"/>
    <row r="155" spans="1:73" ht="14"/>
    <row r="156" spans="1:73" ht="30">
      <c r="A156" s="293" t="s">
        <v>3419</v>
      </c>
      <c r="B156" s="284"/>
      <c r="C156" s="284"/>
      <c r="D156" s="284"/>
      <c r="E156" s="284"/>
      <c r="F156" s="284"/>
    </row>
    <row r="157" spans="1:73">
      <c r="A157" s="294" t="s">
        <v>3453</v>
      </c>
      <c r="B157" s="284"/>
      <c r="C157" s="284"/>
      <c r="D157" s="284"/>
      <c r="E157" s="284"/>
      <c r="F157" s="284"/>
    </row>
    <row r="158" spans="1:73" ht="30">
      <c r="A158" s="294" t="s">
        <v>3452</v>
      </c>
      <c r="B158" s="295" t="s">
        <v>2848</v>
      </c>
      <c r="C158" s="295" t="s">
        <v>2849</v>
      </c>
      <c r="D158" s="295" t="s">
        <v>2850</v>
      </c>
      <c r="E158" s="295" t="s">
        <v>2851</v>
      </c>
      <c r="F158" s="284"/>
    </row>
    <row r="159" spans="1:73" ht="45">
      <c r="A159" s="294" t="s">
        <v>3354</v>
      </c>
      <c r="B159" s="295" t="s">
        <v>3445</v>
      </c>
      <c r="C159" s="295" t="s">
        <v>3446</v>
      </c>
      <c r="D159" s="295" t="s">
        <v>3447</v>
      </c>
      <c r="E159" s="285"/>
      <c r="F159" s="284"/>
    </row>
    <row r="160" spans="1:73" ht="30">
      <c r="A160" s="294" t="s">
        <v>2854</v>
      </c>
      <c r="B160" s="295" t="s">
        <v>2636</v>
      </c>
      <c r="C160" s="295" t="s">
        <v>2637</v>
      </c>
      <c r="D160" s="295" t="s">
        <v>3454</v>
      </c>
      <c r="E160" s="284"/>
      <c r="F160" s="284"/>
      <c r="G160" s="254"/>
      <c r="H160" s="254"/>
      <c r="I160" s="254"/>
    </row>
    <row r="161" spans="1:9">
      <c r="A161" s="294" t="s">
        <v>896</v>
      </c>
      <c r="B161" s="295" t="s">
        <v>2636</v>
      </c>
      <c r="C161" s="295" t="s">
        <v>2637</v>
      </c>
      <c r="D161" s="284"/>
      <c r="E161" s="284"/>
      <c r="F161" s="284"/>
    </row>
    <row r="162" spans="1:9" ht="30">
      <c r="A162" s="294" t="s">
        <v>2852</v>
      </c>
      <c r="B162" s="295" t="s">
        <v>2853</v>
      </c>
      <c r="C162" s="295" t="s">
        <v>2637</v>
      </c>
      <c r="D162" s="296"/>
      <c r="E162" s="284"/>
      <c r="F162" s="284"/>
      <c r="G162" s="254"/>
      <c r="H162" s="254"/>
      <c r="I162" s="254"/>
    </row>
    <row r="163" spans="1:9" ht="45">
      <c r="A163" s="294" t="s">
        <v>2855</v>
      </c>
      <c r="B163" s="295" t="s">
        <v>2856</v>
      </c>
      <c r="C163" s="295" t="s">
        <v>2857</v>
      </c>
      <c r="D163" s="284"/>
      <c r="E163" s="284"/>
      <c r="F163" s="284"/>
      <c r="G163" s="254"/>
      <c r="H163" s="254"/>
      <c r="I163" s="254"/>
    </row>
    <row r="164" spans="1:9" ht="30">
      <c r="A164" s="294" t="s">
        <v>2858</v>
      </c>
      <c r="B164" s="295" t="s">
        <v>2859</v>
      </c>
      <c r="C164" s="295" t="s">
        <v>3455</v>
      </c>
      <c r="D164" s="295" t="s">
        <v>2860</v>
      </c>
      <c r="E164" s="295" t="s">
        <v>2861</v>
      </c>
      <c r="F164" s="296"/>
      <c r="G164" s="254"/>
      <c r="H164" s="254"/>
      <c r="I164" s="254"/>
    </row>
    <row r="165" spans="1:9" ht="60">
      <c r="A165" s="294" t="s">
        <v>2862</v>
      </c>
      <c r="B165" s="295" t="s">
        <v>2863</v>
      </c>
      <c r="C165" s="295" t="s">
        <v>2864</v>
      </c>
      <c r="D165" s="295" t="s">
        <v>2865</v>
      </c>
      <c r="E165" s="295" t="s">
        <v>2866</v>
      </c>
      <c r="F165" s="295" t="s">
        <v>2867</v>
      </c>
      <c r="G165" s="297" t="s">
        <v>2868</v>
      </c>
      <c r="H165" s="297" t="s">
        <v>2869</v>
      </c>
      <c r="I165" s="254"/>
    </row>
    <row r="166" spans="1:9">
      <c r="A166" s="294" t="s">
        <v>2870</v>
      </c>
      <c r="B166" s="295" t="s">
        <v>2636</v>
      </c>
      <c r="C166" s="295" t="s">
        <v>2637</v>
      </c>
      <c r="D166" s="284"/>
      <c r="E166" s="284"/>
      <c r="F166" s="285"/>
      <c r="G166" s="254"/>
      <c r="H166" s="254"/>
      <c r="I166" s="254"/>
    </row>
    <row r="167" spans="1:9">
      <c r="A167" s="294" t="s">
        <v>2871</v>
      </c>
      <c r="B167" s="295" t="s">
        <v>2636</v>
      </c>
      <c r="C167" s="295" t="s">
        <v>2637</v>
      </c>
      <c r="D167" s="284"/>
      <c r="E167" s="284"/>
      <c r="F167" s="284"/>
      <c r="I167" s="254"/>
    </row>
    <row r="168" spans="1:9" ht="60">
      <c r="A168" s="294" t="s">
        <v>2872</v>
      </c>
      <c r="B168" s="295" t="s">
        <v>2636</v>
      </c>
      <c r="C168" s="295" t="s">
        <v>2873</v>
      </c>
      <c r="D168" s="295" t="s">
        <v>2874</v>
      </c>
      <c r="E168" s="295" t="s">
        <v>3456</v>
      </c>
      <c r="F168" s="284"/>
      <c r="I168" s="254"/>
    </row>
    <row r="169" spans="1:9">
      <c r="A169" s="294" t="s">
        <v>80</v>
      </c>
      <c r="B169" s="295" t="s">
        <v>2636</v>
      </c>
      <c r="C169" s="295" t="s">
        <v>2637</v>
      </c>
      <c r="D169" s="284"/>
      <c r="E169" s="284"/>
      <c r="F169" s="284"/>
    </row>
    <row r="170" spans="1:9" ht="14"/>
    <row r="171" spans="1:9" ht="30">
      <c r="A171" s="261" t="s">
        <v>3420</v>
      </c>
    </row>
    <row r="172" spans="1:9">
      <c r="A172" s="298" t="s">
        <v>51</v>
      </c>
      <c r="B172" s="299" t="s">
        <v>2875</v>
      </c>
    </row>
    <row r="173" spans="1:9">
      <c r="A173" s="298" t="s">
        <v>52</v>
      </c>
      <c r="B173" s="299" t="s">
        <v>2646</v>
      </c>
      <c r="C173" s="299" t="s">
        <v>2876</v>
      </c>
    </row>
    <row r="174" spans="1:9">
      <c r="A174" s="298" t="s">
        <v>53</v>
      </c>
      <c r="B174" s="299" t="s">
        <v>2648</v>
      </c>
      <c r="C174" s="299" t="s">
        <v>2649</v>
      </c>
      <c r="D174" s="299" t="s">
        <v>2650</v>
      </c>
      <c r="E174" s="299" t="s">
        <v>2651</v>
      </c>
      <c r="F174" s="299" t="s">
        <v>2652</v>
      </c>
      <c r="G174" s="299" t="s">
        <v>2653</v>
      </c>
      <c r="H174" s="299" t="s">
        <v>2654</v>
      </c>
    </row>
    <row r="175" spans="1:9">
      <c r="A175" s="298" t="s">
        <v>2877</v>
      </c>
      <c r="B175" s="299" t="s">
        <v>2636</v>
      </c>
      <c r="C175" s="299" t="s">
        <v>2637</v>
      </c>
      <c r="D175" s="299" t="s">
        <v>2878</v>
      </c>
    </row>
    <row r="176" spans="1:9">
      <c r="A176" s="298" t="s">
        <v>2879</v>
      </c>
    </row>
    <row r="177" spans="1:5" ht="14"/>
    <row r="178" spans="1:5">
      <c r="A178" s="261" t="s">
        <v>3421</v>
      </c>
      <c r="D178" s="333"/>
      <c r="E178" s="333"/>
    </row>
    <row r="179" spans="1:5">
      <c r="A179" s="300" t="s">
        <v>24</v>
      </c>
    </row>
    <row r="180" spans="1:5">
      <c r="A180" s="300" t="s">
        <v>2477</v>
      </c>
    </row>
    <row r="181" spans="1:5">
      <c r="A181" s="300" t="s">
        <v>2478</v>
      </c>
    </row>
    <row r="182" spans="1:5">
      <c r="A182" s="300" t="s">
        <v>2880</v>
      </c>
      <c r="B182" s="301" t="s">
        <v>2881</v>
      </c>
      <c r="C182" s="301" t="s">
        <v>2882</v>
      </c>
      <c r="D182" s="301" t="s">
        <v>2883</v>
      </c>
      <c r="E182" s="301" t="s">
        <v>2884</v>
      </c>
    </row>
    <row r="183" spans="1:5">
      <c r="A183" s="300" t="s">
        <v>2480</v>
      </c>
    </row>
    <row r="184" spans="1:5">
      <c r="A184" s="302" t="s">
        <v>2885</v>
      </c>
    </row>
    <row r="185" spans="1:5">
      <c r="A185" s="300" t="s">
        <v>2482</v>
      </c>
    </row>
    <row r="186" spans="1:5">
      <c r="A186" s="300" t="s">
        <v>2483</v>
      </c>
    </row>
    <row r="187" spans="1:5">
      <c r="A187" s="300" t="s">
        <v>2484</v>
      </c>
    </row>
    <row r="188" spans="1:5">
      <c r="A188" s="300" t="s">
        <v>2485</v>
      </c>
    </row>
    <row r="189" spans="1:5">
      <c r="A189" s="300" t="s">
        <v>2486</v>
      </c>
    </row>
    <row r="190" spans="1:5">
      <c r="A190" s="300" t="s">
        <v>2487</v>
      </c>
    </row>
    <row r="191" spans="1:5">
      <c r="A191" s="300" t="s">
        <v>2488</v>
      </c>
    </row>
    <row r="192" spans="1:5">
      <c r="A192" s="300" t="s">
        <v>2489</v>
      </c>
    </row>
    <row r="193" spans="1:1">
      <c r="A193" s="300" t="s">
        <v>2886</v>
      </c>
    </row>
    <row r="194" spans="1:1">
      <c r="A194" s="300" t="s">
        <v>2491</v>
      </c>
    </row>
    <row r="195" spans="1:1">
      <c r="A195" s="300" t="s">
        <v>2492</v>
      </c>
    </row>
    <row r="196" spans="1:1">
      <c r="A196" s="300" t="s">
        <v>2887</v>
      </c>
    </row>
    <row r="197" spans="1:1">
      <c r="A197" s="300" t="s">
        <v>2888</v>
      </c>
    </row>
    <row r="198" spans="1:1" ht="15.75" customHeight="1"/>
    <row r="199" spans="1:1" ht="15.75" customHeight="1"/>
    <row r="200" spans="1:1" ht="15.75" customHeight="1"/>
    <row r="201" spans="1:1" ht="15.75" customHeight="1"/>
    <row r="202" spans="1:1" ht="15.75" customHeight="1"/>
    <row r="203" spans="1:1" ht="15.75" customHeight="1"/>
    <row r="204" spans="1:1" ht="15.75" customHeight="1"/>
    <row r="205" spans="1:1" ht="15.75" customHeight="1"/>
    <row r="206" spans="1:1" ht="15.75" customHeight="1"/>
    <row r="207" spans="1:1" ht="15.75" customHeight="1"/>
    <row r="208" spans="1:1"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sheetData>
  <mergeCells count="1">
    <mergeCell ref="D178:E178"/>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05120-0801-BB4B-8BC0-968BA9E272CC}">
  <sheetPr>
    <tabColor rgb="FF92D050"/>
  </sheetPr>
  <dimension ref="A1:DZ175"/>
  <sheetViews>
    <sheetView workbookViewId="0">
      <pane xSplit="1" topLeftCell="B1" activePane="topRight" state="frozen"/>
      <selection pane="topRight"/>
    </sheetView>
  </sheetViews>
  <sheetFormatPr baseColWidth="10" defaultColWidth="10.83203125" defaultRowHeight="14"/>
  <cols>
    <col min="1" max="1" width="7.83203125" style="35" bestFit="1" customWidth="1"/>
    <col min="2" max="2" width="19.6640625" style="35" bestFit="1" customWidth="1"/>
    <col min="3" max="3" width="19.83203125" style="35" bestFit="1" customWidth="1"/>
    <col min="4" max="4" width="14.6640625" style="35" customWidth="1"/>
    <col min="5" max="5" width="13.1640625" style="35" bestFit="1" customWidth="1"/>
    <col min="6" max="6" width="5" style="35" bestFit="1" customWidth="1"/>
    <col min="7" max="7" width="7" style="35" bestFit="1" customWidth="1"/>
    <col min="8" max="8" width="5.6640625" style="35" bestFit="1" customWidth="1"/>
    <col min="9" max="9" width="59.33203125" style="35" customWidth="1"/>
    <col min="10" max="10" width="23.33203125" style="35" bestFit="1" customWidth="1"/>
    <col min="11" max="11" width="6.1640625" style="35" bestFit="1" customWidth="1"/>
    <col min="12" max="12" width="7.83203125" style="35" bestFit="1" customWidth="1"/>
    <col min="13" max="13" width="22.6640625" style="35" bestFit="1" customWidth="1"/>
    <col min="14" max="14" width="9.33203125" style="35" bestFit="1" customWidth="1"/>
    <col min="15" max="15" width="11.1640625" style="35" bestFit="1" customWidth="1"/>
    <col min="16" max="16" width="28.33203125" style="35" bestFit="1" customWidth="1"/>
    <col min="17" max="17" width="24.6640625" style="35" bestFit="1" customWidth="1"/>
    <col min="18" max="18" width="23" style="35" bestFit="1" customWidth="1"/>
    <col min="19" max="19" width="14.6640625" style="35" bestFit="1" customWidth="1"/>
    <col min="20" max="20" width="15.83203125" style="35" bestFit="1" customWidth="1"/>
    <col min="21" max="21" width="32.33203125" style="35" bestFit="1" customWidth="1"/>
    <col min="22" max="22" width="24.33203125" style="35" bestFit="1" customWidth="1"/>
    <col min="23" max="23" width="8.1640625" style="35" bestFit="1" customWidth="1"/>
    <col min="24" max="24" width="6.1640625" style="35" bestFit="1" customWidth="1"/>
    <col min="25" max="25" width="10.83203125" style="35" bestFit="1" customWidth="1"/>
    <col min="26" max="26" width="18.83203125" style="35" bestFit="1" customWidth="1"/>
    <col min="27" max="27" width="8.83203125" style="35" bestFit="1" customWidth="1"/>
    <col min="28" max="28" width="10.6640625" style="35" bestFit="1" customWidth="1"/>
    <col min="29" max="29" width="20.83203125" style="35" bestFit="1" customWidth="1"/>
    <col min="30" max="30" width="31" style="35" customWidth="1"/>
    <col min="31" max="31" width="11.83203125" style="35" bestFit="1" customWidth="1"/>
    <col min="32" max="32" width="19.33203125" style="35" bestFit="1" customWidth="1"/>
    <col min="33" max="33" width="14.33203125" style="35" bestFit="1" customWidth="1"/>
    <col min="34" max="34" width="17.33203125" style="35" bestFit="1" customWidth="1"/>
    <col min="35" max="35" width="19.83203125" style="35" bestFit="1" customWidth="1"/>
    <col min="36" max="36" width="9.1640625" style="35" bestFit="1" customWidth="1"/>
    <col min="37" max="37" width="20" style="35" bestFit="1" customWidth="1"/>
    <col min="38" max="38" width="19" style="35" bestFit="1" customWidth="1"/>
    <col min="39" max="39" width="16" style="35" bestFit="1" customWidth="1"/>
    <col min="40" max="40" width="15.1640625" style="35" bestFit="1" customWidth="1"/>
    <col min="41" max="41" width="24.6640625" style="35" bestFit="1" customWidth="1"/>
    <col min="42" max="42" width="37" style="35" customWidth="1"/>
    <col min="43" max="43" width="31.5" style="35" bestFit="1" customWidth="1"/>
    <col min="44" max="44" width="22" style="35" bestFit="1" customWidth="1"/>
    <col min="45" max="45" width="28.33203125" style="35" bestFit="1" customWidth="1"/>
    <col min="46" max="46" width="27.33203125" style="35" bestFit="1" customWidth="1"/>
    <col min="47" max="47" width="24.1640625" style="35" bestFit="1" customWidth="1"/>
    <col min="48" max="48" width="25.1640625" style="35" bestFit="1" customWidth="1"/>
    <col min="49" max="49" width="24.1640625" style="35" bestFit="1" customWidth="1"/>
    <col min="50" max="50" width="27.1640625" style="35" bestFit="1" customWidth="1"/>
    <col min="51" max="51" width="18.1640625" style="35" bestFit="1" customWidth="1"/>
    <col min="52" max="52" width="25.6640625" style="35" bestFit="1" customWidth="1"/>
    <col min="53" max="53" width="24.1640625" style="35" bestFit="1" customWidth="1"/>
    <col min="54" max="54" width="21" style="35" bestFit="1" customWidth="1"/>
    <col min="55" max="55" width="6" style="35" bestFit="1" customWidth="1"/>
    <col min="56" max="56" width="18.83203125" style="35" bestFit="1" customWidth="1"/>
    <col min="57" max="57" width="24.1640625" style="35" bestFit="1" customWidth="1"/>
    <col min="58" max="58" width="16.83203125" style="35" bestFit="1" customWidth="1"/>
    <col min="59" max="59" width="18.6640625" style="35" bestFit="1" customWidth="1"/>
    <col min="60" max="60" width="15.1640625" style="35" bestFit="1" customWidth="1"/>
    <col min="61" max="61" width="14" style="35" bestFit="1" customWidth="1"/>
    <col min="62" max="62" width="16.83203125" style="35" bestFit="1" customWidth="1"/>
    <col min="63" max="63" width="39.33203125" style="35" bestFit="1" customWidth="1"/>
    <col min="64" max="64" width="15" style="35" bestFit="1" customWidth="1"/>
    <col min="65" max="65" width="26.1640625" style="35" bestFit="1" customWidth="1"/>
    <col min="66" max="66" width="38.33203125" style="35" customWidth="1"/>
    <col min="67" max="67" width="28.1640625" style="35" bestFit="1" customWidth="1"/>
    <col min="68" max="68" width="31.33203125" style="35" bestFit="1" customWidth="1"/>
    <col min="69" max="69" width="25.5" style="35" bestFit="1" customWidth="1"/>
    <col min="70" max="70" width="25.6640625" style="35" bestFit="1" customWidth="1"/>
    <col min="71" max="72" width="19.83203125" style="35" bestFit="1" customWidth="1"/>
    <col min="73" max="73" width="18.33203125" style="35" bestFit="1" customWidth="1"/>
    <col min="74" max="74" width="9.1640625" style="35" bestFit="1" customWidth="1"/>
    <col min="75" max="75" width="25.6640625" style="35" bestFit="1" customWidth="1"/>
    <col min="76" max="76" width="9.6640625" style="35" bestFit="1" customWidth="1"/>
    <col min="77" max="77" width="24.6640625" style="35" bestFit="1" customWidth="1"/>
    <col min="78" max="78" width="20.5" style="35" bestFit="1" customWidth="1"/>
    <col min="79" max="79" width="17.1640625" style="35" bestFit="1" customWidth="1"/>
    <col min="80" max="80" width="35.33203125" style="35" bestFit="1" customWidth="1"/>
    <col min="81" max="81" width="23.1640625" style="35" bestFit="1" customWidth="1"/>
    <col min="82" max="82" width="37.33203125" style="35" bestFit="1" customWidth="1"/>
    <col min="83" max="83" width="14.1640625" style="35" bestFit="1" customWidth="1"/>
    <col min="84" max="84" width="36.1640625" style="35" bestFit="1" customWidth="1"/>
    <col min="85" max="85" width="18" style="35" bestFit="1" customWidth="1"/>
    <col min="86" max="86" width="15.6640625" style="35" bestFit="1" customWidth="1"/>
    <col min="87" max="87" width="14.1640625" style="35" bestFit="1" customWidth="1"/>
    <col min="88" max="88" width="59.6640625" style="35" bestFit="1" customWidth="1"/>
    <col min="89" max="89" width="22.83203125" style="35" bestFit="1" customWidth="1"/>
    <col min="90" max="90" width="20.1640625" style="35" bestFit="1" customWidth="1"/>
    <col min="91" max="91" width="20.6640625" style="35" bestFit="1" customWidth="1"/>
    <col min="92" max="92" width="28.1640625" style="35" bestFit="1" customWidth="1"/>
    <col min="93" max="93" width="22.83203125" style="35" bestFit="1" customWidth="1"/>
    <col min="94" max="94" width="18" style="35" bestFit="1" customWidth="1"/>
    <col min="95" max="95" width="21.83203125" style="35" bestFit="1" customWidth="1"/>
    <col min="96" max="96" width="26.83203125" style="35" bestFit="1" customWidth="1"/>
    <col min="97" max="97" width="24.1640625" style="35" bestFit="1" customWidth="1"/>
    <col min="98" max="98" width="19.6640625" style="35" bestFit="1" customWidth="1"/>
    <col min="99" max="99" width="26.6640625" style="35" bestFit="1" customWidth="1"/>
    <col min="100" max="100" width="30.1640625" style="35" bestFit="1" customWidth="1"/>
    <col min="101" max="101" width="22.6640625" style="35" bestFit="1" customWidth="1"/>
    <col min="102" max="102" width="14.5" style="35" bestFit="1" customWidth="1"/>
    <col min="103" max="103" width="17.6640625" style="35" bestFit="1" customWidth="1"/>
    <col min="104" max="104" width="19" style="35" bestFit="1" customWidth="1"/>
    <col min="105" max="105" width="33.5" style="35" bestFit="1" customWidth="1"/>
    <col min="106" max="106" width="18.1640625" style="35" bestFit="1" customWidth="1"/>
    <col min="107" max="107" width="9.83203125" style="35" bestFit="1" customWidth="1"/>
    <col min="108" max="108" width="15.6640625" style="35" bestFit="1" customWidth="1"/>
    <col min="109" max="109" width="16.33203125" style="35" bestFit="1" customWidth="1"/>
    <col min="110" max="110" width="32.1640625" style="35" bestFit="1" customWidth="1"/>
    <col min="111" max="112" width="15.6640625" style="35" bestFit="1" customWidth="1"/>
    <col min="113" max="113" width="32.1640625" style="35" bestFit="1" customWidth="1"/>
    <col min="114" max="114" width="30.33203125" style="35" bestFit="1" customWidth="1"/>
    <col min="115" max="115" width="35.1640625" style="35" bestFit="1" customWidth="1"/>
    <col min="116" max="116" width="30.5" style="35" customWidth="1"/>
    <col min="117" max="117" width="14.5" style="35" bestFit="1" customWidth="1"/>
    <col min="118" max="118" width="24" style="35" bestFit="1" customWidth="1"/>
    <col min="119" max="119" width="33" style="35" customWidth="1"/>
    <col min="120" max="120" width="9.33203125" style="35" bestFit="1" customWidth="1"/>
    <col min="121" max="121" width="13.6640625" style="35" bestFit="1" customWidth="1"/>
    <col min="122" max="122" width="20" style="35" bestFit="1" customWidth="1"/>
    <col min="123" max="123" width="20.1640625" style="35" bestFit="1" customWidth="1"/>
    <col min="124" max="124" width="36.1640625" style="35" bestFit="1" customWidth="1"/>
    <col min="125" max="125" width="23.83203125" style="35" bestFit="1" customWidth="1"/>
    <col min="126" max="126" width="32.33203125" style="35" customWidth="1"/>
    <col min="127" max="127" width="19.83203125" style="35" bestFit="1" customWidth="1"/>
    <col min="128" max="128" width="15.6640625" style="35" bestFit="1" customWidth="1"/>
    <col min="129" max="129" width="17.33203125" style="35" bestFit="1" customWidth="1"/>
    <col min="130" max="130" width="18.83203125" style="35" bestFit="1" customWidth="1"/>
    <col min="131" max="16384" width="10.83203125" style="35"/>
  </cols>
  <sheetData>
    <row r="1" spans="1:130" s="22" customFormat="1" ht="16">
      <c r="A1" s="58" t="s">
        <v>21</v>
      </c>
      <c r="B1" s="58" t="s">
        <v>22</v>
      </c>
      <c r="C1" s="58"/>
      <c r="D1" s="60" t="s">
        <v>23</v>
      </c>
      <c r="E1" s="60"/>
      <c r="F1" s="60"/>
      <c r="G1" s="60"/>
      <c r="H1" s="60"/>
      <c r="I1" s="61" t="s">
        <v>24</v>
      </c>
      <c r="J1" s="61"/>
      <c r="K1" s="61"/>
      <c r="L1" s="61"/>
      <c r="M1" s="61"/>
      <c r="N1" s="61"/>
      <c r="O1" s="61"/>
      <c r="P1" s="61"/>
      <c r="Q1" s="61"/>
      <c r="R1" s="61"/>
      <c r="S1" s="62" t="s">
        <v>25</v>
      </c>
      <c r="T1" s="62"/>
      <c r="U1" s="62"/>
      <c r="V1" s="63" t="s">
        <v>3393</v>
      </c>
      <c r="W1" s="63"/>
      <c r="X1" s="63"/>
      <c r="Y1" s="63"/>
      <c r="Z1" s="63"/>
      <c r="AA1" s="63"/>
      <c r="AB1" s="63"/>
      <c r="AC1" s="63"/>
      <c r="AD1" s="63"/>
      <c r="AE1" s="63"/>
      <c r="AF1" s="63"/>
      <c r="AG1" s="63"/>
      <c r="AH1" s="63"/>
      <c r="AI1" s="63"/>
      <c r="AJ1" s="63"/>
      <c r="AK1" s="63"/>
      <c r="AL1" s="63"/>
      <c r="AM1" s="63"/>
      <c r="AN1" s="63"/>
      <c r="AO1" s="63"/>
      <c r="AP1" s="63"/>
      <c r="AQ1" s="64" t="s">
        <v>26</v>
      </c>
      <c r="AR1" s="64"/>
      <c r="AS1" s="64"/>
      <c r="AT1" s="64"/>
      <c r="AU1" s="64"/>
      <c r="AV1" s="64"/>
      <c r="AW1" s="64"/>
      <c r="AX1" s="64"/>
      <c r="AY1" s="64"/>
      <c r="AZ1" s="64"/>
      <c r="BA1" s="64"/>
      <c r="BB1" s="64"/>
      <c r="BC1" s="64"/>
      <c r="BD1" s="65" t="s">
        <v>27</v>
      </c>
      <c r="BE1" s="65"/>
      <c r="BF1" s="65"/>
      <c r="BG1" s="65"/>
      <c r="BH1" s="65"/>
      <c r="BI1" s="65"/>
      <c r="BJ1" s="65"/>
      <c r="BK1" s="65"/>
      <c r="BL1" s="65"/>
      <c r="BM1" s="65"/>
      <c r="BN1" s="65"/>
      <c r="BO1" s="65"/>
      <c r="BP1" s="65"/>
      <c r="BQ1" s="65"/>
      <c r="BR1" s="65"/>
      <c r="BS1" s="65"/>
      <c r="BT1" s="65"/>
      <c r="BU1" s="65"/>
      <c r="BV1" s="65"/>
      <c r="BW1" s="65"/>
      <c r="BX1" s="65"/>
      <c r="BY1" s="66" t="s">
        <v>28</v>
      </c>
      <c r="BZ1" s="66"/>
      <c r="CA1" s="66"/>
      <c r="CB1" s="66"/>
      <c r="CC1" s="66"/>
      <c r="CD1" s="66"/>
      <c r="CE1" s="66"/>
      <c r="CF1" s="66"/>
      <c r="CG1" s="66"/>
      <c r="CH1" s="66"/>
      <c r="CI1" s="66"/>
      <c r="CJ1" s="66"/>
      <c r="CK1" s="45" t="s">
        <v>29</v>
      </c>
      <c r="CL1" s="45"/>
      <c r="CM1" s="45"/>
      <c r="CN1" s="45"/>
      <c r="CO1" s="45"/>
      <c r="CP1" s="45"/>
      <c r="CQ1" s="45"/>
      <c r="CR1" s="45"/>
      <c r="CS1" s="45"/>
      <c r="CT1" s="45"/>
      <c r="CU1" s="45"/>
      <c r="CV1" s="45"/>
      <c r="CW1" s="45"/>
      <c r="CX1" s="45"/>
      <c r="CY1" s="45"/>
      <c r="CZ1" s="45"/>
      <c r="DA1" s="45"/>
      <c r="DB1" s="67" t="s">
        <v>30</v>
      </c>
      <c r="DC1" s="67"/>
      <c r="DD1" s="67"/>
      <c r="DE1" s="67"/>
      <c r="DF1" s="67"/>
      <c r="DG1" s="67"/>
      <c r="DH1" s="67"/>
      <c r="DI1" s="67"/>
      <c r="DJ1" s="67"/>
      <c r="DK1" s="67"/>
      <c r="DL1" s="67"/>
      <c r="DM1" s="67"/>
      <c r="DN1" s="67"/>
      <c r="DO1" s="67"/>
      <c r="DP1" s="67"/>
      <c r="DQ1" s="67"/>
      <c r="DR1" s="68" t="s">
        <v>31</v>
      </c>
      <c r="DS1" s="68"/>
      <c r="DT1" s="68"/>
      <c r="DU1" s="68"/>
      <c r="DV1" s="68"/>
      <c r="DW1" s="69" t="s">
        <v>32</v>
      </c>
      <c r="DX1" s="69"/>
      <c r="DY1" s="69"/>
      <c r="DZ1" s="69"/>
    </row>
    <row r="2" spans="1:130" s="22" customFormat="1" ht="16">
      <c r="A2" s="70" t="s">
        <v>21</v>
      </c>
      <c r="B2" s="70" t="s">
        <v>33</v>
      </c>
      <c r="C2" s="70" t="s">
        <v>34</v>
      </c>
      <c r="D2" s="71" t="s">
        <v>35</v>
      </c>
      <c r="E2" s="71" t="s">
        <v>36</v>
      </c>
      <c r="F2" s="71" t="s">
        <v>37</v>
      </c>
      <c r="G2" s="71" t="s">
        <v>38</v>
      </c>
      <c r="H2" s="71" t="s">
        <v>39</v>
      </c>
      <c r="I2" s="71" t="s">
        <v>40</v>
      </c>
      <c r="J2" s="71" t="s">
        <v>41</v>
      </c>
      <c r="K2" s="71" t="s">
        <v>42</v>
      </c>
      <c r="L2" s="71" t="s">
        <v>43</v>
      </c>
      <c r="M2" s="71" t="s">
        <v>44</v>
      </c>
      <c r="N2" s="71" t="s">
        <v>24</v>
      </c>
      <c r="O2" s="71" t="s">
        <v>45</v>
      </c>
      <c r="P2" s="71" t="s">
        <v>46</v>
      </c>
      <c r="Q2" s="71" t="s">
        <v>47</v>
      </c>
      <c r="R2" s="71" t="s">
        <v>2950</v>
      </c>
      <c r="S2" s="71" t="s">
        <v>48</v>
      </c>
      <c r="T2" s="71" t="s">
        <v>49</v>
      </c>
      <c r="U2" s="71" t="s">
        <v>50</v>
      </c>
      <c r="V2" s="71" t="s">
        <v>51</v>
      </c>
      <c r="W2" s="71" t="s">
        <v>52</v>
      </c>
      <c r="X2" s="71" t="s">
        <v>53</v>
      </c>
      <c r="Y2" s="71" t="s">
        <v>54</v>
      </c>
      <c r="Z2" s="71" t="s">
        <v>55</v>
      </c>
      <c r="AA2" s="71" t="s">
        <v>56</v>
      </c>
      <c r="AB2" s="71" t="s">
        <v>57</v>
      </c>
      <c r="AC2" s="71" t="s">
        <v>748</v>
      </c>
      <c r="AD2" s="71" t="s">
        <v>749</v>
      </c>
      <c r="AE2" s="71" t="s">
        <v>750</v>
      </c>
      <c r="AF2" s="71" t="s">
        <v>751</v>
      </c>
      <c r="AG2" s="71" t="s">
        <v>752</v>
      </c>
      <c r="AH2" s="71" t="s">
        <v>753</v>
      </c>
      <c r="AI2" s="71" t="s">
        <v>58</v>
      </c>
      <c r="AJ2" s="71" t="s">
        <v>59</v>
      </c>
      <c r="AK2" s="71" t="s">
        <v>60</v>
      </c>
      <c r="AL2" s="71" t="s">
        <v>754</v>
      </c>
      <c r="AM2" s="71" t="s">
        <v>61</v>
      </c>
      <c r="AN2" s="71" t="s">
        <v>755</v>
      </c>
      <c r="AO2" s="71" t="s">
        <v>756</v>
      </c>
      <c r="AP2" s="71" t="s">
        <v>757</v>
      </c>
      <c r="AQ2" s="71" t="s">
        <v>62</v>
      </c>
      <c r="AR2" s="71" t="s">
        <v>63</v>
      </c>
      <c r="AS2" s="71" t="s">
        <v>758</v>
      </c>
      <c r="AT2" s="71" t="s">
        <v>759</v>
      </c>
      <c r="AU2" s="71" t="s">
        <v>760</v>
      </c>
      <c r="AV2" s="71" t="s">
        <v>761</v>
      </c>
      <c r="AW2" s="71" t="s">
        <v>762</v>
      </c>
      <c r="AX2" s="71" t="s">
        <v>763</v>
      </c>
      <c r="AY2" s="71" t="s">
        <v>3396</v>
      </c>
      <c r="AZ2" s="71" t="s">
        <v>3395</v>
      </c>
      <c r="BA2" s="71" t="s">
        <v>3394</v>
      </c>
      <c r="BB2" s="71" t="s">
        <v>800</v>
      </c>
      <c r="BC2" s="71" t="s">
        <v>66</v>
      </c>
      <c r="BD2" s="71" t="s">
        <v>67</v>
      </c>
      <c r="BE2" s="71" t="s">
        <v>766</v>
      </c>
      <c r="BF2" s="71" t="s">
        <v>68</v>
      </c>
      <c r="BG2" s="71" t="s">
        <v>767</v>
      </c>
      <c r="BH2" s="71" t="s">
        <v>768</v>
      </c>
      <c r="BI2" s="71" t="s">
        <v>769</v>
      </c>
      <c r="BJ2" s="71" t="s">
        <v>770</v>
      </c>
      <c r="BK2" s="71" t="s">
        <v>771</v>
      </c>
      <c r="BL2" s="71" t="s">
        <v>3059</v>
      </c>
      <c r="BM2" s="71" t="s">
        <v>3060</v>
      </c>
      <c r="BN2" s="71" t="s">
        <v>3061</v>
      </c>
      <c r="BO2" s="71" t="s">
        <v>772</v>
      </c>
      <c r="BP2" s="71" t="s">
        <v>773</v>
      </c>
      <c r="BQ2" s="71" t="s">
        <v>3049</v>
      </c>
      <c r="BR2" s="71" t="s">
        <v>3050</v>
      </c>
      <c r="BS2" s="71" t="s">
        <v>774</v>
      </c>
      <c r="BT2" s="71" t="s">
        <v>775</v>
      </c>
      <c r="BU2" s="71" t="s">
        <v>776</v>
      </c>
      <c r="BV2" s="71" t="s">
        <v>777</v>
      </c>
      <c r="BW2" s="71" t="s">
        <v>778</v>
      </c>
      <c r="BX2" s="71" t="s">
        <v>2755</v>
      </c>
      <c r="BY2" s="71" t="s">
        <v>71</v>
      </c>
      <c r="BZ2" s="71" t="s">
        <v>72</v>
      </c>
      <c r="CA2" s="71" t="s">
        <v>73</v>
      </c>
      <c r="CB2" s="71" t="s">
        <v>779</v>
      </c>
      <c r="CC2" s="71" t="s">
        <v>74</v>
      </c>
      <c r="CD2" s="71" t="s">
        <v>780</v>
      </c>
      <c r="CE2" s="71" t="s">
        <v>75</v>
      </c>
      <c r="CF2" s="71" t="s">
        <v>781</v>
      </c>
      <c r="CG2" s="71" t="s">
        <v>76</v>
      </c>
      <c r="CH2" s="71" t="s">
        <v>77</v>
      </c>
      <c r="CI2" s="71" t="s">
        <v>782</v>
      </c>
      <c r="CJ2" s="71" t="s">
        <v>783</v>
      </c>
      <c r="CK2" s="71" t="s">
        <v>3320</v>
      </c>
      <c r="CL2" s="71" t="s">
        <v>3319</v>
      </c>
      <c r="CM2" s="71" t="s">
        <v>3318</v>
      </c>
      <c r="CN2" s="71" t="s">
        <v>2964</v>
      </c>
      <c r="CO2" s="71" t="s">
        <v>2953</v>
      </c>
      <c r="CP2" s="71" t="s">
        <v>2954</v>
      </c>
      <c r="CQ2" s="71" t="s">
        <v>2955</v>
      </c>
      <c r="CR2" s="71" t="s">
        <v>2957</v>
      </c>
      <c r="CS2" s="71" t="s">
        <v>2956</v>
      </c>
      <c r="CT2" s="71" t="s">
        <v>2958</v>
      </c>
      <c r="CU2" s="71" t="s">
        <v>2959</v>
      </c>
      <c r="CV2" s="71" t="s">
        <v>2960</v>
      </c>
      <c r="CW2" s="71" t="s">
        <v>2961</v>
      </c>
      <c r="CX2" s="71" t="s">
        <v>2962</v>
      </c>
      <c r="CY2" s="71" t="s">
        <v>2963</v>
      </c>
      <c r="CZ2" s="71" t="s">
        <v>784</v>
      </c>
      <c r="DA2" s="71" t="s">
        <v>785</v>
      </c>
      <c r="DB2" s="71" t="s">
        <v>786</v>
      </c>
      <c r="DC2" s="71" t="s">
        <v>787</v>
      </c>
      <c r="DD2" s="71" t="s">
        <v>788</v>
      </c>
      <c r="DE2" s="71" t="s">
        <v>789</v>
      </c>
      <c r="DF2" s="71" t="s">
        <v>790</v>
      </c>
      <c r="DG2" s="71" t="s">
        <v>791</v>
      </c>
      <c r="DH2" s="71" t="s">
        <v>792</v>
      </c>
      <c r="DI2" s="71" t="s">
        <v>793</v>
      </c>
      <c r="DJ2" s="71" t="s">
        <v>794</v>
      </c>
      <c r="DK2" s="71" t="s">
        <v>795</v>
      </c>
      <c r="DL2" s="71" t="s">
        <v>796</v>
      </c>
      <c r="DM2" s="71" t="s">
        <v>797</v>
      </c>
      <c r="DN2" s="71" t="s">
        <v>798</v>
      </c>
      <c r="DO2" s="71" t="s">
        <v>799</v>
      </c>
      <c r="DP2" s="71" t="s">
        <v>82</v>
      </c>
      <c r="DQ2" s="71" t="s">
        <v>83</v>
      </c>
      <c r="DR2" s="71" t="s">
        <v>64</v>
      </c>
      <c r="DS2" s="71" t="s">
        <v>3317</v>
      </c>
      <c r="DT2" s="71" t="s">
        <v>801</v>
      </c>
      <c r="DU2" s="71" t="s">
        <v>803</v>
      </c>
      <c r="DV2" s="71" t="s">
        <v>804</v>
      </c>
      <c r="DW2" s="71" t="s">
        <v>805</v>
      </c>
      <c r="DX2" s="71" t="s">
        <v>90</v>
      </c>
      <c r="DY2" s="71" t="s">
        <v>91</v>
      </c>
      <c r="DZ2" s="71" t="s">
        <v>92</v>
      </c>
    </row>
    <row r="3" spans="1:130">
      <c r="A3" s="50">
        <v>1</v>
      </c>
      <c r="B3" s="50" t="s">
        <v>93</v>
      </c>
      <c r="C3" s="50" t="s">
        <v>94</v>
      </c>
      <c r="D3" s="72">
        <v>24320</v>
      </c>
      <c r="E3" s="49" t="s">
        <v>95</v>
      </c>
      <c r="F3" s="73">
        <v>1</v>
      </c>
      <c r="G3" s="73">
        <v>8</v>
      </c>
      <c r="H3" s="49">
        <v>1966</v>
      </c>
      <c r="I3" s="49" t="s">
        <v>96</v>
      </c>
      <c r="J3" s="49" t="s">
        <v>97</v>
      </c>
      <c r="K3" s="74">
        <v>43</v>
      </c>
      <c r="L3" s="74">
        <v>0</v>
      </c>
      <c r="M3" s="73">
        <v>0</v>
      </c>
      <c r="N3" s="74">
        <v>1</v>
      </c>
      <c r="O3" s="73">
        <v>1</v>
      </c>
      <c r="P3" s="74">
        <v>7</v>
      </c>
      <c r="Q3" s="49">
        <v>1</v>
      </c>
      <c r="R3" s="49">
        <v>2</v>
      </c>
      <c r="S3" s="74">
        <v>15</v>
      </c>
      <c r="T3" s="74">
        <v>31</v>
      </c>
      <c r="U3" s="74">
        <v>0</v>
      </c>
      <c r="V3" s="74">
        <v>25</v>
      </c>
      <c r="W3" s="75">
        <v>0</v>
      </c>
      <c r="X3" s="75">
        <v>0</v>
      </c>
      <c r="Y3" s="74">
        <v>0</v>
      </c>
      <c r="Z3" s="74">
        <v>0</v>
      </c>
      <c r="AA3" s="74">
        <v>1</v>
      </c>
      <c r="AB3" s="75">
        <v>2</v>
      </c>
      <c r="AC3" s="74">
        <v>0</v>
      </c>
      <c r="AD3" s="49" t="s">
        <v>3156</v>
      </c>
      <c r="AE3" s="74">
        <v>1</v>
      </c>
      <c r="AF3" s="74">
        <v>2</v>
      </c>
      <c r="AG3" s="74">
        <v>0</v>
      </c>
      <c r="AH3" s="74">
        <v>2</v>
      </c>
      <c r="AI3" s="74">
        <v>2</v>
      </c>
      <c r="AJ3" s="74">
        <v>0</v>
      </c>
      <c r="AK3" s="74">
        <v>0</v>
      </c>
      <c r="AL3" s="49"/>
      <c r="AM3" s="74">
        <v>1</v>
      </c>
      <c r="AN3" s="74">
        <v>3</v>
      </c>
      <c r="AO3" s="49">
        <v>3</v>
      </c>
      <c r="AP3" s="49" t="s">
        <v>811</v>
      </c>
      <c r="AQ3" s="74">
        <v>1</v>
      </c>
      <c r="AR3" s="74">
        <v>0</v>
      </c>
      <c r="AS3" s="74">
        <v>1</v>
      </c>
      <c r="AT3" s="74">
        <v>1</v>
      </c>
      <c r="AU3" s="49">
        <v>1</v>
      </c>
      <c r="AV3" s="49"/>
      <c r="AW3" s="49"/>
      <c r="AX3" s="49">
        <v>0</v>
      </c>
      <c r="AY3" s="74">
        <v>0</v>
      </c>
      <c r="AZ3" s="74">
        <v>0</v>
      </c>
      <c r="BA3" s="74">
        <v>0</v>
      </c>
      <c r="BB3" s="49">
        <v>3</v>
      </c>
      <c r="BC3" s="74">
        <v>0</v>
      </c>
      <c r="BD3" s="74">
        <v>0</v>
      </c>
      <c r="BE3" s="49">
        <v>0</v>
      </c>
      <c r="BF3" s="74">
        <v>0</v>
      </c>
      <c r="BG3" s="74">
        <v>1</v>
      </c>
      <c r="BH3" s="74">
        <v>1</v>
      </c>
      <c r="BI3" s="49">
        <v>1</v>
      </c>
      <c r="BJ3" s="74">
        <v>0</v>
      </c>
      <c r="BK3" s="75"/>
      <c r="BL3" s="49">
        <v>1</v>
      </c>
      <c r="BM3" s="49">
        <v>2</v>
      </c>
      <c r="BN3" s="49" t="s">
        <v>3146</v>
      </c>
      <c r="BO3" s="49">
        <v>1</v>
      </c>
      <c r="BP3" s="49">
        <v>1</v>
      </c>
      <c r="BQ3" s="49">
        <v>1</v>
      </c>
      <c r="BR3" s="49">
        <v>0</v>
      </c>
      <c r="BS3" s="49">
        <v>1</v>
      </c>
      <c r="BT3" s="49">
        <v>1</v>
      </c>
      <c r="BU3" s="49">
        <v>0</v>
      </c>
      <c r="BV3" s="49">
        <v>0</v>
      </c>
      <c r="BW3" s="49">
        <v>0</v>
      </c>
      <c r="BX3" s="49">
        <v>0</v>
      </c>
      <c r="BY3" s="74">
        <v>2</v>
      </c>
      <c r="BZ3" s="74">
        <v>0</v>
      </c>
      <c r="CA3" s="74">
        <v>1</v>
      </c>
      <c r="CB3" s="74">
        <v>0</v>
      </c>
      <c r="CC3" s="74">
        <v>0</v>
      </c>
      <c r="CD3" s="74">
        <v>1</v>
      </c>
      <c r="CE3" s="74">
        <v>1</v>
      </c>
      <c r="CF3" s="74">
        <v>0</v>
      </c>
      <c r="CG3" s="74">
        <v>0</v>
      </c>
      <c r="CH3" s="74">
        <v>3</v>
      </c>
      <c r="CI3" s="74">
        <v>1</v>
      </c>
      <c r="CJ3" s="49" t="s">
        <v>98</v>
      </c>
      <c r="CK3" s="49">
        <v>0</v>
      </c>
      <c r="CL3" s="49"/>
      <c r="CM3" s="49">
        <v>0</v>
      </c>
      <c r="CN3" s="49">
        <v>0</v>
      </c>
      <c r="CO3" s="49">
        <v>0</v>
      </c>
      <c r="CP3" s="49">
        <v>0</v>
      </c>
      <c r="CQ3" s="49">
        <v>0</v>
      </c>
      <c r="CR3" s="49">
        <v>0</v>
      </c>
      <c r="CS3" s="49">
        <v>0</v>
      </c>
      <c r="CT3" s="49">
        <v>0</v>
      </c>
      <c r="CU3" s="49">
        <v>0</v>
      </c>
      <c r="CV3" s="49">
        <v>0</v>
      </c>
      <c r="CW3" s="49">
        <v>0</v>
      </c>
      <c r="CX3" s="49">
        <v>0</v>
      </c>
      <c r="CY3" s="49">
        <v>1</v>
      </c>
      <c r="CZ3" s="74">
        <v>1</v>
      </c>
      <c r="DA3" s="49">
        <v>0</v>
      </c>
      <c r="DB3" s="49">
        <v>2</v>
      </c>
      <c r="DC3" s="74">
        <v>1</v>
      </c>
      <c r="DD3" s="74">
        <v>0</v>
      </c>
      <c r="DE3" s="74">
        <v>0</v>
      </c>
      <c r="DF3" s="49">
        <v>1</v>
      </c>
      <c r="DG3" s="49"/>
      <c r="DH3" s="49"/>
      <c r="DI3" s="49"/>
      <c r="DJ3" s="74">
        <v>0</v>
      </c>
      <c r="DK3" s="74">
        <v>1</v>
      </c>
      <c r="DL3" s="75" t="s">
        <v>99</v>
      </c>
      <c r="DM3" s="74">
        <v>1</v>
      </c>
      <c r="DN3" s="49">
        <v>0</v>
      </c>
      <c r="DO3" s="49" t="s">
        <v>100</v>
      </c>
      <c r="DP3" s="49">
        <v>1</v>
      </c>
      <c r="DQ3" s="74">
        <v>0</v>
      </c>
      <c r="DR3" s="74">
        <v>1</v>
      </c>
      <c r="DS3" s="74">
        <v>3</v>
      </c>
      <c r="DT3" s="49">
        <v>7</v>
      </c>
      <c r="DU3" s="74">
        <v>1</v>
      </c>
      <c r="DV3" s="49" t="s">
        <v>812</v>
      </c>
      <c r="DW3" s="74">
        <v>1</v>
      </c>
      <c r="DX3" s="74">
        <v>0</v>
      </c>
      <c r="DY3" s="49">
        <v>2</v>
      </c>
      <c r="DZ3" s="49">
        <v>0</v>
      </c>
    </row>
    <row r="4" spans="1:130">
      <c r="A4" s="50">
        <v>2</v>
      </c>
      <c r="B4" s="50" t="s">
        <v>101</v>
      </c>
      <c r="C4" s="50" t="s">
        <v>102</v>
      </c>
      <c r="D4" s="72">
        <v>24423</v>
      </c>
      <c r="E4" s="49" t="s">
        <v>103</v>
      </c>
      <c r="F4" s="73">
        <v>12</v>
      </c>
      <c r="G4" s="73">
        <v>11</v>
      </c>
      <c r="H4" s="74">
        <v>1966</v>
      </c>
      <c r="I4" s="49" t="s">
        <v>104</v>
      </c>
      <c r="J4" s="49" t="s">
        <v>105</v>
      </c>
      <c r="K4" s="74">
        <v>3</v>
      </c>
      <c r="L4" s="73">
        <v>3</v>
      </c>
      <c r="M4" s="73">
        <v>0</v>
      </c>
      <c r="N4" s="74">
        <v>4</v>
      </c>
      <c r="O4" s="74">
        <v>0</v>
      </c>
      <c r="P4" s="73" t="s">
        <v>100</v>
      </c>
      <c r="Q4" s="49">
        <v>0</v>
      </c>
      <c r="R4" s="49">
        <v>0</v>
      </c>
      <c r="S4" s="74">
        <v>5</v>
      </c>
      <c r="T4" s="74">
        <v>2</v>
      </c>
      <c r="U4" s="74">
        <v>0</v>
      </c>
      <c r="V4" s="74">
        <v>18</v>
      </c>
      <c r="W4" s="74">
        <v>0</v>
      </c>
      <c r="X4" s="74">
        <v>0</v>
      </c>
      <c r="Y4" s="49">
        <v>0</v>
      </c>
      <c r="Z4" s="74">
        <v>0</v>
      </c>
      <c r="AA4" s="74">
        <v>0</v>
      </c>
      <c r="AB4" s="49">
        <v>0</v>
      </c>
      <c r="AC4" s="74">
        <v>2</v>
      </c>
      <c r="AD4" s="49" t="s">
        <v>3157</v>
      </c>
      <c r="AE4" s="74">
        <v>1</v>
      </c>
      <c r="AF4" s="74">
        <v>1</v>
      </c>
      <c r="AG4" s="74">
        <v>0</v>
      </c>
      <c r="AH4" s="74">
        <v>1</v>
      </c>
      <c r="AI4" s="74">
        <v>0</v>
      </c>
      <c r="AJ4" s="49">
        <v>0</v>
      </c>
      <c r="AK4" s="49">
        <v>0</v>
      </c>
      <c r="AL4" s="49"/>
      <c r="AM4" s="74">
        <v>0</v>
      </c>
      <c r="AN4" s="49" t="s">
        <v>100</v>
      </c>
      <c r="AO4" s="74">
        <v>0</v>
      </c>
      <c r="AP4" s="49"/>
      <c r="AQ4" s="49">
        <v>0</v>
      </c>
      <c r="AR4" s="49">
        <v>0</v>
      </c>
      <c r="AS4" s="49">
        <v>0</v>
      </c>
      <c r="AT4" s="49">
        <v>0</v>
      </c>
      <c r="AU4" s="49" t="s">
        <v>100</v>
      </c>
      <c r="AV4" s="49" t="s">
        <v>100</v>
      </c>
      <c r="AW4" s="49" t="s">
        <v>100</v>
      </c>
      <c r="AX4" s="49">
        <v>0</v>
      </c>
      <c r="AY4" s="49">
        <v>0</v>
      </c>
      <c r="AZ4" s="49">
        <v>0</v>
      </c>
      <c r="BA4" s="49">
        <v>0</v>
      </c>
      <c r="BB4" s="49">
        <v>3</v>
      </c>
      <c r="BC4" s="74">
        <v>0</v>
      </c>
      <c r="BD4" s="74">
        <v>1</v>
      </c>
      <c r="BE4" s="74">
        <v>0</v>
      </c>
      <c r="BF4" s="74">
        <v>0</v>
      </c>
      <c r="BG4" s="74">
        <v>3</v>
      </c>
      <c r="BH4" s="49">
        <v>1</v>
      </c>
      <c r="BI4" s="49">
        <v>0</v>
      </c>
      <c r="BJ4" s="74">
        <v>0</v>
      </c>
      <c r="BK4" s="49">
        <v>0</v>
      </c>
      <c r="BL4" s="74">
        <v>1</v>
      </c>
      <c r="BM4" s="49">
        <v>3</v>
      </c>
      <c r="BN4" s="49" t="s">
        <v>2984</v>
      </c>
      <c r="BO4" s="49">
        <v>0</v>
      </c>
      <c r="BP4" s="49">
        <v>0</v>
      </c>
      <c r="BQ4" s="49">
        <v>0</v>
      </c>
      <c r="BR4" s="49">
        <v>0</v>
      </c>
      <c r="BS4" s="49">
        <v>0</v>
      </c>
      <c r="BT4" s="49">
        <v>0</v>
      </c>
      <c r="BU4" s="49">
        <v>0</v>
      </c>
      <c r="BV4" s="49">
        <v>1</v>
      </c>
      <c r="BW4" s="49">
        <v>0</v>
      </c>
      <c r="BX4" s="49">
        <v>0</v>
      </c>
      <c r="BY4" s="74">
        <v>1</v>
      </c>
      <c r="BZ4" s="49">
        <v>0</v>
      </c>
      <c r="CA4" s="49">
        <v>0</v>
      </c>
      <c r="CB4" s="49" t="s">
        <v>100</v>
      </c>
      <c r="CC4" s="49">
        <v>0</v>
      </c>
      <c r="CD4" s="49" t="s">
        <v>100</v>
      </c>
      <c r="CE4" s="74">
        <v>2</v>
      </c>
      <c r="CF4" s="49">
        <v>0</v>
      </c>
      <c r="CG4" s="49">
        <v>0</v>
      </c>
      <c r="CH4" s="49">
        <v>0</v>
      </c>
      <c r="CI4" s="49">
        <v>0</v>
      </c>
      <c r="CJ4" s="49" t="s">
        <v>100</v>
      </c>
      <c r="CK4" s="49">
        <v>4</v>
      </c>
      <c r="CL4" s="49">
        <v>2</v>
      </c>
      <c r="CM4" s="49"/>
      <c r="CN4" s="49">
        <v>0</v>
      </c>
      <c r="CO4" s="49">
        <v>0</v>
      </c>
      <c r="CP4" s="74">
        <v>1</v>
      </c>
      <c r="CQ4" s="49">
        <v>0</v>
      </c>
      <c r="CR4" s="49">
        <v>0</v>
      </c>
      <c r="CS4" s="49">
        <v>0</v>
      </c>
      <c r="CT4" s="49">
        <v>0</v>
      </c>
      <c r="CU4" s="49">
        <v>0</v>
      </c>
      <c r="CV4" s="49">
        <v>0</v>
      </c>
      <c r="CW4" s="74">
        <v>1</v>
      </c>
      <c r="CX4" s="49">
        <v>0</v>
      </c>
      <c r="CY4" s="49">
        <v>0</v>
      </c>
      <c r="CZ4" s="74">
        <v>0</v>
      </c>
      <c r="DA4" s="49">
        <v>0</v>
      </c>
      <c r="DB4" s="49">
        <v>2</v>
      </c>
      <c r="DC4" s="74">
        <v>0</v>
      </c>
      <c r="DD4" s="49"/>
      <c r="DE4" s="49"/>
      <c r="DF4" s="49"/>
      <c r="DG4" s="49"/>
      <c r="DH4" s="49"/>
      <c r="DI4" s="49"/>
      <c r="DJ4" s="74">
        <v>1</v>
      </c>
      <c r="DK4" s="74">
        <v>1</v>
      </c>
      <c r="DL4" s="49" t="s">
        <v>106</v>
      </c>
      <c r="DM4" s="74">
        <v>0</v>
      </c>
      <c r="DN4" s="49">
        <v>0</v>
      </c>
      <c r="DO4" s="49" t="s">
        <v>100</v>
      </c>
      <c r="DP4" s="74">
        <v>1</v>
      </c>
      <c r="DQ4" s="74">
        <v>1</v>
      </c>
      <c r="DR4" s="49">
        <v>0</v>
      </c>
      <c r="DS4" s="74">
        <v>1</v>
      </c>
      <c r="DT4" s="74">
        <v>1</v>
      </c>
      <c r="DU4" s="74">
        <v>1</v>
      </c>
      <c r="DV4" s="49" t="s">
        <v>107</v>
      </c>
      <c r="DW4" s="74">
        <v>2</v>
      </c>
      <c r="DX4" s="74">
        <v>0</v>
      </c>
      <c r="DY4" s="74">
        <v>1</v>
      </c>
      <c r="DZ4" s="74">
        <v>1</v>
      </c>
    </row>
    <row r="5" spans="1:130">
      <c r="A5" s="50">
        <v>3</v>
      </c>
      <c r="B5" s="50" t="s">
        <v>108</v>
      </c>
      <c r="C5" s="50" t="s">
        <v>109</v>
      </c>
      <c r="D5" s="72">
        <v>24768</v>
      </c>
      <c r="E5" s="49" t="s">
        <v>95</v>
      </c>
      <c r="F5" s="73">
        <v>23</v>
      </c>
      <c r="G5" s="73">
        <v>10</v>
      </c>
      <c r="H5" s="49">
        <v>1967</v>
      </c>
      <c r="I5" s="49" t="s">
        <v>110</v>
      </c>
      <c r="J5" s="49" t="s">
        <v>111</v>
      </c>
      <c r="K5" s="74">
        <v>38</v>
      </c>
      <c r="L5" s="73">
        <v>2</v>
      </c>
      <c r="M5" s="73">
        <v>2</v>
      </c>
      <c r="N5" s="74">
        <v>6</v>
      </c>
      <c r="O5" s="73">
        <v>1</v>
      </c>
      <c r="P5" s="74">
        <v>7</v>
      </c>
      <c r="Q5" s="49">
        <v>0</v>
      </c>
      <c r="R5" s="49">
        <v>0</v>
      </c>
      <c r="S5" s="73">
        <v>6</v>
      </c>
      <c r="T5" s="73">
        <v>6</v>
      </c>
      <c r="U5" s="74">
        <v>0</v>
      </c>
      <c r="V5" s="49">
        <v>39</v>
      </c>
      <c r="W5" s="49">
        <v>0</v>
      </c>
      <c r="X5" s="49">
        <v>0</v>
      </c>
      <c r="Y5" s="49">
        <v>0</v>
      </c>
      <c r="Z5" s="74">
        <v>0</v>
      </c>
      <c r="AA5" s="74">
        <v>1</v>
      </c>
      <c r="AB5" s="49">
        <v>2</v>
      </c>
      <c r="AC5" s="49"/>
      <c r="AD5" s="49"/>
      <c r="AE5" s="49"/>
      <c r="AF5" s="74">
        <v>2</v>
      </c>
      <c r="AG5" s="49"/>
      <c r="AH5" s="49"/>
      <c r="AI5" s="49">
        <v>2</v>
      </c>
      <c r="AJ5" s="49">
        <v>1</v>
      </c>
      <c r="AK5" s="49">
        <v>1</v>
      </c>
      <c r="AL5" s="74">
        <v>2</v>
      </c>
      <c r="AM5" s="49">
        <v>1</v>
      </c>
      <c r="AN5" s="49">
        <v>0</v>
      </c>
      <c r="AO5" s="49">
        <v>2</v>
      </c>
      <c r="AP5" s="49" t="s">
        <v>814</v>
      </c>
      <c r="AQ5" s="49">
        <v>1</v>
      </c>
      <c r="AR5" s="49">
        <v>0</v>
      </c>
      <c r="AS5" s="49">
        <v>1</v>
      </c>
      <c r="AT5" s="49">
        <v>0</v>
      </c>
      <c r="AU5" s="49" t="s">
        <v>100</v>
      </c>
      <c r="AV5" s="49" t="s">
        <v>100</v>
      </c>
      <c r="AW5" s="49" t="s">
        <v>100</v>
      </c>
      <c r="AX5" s="49">
        <v>0</v>
      </c>
      <c r="AY5" s="49">
        <v>0</v>
      </c>
      <c r="AZ5" s="49">
        <v>0</v>
      </c>
      <c r="BA5" s="49">
        <v>0</v>
      </c>
      <c r="BB5" s="49">
        <v>3</v>
      </c>
      <c r="BC5" s="49">
        <v>0</v>
      </c>
      <c r="BD5" s="74">
        <v>1</v>
      </c>
      <c r="BE5" s="49">
        <v>0</v>
      </c>
      <c r="BF5" s="49">
        <v>0</v>
      </c>
      <c r="BG5" s="49"/>
      <c r="BH5" s="49">
        <v>1</v>
      </c>
      <c r="BI5" s="49">
        <v>0</v>
      </c>
      <c r="BJ5" s="74">
        <v>0</v>
      </c>
      <c r="BK5" s="49">
        <v>1</v>
      </c>
      <c r="BL5" s="49">
        <v>1</v>
      </c>
      <c r="BM5" s="49">
        <v>2</v>
      </c>
      <c r="BN5" s="49" t="s">
        <v>2967</v>
      </c>
      <c r="BO5" s="49">
        <v>0</v>
      </c>
      <c r="BP5" s="49">
        <v>0</v>
      </c>
      <c r="BQ5" s="49">
        <v>0</v>
      </c>
      <c r="BR5" s="49">
        <v>0</v>
      </c>
      <c r="BS5" s="49">
        <v>0</v>
      </c>
      <c r="BT5" s="49">
        <v>1</v>
      </c>
      <c r="BU5" s="49">
        <v>0</v>
      </c>
      <c r="BV5" s="49">
        <v>1</v>
      </c>
      <c r="BW5" s="49">
        <v>1</v>
      </c>
      <c r="BX5" s="49">
        <v>1</v>
      </c>
      <c r="BY5" s="74">
        <v>2</v>
      </c>
      <c r="BZ5" s="49">
        <v>0</v>
      </c>
      <c r="CA5" s="49">
        <v>0</v>
      </c>
      <c r="CB5" s="49" t="s">
        <v>100</v>
      </c>
      <c r="CC5" s="49">
        <v>0</v>
      </c>
      <c r="CD5" s="49" t="s">
        <v>100</v>
      </c>
      <c r="CE5" s="49">
        <v>5</v>
      </c>
      <c r="CF5" s="49">
        <v>0</v>
      </c>
      <c r="CG5" s="49">
        <v>0</v>
      </c>
      <c r="CH5" s="49">
        <v>0</v>
      </c>
      <c r="CI5" s="49">
        <v>0</v>
      </c>
      <c r="CJ5" s="49" t="s">
        <v>100</v>
      </c>
      <c r="CK5" s="49">
        <v>0</v>
      </c>
      <c r="CL5" s="49"/>
      <c r="CM5" s="49"/>
      <c r="CN5" s="75">
        <v>0</v>
      </c>
      <c r="CO5" s="49">
        <v>0</v>
      </c>
      <c r="CP5" s="49">
        <v>0</v>
      </c>
      <c r="CQ5" s="49">
        <v>0</v>
      </c>
      <c r="CR5" s="49">
        <v>0</v>
      </c>
      <c r="CS5" s="49">
        <v>0</v>
      </c>
      <c r="CT5" s="49">
        <v>0</v>
      </c>
      <c r="CU5" s="49">
        <v>0</v>
      </c>
      <c r="CV5" s="74">
        <v>1</v>
      </c>
      <c r="CW5" s="49">
        <v>0</v>
      </c>
      <c r="CX5" s="49">
        <v>0</v>
      </c>
      <c r="CY5" s="49">
        <v>0</v>
      </c>
      <c r="CZ5" s="74">
        <v>0</v>
      </c>
      <c r="DA5" s="49">
        <v>1</v>
      </c>
      <c r="DB5" s="49">
        <v>2</v>
      </c>
      <c r="DC5" s="49">
        <v>0</v>
      </c>
      <c r="DD5" s="49"/>
      <c r="DE5" s="49"/>
      <c r="DF5" s="49"/>
      <c r="DG5" s="49"/>
      <c r="DH5" s="49"/>
      <c r="DI5" s="49"/>
      <c r="DJ5" s="49">
        <v>0</v>
      </c>
      <c r="DK5" s="49">
        <v>0</v>
      </c>
      <c r="DL5" s="49" t="s">
        <v>100</v>
      </c>
      <c r="DM5" s="74">
        <v>0</v>
      </c>
      <c r="DN5" s="49">
        <v>0</v>
      </c>
      <c r="DO5" s="49" t="s">
        <v>100</v>
      </c>
      <c r="DP5" s="74">
        <v>0</v>
      </c>
      <c r="DQ5" s="74">
        <v>0</v>
      </c>
      <c r="DR5" s="49">
        <v>1</v>
      </c>
      <c r="DS5" s="74">
        <v>3</v>
      </c>
      <c r="DT5" s="49">
        <v>2</v>
      </c>
      <c r="DU5" s="74">
        <v>1</v>
      </c>
      <c r="DV5" s="49" t="s">
        <v>112</v>
      </c>
      <c r="DW5" s="49">
        <v>1</v>
      </c>
      <c r="DX5" s="74">
        <v>0</v>
      </c>
      <c r="DY5" s="49">
        <v>2</v>
      </c>
      <c r="DZ5" s="49">
        <v>0</v>
      </c>
    </row>
    <row r="6" spans="1:130">
      <c r="A6" s="50">
        <v>4</v>
      </c>
      <c r="B6" s="50" t="s">
        <v>113</v>
      </c>
      <c r="C6" s="50" t="s">
        <v>114</v>
      </c>
      <c r="D6" s="72">
        <v>24913</v>
      </c>
      <c r="E6" s="49" t="s">
        <v>103</v>
      </c>
      <c r="F6" s="73">
        <v>16</v>
      </c>
      <c r="G6" s="74">
        <v>3</v>
      </c>
      <c r="H6" s="74">
        <v>1968</v>
      </c>
      <c r="I6" s="49" t="s">
        <v>115</v>
      </c>
      <c r="J6" s="49" t="s">
        <v>116</v>
      </c>
      <c r="K6" s="73">
        <v>22</v>
      </c>
      <c r="L6" s="73">
        <v>0</v>
      </c>
      <c r="M6" s="74">
        <v>2</v>
      </c>
      <c r="N6" s="74">
        <v>5</v>
      </c>
      <c r="O6" s="74">
        <v>1</v>
      </c>
      <c r="P6" s="74">
        <v>7</v>
      </c>
      <c r="Q6" s="49">
        <v>0</v>
      </c>
      <c r="R6" s="49">
        <v>0</v>
      </c>
      <c r="S6" s="74">
        <v>7</v>
      </c>
      <c r="T6" s="73">
        <v>2</v>
      </c>
      <c r="U6" s="74">
        <v>0</v>
      </c>
      <c r="V6" s="49">
        <v>56</v>
      </c>
      <c r="W6" s="74">
        <v>0</v>
      </c>
      <c r="X6" s="49"/>
      <c r="Y6" s="49">
        <v>0</v>
      </c>
      <c r="Z6" s="74">
        <v>0</v>
      </c>
      <c r="AA6" s="49"/>
      <c r="AB6" s="49"/>
      <c r="AC6" s="49"/>
      <c r="AD6" s="49"/>
      <c r="AE6" s="49"/>
      <c r="AF6" s="49"/>
      <c r="AG6" s="49"/>
      <c r="AH6" s="49"/>
      <c r="AI6" s="74">
        <v>0</v>
      </c>
      <c r="AJ6" s="49">
        <v>0</v>
      </c>
      <c r="AK6" s="49">
        <v>1</v>
      </c>
      <c r="AL6" s="74">
        <v>0</v>
      </c>
      <c r="AM6" s="49">
        <v>0</v>
      </c>
      <c r="AN6" s="49" t="s">
        <v>100</v>
      </c>
      <c r="AO6" s="74">
        <v>0</v>
      </c>
      <c r="AP6" s="49"/>
      <c r="AQ6" s="49">
        <v>0</v>
      </c>
      <c r="AR6" s="49">
        <v>0</v>
      </c>
      <c r="AS6" s="49">
        <v>0</v>
      </c>
      <c r="AT6" s="49">
        <v>0</v>
      </c>
      <c r="AU6" s="49" t="s">
        <v>100</v>
      </c>
      <c r="AV6" s="49" t="s">
        <v>100</v>
      </c>
      <c r="AW6" s="49" t="s">
        <v>100</v>
      </c>
      <c r="AX6" s="49">
        <v>0</v>
      </c>
      <c r="AY6" s="49">
        <v>0</v>
      </c>
      <c r="AZ6" s="49">
        <v>0</v>
      </c>
      <c r="BA6" s="49">
        <v>0</v>
      </c>
      <c r="BB6" s="49">
        <v>3</v>
      </c>
      <c r="BC6" s="49">
        <v>0</v>
      </c>
      <c r="BD6" s="49">
        <v>0</v>
      </c>
      <c r="BE6" s="49"/>
      <c r="BF6" s="49"/>
      <c r="BG6" s="49"/>
      <c r="BH6" s="49"/>
      <c r="BI6" s="49">
        <v>0</v>
      </c>
      <c r="BJ6" s="49">
        <v>1</v>
      </c>
      <c r="BK6" s="49">
        <v>0</v>
      </c>
      <c r="BL6" s="49">
        <v>0</v>
      </c>
      <c r="BM6" s="49" t="s">
        <v>100</v>
      </c>
      <c r="BN6" s="49"/>
      <c r="BO6" s="49">
        <v>0</v>
      </c>
      <c r="BP6" s="49">
        <v>0</v>
      </c>
      <c r="BQ6" s="49">
        <v>0</v>
      </c>
      <c r="BR6" s="49">
        <v>0</v>
      </c>
      <c r="BS6" s="49">
        <v>0</v>
      </c>
      <c r="BT6" s="49">
        <v>0</v>
      </c>
      <c r="BU6" s="49">
        <v>0</v>
      </c>
      <c r="BV6" s="49">
        <v>0</v>
      </c>
      <c r="BW6" s="49">
        <v>0</v>
      </c>
      <c r="BX6" s="49">
        <v>0</v>
      </c>
      <c r="BY6" s="49">
        <v>0</v>
      </c>
      <c r="BZ6" s="49">
        <v>0</v>
      </c>
      <c r="CA6" s="49">
        <v>0</v>
      </c>
      <c r="CB6" s="49" t="s">
        <v>100</v>
      </c>
      <c r="CC6" s="49">
        <v>0</v>
      </c>
      <c r="CD6" s="49" t="s">
        <v>100</v>
      </c>
      <c r="CE6" s="49">
        <v>0</v>
      </c>
      <c r="CF6" s="49">
        <v>0</v>
      </c>
      <c r="CG6" s="49">
        <v>0</v>
      </c>
      <c r="CH6" s="74">
        <v>5</v>
      </c>
      <c r="CI6" s="49">
        <v>0</v>
      </c>
      <c r="CJ6" s="49" t="s">
        <v>100</v>
      </c>
      <c r="CK6" s="49">
        <v>0</v>
      </c>
      <c r="CL6" s="49"/>
      <c r="CM6" s="49"/>
      <c r="CN6" s="49">
        <v>0</v>
      </c>
      <c r="CO6" s="49">
        <v>0</v>
      </c>
      <c r="CP6" s="49">
        <v>0</v>
      </c>
      <c r="CQ6" s="49">
        <v>0</v>
      </c>
      <c r="CR6" s="49">
        <v>0</v>
      </c>
      <c r="CS6" s="49">
        <v>0</v>
      </c>
      <c r="CT6" s="49">
        <v>0</v>
      </c>
      <c r="CU6" s="74">
        <v>1</v>
      </c>
      <c r="CV6" s="49">
        <v>0</v>
      </c>
      <c r="CW6" s="49">
        <v>0</v>
      </c>
      <c r="CX6" s="49">
        <v>0</v>
      </c>
      <c r="CY6" s="49">
        <v>0</v>
      </c>
      <c r="CZ6" s="74">
        <v>1</v>
      </c>
      <c r="DA6" s="49">
        <v>0</v>
      </c>
      <c r="DB6" s="49">
        <v>2</v>
      </c>
      <c r="DC6" s="49">
        <v>0</v>
      </c>
      <c r="DD6" s="49"/>
      <c r="DE6" s="49"/>
      <c r="DF6" s="49"/>
      <c r="DG6" s="49"/>
      <c r="DH6" s="49"/>
      <c r="DI6" s="49"/>
      <c r="DJ6" s="49">
        <v>0</v>
      </c>
      <c r="DK6" s="49">
        <v>0</v>
      </c>
      <c r="DL6" s="49" t="s">
        <v>100</v>
      </c>
      <c r="DM6" s="74">
        <v>0</v>
      </c>
      <c r="DN6" s="49">
        <v>0</v>
      </c>
      <c r="DO6" s="49" t="s">
        <v>100</v>
      </c>
      <c r="DP6" s="49">
        <v>0</v>
      </c>
      <c r="DQ6" s="74">
        <v>0</v>
      </c>
      <c r="DR6" s="49">
        <v>0</v>
      </c>
      <c r="DS6" s="49"/>
      <c r="DT6" s="74">
        <v>1</v>
      </c>
      <c r="DU6" s="74">
        <v>0</v>
      </c>
      <c r="DV6" s="49" t="s">
        <v>100</v>
      </c>
      <c r="DW6" s="74">
        <v>2</v>
      </c>
      <c r="DX6" s="74">
        <v>0</v>
      </c>
      <c r="DY6" s="74">
        <v>0</v>
      </c>
      <c r="DZ6" s="74">
        <v>3</v>
      </c>
    </row>
    <row r="7" spans="1:130">
      <c r="A7" s="50">
        <v>5</v>
      </c>
      <c r="B7" s="50" t="s">
        <v>117</v>
      </c>
      <c r="C7" s="50" t="s">
        <v>118</v>
      </c>
      <c r="D7" s="72">
        <v>25298</v>
      </c>
      <c r="E7" s="49" t="s">
        <v>103</v>
      </c>
      <c r="F7" s="73">
        <v>5</v>
      </c>
      <c r="G7" s="74">
        <v>4</v>
      </c>
      <c r="H7" s="74">
        <v>1969</v>
      </c>
      <c r="I7" s="49" t="s">
        <v>119</v>
      </c>
      <c r="J7" s="49" t="s">
        <v>120</v>
      </c>
      <c r="K7" s="74">
        <v>38</v>
      </c>
      <c r="L7" s="74">
        <v>2</v>
      </c>
      <c r="M7" s="74">
        <v>0</v>
      </c>
      <c r="N7" s="73">
        <v>8</v>
      </c>
      <c r="O7" s="73">
        <v>0</v>
      </c>
      <c r="P7" s="73" t="s">
        <v>100</v>
      </c>
      <c r="Q7" s="49">
        <v>0</v>
      </c>
      <c r="R7" s="49">
        <v>0</v>
      </c>
      <c r="S7" s="74">
        <v>4</v>
      </c>
      <c r="T7" s="73">
        <v>17</v>
      </c>
      <c r="U7" s="49"/>
      <c r="V7" s="49">
        <v>31</v>
      </c>
      <c r="W7" s="74">
        <v>0</v>
      </c>
      <c r="X7" s="49">
        <v>1</v>
      </c>
      <c r="Y7" s="49">
        <v>0</v>
      </c>
      <c r="Z7" s="49">
        <v>0</v>
      </c>
      <c r="AA7" s="49">
        <v>1</v>
      </c>
      <c r="AB7" s="49">
        <v>2</v>
      </c>
      <c r="AC7" s="74">
        <v>2</v>
      </c>
      <c r="AD7" s="49" t="s">
        <v>3158</v>
      </c>
      <c r="AE7" s="74">
        <v>0</v>
      </c>
      <c r="AF7" s="74">
        <v>0</v>
      </c>
      <c r="AG7" s="74">
        <v>0</v>
      </c>
      <c r="AH7" s="74">
        <v>0</v>
      </c>
      <c r="AI7" s="49">
        <v>2</v>
      </c>
      <c r="AJ7" s="49">
        <v>1</v>
      </c>
      <c r="AK7" s="74">
        <v>0</v>
      </c>
      <c r="AL7" s="49">
        <v>2</v>
      </c>
      <c r="AM7" s="49">
        <v>1</v>
      </c>
      <c r="AN7" s="49">
        <v>2</v>
      </c>
      <c r="AO7" s="74">
        <v>2</v>
      </c>
      <c r="AP7" s="49" t="s">
        <v>3159</v>
      </c>
      <c r="AQ7" s="49">
        <v>0</v>
      </c>
      <c r="AR7" s="49">
        <v>0</v>
      </c>
      <c r="AS7" s="49">
        <v>0</v>
      </c>
      <c r="AT7" s="74">
        <v>3</v>
      </c>
      <c r="AU7" s="49">
        <v>3</v>
      </c>
      <c r="AV7" s="49"/>
      <c r="AW7" s="49"/>
      <c r="AX7" s="49">
        <v>0</v>
      </c>
      <c r="AY7" s="49">
        <v>0</v>
      </c>
      <c r="AZ7" s="49">
        <v>0</v>
      </c>
      <c r="BA7" s="74">
        <v>2</v>
      </c>
      <c r="BB7" s="49">
        <v>3</v>
      </c>
      <c r="BC7" s="49">
        <v>0</v>
      </c>
      <c r="BD7" s="74">
        <v>1</v>
      </c>
      <c r="BE7" s="49">
        <v>0</v>
      </c>
      <c r="BF7" s="74">
        <v>0</v>
      </c>
      <c r="BG7" s="49"/>
      <c r="BH7" s="74">
        <v>1</v>
      </c>
      <c r="BI7" s="74">
        <v>1</v>
      </c>
      <c r="BJ7" s="49">
        <v>0</v>
      </c>
      <c r="BK7" s="74">
        <v>1</v>
      </c>
      <c r="BL7" s="49">
        <v>1</v>
      </c>
      <c r="BM7" s="49">
        <v>0</v>
      </c>
      <c r="BN7" s="49" t="s">
        <v>2985</v>
      </c>
      <c r="BO7" s="49">
        <v>1</v>
      </c>
      <c r="BP7" s="49">
        <v>0</v>
      </c>
      <c r="BQ7" s="49">
        <v>0</v>
      </c>
      <c r="BR7" s="49">
        <v>0</v>
      </c>
      <c r="BS7" s="49">
        <v>0</v>
      </c>
      <c r="BT7" s="49">
        <v>1</v>
      </c>
      <c r="BU7" s="49">
        <v>0</v>
      </c>
      <c r="BV7" s="49">
        <v>0</v>
      </c>
      <c r="BW7" s="49">
        <v>1</v>
      </c>
      <c r="BX7" s="49">
        <v>1</v>
      </c>
      <c r="BY7" s="74">
        <v>1</v>
      </c>
      <c r="BZ7" s="74">
        <v>0</v>
      </c>
      <c r="CA7" s="74">
        <v>0</v>
      </c>
      <c r="CB7" s="49" t="s">
        <v>100</v>
      </c>
      <c r="CC7" s="74">
        <v>0</v>
      </c>
      <c r="CD7" s="49" t="s">
        <v>100</v>
      </c>
      <c r="CE7" s="74">
        <v>2</v>
      </c>
      <c r="CF7" s="49">
        <v>0</v>
      </c>
      <c r="CG7" s="49">
        <v>0</v>
      </c>
      <c r="CH7" s="49">
        <v>0</v>
      </c>
      <c r="CI7" s="49">
        <v>0</v>
      </c>
      <c r="CJ7" s="49" t="s">
        <v>100</v>
      </c>
      <c r="CK7" s="49">
        <v>1</v>
      </c>
      <c r="CL7" s="49"/>
      <c r="CM7" s="49"/>
      <c r="CN7" s="49">
        <v>0</v>
      </c>
      <c r="CO7" s="49">
        <v>0</v>
      </c>
      <c r="CP7" s="49">
        <v>0</v>
      </c>
      <c r="CQ7" s="49">
        <v>0</v>
      </c>
      <c r="CR7" s="49">
        <v>0</v>
      </c>
      <c r="CS7" s="49">
        <v>0</v>
      </c>
      <c r="CT7" s="49">
        <v>0</v>
      </c>
      <c r="CU7" s="49">
        <v>0</v>
      </c>
      <c r="CV7" s="49">
        <v>0</v>
      </c>
      <c r="CW7" s="49">
        <v>0</v>
      </c>
      <c r="CX7" s="49">
        <v>1</v>
      </c>
      <c r="CY7" s="49">
        <v>0</v>
      </c>
      <c r="CZ7" s="49">
        <v>1</v>
      </c>
      <c r="DA7" s="49">
        <v>1</v>
      </c>
      <c r="DB7" s="49">
        <v>2</v>
      </c>
      <c r="DC7" s="49">
        <v>0</v>
      </c>
      <c r="DD7" s="49"/>
      <c r="DE7" s="49"/>
      <c r="DF7" s="49"/>
      <c r="DG7" s="49"/>
      <c r="DH7" s="49"/>
      <c r="DI7" s="49"/>
      <c r="DJ7" s="49">
        <v>0</v>
      </c>
      <c r="DK7" s="49">
        <v>0</v>
      </c>
      <c r="DL7" s="49" t="s">
        <v>100</v>
      </c>
      <c r="DM7" s="74">
        <v>0</v>
      </c>
      <c r="DN7" s="49">
        <v>0</v>
      </c>
      <c r="DO7" s="49" t="s">
        <v>100</v>
      </c>
      <c r="DP7" s="49">
        <v>0</v>
      </c>
      <c r="DQ7" s="49">
        <v>0</v>
      </c>
      <c r="DR7" s="49">
        <v>0</v>
      </c>
      <c r="DS7" s="74">
        <v>3</v>
      </c>
      <c r="DT7" s="49">
        <v>2</v>
      </c>
      <c r="DU7" s="74">
        <v>0</v>
      </c>
      <c r="DV7" s="49" t="s">
        <v>100</v>
      </c>
      <c r="DW7" s="74">
        <v>0</v>
      </c>
      <c r="DX7" s="74">
        <v>0</v>
      </c>
      <c r="DY7" s="74">
        <v>2</v>
      </c>
      <c r="DZ7" s="49">
        <v>0</v>
      </c>
    </row>
    <row r="8" spans="1:130">
      <c r="A8" s="50">
        <v>6</v>
      </c>
      <c r="B8" s="50" t="s">
        <v>121</v>
      </c>
      <c r="C8" s="50" t="s">
        <v>122</v>
      </c>
      <c r="D8" s="72">
        <v>25834</v>
      </c>
      <c r="E8" s="49" t="s">
        <v>123</v>
      </c>
      <c r="F8" s="73">
        <v>23</v>
      </c>
      <c r="G8" s="73">
        <v>9</v>
      </c>
      <c r="H8" s="49">
        <v>1970</v>
      </c>
      <c r="I8" s="49" t="s">
        <v>124</v>
      </c>
      <c r="J8" s="49" t="s">
        <v>125</v>
      </c>
      <c r="K8" s="73">
        <v>32</v>
      </c>
      <c r="L8" s="74">
        <v>2</v>
      </c>
      <c r="M8" s="74">
        <v>0</v>
      </c>
      <c r="N8" s="74">
        <v>6</v>
      </c>
      <c r="O8" s="74">
        <v>0</v>
      </c>
      <c r="P8" s="73" t="s">
        <v>100</v>
      </c>
      <c r="Q8" s="49">
        <v>0</v>
      </c>
      <c r="R8" s="49">
        <v>0</v>
      </c>
      <c r="S8" s="73">
        <v>4</v>
      </c>
      <c r="T8" s="74">
        <v>0</v>
      </c>
      <c r="U8" s="74">
        <v>0</v>
      </c>
      <c r="V8" s="49">
        <v>25</v>
      </c>
      <c r="W8" s="49">
        <v>0</v>
      </c>
      <c r="X8" s="49">
        <v>0</v>
      </c>
      <c r="Y8" s="49">
        <v>0</v>
      </c>
      <c r="Z8" s="49">
        <v>0</v>
      </c>
      <c r="AA8" s="74">
        <v>1</v>
      </c>
      <c r="AB8" s="74">
        <v>4</v>
      </c>
      <c r="AC8" s="74">
        <v>2</v>
      </c>
      <c r="AD8" s="49" t="s">
        <v>3373</v>
      </c>
      <c r="AE8" s="49"/>
      <c r="AF8" s="49"/>
      <c r="AG8" s="49"/>
      <c r="AH8" s="49"/>
      <c r="AI8" s="74">
        <v>0</v>
      </c>
      <c r="AJ8" s="74">
        <v>0</v>
      </c>
      <c r="AK8" s="74">
        <v>1</v>
      </c>
      <c r="AL8" s="74">
        <v>1</v>
      </c>
      <c r="AM8" s="49">
        <v>0</v>
      </c>
      <c r="AN8" s="49" t="s">
        <v>100</v>
      </c>
      <c r="AO8" s="74">
        <v>0</v>
      </c>
      <c r="AP8" s="49"/>
      <c r="AQ8" s="49">
        <v>0</v>
      </c>
      <c r="AR8" s="49">
        <v>0</v>
      </c>
      <c r="AS8" s="49">
        <v>0</v>
      </c>
      <c r="AT8" s="49">
        <v>0</v>
      </c>
      <c r="AU8" s="49" t="s">
        <v>100</v>
      </c>
      <c r="AV8" s="49" t="s">
        <v>100</v>
      </c>
      <c r="AW8" s="49" t="s">
        <v>100</v>
      </c>
      <c r="AX8" s="49">
        <v>0</v>
      </c>
      <c r="AY8" s="49">
        <v>0</v>
      </c>
      <c r="AZ8" s="49">
        <v>0</v>
      </c>
      <c r="BA8" s="49">
        <v>0</v>
      </c>
      <c r="BB8" s="49">
        <v>3</v>
      </c>
      <c r="BC8" s="74">
        <v>0</v>
      </c>
      <c r="BD8" s="74">
        <v>1</v>
      </c>
      <c r="BE8" s="74">
        <v>0</v>
      </c>
      <c r="BF8" s="74">
        <v>0</v>
      </c>
      <c r="BG8" s="74">
        <v>3</v>
      </c>
      <c r="BH8" s="49">
        <v>1</v>
      </c>
      <c r="BI8" s="49">
        <v>0</v>
      </c>
      <c r="BJ8" s="74">
        <v>0</v>
      </c>
      <c r="BK8" s="74">
        <v>1</v>
      </c>
      <c r="BL8" s="74">
        <v>0</v>
      </c>
      <c r="BM8" s="49" t="s">
        <v>100</v>
      </c>
      <c r="BN8" s="49"/>
      <c r="BO8" s="49"/>
      <c r="BP8" s="49">
        <v>0</v>
      </c>
      <c r="BQ8" s="49">
        <v>0</v>
      </c>
      <c r="BR8" s="49">
        <v>0</v>
      </c>
      <c r="BS8" s="49">
        <v>0</v>
      </c>
      <c r="BT8" s="49">
        <v>0</v>
      </c>
      <c r="BU8" s="49">
        <v>0</v>
      </c>
      <c r="BV8" s="49">
        <v>0</v>
      </c>
      <c r="BW8" s="49">
        <v>0</v>
      </c>
      <c r="BX8" s="49">
        <v>0</v>
      </c>
      <c r="BY8" s="74">
        <v>2</v>
      </c>
      <c r="BZ8" s="49">
        <v>0</v>
      </c>
      <c r="CA8" s="49">
        <v>0</v>
      </c>
      <c r="CB8" s="49" t="s">
        <v>100</v>
      </c>
      <c r="CC8" s="49">
        <v>0</v>
      </c>
      <c r="CD8" s="49" t="s">
        <v>100</v>
      </c>
      <c r="CE8" s="49">
        <v>0</v>
      </c>
      <c r="CF8" s="49">
        <v>0</v>
      </c>
      <c r="CG8" s="49">
        <v>0</v>
      </c>
      <c r="CH8" s="74">
        <v>0</v>
      </c>
      <c r="CI8" s="74">
        <v>1</v>
      </c>
      <c r="CJ8" s="49" t="s">
        <v>3160</v>
      </c>
      <c r="CK8" s="49">
        <v>2</v>
      </c>
      <c r="CL8" s="49"/>
      <c r="CM8" s="49"/>
      <c r="CN8" s="49">
        <v>0</v>
      </c>
      <c r="CO8" s="49">
        <v>0</v>
      </c>
      <c r="CP8" s="74">
        <v>1</v>
      </c>
      <c r="CQ8" s="49">
        <v>0</v>
      </c>
      <c r="CR8" s="49">
        <v>1</v>
      </c>
      <c r="CS8" s="49">
        <v>0</v>
      </c>
      <c r="CT8" s="49">
        <v>0</v>
      </c>
      <c r="CU8" s="49">
        <v>0</v>
      </c>
      <c r="CV8" s="49">
        <v>0</v>
      </c>
      <c r="CW8" s="49">
        <v>0</v>
      </c>
      <c r="CX8" s="49">
        <v>0</v>
      </c>
      <c r="CY8" s="49">
        <v>0</v>
      </c>
      <c r="CZ8" s="74">
        <v>0</v>
      </c>
      <c r="DA8" s="49">
        <v>0</v>
      </c>
      <c r="DB8" s="49">
        <v>2</v>
      </c>
      <c r="DC8" s="49">
        <v>0</v>
      </c>
      <c r="DD8" s="49"/>
      <c r="DE8" s="49"/>
      <c r="DF8" s="49"/>
      <c r="DG8" s="49"/>
      <c r="DH8" s="49"/>
      <c r="DI8" s="49"/>
      <c r="DJ8" s="49">
        <v>0</v>
      </c>
      <c r="DK8" s="49">
        <v>0</v>
      </c>
      <c r="DL8" s="49" t="s">
        <v>100</v>
      </c>
      <c r="DM8" s="74">
        <v>1</v>
      </c>
      <c r="DN8" s="49">
        <v>0</v>
      </c>
      <c r="DO8" s="49" t="s">
        <v>100</v>
      </c>
      <c r="DP8" s="49">
        <v>0</v>
      </c>
      <c r="DQ8" s="74">
        <v>0</v>
      </c>
      <c r="DR8" s="49">
        <v>0</v>
      </c>
      <c r="DS8" s="49">
        <v>2</v>
      </c>
      <c r="DT8" s="49">
        <v>1</v>
      </c>
      <c r="DU8" s="74">
        <v>1</v>
      </c>
      <c r="DV8" s="49" t="s">
        <v>126</v>
      </c>
      <c r="DW8" s="74">
        <v>0</v>
      </c>
      <c r="DX8" s="74">
        <v>0</v>
      </c>
      <c r="DY8" s="74">
        <v>2</v>
      </c>
      <c r="DZ8" s="49">
        <v>0</v>
      </c>
    </row>
    <row r="9" spans="1:130">
      <c r="A9" s="50">
        <v>7</v>
      </c>
      <c r="B9" s="50" t="s">
        <v>127</v>
      </c>
      <c r="C9" s="50" t="s">
        <v>128</v>
      </c>
      <c r="D9" s="72">
        <v>26448</v>
      </c>
      <c r="E9" s="49" t="s">
        <v>95</v>
      </c>
      <c r="F9" s="73">
        <v>29</v>
      </c>
      <c r="G9" s="74">
        <v>5</v>
      </c>
      <c r="H9" s="74">
        <v>1972</v>
      </c>
      <c r="I9" s="49" t="s">
        <v>129</v>
      </c>
      <c r="J9" s="49" t="s">
        <v>130</v>
      </c>
      <c r="K9" s="73">
        <v>33</v>
      </c>
      <c r="L9" s="73">
        <v>0</v>
      </c>
      <c r="M9" s="74">
        <v>0</v>
      </c>
      <c r="N9" s="74">
        <v>4</v>
      </c>
      <c r="O9" s="74">
        <v>0</v>
      </c>
      <c r="P9" s="73" t="s">
        <v>100</v>
      </c>
      <c r="Q9" s="49">
        <v>0</v>
      </c>
      <c r="R9" s="49">
        <v>0</v>
      </c>
      <c r="S9" s="74">
        <v>4</v>
      </c>
      <c r="T9" s="74">
        <v>5</v>
      </c>
      <c r="U9" s="74">
        <v>0</v>
      </c>
      <c r="V9" s="49">
        <v>22</v>
      </c>
      <c r="W9" s="74">
        <v>0</v>
      </c>
      <c r="X9" s="74">
        <v>1</v>
      </c>
      <c r="Y9" s="49">
        <v>0</v>
      </c>
      <c r="Z9" s="74">
        <v>0</v>
      </c>
      <c r="AA9" s="49"/>
      <c r="AB9" s="74">
        <v>1</v>
      </c>
      <c r="AC9" s="74">
        <v>0</v>
      </c>
      <c r="AD9" s="49" t="s">
        <v>3161</v>
      </c>
      <c r="AE9" s="49"/>
      <c r="AF9" s="49"/>
      <c r="AG9" s="49"/>
      <c r="AH9" s="49"/>
      <c r="AI9" s="74">
        <v>2</v>
      </c>
      <c r="AJ9" s="74">
        <v>0</v>
      </c>
      <c r="AK9" s="74">
        <v>1</v>
      </c>
      <c r="AL9" s="74">
        <v>0</v>
      </c>
      <c r="AM9" s="49">
        <v>0</v>
      </c>
      <c r="AN9" s="49" t="s">
        <v>100</v>
      </c>
      <c r="AO9" s="74">
        <v>3</v>
      </c>
      <c r="AP9" s="49" t="s">
        <v>3162</v>
      </c>
      <c r="AQ9" s="49">
        <v>1</v>
      </c>
      <c r="AR9" s="49">
        <v>0</v>
      </c>
      <c r="AS9" s="49">
        <v>1</v>
      </c>
      <c r="AT9" s="49">
        <v>0</v>
      </c>
      <c r="AU9" s="49" t="s">
        <v>100</v>
      </c>
      <c r="AV9" s="49" t="s">
        <v>100</v>
      </c>
      <c r="AW9" s="49" t="s">
        <v>100</v>
      </c>
      <c r="AX9" s="49">
        <v>0</v>
      </c>
      <c r="AY9" s="49">
        <v>0</v>
      </c>
      <c r="AZ9" s="49">
        <v>0</v>
      </c>
      <c r="BA9" s="49">
        <v>0</v>
      </c>
      <c r="BB9" s="49">
        <v>3</v>
      </c>
      <c r="BC9" s="49">
        <v>0</v>
      </c>
      <c r="BD9" s="74">
        <v>1</v>
      </c>
      <c r="BE9" s="74">
        <v>0</v>
      </c>
      <c r="BF9" s="74">
        <v>0</v>
      </c>
      <c r="BG9" s="49"/>
      <c r="BH9" s="49">
        <v>0</v>
      </c>
      <c r="BI9" s="49">
        <v>1</v>
      </c>
      <c r="BJ9" s="49">
        <v>0</v>
      </c>
      <c r="BK9" s="74">
        <v>1</v>
      </c>
      <c r="BL9" s="49">
        <v>1</v>
      </c>
      <c r="BM9" s="49">
        <v>0</v>
      </c>
      <c r="BN9" s="49" t="s">
        <v>3062</v>
      </c>
      <c r="BO9" s="49">
        <v>1</v>
      </c>
      <c r="BP9" s="49">
        <v>0</v>
      </c>
      <c r="BQ9" s="49">
        <v>1</v>
      </c>
      <c r="BR9" s="49">
        <v>0</v>
      </c>
      <c r="BS9" s="49">
        <v>0</v>
      </c>
      <c r="BT9" s="49">
        <v>0</v>
      </c>
      <c r="BU9" s="49">
        <v>0</v>
      </c>
      <c r="BV9" s="49">
        <v>1</v>
      </c>
      <c r="BW9" s="49">
        <v>0</v>
      </c>
      <c r="BX9" s="49">
        <v>0</v>
      </c>
      <c r="BY9" s="74">
        <v>2</v>
      </c>
      <c r="BZ9" s="49">
        <v>0</v>
      </c>
      <c r="CA9" s="49">
        <v>0</v>
      </c>
      <c r="CB9" s="49" t="s">
        <v>100</v>
      </c>
      <c r="CC9" s="49">
        <v>0</v>
      </c>
      <c r="CD9" s="49" t="s">
        <v>100</v>
      </c>
      <c r="CE9" s="74">
        <v>1</v>
      </c>
      <c r="CF9" s="49">
        <v>0</v>
      </c>
      <c r="CG9" s="49">
        <v>0</v>
      </c>
      <c r="CH9" s="49">
        <v>0</v>
      </c>
      <c r="CI9" s="49">
        <v>0</v>
      </c>
      <c r="CJ9" s="49" t="s">
        <v>100</v>
      </c>
      <c r="CK9" s="49">
        <v>1</v>
      </c>
      <c r="CL9" s="49"/>
      <c r="CM9" s="49"/>
      <c r="CN9" s="49">
        <v>0</v>
      </c>
      <c r="CO9" s="49">
        <v>0</v>
      </c>
      <c r="CP9" s="49">
        <v>0</v>
      </c>
      <c r="CQ9" s="49">
        <v>0</v>
      </c>
      <c r="CR9" s="49">
        <v>0</v>
      </c>
      <c r="CS9" s="49">
        <v>0</v>
      </c>
      <c r="CT9" s="74">
        <v>1</v>
      </c>
      <c r="CU9" s="49">
        <v>0</v>
      </c>
      <c r="CV9" s="49">
        <v>0</v>
      </c>
      <c r="CW9" s="49">
        <v>0</v>
      </c>
      <c r="CX9" s="49">
        <v>0</v>
      </c>
      <c r="CY9" s="49">
        <v>0</v>
      </c>
      <c r="CZ9" s="74">
        <v>0</v>
      </c>
      <c r="DA9" s="49">
        <v>0</v>
      </c>
      <c r="DB9" s="49">
        <v>2</v>
      </c>
      <c r="DC9" s="74">
        <v>0</v>
      </c>
      <c r="DD9" s="49"/>
      <c r="DE9" s="49"/>
      <c r="DF9" s="49"/>
      <c r="DG9" s="49"/>
      <c r="DH9" s="49"/>
      <c r="DI9" s="49"/>
      <c r="DJ9" s="49">
        <v>0</v>
      </c>
      <c r="DK9" s="49">
        <v>0</v>
      </c>
      <c r="DL9" s="49" t="s">
        <v>100</v>
      </c>
      <c r="DM9" s="74">
        <v>0</v>
      </c>
      <c r="DN9" s="49">
        <v>0</v>
      </c>
      <c r="DO9" s="49" t="s">
        <v>100</v>
      </c>
      <c r="DP9" s="74">
        <v>0</v>
      </c>
      <c r="DQ9" s="74">
        <v>0</v>
      </c>
      <c r="DR9" s="49">
        <v>0</v>
      </c>
      <c r="DS9" s="74">
        <v>0</v>
      </c>
      <c r="DT9" s="74">
        <v>1</v>
      </c>
      <c r="DU9" s="74">
        <v>0</v>
      </c>
      <c r="DV9" s="49" t="s">
        <v>100</v>
      </c>
      <c r="DW9" s="74">
        <v>0</v>
      </c>
      <c r="DX9" s="74">
        <v>0</v>
      </c>
      <c r="DY9" s="74">
        <v>2</v>
      </c>
      <c r="DZ9" s="49">
        <v>0</v>
      </c>
    </row>
    <row r="10" spans="1:130">
      <c r="A10" s="50">
        <v>8</v>
      </c>
      <c r="B10" s="50" t="s">
        <v>131</v>
      </c>
      <c r="C10" s="50" t="s">
        <v>132</v>
      </c>
      <c r="D10" s="72">
        <v>26471</v>
      </c>
      <c r="E10" s="49" t="s">
        <v>123</v>
      </c>
      <c r="F10" s="73">
        <v>21</v>
      </c>
      <c r="G10" s="74">
        <v>6</v>
      </c>
      <c r="H10" s="74">
        <v>1972</v>
      </c>
      <c r="I10" s="49" t="s">
        <v>133</v>
      </c>
      <c r="J10" s="49" t="s">
        <v>134</v>
      </c>
      <c r="K10" s="74">
        <v>30</v>
      </c>
      <c r="L10" s="73">
        <v>2</v>
      </c>
      <c r="M10" s="73">
        <v>1</v>
      </c>
      <c r="N10" s="74">
        <v>6</v>
      </c>
      <c r="O10" s="74">
        <v>0</v>
      </c>
      <c r="P10" s="73" t="s">
        <v>100</v>
      </c>
      <c r="Q10" s="49">
        <v>0</v>
      </c>
      <c r="R10" s="49">
        <v>0</v>
      </c>
      <c r="S10" s="74">
        <v>6</v>
      </c>
      <c r="T10" s="73">
        <v>6</v>
      </c>
      <c r="U10" s="74">
        <v>0</v>
      </c>
      <c r="V10" s="74">
        <v>33</v>
      </c>
      <c r="W10" s="74">
        <v>0</v>
      </c>
      <c r="X10" s="49">
        <v>0</v>
      </c>
      <c r="Y10" s="74">
        <v>0</v>
      </c>
      <c r="Z10" s="49">
        <v>0</v>
      </c>
      <c r="AA10" s="74">
        <v>1</v>
      </c>
      <c r="AB10" s="74">
        <v>2</v>
      </c>
      <c r="AC10" s="49"/>
      <c r="AD10" s="49"/>
      <c r="AE10" s="74">
        <v>1</v>
      </c>
      <c r="AF10" s="74">
        <v>1</v>
      </c>
      <c r="AG10" s="74">
        <v>0</v>
      </c>
      <c r="AH10" s="74">
        <v>1</v>
      </c>
      <c r="AI10" s="49"/>
      <c r="AJ10" s="49"/>
      <c r="AK10" s="74">
        <v>1</v>
      </c>
      <c r="AL10" s="74">
        <v>0</v>
      </c>
      <c r="AM10" s="74">
        <v>1</v>
      </c>
      <c r="AN10" s="74">
        <v>0</v>
      </c>
      <c r="AO10" s="74">
        <v>1</v>
      </c>
      <c r="AP10" s="49" t="s">
        <v>3163</v>
      </c>
      <c r="AQ10" s="74">
        <v>1</v>
      </c>
      <c r="AR10" s="49">
        <v>0</v>
      </c>
      <c r="AS10" s="49">
        <v>0</v>
      </c>
      <c r="AT10" s="49">
        <v>0</v>
      </c>
      <c r="AU10" s="49" t="s">
        <v>100</v>
      </c>
      <c r="AV10" s="49" t="s">
        <v>100</v>
      </c>
      <c r="AW10" s="49" t="s">
        <v>100</v>
      </c>
      <c r="AX10" s="49">
        <v>0</v>
      </c>
      <c r="AY10" s="49">
        <v>0</v>
      </c>
      <c r="AZ10" s="49">
        <v>0</v>
      </c>
      <c r="BA10" s="49">
        <v>0</v>
      </c>
      <c r="BB10" s="49">
        <v>3</v>
      </c>
      <c r="BC10" s="49">
        <v>0</v>
      </c>
      <c r="BD10" s="49">
        <v>0</v>
      </c>
      <c r="BE10" s="74">
        <v>0</v>
      </c>
      <c r="BF10" s="74">
        <v>0</v>
      </c>
      <c r="BG10" s="49"/>
      <c r="BH10" s="49">
        <v>1</v>
      </c>
      <c r="BI10" s="49"/>
      <c r="BJ10" s="49">
        <v>0</v>
      </c>
      <c r="BK10" s="74">
        <v>1</v>
      </c>
      <c r="BL10" s="49">
        <v>0</v>
      </c>
      <c r="BM10" s="49" t="s">
        <v>100</v>
      </c>
      <c r="BN10" s="49"/>
      <c r="BO10" s="49">
        <v>0</v>
      </c>
      <c r="BP10" s="49">
        <v>0</v>
      </c>
      <c r="BQ10" s="49">
        <v>0</v>
      </c>
      <c r="BR10" s="49">
        <v>0</v>
      </c>
      <c r="BS10" s="49">
        <v>0</v>
      </c>
      <c r="BT10" s="49">
        <v>0</v>
      </c>
      <c r="BU10" s="49">
        <v>0</v>
      </c>
      <c r="BV10" s="49">
        <v>0</v>
      </c>
      <c r="BW10" s="49">
        <v>0</v>
      </c>
      <c r="BX10" s="49">
        <v>0</v>
      </c>
      <c r="BY10" s="74">
        <v>2</v>
      </c>
      <c r="BZ10" s="49">
        <v>0</v>
      </c>
      <c r="CA10" s="49">
        <v>0</v>
      </c>
      <c r="CB10" s="49" t="s">
        <v>100</v>
      </c>
      <c r="CC10" s="49">
        <v>0</v>
      </c>
      <c r="CD10" s="49" t="s">
        <v>100</v>
      </c>
      <c r="CE10" s="49">
        <v>0</v>
      </c>
      <c r="CF10" s="49">
        <v>0</v>
      </c>
      <c r="CG10" s="49">
        <v>0</v>
      </c>
      <c r="CH10" s="49">
        <v>0</v>
      </c>
      <c r="CI10" s="49">
        <v>0</v>
      </c>
      <c r="CJ10" s="49" t="s">
        <v>100</v>
      </c>
      <c r="CK10" s="49">
        <v>0</v>
      </c>
      <c r="CL10" s="49"/>
      <c r="CM10" s="49"/>
      <c r="CN10" s="49">
        <v>0</v>
      </c>
      <c r="CO10" s="49">
        <v>0</v>
      </c>
      <c r="CP10" s="49">
        <v>0</v>
      </c>
      <c r="CQ10" s="49">
        <v>0</v>
      </c>
      <c r="CR10" s="74">
        <v>1</v>
      </c>
      <c r="CS10" s="49">
        <v>0</v>
      </c>
      <c r="CT10" s="49">
        <v>0</v>
      </c>
      <c r="CU10" s="49">
        <v>0</v>
      </c>
      <c r="CV10" s="49">
        <v>0</v>
      </c>
      <c r="CW10" s="49">
        <v>0</v>
      </c>
      <c r="CX10" s="49">
        <v>0</v>
      </c>
      <c r="CY10" s="49">
        <v>0</v>
      </c>
      <c r="CZ10" s="74">
        <v>0</v>
      </c>
      <c r="DA10" s="49">
        <v>0</v>
      </c>
      <c r="DB10" s="49">
        <v>2</v>
      </c>
      <c r="DC10" s="49">
        <v>0</v>
      </c>
      <c r="DD10" s="49"/>
      <c r="DE10" s="49"/>
      <c r="DF10" s="49"/>
      <c r="DG10" s="49"/>
      <c r="DH10" s="49"/>
      <c r="DI10" s="49"/>
      <c r="DJ10" s="49">
        <v>0</v>
      </c>
      <c r="DK10" s="49">
        <v>0</v>
      </c>
      <c r="DL10" s="49" t="s">
        <v>100</v>
      </c>
      <c r="DM10" s="74">
        <v>0</v>
      </c>
      <c r="DN10" s="49">
        <v>0</v>
      </c>
      <c r="DO10" s="49" t="s">
        <v>100</v>
      </c>
      <c r="DP10" s="49">
        <v>0</v>
      </c>
      <c r="DQ10" s="74">
        <v>0</v>
      </c>
      <c r="DR10" s="74">
        <v>0</v>
      </c>
      <c r="DS10" s="74">
        <v>3</v>
      </c>
      <c r="DT10" s="74">
        <v>2</v>
      </c>
      <c r="DU10" s="74">
        <v>0</v>
      </c>
      <c r="DV10" s="49" t="s">
        <v>100</v>
      </c>
      <c r="DW10" s="74">
        <v>0</v>
      </c>
      <c r="DX10" s="74">
        <v>0</v>
      </c>
      <c r="DY10" s="74">
        <v>2</v>
      </c>
      <c r="DZ10" s="49">
        <v>0</v>
      </c>
    </row>
    <row r="11" spans="1:130">
      <c r="A11" s="50">
        <v>9</v>
      </c>
      <c r="B11" s="50" t="s">
        <v>135</v>
      </c>
      <c r="C11" s="50" t="s">
        <v>136</v>
      </c>
      <c r="D11" s="72">
        <v>26671</v>
      </c>
      <c r="E11" s="49" t="s">
        <v>137</v>
      </c>
      <c r="F11" s="73">
        <v>7</v>
      </c>
      <c r="G11" s="74">
        <v>1</v>
      </c>
      <c r="H11" s="74">
        <v>1973</v>
      </c>
      <c r="I11" s="49" t="s">
        <v>138</v>
      </c>
      <c r="J11" s="49" t="s">
        <v>3164</v>
      </c>
      <c r="K11" s="74">
        <v>18</v>
      </c>
      <c r="L11" s="74">
        <v>0</v>
      </c>
      <c r="M11" s="74">
        <v>0</v>
      </c>
      <c r="N11" s="74">
        <v>7</v>
      </c>
      <c r="O11" s="74">
        <v>1</v>
      </c>
      <c r="P11" s="74">
        <v>4</v>
      </c>
      <c r="Q11" s="49">
        <v>0</v>
      </c>
      <c r="R11" s="49">
        <v>0</v>
      </c>
      <c r="S11" s="74">
        <v>7</v>
      </c>
      <c r="T11" s="74">
        <v>8</v>
      </c>
      <c r="U11" s="74">
        <v>0</v>
      </c>
      <c r="V11" s="74">
        <v>23</v>
      </c>
      <c r="W11" s="74">
        <v>0</v>
      </c>
      <c r="X11" s="74">
        <v>1</v>
      </c>
      <c r="Y11" s="74">
        <v>0</v>
      </c>
      <c r="Z11" s="49">
        <v>0</v>
      </c>
      <c r="AA11" s="74">
        <v>1</v>
      </c>
      <c r="AB11" s="74">
        <v>2</v>
      </c>
      <c r="AC11" s="74">
        <v>1</v>
      </c>
      <c r="AD11" s="49" t="s">
        <v>3165</v>
      </c>
      <c r="AE11" s="49">
        <v>2</v>
      </c>
      <c r="AF11" s="49">
        <v>4</v>
      </c>
      <c r="AG11" s="49">
        <v>1</v>
      </c>
      <c r="AH11" s="49">
        <v>3</v>
      </c>
      <c r="AI11" s="49">
        <v>0</v>
      </c>
      <c r="AJ11" s="49">
        <v>0</v>
      </c>
      <c r="AK11" s="49">
        <v>0</v>
      </c>
      <c r="AL11" s="49">
        <v>0</v>
      </c>
      <c r="AM11" s="74">
        <v>1</v>
      </c>
      <c r="AN11" s="74">
        <v>1</v>
      </c>
      <c r="AO11" s="74">
        <v>2</v>
      </c>
      <c r="AP11" s="49" t="s">
        <v>3166</v>
      </c>
      <c r="AQ11" s="74">
        <v>1</v>
      </c>
      <c r="AR11" s="74">
        <v>1</v>
      </c>
      <c r="AS11" s="74">
        <v>1</v>
      </c>
      <c r="AT11" s="49">
        <v>0</v>
      </c>
      <c r="AU11" s="49" t="s">
        <v>100</v>
      </c>
      <c r="AV11" s="49" t="s">
        <v>100</v>
      </c>
      <c r="AW11" s="49" t="s">
        <v>100</v>
      </c>
      <c r="AX11" s="49">
        <v>0</v>
      </c>
      <c r="AY11" s="49">
        <v>0</v>
      </c>
      <c r="AZ11" s="49">
        <v>0</v>
      </c>
      <c r="BA11" s="74">
        <v>2</v>
      </c>
      <c r="BB11" s="49">
        <v>3</v>
      </c>
      <c r="BC11" s="74">
        <v>0</v>
      </c>
      <c r="BD11" s="74">
        <v>1</v>
      </c>
      <c r="BE11" s="74">
        <v>0</v>
      </c>
      <c r="BF11" s="74">
        <v>0</v>
      </c>
      <c r="BG11" s="49"/>
      <c r="BH11" s="49">
        <v>1</v>
      </c>
      <c r="BI11" s="74">
        <v>1</v>
      </c>
      <c r="BJ11" s="49">
        <v>0</v>
      </c>
      <c r="BK11" s="49">
        <v>0</v>
      </c>
      <c r="BL11" s="74">
        <v>1</v>
      </c>
      <c r="BM11" s="49">
        <v>3</v>
      </c>
      <c r="BN11" s="49" t="s">
        <v>2986</v>
      </c>
      <c r="BO11" s="49">
        <v>1</v>
      </c>
      <c r="BP11" s="49">
        <v>0</v>
      </c>
      <c r="BQ11" s="49">
        <v>0</v>
      </c>
      <c r="BR11" s="49">
        <v>0</v>
      </c>
      <c r="BS11" s="49">
        <v>1</v>
      </c>
      <c r="BT11" s="49">
        <v>1</v>
      </c>
      <c r="BU11" s="49">
        <v>1</v>
      </c>
      <c r="BV11" s="49">
        <v>1</v>
      </c>
      <c r="BW11" s="49">
        <v>1</v>
      </c>
      <c r="BX11" s="49">
        <v>0</v>
      </c>
      <c r="BY11" s="74">
        <v>2</v>
      </c>
      <c r="BZ11" s="49">
        <v>0</v>
      </c>
      <c r="CA11" s="49">
        <v>0</v>
      </c>
      <c r="CB11" s="49" t="s">
        <v>100</v>
      </c>
      <c r="CC11" s="74">
        <v>1</v>
      </c>
      <c r="CD11" s="74">
        <v>0</v>
      </c>
      <c r="CE11" s="49">
        <v>5</v>
      </c>
      <c r="CF11" s="49">
        <v>0</v>
      </c>
      <c r="CG11" s="49">
        <v>0</v>
      </c>
      <c r="CH11" s="49">
        <v>2</v>
      </c>
      <c r="CI11" s="49">
        <v>0</v>
      </c>
      <c r="CJ11" s="49" t="s">
        <v>100</v>
      </c>
      <c r="CK11" s="49">
        <v>1</v>
      </c>
      <c r="CL11" s="49">
        <v>4</v>
      </c>
      <c r="CM11" s="49"/>
      <c r="CN11" s="49">
        <v>2</v>
      </c>
      <c r="CO11" s="49">
        <v>0</v>
      </c>
      <c r="CP11" s="49">
        <v>0</v>
      </c>
      <c r="CQ11" s="49">
        <v>0</v>
      </c>
      <c r="CR11" s="49">
        <v>0</v>
      </c>
      <c r="CS11" s="49">
        <v>0</v>
      </c>
      <c r="CT11" s="49">
        <v>0</v>
      </c>
      <c r="CU11" s="49">
        <v>0</v>
      </c>
      <c r="CV11" s="49">
        <v>0</v>
      </c>
      <c r="CW11" s="49">
        <v>0</v>
      </c>
      <c r="CX11" s="49">
        <v>0</v>
      </c>
      <c r="CY11" s="49">
        <v>0</v>
      </c>
      <c r="CZ11" s="74">
        <v>0</v>
      </c>
      <c r="DA11" s="49">
        <v>0</v>
      </c>
      <c r="DB11" s="49">
        <v>2</v>
      </c>
      <c r="DC11" s="74">
        <v>1</v>
      </c>
      <c r="DD11" s="49">
        <v>1</v>
      </c>
      <c r="DE11" s="49">
        <v>9</v>
      </c>
      <c r="DF11" s="49">
        <v>1</v>
      </c>
      <c r="DG11" s="49">
        <v>1</v>
      </c>
      <c r="DH11" s="49">
        <v>1</v>
      </c>
      <c r="DI11" s="49">
        <v>0</v>
      </c>
      <c r="DJ11" s="49">
        <v>0</v>
      </c>
      <c r="DK11" s="49">
        <v>0</v>
      </c>
      <c r="DL11" s="49" t="s">
        <v>100</v>
      </c>
      <c r="DM11" s="74">
        <v>0</v>
      </c>
      <c r="DN11" s="49">
        <v>0</v>
      </c>
      <c r="DO11" s="49" t="s">
        <v>100</v>
      </c>
      <c r="DP11" s="74">
        <v>1</v>
      </c>
      <c r="DQ11" s="74">
        <v>0</v>
      </c>
      <c r="DR11" s="49">
        <v>0</v>
      </c>
      <c r="DS11" s="74">
        <v>3</v>
      </c>
      <c r="DT11" s="74">
        <v>1</v>
      </c>
      <c r="DU11" s="74">
        <v>1</v>
      </c>
      <c r="DV11" s="49" t="s">
        <v>139</v>
      </c>
      <c r="DW11" s="74">
        <v>1</v>
      </c>
      <c r="DX11" s="74">
        <v>0</v>
      </c>
      <c r="DY11" s="74">
        <v>2</v>
      </c>
      <c r="DZ11" s="49">
        <v>0</v>
      </c>
    </row>
    <row r="12" spans="1:130">
      <c r="A12" s="50">
        <v>10</v>
      </c>
      <c r="B12" s="50" t="s">
        <v>140</v>
      </c>
      <c r="C12" s="50" t="s">
        <v>102</v>
      </c>
      <c r="D12" s="72">
        <v>27455</v>
      </c>
      <c r="E12" s="49" t="s">
        <v>137</v>
      </c>
      <c r="F12" s="73">
        <v>2</v>
      </c>
      <c r="G12" s="74">
        <v>3</v>
      </c>
      <c r="H12" s="74">
        <v>1975</v>
      </c>
      <c r="I12" s="49" t="s">
        <v>141</v>
      </c>
      <c r="J12" s="49" t="s">
        <v>142</v>
      </c>
      <c r="K12" s="74">
        <v>5</v>
      </c>
      <c r="L12" s="74">
        <v>3</v>
      </c>
      <c r="M12" s="74">
        <v>2</v>
      </c>
      <c r="N12" s="74">
        <v>7</v>
      </c>
      <c r="O12" s="73">
        <v>0</v>
      </c>
      <c r="P12" s="73" t="s">
        <v>100</v>
      </c>
      <c r="Q12" s="49"/>
      <c r="R12" s="49"/>
      <c r="S12" s="74">
        <v>5</v>
      </c>
      <c r="T12" s="74">
        <v>1</v>
      </c>
      <c r="U12" s="74">
        <v>0</v>
      </c>
      <c r="V12" s="74">
        <v>21</v>
      </c>
      <c r="W12" s="74">
        <v>0</v>
      </c>
      <c r="X12" s="74">
        <v>0</v>
      </c>
      <c r="Y12" s="49">
        <v>0</v>
      </c>
      <c r="Z12" s="49">
        <v>0</v>
      </c>
      <c r="AA12" s="49"/>
      <c r="AB12" s="49" t="s">
        <v>818</v>
      </c>
      <c r="AC12" s="49"/>
      <c r="AD12" s="49"/>
      <c r="AE12" s="49"/>
      <c r="AF12" s="49"/>
      <c r="AG12" s="49"/>
      <c r="AH12" s="49"/>
      <c r="AI12" s="49">
        <v>0</v>
      </c>
      <c r="AJ12" s="49">
        <v>0</v>
      </c>
      <c r="AK12" s="74">
        <v>0</v>
      </c>
      <c r="AL12" s="74">
        <v>0</v>
      </c>
      <c r="AM12" s="49">
        <v>0</v>
      </c>
      <c r="AN12" s="49" t="s">
        <v>100</v>
      </c>
      <c r="AO12" s="49"/>
      <c r="AP12" s="49"/>
      <c r="AQ12" s="74">
        <v>1</v>
      </c>
      <c r="AR12" s="49">
        <v>0</v>
      </c>
      <c r="AS12" s="74">
        <v>1</v>
      </c>
      <c r="AT12" s="49">
        <v>0</v>
      </c>
      <c r="AU12" s="49" t="s">
        <v>100</v>
      </c>
      <c r="AV12" s="49" t="s">
        <v>100</v>
      </c>
      <c r="AW12" s="49" t="s">
        <v>100</v>
      </c>
      <c r="AX12" s="49">
        <v>0</v>
      </c>
      <c r="AY12" s="49">
        <v>0</v>
      </c>
      <c r="AZ12" s="49">
        <v>0</v>
      </c>
      <c r="BA12" s="49">
        <v>0</v>
      </c>
      <c r="BB12" s="49">
        <v>3</v>
      </c>
      <c r="BC12" s="49"/>
      <c r="BD12" s="49"/>
      <c r="BE12" s="49">
        <v>1</v>
      </c>
      <c r="BF12" s="74">
        <v>1</v>
      </c>
      <c r="BG12" s="74">
        <v>3</v>
      </c>
      <c r="BH12" s="49"/>
      <c r="BI12" s="49">
        <v>0</v>
      </c>
      <c r="BJ12" s="49">
        <v>0</v>
      </c>
      <c r="BK12" s="74">
        <v>1</v>
      </c>
      <c r="BL12" s="74">
        <v>1</v>
      </c>
      <c r="BM12" s="49">
        <v>1</v>
      </c>
      <c r="BN12" s="49" t="s">
        <v>3063</v>
      </c>
      <c r="BO12" s="49">
        <v>1</v>
      </c>
      <c r="BP12" s="49">
        <v>0</v>
      </c>
      <c r="BQ12" s="49">
        <v>1</v>
      </c>
      <c r="BR12" s="49">
        <v>0</v>
      </c>
      <c r="BS12" s="49">
        <v>0</v>
      </c>
      <c r="BT12" s="49">
        <v>0</v>
      </c>
      <c r="BU12" s="49">
        <v>0</v>
      </c>
      <c r="BV12" s="49">
        <v>0</v>
      </c>
      <c r="BW12" s="49">
        <v>0</v>
      </c>
      <c r="BX12" s="49">
        <v>0</v>
      </c>
      <c r="BY12" s="74">
        <v>1</v>
      </c>
      <c r="BZ12" s="49">
        <v>0</v>
      </c>
      <c r="CA12" s="49">
        <v>0</v>
      </c>
      <c r="CB12" s="49" t="s">
        <v>100</v>
      </c>
      <c r="CC12" s="49">
        <v>0</v>
      </c>
      <c r="CD12" s="49" t="s">
        <v>100</v>
      </c>
      <c r="CE12" s="74">
        <v>5</v>
      </c>
      <c r="CF12" s="74">
        <v>1</v>
      </c>
      <c r="CG12" s="49">
        <v>0</v>
      </c>
      <c r="CH12" s="49"/>
      <c r="CI12" s="49">
        <v>0</v>
      </c>
      <c r="CJ12" s="49" t="s">
        <v>100</v>
      </c>
      <c r="CK12" s="49">
        <v>0</v>
      </c>
      <c r="CL12" s="49"/>
      <c r="CM12" s="49"/>
      <c r="CN12" s="49">
        <v>0</v>
      </c>
      <c r="CO12" s="49">
        <v>0</v>
      </c>
      <c r="CP12" s="49">
        <v>0</v>
      </c>
      <c r="CQ12" s="49">
        <v>0</v>
      </c>
      <c r="CR12" s="49">
        <v>0</v>
      </c>
      <c r="CS12" s="49">
        <v>0</v>
      </c>
      <c r="CT12" s="49">
        <v>0</v>
      </c>
      <c r="CU12" s="49">
        <v>0</v>
      </c>
      <c r="CV12" s="49">
        <v>0</v>
      </c>
      <c r="CW12" s="49">
        <v>0</v>
      </c>
      <c r="CX12" s="49">
        <v>0</v>
      </c>
      <c r="CY12" s="74">
        <v>1</v>
      </c>
      <c r="CZ12" s="74">
        <v>0</v>
      </c>
      <c r="DA12" s="49">
        <v>0</v>
      </c>
      <c r="DB12" s="49">
        <v>2</v>
      </c>
      <c r="DC12" s="49">
        <v>0</v>
      </c>
      <c r="DD12" s="49"/>
      <c r="DE12" s="49"/>
      <c r="DF12" s="49"/>
      <c r="DG12" s="49"/>
      <c r="DH12" s="49"/>
      <c r="DI12" s="49"/>
      <c r="DJ12" s="49">
        <v>0</v>
      </c>
      <c r="DK12" s="49">
        <v>0</v>
      </c>
      <c r="DL12" s="49" t="s">
        <v>100</v>
      </c>
      <c r="DM12" s="74">
        <v>0</v>
      </c>
      <c r="DN12" s="49">
        <v>0</v>
      </c>
      <c r="DO12" s="49" t="s">
        <v>100</v>
      </c>
      <c r="DP12" s="49">
        <v>0</v>
      </c>
      <c r="DQ12" s="74">
        <v>0</v>
      </c>
      <c r="DR12" s="49">
        <v>0</v>
      </c>
      <c r="DS12" s="49"/>
      <c r="DT12" s="74">
        <v>1</v>
      </c>
      <c r="DU12" s="74">
        <v>0</v>
      </c>
      <c r="DV12" s="49" t="s">
        <v>100</v>
      </c>
      <c r="DW12" s="74">
        <v>2</v>
      </c>
      <c r="DX12" s="74">
        <v>1</v>
      </c>
      <c r="DY12" s="74">
        <v>1</v>
      </c>
      <c r="DZ12" s="49">
        <v>0</v>
      </c>
    </row>
    <row r="13" spans="1:130">
      <c r="A13" s="50">
        <v>11</v>
      </c>
      <c r="B13" s="50" t="s">
        <v>143</v>
      </c>
      <c r="C13" s="50" t="s">
        <v>144</v>
      </c>
      <c r="D13" s="72">
        <v>27953</v>
      </c>
      <c r="E13" s="49" t="s">
        <v>95</v>
      </c>
      <c r="F13" s="73">
        <v>12</v>
      </c>
      <c r="G13" s="74">
        <v>7</v>
      </c>
      <c r="H13" s="74">
        <v>1976</v>
      </c>
      <c r="I13" s="49" t="s">
        <v>145</v>
      </c>
      <c r="J13" s="49" t="s">
        <v>146</v>
      </c>
      <c r="K13" s="74">
        <v>5</v>
      </c>
      <c r="L13" s="73">
        <v>3</v>
      </c>
      <c r="M13" s="73">
        <v>0</v>
      </c>
      <c r="N13" s="74">
        <v>1</v>
      </c>
      <c r="O13" s="74">
        <v>0</v>
      </c>
      <c r="P13" s="73" t="s">
        <v>100</v>
      </c>
      <c r="Q13" s="49">
        <v>0</v>
      </c>
      <c r="R13" s="49">
        <v>0</v>
      </c>
      <c r="S13" s="74">
        <v>7</v>
      </c>
      <c r="T13" s="73">
        <v>2</v>
      </c>
      <c r="U13" s="74">
        <v>0</v>
      </c>
      <c r="V13" s="74">
        <v>37</v>
      </c>
      <c r="W13" s="74">
        <v>0</v>
      </c>
      <c r="X13" s="74">
        <v>0</v>
      </c>
      <c r="Y13" s="49">
        <v>0</v>
      </c>
      <c r="Z13" s="74">
        <v>0</v>
      </c>
      <c r="AA13" s="74">
        <v>1</v>
      </c>
      <c r="AB13" s="49" t="s">
        <v>818</v>
      </c>
      <c r="AC13" s="49"/>
      <c r="AD13" s="49"/>
      <c r="AE13" s="74">
        <v>3</v>
      </c>
      <c r="AF13" s="74">
        <v>3</v>
      </c>
      <c r="AG13" s="74">
        <v>3</v>
      </c>
      <c r="AH13" s="74">
        <v>0</v>
      </c>
      <c r="AI13" s="74">
        <v>3</v>
      </c>
      <c r="AJ13" s="49">
        <v>0</v>
      </c>
      <c r="AK13" s="74">
        <v>1</v>
      </c>
      <c r="AL13" s="49">
        <v>0</v>
      </c>
      <c r="AM13" s="74">
        <v>1</v>
      </c>
      <c r="AN13" s="74">
        <v>3</v>
      </c>
      <c r="AO13" s="74">
        <v>3</v>
      </c>
      <c r="AP13" s="49" t="s">
        <v>3167</v>
      </c>
      <c r="AQ13" s="74">
        <v>1</v>
      </c>
      <c r="AR13" s="49">
        <v>0</v>
      </c>
      <c r="AS13" s="49">
        <v>1</v>
      </c>
      <c r="AT13" s="74">
        <v>1</v>
      </c>
      <c r="AU13" s="49">
        <v>2</v>
      </c>
      <c r="AV13" s="49">
        <v>4</v>
      </c>
      <c r="AW13" s="49"/>
      <c r="AX13" s="74">
        <v>1</v>
      </c>
      <c r="AY13" s="49">
        <v>0</v>
      </c>
      <c r="AZ13" s="49">
        <v>0</v>
      </c>
      <c r="BA13" s="49">
        <v>0</v>
      </c>
      <c r="BB13" s="49">
        <v>3</v>
      </c>
      <c r="BC13" s="49">
        <v>0</v>
      </c>
      <c r="BD13" s="49">
        <v>0</v>
      </c>
      <c r="BE13" s="74">
        <v>0</v>
      </c>
      <c r="BF13" s="49">
        <v>0</v>
      </c>
      <c r="BG13" s="74">
        <v>3</v>
      </c>
      <c r="BH13" s="49">
        <v>0</v>
      </c>
      <c r="BI13" s="49">
        <v>0</v>
      </c>
      <c r="BJ13" s="74">
        <v>1</v>
      </c>
      <c r="BK13" s="49">
        <v>0</v>
      </c>
      <c r="BL13" s="49">
        <v>1</v>
      </c>
      <c r="BM13" s="49">
        <v>2</v>
      </c>
      <c r="BN13" s="49" t="s">
        <v>2987</v>
      </c>
      <c r="BO13" s="49">
        <v>1</v>
      </c>
      <c r="BP13" s="49">
        <v>0</v>
      </c>
      <c r="BQ13" s="49">
        <v>0</v>
      </c>
      <c r="BR13" s="49">
        <v>0</v>
      </c>
      <c r="BS13" s="49">
        <v>1</v>
      </c>
      <c r="BT13" s="49">
        <v>1</v>
      </c>
      <c r="BU13" s="49">
        <v>1</v>
      </c>
      <c r="BV13" s="49">
        <v>1</v>
      </c>
      <c r="BW13" s="49">
        <v>1</v>
      </c>
      <c r="BX13" s="49">
        <v>1</v>
      </c>
      <c r="BY13" s="74">
        <v>1</v>
      </c>
      <c r="BZ13" s="74">
        <v>1</v>
      </c>
      <c r="CA13" s="49">
        <v>0</v>
      </c>
      <c r="CB13" s="49" t="s">
        <v>100</v>
      </c>
      <c r="CC13" s="49">
        <v>0</v>
      </c>
      <c r="CD13" s="74">
        <v>0</v>
      </c>
      <c r="CE13" s="74">
        <v>2</v>
      </c>
      <c r="CF13" s="74">
        <v>2</v>
      </c>
      <c r="CG13" s="49">
        <v>0</v>
      </c>
      <c r="CH13" s="49">
        <v>0</v>
      </c>
      <c r="CI13" s="49">
        <v>0</v>
      </c>
      <c r="CJ13" s="49" t="s">
        <v>100</v>
      </c>
      <c r="CK13" s="49">
        <v>3</v>
      </c>
      <c r="CL13" s="49"/>
      <c r="CM13" s="49"/>
      <c r="CN13" s="49">
        <v>0</v>
      </c>
      <c r="CO13" s="49">
        <v>0</v>
      </c>
      <c r="CP13" s="49">
        <v>0</v>
      </c>
      <c r="CQ13" s="49">
        <v>1</v>
      </c>
      <c r="CR13" s="49">
        <v>0</v>
      </c>
      <c r="CS13" s="49">
        <v>0</v>
      </c>
      <c r="CT13" s="49">
        <v>0</v>
      </c>
      <c r="CU13" s="49">
        <v>0</v>
      </c>
      <c r="CV13" s="49">
        <v>0</v>
      </c>
      <c r="CW13" s="49">
        <v>0</v>
      </c>
      <c r="CX13" s="49">
        <v>1</v>
      </c>
      <c r="CY13" s="49">
        <v>0</v>
      </c>
      <c r="CZ13" s="74">
        <v>0</v>
      </c>
      <c r="DA13" s="74">
        <v>3</v>
      </c>
      <c r="DB13" s="49">
        <v>2</v>
      </c>
      <c r="DC13" s="74">
        <v>0</v>
      </c>
      <c r="DD13" s="49"/>
      <c r="DE13" s="49"/>
      <c r="DF13" s="49"/>
      <c r="DG13" s="49"/>
      <c r="DH13" s="49"/>
      <c r="DI13" s="49"/>
      <c r="DJ13" s="49">
        <v>0</v>
      </c>
      <c r="DK13" s="49">
        <v>0</v>
      </c>
      <c r="DL13" s="49" t="s">
        <v>100</v>
      </c>
      <c r="DM13" s="74">
        <v>0</v>
      </c>
      <c r="DN13" s="49">
        <v>0</v>
      </c>
      <c r="DO13" s="49" t="s">
        <v>100</v>
      </c>
      <c r="DP13" s="74">
        <v>0</v>
      </c>
      <c r="DQ13" s="74">
        <v>0</v>
      </c>
      <c r="DR13" s="49">
        <v>0</v>
      </c>
      <c r="DS13" s="74">
        <v>3</v>
      </c>
      <c r="DT13" s="74">
        <v>1</v>
      </c>
      <c r="DU13" s="74">
        <v>0</v>
      </c>
      <c r="DV13" s="49" t="s">
        <v>100</v>
      </c>
      <c r="DW13" s="74">
        <v>2</v>
      </c>
      <c r="DX13" s="74">
        <v>0</v>
      </c>
      <c r="DY13" s="74">
        <v>1</v>
      </c>
      <c r="DZ13" s="74">
        <v>4</v>
      </c>
    </row>
    <row r="14" spans="1:130">
      <c r="A14" s="50">
        <v>12</v>
      </c>
      <c r="B14" s="50" t="s">
        <v>147</v>
      </c>
      <c r="C14" s="50" t="s">
        <v>148</v>
      </c>
      <c r="D14" s="72">
        <v>28170</v>
      </c>
      <c r="E14" s="49" t="s">
        <v>95</v>
      </c>
      <c r="F14" s="73">
        <v>14</v>
      </c>
      <c r="G14" s="74">
        <v>2</v>
      </c>
      <c r="H14" s="49">
        <v>1977</v>
      </c>
      <c r="I14" s="49" t="s">
        <v>149</v>
      </c>
      <c r="J14" s="49" t="s">
        <v>820</v>
      </c>
      <c r="K14" s="73">
        <v>32</v>
      </c>
      <c r="L14" s="73">
        <v>2</v>
      </c>
      <c r="M14" s="74">
        <v>1</v>
      </c>
      <c r="N14" s="73">
        <v>6</v>
      </c>
      <c r="O14" s="74">
        <v>0</v>
      </c>
      <c r="P14" s="73" t="s">
        <v>100</v>
      </c>
      <c r="Q14" s="49">
        <v>0</v>
      </c>
      <c r="R14" s="49">
        <v>0</v>
      </c>
      <c r="S14" s="73">
        <v>5</v>
      </c>
      <c r="T14" s="73">
        <v>5</v>
      </c>
      <c r="U14" s="74">
        <v>0</v>
      </c>
      <c r="V14" s="49">
        <v>33</v>
      </c>
      <c r="W14" s="49">
        <v>0</v>
      </c>
      <c r="X14" s="74">
        <v>0</v>
      </c>
      <c r="Y14" s="74">
        <v>0</v>
      </c>
      <c r="Z14" s="49"/>
      <c r="AA14" s="74">
        <v>1</v>
      </c>
      <c r="AB14" s="74">
        <v>2</v>
      </c>
      <c r="AC14" s="74">
        <v>2</v>
      </c>
      <c r="AD14" s="49" t="s">
        <v>3168</v>
      </c>
      <c r="AE14" s="49"/>
      <c r="AF14" s="74">
        <v>2</v>
      </c>
      <c r="AG14" s="49"/>
      <c r="AH14" s="49"/>
      <c r="AI14" s="49">
        <v>0</v>
      </c>
      <c r="AJ14" s="49">
        <v>0</v>
      </c>
      <c r="AK14" s="74">
        <v>1</v>
      </c>
      <c r="AL14" s="74">
        <v>0</v>
      </c>
      <c r="AM14" s="49">
        <v>1</v>
      </c>
      <c r="AN14" s="74">
        <v>0</v>
      </c>
      <c r="AO14" s="74">
        <v>2</v>
      </c>
      <c r="AP14" s="49" t="s">
        <v>3169</v>
      </c>
      <c r="AQ14" s="74">
        <v>1</v>
      </c>
      <c r="AR14" s="49">
        <v>0</v>
      </c>
      <c r="AS14" s="49">
        <v>0</v>
      </c>
      <c r="AT14" s="49">
        <v>0</v>
      </c>
      <c r="AU14" s="49" t="s">
        <v>100</v>
      </c>
      <c r="AV14" s="49" t="s">
        <v>100</v>
      </c>
      <c r="AW14" s="49" t="s">
        <v>100</v>
      </c>
      <c r="AX14" s="49">
        <v>0</v>
      </c>
      <c r="AY14" s="49">
        <v>0</v>
      </c>
      <c r="AZ14" s="74">
        <v>0</v>
      </c>
      <c r="BA14" s="49">
        <v>1</v>
      </c>
      <c r="BB14" s="49">
        <v>3</v>
      </c>
      <c r="BC14" s="49">
        <v>0</v>
      </c>
      <c r="BD14" s="49">
        <v>0</v>
      </c>
      <c r="BE14" s="74">
        <v>0</v>
      </c>
      <c r="BF14" s="74">
        <v>0</v>
      </c>
      <c r="BG14" s="49"/>
      <c r="BH14" s="49">
        <v>1</v>
      </c>
      <c r="BI14" s="49">
        <v>0</v>
      </c>
      <c r="BJ14" s="49">
        <v>0</v>
      </c>
      <c r="BK14" s="74">
        <v>1</v>
      </c>
      <c r="BL14" s="49">
        <v>0</v>
      </c>
      <c r="BM14" s="49" t="s">
        <v>100</v>
      </c>
      <c r="BN14" s="49"/>
      <c r="BO14" s="49"/>
      <c r="BP14" s="49">
        <v>0</v>
      </c>
      <c r="BQ14" s="49">
        <v>0</v>
      </c>
      <c r="BR14" s="49">
        <v>0</v>
      </c>
      <c r="BS14" s="49">
        <v>0</v>
      </c>
      <c r="BT14" s="49">
        <v>0</v>
      </c>
      <c r="BU14" s="49">
        <v>0</v>
      </c>
      <c r="BV14" s="49">
        <v>0</v>
      </c>
      <c r="BW14" s="49">
        <v>0</v>
      </c>
      <c r="BX14" s="49">
        <v>0</v>
      </c>
      <c r="BY14" s="74">
        <v>0</v>
      </c>
      <c r="BZ14" s="49">
        <v>0</v>
      </c>
      <c r="CA14" s="49">
        <v>0</v>
      </c>
      <c r="CB14" s="49" t="s">
        <v>100</v>
      </c>
      <c r="CC14" s="49">
        <v>0</v>
      </c>
      <c r="CD14" s="49" t="s">
        <v>100</v>
      </c>
      <c r="CE14" s="49">
        <v>0</v>
      </c>
      <c r="CF14" s="49">
        <v>0</v>
      </c>
      <c r="CG14" s="49">
        <v>0</v>
      </c>
      <c r="CH14" s="49">
        <v>1</v>
      </c>
      <c r="CI14" s="49">
        <v>0</v>
      </c>
      <c r="CJ14" s="49" t="s">
        <v>100</v>
      </c>
      <c r="CK14" s="49">
        <v>1</v>
      </c>
      <c r="CL14" s="49"/>
      <c r="CM14" s="49"/>
      <c r="CN14" s="74">
        <v>1</v>
      </c>
      <c r="CO14" s="49">
        <v>0</v>
      </c>
      <c r="CP14" s="49">
        <v>0</v>
      </c>
      <c r="CQ14" s="49">
        <v>0</v>
      </c>
      <c r="CR14" s="49">
        <v>1</v>
      </c>
      <c r="CS14" s="49">
        <v>0</v>
      </c>
      <c r="CT14" s="49">
        <v>0</v>
      </c>
      <c r="CU14" s="49">
        <v>0</v>
      </c>
      <c r="CV14" s="49">
        <v>0</v>
      </c>
      <c r="CW14" s="49">
        <v>0</v>
      </c>
      <c r="CX14" s="49">
        <v>0</v>
      </c>
      <c r="CY14" s="49">
        <v>0</v>
      </c>
      <c r="CZ14" s="74">
        <v>0</v>
      </c>
      <c r="DA14" s="49">
        <v>0</v>
      </c>
      <c r="DB14" s="49">
        <v>2</v>
      </c>
      <c r="DC14" s="49">
        <v>1</v>
      </c>
      <c r="DD14" s="49">
        <v>0</v>
      </c>
      <c r="DE14" s="49">
        <v>4</v>
      </c>
      <c r="DF14" s="49">
        <v>0</v>
      </c>
      <c r="DG14" s="49"/>
      <c r="DH14" s="49"/>
      <c r="DI14" s="49"/>
      <c r="DJ14" s="74">
        <v>1</v>
      </c>
      <c r="DK14" s="49">
        <v>0</v>
      </c>
      <c r="DL14" s="49" t="s">
        <v>100</v>
      </c>
      <c r="DM14" s="74">
        <v>0</v>
      </c>
      <c r="DN14" s="49">
        <v>0</v>
      </c>
      <c r="DO14" s="49" t="s">
        <v>100</v>
      </c>
      <c r="DP14" s="49">
        <v>0</v>
      </c>
      <c r="DQ14" s="74">
        <v>0</v>
      </c>
      <c r="DR14" s="74">
        <v>1</v>
      </c>
      <c r="DS14" s="74">
        <v>3</v>
      </c>
      <c r="DT14" s="74">
        <v>5</v>
      </c>
      <c r="DU14" s="74">
        <v>1</v>
      </c>
      <c r="DV14" s="49" t="s">
        <v>150</v>
      </c>
      <c r="DW14" s="49">
        <v>0</v>
      </c>
      <c r="DX14" s="74">
        <v>0</v>
      </c>
      <c r="DY14" s="49">
        <v>2</v>
      </c>
      <c r="DZ14" s="49">
        <v>0</v>
      </c>
    </row>
    <row r="15" spans="1:130">
      <c r="A15" s="50">
        <v>13</v>
      </c>
      <c r="B15" s="50" t="s">
        <v>151</v>
      </c>
      <c r="C15" s="50" t="s">
        <v>152</v>
      </c>
      <c r="D15" s="72">
        <v>28329</v>
      </c>
      <c r="E15" s="49" t="s">
        <v>103</v>
      </c>
      <c r="F15" s="73">
        <v>23</v>
      </c>
      <c r="G15" s="74">
        <v>7</v>
      </c>
      <c r="H15" s="74">
        <v>1977</v>
      </c>
      <c r="I15" s="49" t="s">
        <v>153</v>
      </c>
      <c r="J15" s="49" t="s">
        <v>154</v>
      </c>
      <c r="K15" s="74">
        <v>37</v>
      </c>
      <c r="L15" s="73">
        <v>3</v>
      </c>
      <c r="M15" s="73">
        <v>2</v>
      </c>
      <c r="N15" s="74">
        <v>5</v>
      </c>
      <c r="O15" s="73">
        <v>0</v>
      </c>
      <c r="P15" s="73" t="s">
        <v>100</v>
      </c>
      <c r="Q15" s="49">
        <v>0</v>
      </c>
      <c r="R15" s="49">
        <v>0</v>
      </c>
      <c r="S15" s="74">
        <v>6</v>
      </c>
      <c r="T15" s="73">
        <v>2</v>
      </c>
      <c r="U15" s="74">
        <v>0</v>
      </c>
      <c r="V15" s="74">
        <v>26</v>
      </c>
      <c r="W15" s="74">
        <v>0</v>
      </c>
      <c r="X15" s="74">
        <v>0</v>
      </c>
      <c r="Y15" s="49">
        <v>0</v>
      </c>
      <c r="Z15" s="74">
        <v>0</v>
      </c>
      <c r="AA15" s="74">
        <v>0</v>
      </c>
      <c r="AB15" s="49"/>
      <c r="AC15" s="74">
        <v>2</v>
      </c>
      <c r="AD15" s="49" t="s">
        <v>3170</v>
      </c>
      <c r="AE15" s="49"/>
      <c r="AF15" s="49"/>
      <c r="AG15" s="49"/>
      <c r="AH15" s="49"/>
      <c r="AI15" s="74">
        <v>3</v>
      </c>
      <c r="AJ15" s="49">
        <v>0</v>
      </c>
      <c r="AK15" s="74">
        <v>0</v>
      </c>
      <c r="AL15" s="74">
        <v>0</v>
      </c>
      <c r="AM15" s="74">
        <v>1</v>
      </c>
      <c r="AN15" s="74">
        <v>1</v>
      </c>
      <c r="AO15" s="49">
        <v>0</v>
      </c>
      <c r="AP15" s="49"/>
      <c r="AQ15" s="49">
        <v>0</v>
      </c>
      <c r="AR15" s="49">
        <v>0</v>
      </c>
      <c r="AS15" s="74">
        <v>1</v>
      </c>
      <c r="AT15" s="74">
        <v>1</v>
      </c>
      <c r="AU15" s="49">
        <v>4</v>
      </c>
      <c r="AV15" s="49"/>
      <c r="AW15" s="49"/>
      <c r="AX15" s="49">
        <v>0</v>
      </c>
      <c r="AY15" s="49">
        <v>0</v>
      </c>
      <c r="AZ15" s="49">
        <v>0</v>
      </c>
      <c r="BA15" s="49">
        <v>0</v>
      </c>
      <c r="BB15" s="49">
        <v>3</v>
      </c>
      <c r="BC15" s="49">
        <v>0</v>
      </c>
      <c r="BD15" s="49">
        <v>0</v>
      </c>
      <c r="BE15" s="49">
        <v>0</v>
      </c>
      <c r="BF15" s="49"/>
      <c r="BG15" s="49"/>
      <c r="BH15" s="49">
        <v>1</v>
      </c>
      <c r="BI15" s="49">
        <v>0</v>
      </c>
      <c r="BJ15" s="74">
        <v>1</v>
      </c>
      <c r="BK15" s="74">
        <v>1</v>
      </c>
      <c r="BL15" s="49">
        <v>1</v>
      </c>
      <c r="BM15" s="49">
        <v>1</v>
      </c>
      <c r="BN15" s="49" t="s">
        <v>2988</v>
      </c>
      <c r="BO15" s="49">
        <v>1</v>
      </c>
      <c r="BP15" s="49">
        <v>1</v>
      </c>
      <c r="BQ15" s="49">
        <v>1</v>
      </c>
      <c r="BR15" s="49">
        <v>0</v>
      </c>
      <c r="BS15" s="49">
        <v>0</v>
      </c>
      <c r="BT15" s="49">
        <v>1</v>
      </c>
      <c r="BU15" s="49">
        <v>0</v>
      </c>
      <c r="BV15" s="49">
        <v>1</v>
      </c>
      <c r="BW15" s="49">
        <v>0</v>
      </c>
      <c r="BX15" s="49">
        <v>0</v>
      </c>
      <c r="BY15" s="74">
        <v>1</v>
      </c>
      <c r="BZ15" s="49">
        <v>0</v>
      </c>
      <c r="CA15" s="49">
        <v>0</v>
      </c>
      <c r="CB15" s="49" t="s">
        <v>100</v>
      </c>
      <c r="CC15" s="49">
        <v>0</v>
      </c>
      <c r="CD15" s="49" t="s">
        <v>100</v>
      </c>
      <c r="CE15" s="49">
        <v>0</v>
      </c>
      <c r="CF15" s="49">
        <v>0</v>
      </c>
      <c r="CG15" s="49">
        <v>0</v>
      </c>
      <c r="CH15" s="49">
        <v>4</v>
      </c>
      <c r="CI15" s="49">
        <v>1</v>
      </c>
      <c r="CJ15" s="49" t="s">
        <v>3102</v>
      </c>
      <c r="CK15" s="49">
        <v>0</v>
      </c>
      <c r="CL15" s="49"/>
      <c r="CM15" s="49"/>
      <c r="CN15" s="49">
        <v>0</v>
      </c>
      <c r="CO15" s="49">
        <v>0</v>
      </c>
      <c r="CP15" s="49">
        <v>0</v>
      </c>
      <c r="CQ15" s="49">
        <v>0</v>
      </c>
      <c r="CR15" s="49">
        <v>0</v>
      </c>
      <c r="CS15" s="49">
        <v>1</v>
      </c>
      <c r="CT15" s="49">
        <v>0</v>
      </c>
      <c r="CU15" s="49">
        <v>0</v>
      </c>
      <c r="CV15" s="49">
        <v>1</v>
      </c>
      <c r="CW15" s="49">
        <v>0</v>
      </c>
      <c r="CX15" s="49">
        <v>0</v>
      </c>
      <c r="CY15" s="49">
        <v>0</v>
      </c>
      <c r="CZ15" s="74">
        <v>0</v>
      </c>
      <c r="DA15" s="49">
        <v>0</v>
      </c>
      <c r="DB15" s="49">
        <v>2</v>
      </c>
      <c r="DC15" s="74">
        <v>1</v>
      </c>
      <c r="DD15" s="49">
        <v>0</v>
      </c>
      <c r="DE15" s="49">
        <v>8</v>
      </c>
      <c r="DF15" s="49">
        <v>1</v>
      </c>
      <c r="DG15" s="49"/>
      <c r="DH15" s="49"/>
      <c r="DI15" s="49"/>
      <c r="DJ15" s="49">
        <v>0</v>
      </c>
      <c r="DK15" s="49">
        <v>0</v>
      </c>
      <c r="DL15" s="49" t="s">
        <v>100</v>
      </c>
      <c r="DM15" s="74">
        <v>0</v>
      </c>
      <c r="DN15" s="49">
        <v>0</v>
      </c>
      <c r="DO15" s="49" t="s">
        <v>100</v>
      </c>
      <c r="DP15" s="49">
        <v>0</v>
      </c>
      <c r="DQ15" s="74">
        <v>0</v>
      </c>
      <c r="DR15" s="49">
        <v>0</v>
      </c>
      <c r="DS15" s="74">
        <v>3</v>
      </c>
      <c r="DT15" s="74">
        <v>1</v>
      </c>
      <c r="DU15" s="74">
        <v>0</v>
      </c>
      <c r="DV15" s="49" t="s">
        <v>100</v>
      </c>
      <c r="DW15" s="74">
        <v>2</v>
      </c>
      <c r="DX15" s="74">
        <v>1</v>
      </c>
      <c r="DY15" s="49">
        <v>1</v>
      </c>
      <c r="DZ15" s="74">
        <v>2</v>
      </c>
    </row>
    <row r="16" spans="1:130">
      <c r="A16" s="50">
        <v>14</v>
      </c>
      <c r="B16" s="50" t="s">
        <v>155</v>
      </c>
      <c r="C16" s="50" t="s">
        <v>156</v>
      </c>
      <c r="D16" s="72">
        <v>28363</v>
      </c>
      <c r="E16" s="49" t="s">
        <v>157</v>
      </c>
      <c r="F16" s="73">
        <v>26</v>
      </c>
      <c r="G16" s="74">
        <v>8</v>
      </c>
      <c r="H16" s="74">
        <v>1977</v>
      </c>
      <c r="I16" s="49" t="s">
        <v>158</v>
      </c>
      <c r="J16" s="49" t="s">
        <v>3171</v>
      </c>
      <c r="K16" s="74">
        <v>30</v>
      </c>
      <c r="L16" s="74">
        <v>2</v>
      </c>
      <c r="M16" s="74">
        <v>2</v>
      </c>
      <c r="N16" s="73">
        <v>8</v>
      </c>
      <c r="O16" s="74">
        <v>1</v>
      </c>
      <c r="P16" s="73">
        <v>8</v>
      </c>
      <c r="Q16" s="49">
        <v>0</v>
      </c>
      <c r="R16" s="49">
        <v>0</v>
      </c>
      <c r="S16" s="74">
        <v>6</v>
      </c>
      <c r="T16" s="74">
        <v>0</v>
      </c>
      <c r="U16" s="74">
        <v>0</v>
      </c>
      <c r="V16" s="74">
        <v>20</v>
      </c>
      <c r="W16" s="74">
        <v>0</v>
      </c>
      <c r="X16" s="74">
        <v>0</v>
      </c>
      <c r="Y16" s="49">
        <v>0</v>
      </c>
      <c r="Z16" s="49">
        <v>0</v>
      </c>
      <c r="AA16" s="74">
        <v>1</v>
      </c>
      <c r="AB16" s="74">
        <v>1</v>
      </c>
      <c r="AC16" s="49"/>
      <c r="AD16" s="49"/>
      <c r="AE16" s="74">
        <v>2</v>
      </c>
      <c r="AF16" s="74">
        <v>3</v>
      </c>
      <c r="AG16" s="74">
        <v>1</v>
      </c>
      <c r="AH16" s="74">
        <v>2</v>
      </c>
      <c r="AI16" s="49">
        <v>0</v>
      </c>
      <c r="AJ16" s="49">
        <v>0</v>
      </c>
      <c r="AK16" s="74">
        <v>1</v>
      </c>
      <c r="AL16" s="74">
        <v>0</v>
      </c>
      <c r="AM16" s="74">
        <v>2</v>
      </c>
      <c r="AN16" s="74">
        <v>3</v>
      </c>
      <c r="AO16" s="74">
        <v>1</v>
      </c>
      <c r="AP16" s="49" t="s">
        <v>3374</v>
      </c>
      <c r="AQ16" s="74">
        <v>1</v>
      </c>
      <c r="AR16" s="49">
        <v>0</v>
      </c>
      <c r="AS16" s="74">
        <v>1</v>
      </c>
      <c r="AT16" s="49">
        <v>0</v>
      </c>
      <c r="AU16" s="49" t="s">
        <v>100</v>
      </c>
      <c r="AV16" s="49" t="s">
        <v>100</v>
      </c>
      <c r="AW16" s="49" t="s">
        <v>100</v>
      </c>
      <c r="AX16" s="49">
        <v>0</v>
      </c>
      <c r="AY16" s="49">
        <v>0</v>
      </c>
      <c r="AZ16" s="49">
        <v>0</v>
      </c>
      <c r="BA16" s="49">
        <v>0</v>
      </c>
      <c r="BB16" s="49">
        <v>3</v>
      </c>
      <c r="BC16" s="49">
        <v>0</v>
      </c>
      <c r="BD16" s="49">
        <v>0</v>
      </c>
      <c r="BE16" s="74">
        <v>0</v>
      </c>
      <c r="BF16" s="74">
        <v>0</v>
      </c>
      <c r="BG16" s="49"/>
      <c r="BH16" s="49"/>
      <c r="BI16" s="49"/>
      <c r="BJ16" s="49">
        <v>0</v>
      </c>
      <c r="BK16" s="49">
        <v>0</v>
      </c>
      <c r="BL16" s="74">
        <v>1</v>
      </c>
      <c r="BM16" s="49">
        <v>3</v>
      </c>
      <c r="BN16" s="49" t="s">
        <v>3021</v>
      </c>
      <c r="BO16" s="49">
        <v>1</v>
      </c>
      <c r="BP16" s="49">
        <v>0</v>
      </c>
      <c r="BQ16" s="49">
        <v>0</v>
      </c>
      <c r="BR16" s="49">
        <v>0</v>
      </c>
      <c r="BS16" s="49">
        <v>1</v>
      </c>
      <c r="BT16" s="49">
        <v>1</v>
      </c>
      <c r="BU16" s="49">
        <v>1</v>
      </c>
      <c r="BV16" s="49">
        <v>0</v>
      </c>
      <c r="BW16" s="49">
        <v>0</v>
      </c>
      <c r="BX16" s="49">
        <v>0</v>
      </c>
      <c r="BY16" s="49">
        <v>0</v>
      </c>
      <c r="BZ16" s="74">
        <v>1</v>
      </c>
      <c r="CA16" s="74">
        <v>1</v>
      </c>
      <c r="CB16" s="74">
        <v>2</v>
      </c>
      <c r="CC16" s="49">
        <v>0</v>
      </c>
      <c r="CD16" s="74">
        <v>0</v>
      </c>
      <c r="CE16" s="74">
        <v>5</v>
      </c>
      <c r="CF16" s="49">
        <v>0</v>
      </c>
      <c r="CG16" s="49">
        <v>0</v>
      </c>
      <c r="CH16" s="74">
        <v>5</v>
      </c>
      <c r="CI16" s="49">
        <v>1</v>
      </c>
      <c r="CJ16" s="49" t="s">
        <v>2982</v>
      </c>
      <c r="CK16" s="49">
        <v>0</v>
      </c>
      <c r="CL16" s="49"/>
      <c r="CM16" s="49"/>
      <c r="CN16" s="49">
        <v>0</v>
      </c>
      <c r="CO16" s="49">
        <v>0</v>
      </c>
      <c r="CP16" s="49">
        <v>0</v>
      </c>
      <c r="CQ16" s="49">
        <v>0</v>
      </c>
      <c r="CR16" s="49">
        <v>0</v>
      </c>
      <c r="CS16" s="49">
        <v>0</v>
      </c>
      <c r="CT16" s="49">
        <v>0</v>
      </c>
      <c r="CU16" s="49">
        <v>0</v>
      </c>
      <c r="CV16" s="49">
        <v>0</v>
      </c>
      <c r="CW16" s="49">
        <v>0</v>
      </c>
      <c r="CX16" s="49">
        <v>1</v>
      </c>
      <c r="CY16" s="49">
        <v>0</v>
      </c>
      <c r="CZ16" s="74">
        <v>0</v>
      </c>
      <c r="DA16" s="49">
        <v>0</v>
      </c>
      <c r="DB16" s="49">
        <v>2</v>
      </c>
      <c r="DC16" s="49">
        <v>0</v>
      </c>
      <c r="DD16" s="49"/>
      <c r="DE16" s="49"/>
      <c r="DF16" s="49"/>
      <c r="DG16" s="49"/>
      <c r="DH16" s="49"/>
      <c r="DI16" s="49"/>
      <c r="DJ16" s="49">
        <v>0</v>
      </c>
      <c r="DK16" s="49">
        <v>0</v>
      </c>
      <c r="DL16" s="49" t="s">
        <v>100</v>
      </c>
      <c r="DM16" s="74">
        <v>0</v>
      </c>
      <c r="DN16" s="49">
        <v>0</v>
      </c>
      <c r="DO16" s="49" t="s">
        <v>100</v>
      </c>
      <c r="DP16" s="49">
        <v>0</v>
      </c>
      <c r="DQ16" s="74">
        <v>0</v>
      </c>
      <c r="DR16" s="49">
        <v>0</v>
      </c>
      <c r="DS16" s="74">
        <v>2</v>
      </c>
      <c r="DT16" s="74">
        <v>1</v>
      </c>
      <c r="DU16" s="74">
        <v>0</v>
      </c>
      <c r="DV16" s="49" t="s">
        <v>100</v>
      </c>
      <c r="DW16" s="49">
        <v>0</v>
      </c>
      <c r="DX16" s="74">
        <v>0</v>
      </c>
      <c r="DY16" s="49" t="s">
        <v>821</v>
      </c>
      <c r="DZ16" s="49">
        <v>0</v>
      </c>
    </row>
    <row r="17" spans="1:130">
      <c r="A17" s="50">
        <v>15</v>
      </c>
      <c r="B17" s="50" t="s">
        <v>159</v>
      </c>
      <c r="C17" s="50" t="s">
        <v>160</v>
      </c>
      <c r="D17" s="72">
        <v>28658</v>
      </c>
      <c r="E17" s="49" t="s">
        <v>103</v>
      </c>
      <c r="F17" s="73">
        <v>17</v>
      </c>
      <c r="G17" s="73">
        <v>6</v>
      </c>
      <c r="H17" s="49">
        <v>1978</v>
      </c>
      <c r="I17" s="49" t="s">
        <v>161</v>
      </c>
      <c r="J17" s="49" t="s">
        <v>162</v>
      </c>
      <c r="K17" s="73">
        <v>39</v>
      </c>
      <c r="L17" s="74">
        <v>2</v>
      </c>
      <c r="M17" s="73">
        <v>0</v>
      </c>
      <c r="N17" s="74">
        <v>6</v>
      </c>
      <c r="O17" s="74">
        <v>0</v>
      </c>
      <c r="P17" s="73" t="s">
        <v>100</v>
      </c>
      <c r="Q17" s="49">
        <v>0</v>
      </c>
      <c r="R17" s="49">
        <v>0</v>
      </c>
      <c r="S17" s="74">
        <v>5</v>
      </c>
      <c r="T17" s="73">
        <v>0</v>
      </c>
      <c r="U17" s="74">
        <v>0</v>
      </c>
      <c r="V17" s="49">
        <v>48</v>
      </c>
      <c r="W17" s="49">
        <v>0</v>
      </c>
      <c r="X17" s="74">
        <v>3</v>
      </c>
      <c r="Y17" s="49">
        <v>1</v>
      </c>
      <c r="Z17" s="49">
        <v>0</v>
      </c>
      <c r="AA17" s="49"/>
      <c r="AB17" s="49" t="s">
        <v>818</v>
      </c>
      <c r="AC17" s="49"/>
      <c r="AD17" s="49"/>
      <c r="AE17" s="49"/>
      <c r="AF17" s="74">
        <v>2</v>
      </c>
      <c r="AG17" s="49"/>
      <c r="AH17" s="49"/>
      <c r="AI17" s="49">
        <v>2</v>
      </c>
      <c r="AJ17" s="49">
        <v>1</v>
      </c>
      <c r="AK17" s="49">
        <v>1</v>
      </c>
      <c r="AL17" s="74">
        <v>0</v>
      </c>
      <c r="AM17" s="49">
        <v>0</v>
      </c>
      <c r="AN17" s="49" t="s">
        <v>100</v>
      </c>
      <c r="AO17" s="49">
        <v>0</v>
      </c>
      <c r="AP17" s="49"/>
      <c r="AQ17" s="49">
        <v>0</v>
      </c>
      <c r="AR17" s="49">
        <v>0</v>
      </c>
      <c r="AS17" s="49">
        <v>0</v>
      </c>
      <c r="AT17" s="49">
        <v>0</v>
      </c>
      <c r="AU17" s="49" t="s">
        <v>100</v>
      </c>
      <c r="AV17" s="49" t="s">
        <v>100</v>
      </c>
      <c r="AW17" s="49" t="s">
        <v>100</v>
      </c>
      <c r="AX17" s="49">
        <v>0</v>
      </c>
      <c r="AY17" s="49">
        <v>0</v>
      </c>
      <c r="AZ17" s="49">
        <v>0</v>
      </c>
      <c r="BA17" s="49">
        <v>0</v>
      </c>
      <c r="BB17" s="49">
        <v>3</v>
      </c>
      <c r="BC17" s="49">
        <v>0</v>
      </c>
      <c r="BD17" s="49">
        <v>0</v>
      </c>
      <c r="BE17" s="49"/>
      <c r="BF17" s="49"/>
      <c r="BG17" s="49"/>
      <c r="BH17" s="49"/>
      <c r="BI17" s="49">
        <v>0</v>
      </c>
      <c r="BJ17" s="49">
        <v>0</v>
      </c>
      <c r="BK17" s="49">
        <v>0</v>
      </c>
      <c r="BL17" s="49">
        <v>1</v>
      </c>
      <c r="BM17" s="49">
        <v>3</v>
      </c>
      <c r="BN17" s="49" t="s">
        <v>3051</v>
      </c>
      <c r="BO17" s="49">
        <v>0</v>
      </c>
      <c r="BP17" s="49">
        <v>0</v>
      </c>
      <c r="BQ17" s="49">
        <v>0</v>
      </c>
      <c r="BR17" s="49">
        <v>0</v>
      </c>
      <c r="BS17" s="49">
        <v>0</v>
      </c>
      <c r="BT17" s="49">
        <v>1</v>
      </c>
      <c r="BU17" s="49">
        <v>0</v>
      </c>
      <c r="BV17" s="49">
        <v>1</v>
      </c>
      <c r="BW17" s="49">
        <v>1</v>
      </c>
      <c r="BX17" s="49">
        <v>1</v>
      </c>
      <c r="BY17" s="74">
        <v>0</v>
      </c>
      <c r="BZ17" s="49">
        <v>0</v>
      </c>
      <c r="CA17" s="49">
        <v>0</v>
      </c>
      <c r="CB17" s="49" t="s">
        <v>100</v>
      </c>
      <c r="CC17" s="49">
        <v>0</v>
      </c>
      <c r="CD17" s="49" t="s">
        <v>100</v>
      </c>
      <c r="CE17" s="74">
        <v>2</v>
      </c>
      <c r="CF17" s="49">
        <v>0</v>
      </c>
      <c r="CG17" s="49">
        <v>0</v>
      </c>
      <c r="CH17" s="49">
        <v>0</v>
      </c>
      <c r="CI17" s="49">
        <v>0</v>
      </c>
      <c r="CJ17" s="49" t="s">
        <v>100</v>
      </c>
      <c r="CK17" s="49">
        <v>0</v>
      </c>
      <c r="CL17" s="49"/>
      <c r="CM17" s="49"/>
      <c r="CN17" s="49">
        <v>0</v>
      </c>
      <c r="CO17" s="49">
        <v>0</v>
      </c>
      <c r="CP17" s="49">
        <v>0</v>
      </c>
      <c r="CQ17" s="49">
        <v>0</v>
      </c>
      <c r="CR17" s="49">
        <v>0</v>
      </c>
      <c r="CS17" s="49">
        <v>0</v>
      </c>
      <c r="CT17" s="49">
        <v>0</v>
      </c>
      <c r="CU17" s="49">
        <v>0</v>
      </c>
      <c r="CV17" s="49">
        <v>0</v>
      </c>
      <c r="CW17" s="49">
        <v>0</v>
      </c>
      <c r="CX17" s="49">
        <v>1</v>
      </c>
      <c r="CY17" s="49">
        <v>0</v>
      </c>
      <c r="CZ17" s="74">
        <v>0</v>
      </c>
      <c r="DA17" s="74">
        <v>3</v>
      </c>
      <c r="DB17" s="49">
        <v>2</v>
      </c>
      <c r="DC17" s="74">
        <v>0</v>
      </c>
      <c r="DD17" s="49"/>
      <c r="DE17" s="49"/>
      <c r="DF17" s="49"/>
      <c r="DG17" s="49"/>
      <c r="DH17" s="49"/>
      <c r="DI17" s="49"/>
      <c r="DJ17" s="49">
        <v>0</v>
      </c>
      <c r="DK17" s="49">
        <v>0</v>
      </c>
      <c r="DL17" s="49" t="s">
        <v>100</v>
      </c>
      <c r="DM17" s="74">
        <v>0</v>
      </c>
      <c r="DN17" s="49">
        <v>0</v>
      </c>
      <c r="DO17" s="49" t="s">
        <v>100</v>
      </c>
      <c r="DP17" s="74">
        <v>0</v>
      </c>
      <c r="DQ17" s="74">
        <v>0</v>
      </c>
      <c r="DR17" s="74">
        <v>0</v>
      </c>
      <c r="DS17" s="74">
        <v>0</v>
      </c>
      <c r="DT17" s="74">
        <v>1</v>
      </c>
      <c r="DU17" s="74">
        <v>0</v>
      </c>
      <c r="DV17" s="49" t="s">
        <v>100</v>
      </c>
      <c r="DW17" s="49">
        <v>2</v>
      </c>
      <c r="DX17" s="74">
        <v>0</v>
      </c>
      <c r="DY17" s="74">
        <v>1</v>
      </c>
      <c r="DZ17" s="74">
        <v>4</v>
      </c>
    </row>
    <row r="18" spans="1:130">
      <c r="A18" s="50">
        <v>16</v>
      </c>
      <c r="B18" s="50" t="s">
        <v>163</v>
      </c>
      <c r="C18" s="50" t="s">
        <v>164</v>
      </c>
      <c r="D18" s="72">
        <v>29254</v>
      </c>
      <c r="E18" s="49" t="s">
        <v>137</v>
      </c>
      <c r="F18" s="73">
        <v>3</v>
      </c>
      <c r="G18" s="74">
        <v>2</v>
      </c>
      <c r="H18" s="74">
        <v>1980</v>
      </c>
      <c r="I18" s="49" t="s">
        <v>165</v>
      </c>
      <c r="J18" s="49" t="s">
        <v>166</v>
      </c>
      <c r="K18" s="74">
        <v>43</v>
      </c>
      <c r="L18" s="73">
        <v>0</v>
      </c>
      <c r="M18" s="74">
        <v>0</v>
      </c>
      <c r="N18" s="74">
        <v>5</v>
      </c>
      <c r="O18" s="74">
        <v>0</v>
      </c>
      <c r="P18" s="73" t="s">
        <v>100</v>
      </c>
      <c r="Q18" s="49">
        <v>0</v>
      </c>
      <c r="R18" s="49">
        <v>0</v>
      </c>
      <c r="S18" s="74">
        <v>5</v>
      </c>
      <c r="T18" s="73">
        <v>3</v>
      </c>
      <c r="U18" s="74">
        <v>0</v>
      </c>
      <c r="V18" s="74">
        <v>21</v>
      </c>
      <c r="W18" s="74">
        <v>0</v>
      </c>
      <c r="X18" s="74">
        <v>0</v>
      </c>
      <c r="Y18" s="49">
        <v>0</v>
      </c>
      <c r="Z18" s="49">
        <v>0</v>
      </c>
      <c r="AA18" s="49"/>
      <c r="AB18" s="74">
        <v>0</v>
      </c>
      <c r="AC18" s="49"/>
      <c r="AD18" s="49"/>
      <c r="AE18" s="74">
        <v>4</v>
      </c>
      <c r="AF18" s="74">
        <v>1</v>
      </c>
      <c r="AG18" s="49"/>
      <c r="AH18" s="49"/>
      <c r="AI18" s="49"/>
      <c r="AJ18" s="49"/>
      <c r="AK18" s="49"/>
      <c r="AL18" s="49"/>
      <c r="AM18" s="49">
        <v>0</v>
      </c>
      <c r="AN18" s="49" t="s">
        <v>100</v>
      </c>
      <c r="AO18" s="49"/>
      <c r="AP18" s="49"/>
      <c r="AQ18" s="49"/>
      <c r="AR18" s="49">
        <v>0</v>
      </c>
      <c r="AS18" s="49"/>
      <c r="AT18" s="49">
        <v>0</v>
      </c>
      <c r="AU18" s="49" t="s">
        <v>100</v>
      </c>
      <c r="AV18" s="49" t="s">
        <v>100</v>
      </c>
      <c r="AW18" s="49" t="s">
        <v>100</v>
      </c>
      <c r="AX18" s="49">
        <v>0</v>
      </c>
      <c r="AY18" s="49">
        <v>0</v>
      </c>
      <c r="AZ18" s="49">
        <v>0</v>
      </c>
      <c r="BA18" s="49">
        <v>0</v>
      </c>
      <c r="BB18" s="49">
        <v>3</v>
      </c>
      <c r="BC18" s="49"/>
      <c r="BD18" s="49"/>
      <c r="BE18" s="49"/>
      <c r="BF18" s="49"/>
      <c r="BG18" s="49"/>
      <c r="BH18" s="49">
        <v>0</v>
      </c>
      <c r="BI18" s="74">
        <v>1</v>
      </c>
      <c r="BJ18" s="49"/>
      <c r="BK18" s="49"/>
      <c r="BL18" s="49"/>
      <c r="BM18" s="49"/>
      <c r="BN18" s="49"/>
      <c r="BO18" s="49">
        <v>0</v>
      </c>
      <c r="BP18" s="49">
        <v>0</v>
      </c>
      <c r="BQ18" s="49">
        <v>0</v>
      </c>
      <c r="BR18" s="49">
        <v>0</v>
      </c>
      <c r="BS18" s="49">
        <v>0</v>
      </c>
      <c r="BT18" s="49">
        <v>0</v>
      </c>
      <c r="BU18" s="49">
        <v>0</v>
      </c>
      <c r="BV18" s="49">
        <v>0</v>
      </c>
      <c r="BW18" s="49">
        <v>0</v>
      </c>
      <c r="BX18" s="49">
        <v>0</v>
      </c>
      <c r="BY18" s="49"/>
      <c r="BZ18" s="49">
        <v>0</v>
      </c>
      <c r="CA18" s="49">
        <v>0</v>
      </c>
      <c r="CB18" s="49" t="s">
        <v>100</v>
      </c>
      <c r="CC18" s="49">
        <v>0</v>
      </c>
      <c r="CD18" s="49" t="s">
        <v>100</v>
      </c>
      <c r="CE18" s="74">
        <v>0</v>
      </c>
      <c r="CF18" s="49">
        <v>0</v>
      </c>
      <c r="CG18" s="49">
        <v>0</v>
      </c>
      <c r="CH18" s="74">
        <v>5</v>
      </c>
      <c r="CI18" s="49">
        <v>0</v>
      </c>
      <c r="CJ18" s="49" t="s">
        <v>100</v>
      </c>
      <c r="CK18" s="49">
        <v>0</v>
      </c>
      <c r="CL18" s="49"/>
      <c r="CM18" s="49"/>
      <c r="CN18" s="49">
        <v>0</v>
      </c>
      <c r="CO18" s="49">
        <v>0</v>
      </c>
      <c r="CP18" s="49">
        <v>0</v>
      </c>
      <c r="CQ18" s="49">
        <v>0</v>
      </c>
      <c r="CR18" s="49">
        <v>0</v>
      </c>
      <c r="CS18" s="49">
        <v>0</v>
      </c>
      <c r="CT18" s="49">
        <v>0</v>
      </c>
      <c r="CU18" s="49">
        <v>0</v>
      </c>
      <c r="CV18" s="49">
        <v>0</v>
      </c>
      <c r="CW18" s="49">
        <v>0</v>
      </c>
      <c r="CX18" s="49">
        <v>0</v>
      </c>
      <c r="CY18" s="74">
        <v>1</v>
      </c>
      <c r="CZ18" s="74">
        <v>0</v>
      </c>
      <c r="DA18" s="49">
        <v>0</v>
      </c>
      <c r="DB18" s="49">
        <v>2</v>
      </c>
      <c r="DC18" s="49">
        <v>0</v>
      </c>
      <c r="DD18" s="49"/>
      <c r="DE18" s="49"/>
      <c r="DF18" s="49"/>
      <c r="DG18" s="49"/>
      <c r="DH18" s="49"/>
      <c r="DI18" s="49"/>
      <c r="DJ18" s="49">
        <v>0</v>
      </c>
      <c r="DK18" s="49">
        <v>0</v>
      </c>
      <c r="DL18" s="49" t="s">
        <v>100</v>
      </c>
      <c r="DM18" s="74">
        <v>0</v>
      </c>
      <c r="DN18" s="49">
        <v>0</v>
      </c>
      <c r="DO18" s="49" t="s">
        <v>100</v>
      </c>
      <c r="DP18" s="74">
        <v>0</v>
      </c>
      <c r="DQ18" s="74">
        <v>0</v>
      </c>
      <c r="DR18" s="49">
        <v>0</v>
      </c>
      <c r="DS18" s="74">
        <v>1</v>
      </c>
      <c r="DT18" s="74">
        <v>1</v>
      </c>
      <c r="DU18" s="74">
        <v>0</v>
      </c>
      <c r="DV18" s="49" t="s">
        <v>100</v>
      </c>
      <c r="DW18" s="49">
        <v>2</v>
      </c>
      <c r="DX18" s="74">
        <v>0</v>
      </c>
      <c r="DY18" s="74">
        <v>0</v>
      </c>
      <c r="DZ18" s="74">
        <v>3</v>
      </c>
    </row>
    <row r="19" spans="1:130">
      <c r="A19" s="50">
        <v>17</v>
      </c>
      <c r="B19" s="50" t="s">
        <v>167</v>
      </c>
      <c r="C19" s="50" t="s">
        <v>168</v>
      </c>
      <c r="D19" s="72">
        <v>29394</v>
      </c>
      <c r="E19" s="49" t="s">
        <v>137</v>
      </c>
      <c r="F19" s="73">
        <v>22</v>
      </c>
      <c r="G19" s="74">
        <v>6</v>
      </c>
      <c r="H19" s="74">
        <v>1980</v>
      </c>
      <c r="I19" s="49" t="s">
        <v>169</v>
      </c>
      <c r="J19" s="49" t="s">
        <v>170</v>
      </c>
      <c r="K19" s="74">
        <v>43</v>
      </c>
      <c r="L19" s="73">
        <v>0</v>
      </c>
      <c r="M19" s="73">
        <v>2</v>
      </c>
      <c r="N19" s="74">
        <v>3</v>
      </c>
      <c r="O19" s="74">
        <v>0</v>
      </c>
      <c r="P19" s="73" t="s">
        <v>100</v>
      </c>
      <c r="Q19" s="49">
        <v>0</v>
      </c>
      <c r="R19" s="49">
        <v>0</v>
      </c>
      <c r="S19" s="74">
        <v>5</v>
      </c>
      <c r="T19" s="73">
        <v>11</v>
      </c>
      <c r="U19" s="74">
        <v>1</v>
      </c>
      <c r="V19" s="74">
        <v>45</v>
      </c>
      <c r="W19" s="74">
        <v>0</v>
      </c>
      <c r="X19" s="74">
        <v>0</v>
      </c>
      <c r="Y19" s="49">
        <v>0</v>
      </c>
      <c r="Z19" s="74">
        <v>0</v>
      </c>
      <c r="AA19" s="74">
        <v>1</v>
      </c>
      <c r="AB19" s="49">
        <v>4</v>
      </c>
      <c r="AC19" s="74">
        <v>2</v>
      </c>
      <c r="AD19" s="49" t="s">
        <v>3172</v>
      </c>
      <c r="AE19" s="49"/>
      <c r="AF19" s="49"/>
      <c r="AG19" s="49"/>
      <c r="AH19" s="49"/>
      <c r="AI19" s="74">
        <v>2</v>
      </c>
      <c r="AJ19" s="49">
        <v>1</v>
      </c>
      <c r="AK19" s="74">
        <v>0</v>
      </c>
      <c r="AL19" s="49">
        <v>1</v>
      </c>
      <c r="AM19" s="49">
        <v>0</v>
      </c>
      <c r="AN19" s="49" t="s">
        <v>100</v>
      </c>
      <c r="AO19" s="74">
        <v>3</v>
      </c>
      <c r="AP19" s="49" t="s">
        <v>3173</v>
      </c>
      <c r="AQ19" s="49">
        <v>1</v>
      </c>
      <c r="AR19" s="74">
        <v>1</v>
      </c>
      <c r="AS19" s="49">
        <v>1</v>
      </c>
      <c r="AT19" s="49">
        <v>3</v>
      </c>
      <c r="AU19" s="49">
        <v>2</v>
      </c>
      <c r="AV19" s="49">
        <v>3</v>
      </c>
      <c r="AW19" s="49"/>
      <c r="AX19" s="74">
        <v>1</v>
      </c>
      <c r="AY19" s="49">
        <v>0</v>
      </c>
      <c r="AZ19" s="49">
        <v>0</v>
      </c>
      <c r="BA19" s="49">
        <v>0</v>
      </c>
      <c r="BB19" s="49">
        <v>3</v>
      </c>
      <c r="BC19" s="49">
        <v>0</v>
      </c>
      <c r="BD19" s="49">
        <v>0</v>
      </c>
      <c r="BE19" s="49"/>
      <c r="BF19" s="49"/>
      <c r="BG19" s="49"/>
      <c r="BH19" s="49"/>
      <c r="BI19" s="49">
        <v>0</v>
      </c>
      <c r="BJ19" s="49">
        <v>0</v>
      </c>
      <c r="BK19" s="74">
        <v>1</v>
      </c>
      <c r="BL19" s="49">
        <v>1</v>
      </c>
      <c r="BM19" s="49">
        <v>2</v>
      </c>
      <c r="BN19" s="49" t="s">
        <v>3147</v>
      </c>
      <c r="BO19" s="49">
        <v>1</v>
      </c>
      <c r="BP19" s="49">
        <v>0</v>
      </c>
      <c r="BQ19" s="49">
        <v>0</v>
      </c>
      <c r="BR19" s="49">
        <v>0</v>
      </c>
      <c r="BS19" s="49">
        <v>0</v>
      </c>
      <c r="BT19" s="49">
        <v>1</v>
      </c>
      <c r="BU19" s="49">
        <v>0</v>
      </c>
      <c r="BV19" s="49">
        <v>0</v>
      </c>
      <c r="BW19" s="49">
        <v>1</v>
      </c>
      <c r="BX19" s="49">
        <v>1</v>
      </c>
      <c r="BY19" s="74">
        <v>2</v>
      </c>
      <c r="BZ19" s="49">
        <v>0</v>
      </c>
      <c r="CA19" s="49">
        <v>0</v>
      </c>
      <c r="CB19" s="49" t="s">
        <v>100</v>
      </c>
      <c r="CC19" s="49">
        <v>0</v>
      </c>
      <c r="CD19" s="49" t="s">
        <v>100</v>
      </c>
      <c r="CE19" s="49">
        <v>0</v>
      </c>
      <c r="CF19" s="49">
        <v>0</v>
      </c>
      <c r="CG19" s="49">
        <v>0</v>
      </c>
      <c r="CH19" s="49">
        <v>0</v>
      </c>
      <c r="CI19" s="49">
        <v>0</v>
      </c>
      <c r="CJ19" s="49" t="s">
        <v>100</v>
      </c>
      <c r="CK19" s="49">
        <v>0</v>
      </c>
      <c r="CL19" s="49"/>
      <c r="CM19" s="49"/>
      <c r="CN19" s="49">
        <v>0</v>
      </c>
      <c r="CO19" s="49">
        <v>0</v>
      </c>
      <c r="CP19" s="49">
        <v>0</v>
      </c>
      <c r="CQ19" s="49">
        <v>0</v>
      </c>
      <c r="CR19" s="49">
        <v>0</v>
      </c>
      <c r="CS19" s="49">
        <v>0</v>
      </c>
      <c r="CT19" s="74">
        <v>1</v>
      </c>
      <c r="CU19" s="49">
        <v>0</v>
      </c>
      <c r="CV19" s="74">
        <v>1</v>
      </c>
      <c r="CW19" s="49">
        <v>0</v>
      </c>
      <c r="CX19" s="49">
        <v>0</v>
      </c>
      <c r="CY19" s="49">
        <v>0</v>
      </c>
      <c r="CZ19" s="74">
        <v>0</v>
      </c>
      <c r="DA19" s="49">
        <v>0</v>
      </c>
      <c r="DB19" s="49">
        <v>2</v>
      </c>
      <c r="DC19" s="74">
        <v>0</v>
      </c>
      <c r="DD19" s="49"/>
      <c r="DE19" s="49"/>
      <c r="DF19" s="49"/>
      <c r="DG19" s="49"/>
      <c r="DH19" s="49"/>
      <c r="DI19" s="49"/>
      <c r="DJ19" s="49">
        <v>0</v>
      </c>
      <c r="DK19" s="49">
        <v>0</v>
      </c>
      <c r="DL19" s="49" t="s">
        <v>100</v>
      </c>
      <c r="DM19" s="74">
        <v>0</v>
      </c>
      <c r="DN19" s="49">
        <v>0</v>
      </c>
      <c r="DO19" s="49" t="s">
        <v>100</v>
      </c>
      <c r="DP19" s="49">
        <v>0</v>
      </c>
      <c r="DQ19" s="74">
        <v>0</v>
      </c>
      <c r="DR19" s="49">
        <v>0</v>
      </c>
      <c r="DS19" s="74">
        <v>1</v>
      </c>
      <c r="DT19" s="74">
        <v>4</v>
      </c>
      <c r="DU19" s="74">
        <v>1</v>
      </c>
      <c r="DV19" s="49" t="s">
        <v>171</v>
      </c>
      <c r="DW19" s="74">
        <v>3</v>
      </c>
      <c r="DX19" s="74">
        <v>0</v>
      </c>
      <c r="DY19" s="49">
        <v>2</v>
      </c>
      <c r="DZ19" s="49">
        <v>0</v>
      </c>
    </row>
    <row r="20" spans="1:130">
      <c r="A20" s="50">
        <v>18</v>
      </c>
      <c r="B20" s="50" t="s">
        <v>172</v>
      </c>
      <c r="C20" s="50" t="s">
        <v>173</v>
      </c>
      <c r="D20" s="72">
        <v>29423</v>
      </c>
      <c r="E20" s="49" t="s">
        <v>95</v>
      </c>
      <c r="F20" s="73">
        <v>21</v>
      </c>
      <c r="G20" s="74">
        <v>7</v>
      </c>
      <c r="H20" s="74">
        <v>1980</v>
      </c>
      <c r="I20" s="49" t="s">
        <v>174</v>
      </c>
      <c r="J20" s="49" t="s">
        <v>175</v>
      </c>
      <c r="K20" s="73">
        <v>38</v>
      </c>
      <c r="L20" s="73">
        <v>2</v>
      </c>
      <c r="M20" s="74">
        <v>1</v>
      </c>
      <c r="N20" s="74">
        <v>7</v>
      </c>
      <c r="O20" s="74">
        <v>0</v>
      </c>
      <c r="P20" s="73" t="s">
        <v>100</v>
      </c>
      <c r="Q20" s="49">
        <v>0</v>
      </c>
      <c r="R20" s="49">
        <v>0</v>
      </c>
      <c r="S20" s="74">
        <v>4</v>
      </c>
      <c r="T20" s="74">
        <v>1</v>
      </c>
      <c r="U20" s="74">
        <v>0</v>
      </c>
      <c r="V20" s="49">
        <v>23</v>
      </c>
      <c r="W20" s="49">
        <v>0</v>
      </c>
      <c r="X20" s="74">
        <v>0</v>
      </c>
      <c r="Y20" s="49">
        <v>0</v>
      </c>
      <c r="Z20" s="49">
        <v>0</v>
      </c>
      <c r="AA20" s="49"/>
      <c r="AB20" s="49">
        <v>2</v>
      </c>
      <c r="AC20" s="74">
        <v>0</v>
      </c>
      <c r="AD20" s="49" t="s">
        <v>3174</v>
      </c>
      <c r="AE20" s="49"/>
      <c r="AF20" s="49"/>
      <c r="AG20" s="49"/>
      <c r="AH20" s="49"/>
      <c r="AI20" s="74">
        <v>0</v>
      </c>
      <c r="AJ20" s="49">
        <v>0</v>
      </c>
      <c r="AK20" s="74">
        <v>1</v>
      </c>
      <c r="AL20" s="74">
        <v>2</v>
      </c>
      <c r="AM20" s="74">
        <v>1</v>
      </c>
      <c r="AN20" s="74">
        <v>0</v>
      </c>
      <c r="AO20" s="74">
        <v>0</v>
      </c>
      <c r="AP20" s="49"/>
      <c r="AQ20" s="49">
        <v>0</v>
      </c>
      <c r="AR20" s="49">
        <v>0</v>
      </c>
      <c r="AS20" s="49">
        <v>0</v>
      </c>
      <c r="AT20" s="49">
        <v>0</v>
      </c>
      <c r="AU20" s="49" t="s">
        <v>100</v>
      </c>
      <c r="AV20" s="49" t="s">
        <v>100</v>
      </c>
      <c r="AW20" s="49" t="s">
        <v>100</v>
      </c>
      <c r="AX20" s="49">
        <v>0</v>
      </c>
      <c r="AY20" s="49">
        <v>0</v>
      </c>
      <c r="AZ20" s="49">
        <v>0</v>
      </c>
      <c r="BA20" s="49">
        <v>0</v>
      </c>
      <c r="BB20" s="49">
        <v>3</v>
      </c>
      <c r="BC20" s="49">
        <v>0</v>
      </c>
      <c r="BD20" s="49">
        <v>0</v>
      </c>
      <c r="BE20" s="49">
        <v>0</v>
      </c>
      <c r="BF20" s="74">
        <v>0</v>
      </c>
      <c r="BG20" s="49"/>
      <c r="BH20" s="49">
        <v>1</v>
      </c>
      <c r="BI20" s="74">
        <v>1</v>
      </c>
      <c r="BJ20" s="49">
        <v>0</v>
      </c>
      <c r="BK20" s="49">
        <v>1</v>
      </c>
      <c r="BL20" s="49">
        <v>1</v>
      </c>
      <c r="BM20" s="49">
        <v>1</v>
      </c>
      <c r="BN20" s="49" t="s">
        <v>2989</v>
      </c>
      <c r="BO20" s="49">
        <v>1</v>
      </c>
      <c r="BP20" s="49">
        <v>1</v>
      </c>
      <c r="BQ20" s="49">
        <v>0</v>
      </c>
      <c r="BR20" s="49">
        <v>0</v>
      </c>
      <c r="BS20" s="49">
        <v>0</v>
      </c>
      <c r="BT20" s="49">
        <v>0</v>
      </c>
      <c r="BU20" s="49">
        <v>0</v>
      </c>
      <c r="BV20" s="49">
        <v>1</v>
      </c>
      <c r="BW20" s="49">
        <v>1</v>
      </c>
      <c r="BX20" s="49">
        <v>1</v>
      </c>
      <c r="BY20" s="49">
        <v>0</v>
      </c>
      <c r="BZ20" s="49">
        <v>0</v>
      </c>
      <c r="CA20" s="49">
        <v>0</v>
      </c>
      <c r="CB20" s="49" t="s">
        <v>100</v>
      </c>
      <c r="CC20" s="49">
        <v>0</v>
      </c>
      <c r="CD20" s="49" t="s">
        <v>100</v>
      </c>
      <c r="CE20" s="74">
        <v>5</v>
      </c>
      <c r="CF20" s="49">
        <v>0</v>
      </c>
      <c r="CG20" s="49">
        <v>0</v>
      </c>
      <c r="CH20" s="49">
        <v>0</v>
      </c>
      <c r="CI20" s="49">
        <v>0</v>
      </c>
      <c r="CJ20" s="49" t="s">
        <v>100</v>
      </c>
      <c r="CK20" s="49">
        <v>0</v>
      </c>
      <c r="CL20" s="49"/>
      <c r="CM20" s="49"/>
      <c r="CN20" s="49">
        <v>0</v>
      </c>
      <c r="CO20" s="49">
        <v>0</v>
      </c>
      <c r="CP20" s="49">
        <v>0</v>
      </c>
      <c r="CQ20" s="49">
        <v>0</v>
      </c>
      <c r="CR20" s="49">
        <v>0</v>
      </c>
      <c r="CS20" s="49">
        <v>0</v>
      </c>
      <c r="CT20" s="49">
        <v>0</v>
      </c>
      <c r="CU20" s="49">
        <v>0</v>
      </c>
      <c r="CV20" s="49">
        <v>0</v>
      </c>
      <c r="CW20" s="49">
        <v>0</v>
      </c>
      <c r="CX20" s="49">
        <v>1</v>
      </c>
      <c r="CY20" s="49">
        <v>0</v>
      </c>
      <c r="CZ20" s="74">
        <v>0</v>
      </c>
      <c r="DA20" s="74">
        <v>3</v>
      </c>
      <c r="DB20" s="49">
        <v>2</v>
      </c>
      <c r="DC20" s="49">
        <v>0</v>
      </c>
      <c r="DD20" s="49"/>
      <c r="DE20" s="49"/>
      <c r="DF20" s="49"/>
      <c r="DG20" s="49"/>
      <c r="DH20" s="49"/>
      <c r="DI20" s="49"/>
      <c r="DJ20" s="49">
        <v>0</v>
      </c>
      <c r="DK20" s="49">
        <v>0</v>
      </c>
      <c r="DL20" s="49" t="s">
        <v>100</v>
      </c>
      <c r="DM20" s="74">
        <v>0</v>
      </c>
      <c r="DN20" s="49">
        <v>0</v>
      </c>
      <c r="DO20" s="49" t="s">
        <v>100</v>
      </c>
      <c r="DP20" s="49">
        <v>0</v>
      </c>
      <c r="DQ20" s="74">
        <v>0</v>
      </c>
      <c r="DR20" s="49">
        <v>0</v>
      </c>
      <c r="DS20" s="74">
        <v>3</v>
      </c>
      <c r="DT20" s="49">
        <v>1</v>
      </c>
      <c r="DU20" s="74">
        <v>0</v>
      </c>
      <c r="DV20" s="49" t="s">
        <v>100</v>
      </c>
      <c r="DW20" s="49">
        <v>2</v>
      </c>
      <c r="DX20" s="74">
        <v>0</v>
      </c>
      <c r="DY20" s="74">
        <v>1</v>
      </c>
      <c r="DZ20" s="74">
        <v>3</v>
      </c>
    </row>
    <row r="21" spans="1:130">
      <c r="A21" s="50">
        <v>19</v>
      </c>
      <c r="B21" s="50" t="s">
        <v>176</v>
      </c>
      <c r="C21" s="50" t="s">
        <v>177</v>
      </c>
      <c r="D21" s="72">
        <v>29713</v>
      </c>
      <c r="E21" s="49" t="s">
        <v>178</v>
      </c>
      <c r="F21" s="73">
        <v>7</v>
      </c>
      <c r="G21" s="73">
        <v>5</v>
      </c>
      <c r="H21" s="49">
        <v>1981</v>
      </c>
      <c r="I21" s="49" t="s">
        <v>179</v>
      </c>
      <c r="J21" s="49" t="s">
        <v>180</v>
      </c>
      <c r="K21" s="73">
        <v>37</v>
      </c>
      <c r="L21" s="73">
        <v>3</v>
      </c>
      <c r="M21" s="73">
        <v>0</v>
      </c>
      <c r="N21" s="74">
        <v>5</v>
      </c>
      <c r="O21" s="73">
        <v>0</v>
      </c>
      <c r="P21" s="73" t="s">
        <v>100</v>
      </c>
      <c r="Q21" s="49">
        <v>0</v>
      </c>
      <c r="R21" s="49">
        <v>0</v>
      </c>
      <c r="S21" s="73">
        <v>4</v>
      </c>
      <c r="T21" s="73">
        <v>20</v>
      </c>
      <c r="U21" s="74">
        <v>0</v>
      </c>
      <c r="V21" s="49">
        <v>25</v>
      </c>
      <c r="W21" s="75">
        <v>0</v>
      </c>
      <c r="X21" s="75">
        <v>0</v>
      </c>
      <c r="Y21" s="49">
        <v>0</v>
      </c>
      <c r="Z21" s="74">
        <v>0</v>
      </c>
      <c r="AA21" s="75"/>
      <c r="AB21" s="75"/>
      <c r="AC21" s="49"/>
      <c r="AD21" s="49"/>
      <c r="AE21" s="75"/>
      <c r="AF21" s="75"/>
      <c r="AG21" s="75"/>
      <c r="AH21" s="75"/>
      <c r="AI21" s="74">
        <v>0</v>
      </c>
      <c r="AJ21" s="74">
        <v>0</v>
      </c>
      <c r="AK21" s="74">
        <v>0</v>
      </c>
      <c r="AL21" s="49">
        <v>0</v>
      </c>
      <c r="AM21" s="74">
        <v>0</v>
      </c>
      <c r="AN21" s="49" t="s">
        <v>100</v>
      </c>
      <c r="AO21" s="74">
        <v>0</v>
      </c>
      <c r="AP21" s="49"/>
      <c r="AQ21" s="49">
        <v>0</v>
      </c>
      <c r="AR21" s="49">
        <v>0</v>
      </c>
      <c r="AS21" s="49"/>
      <c r="AT21" s="49">
        <v>0</v>
      </c>
      <c r="AU21" s="49" t="s">
        <v>100</v>
      </c>
      <c r="AV21" s="49" t="s">
        <v>100</v>
      </c>
      <c r="AW21" s="49" t="s">
        <v>100</v>
      </c>
      <c r="AX21" s="49">
        <v>0</v>
      </c>
      <c r="AY21" s="74">
        <v>0</v>
      </c>
      <c r="AZ21" s="74">
        <v>0</v>
      </c>
      <c r="BA21" s="74">
        <v>0</v>
      </c>
      <c r="BB21" s="49">
        <v>3</v>
      </c>
      <c r="BC21" s="74">
        <v>0</v>
      </c>
      <c r="BD21" s="74">
        <v>0</v>
      </c>
      <c r="BE21" s="75"/>
      <c r="BF21" s="75"/>
      <c r="BG21" s="75"/>
      <c r="BH21" s="75"/>
      <c r="BI21" s="75"/>
      <c r="BJ21" s="74">
        <v>0</v>
      </c>
      <c r="BK21" s="74">
        <v>1</v>
      </c>
      <c r="BL21" s="75"/>
      <c r="BM21" s="75"/>
      <c r="BN21" s="75"/>
      <c r="BO21" s="74">
        <v>0</v>
      </c>
      <c r="BP21" s="74">
        <v>0</v>
      </c>
      <c r="BQ21" s="74">
        <v>0</v>
      </c>
      <c r="BR21" s="74">
        <v>0</v>
      </c>
      <c r="BS21" s="74">
        <v>0</v>
      </c>
      <c r="BT21" s="74">
        <v>0</v>
      </c>
      <c r="BU21" s="74">
        <v>0</v>
      </c>
      <c r="BV21" s="74">
        <v>0</v>
      </c>
      <c r="BW21" s="74">
        <v>0</v>
      </c>
      <c r="BX21" s="74">
        <v>0</v>
      </c>
      <c r="BY21" s="74">
        <v>0</v>
      </c>
      <c r="BZ21" s="74">
        <v>0</v>
      </c>
      <c r="CA21" s="74">
        <v>0</v>
      </c>
      <c r="CB21" s="75" t="s">
        <v>100</v>
      </c>
      <c r="CC21" s="74">
        <v>0</v>
      </c>
      <c r="CD21" s="75" t="s">
        <v>100</v>
      </c>
      <c r="CE21" s="74">
        <v>2</v>
      </c>
      <c r="CF21" s="74">
        <v>2</v>
      </c>
      <c r="CG21" s="74">
        <v>0</v>
      </c>
      <c r="CH21" s="74">
        <v>0</v>
      </c>
      <c r="CI21" s="74">
        <v>0</v>
      </c>
      <c r="CJ21" s="49" t="s">
        <v>100</v>
      </c>
      <c r="CK21" s="74">
        <v>4</v>
      </c>
      <c r="CL21" s="74">
        <v>2</v>
      </c>
      <c r="CM21" s="75"/>
      <c r="CN21" s="74">
        <v>0</v>
      </c>
      <c r="CO21" s="74">
        <v>0</v>
      </c>
      <c r="CP21" s="74">
        <v>1</v>
      </c>
      <c r="CQ21" s="74">
        <v>0</v>
      </c>
      <c r="CR21" s="74">
        <v>0</v>
      </c>
      <c r="CS21" s="74">
        <v>0</v>
      </c>
      <c r="CT21" s="74">
        <v>0</v>
      </c>
      <c r="CU21" s="74">
        <v>0</v>
      </c>
      <c r="CV21" s="74">
        <v>0</v>
      </c>
      <c r="CW21" s="49">
        <v>0</v>
      </c>
      <c r="CX21" s="49">
        <v>1</v>
      </c>
      <c r="CY21" s="49">
        <v>0</v>
      </c>
      <c r="CZ21" s="74">
        <v>0</v>
      </c>
      <c r="DA21" s="49">
        <v>2</v>
      </c>
      <c r="DB21" s="49">
        <v>2</v>
      </c>
      <c r="DC21" s="74">
        <v>0</v>
      </c>
      <c r="DD21" s="75"/>
      <c r="DE21" s="75"/>
      <c r="DF21" s="75"/>
      <c r="DG21" s="75"/>
      <c r="DH21" s="75"/>
      <c r="DI21" s="75"/>
      <c r="DJ21" s="74">
        <v>0</v>
      </c>
      <c r="DK21" s="74">
        <v>0</v>
      </c>
      <c r="DL21" s="49" t="s">
        <v>100</v>
      </c>
      <c r="DM21" s="74">
        <v>0</v>
      </c>
      <c r="DN21" s="74">
        <v>0</v>
      </c>
      <c r="DO21" s="75" t="s">
        <v>100</v>
      </c>
      <c r="DP21" s="74">
        <v>0</v>
      </c>
      <c r="DQ21" s="74">
        <v>0</v>
      </c>
      <c r="DR21" s="49">
        <v>0</v>
      </c>
      <c r="DS21" s="49"/>
      <c r="DT21" s="49">
        <v>1</v>
      </c>
      <c r="DU21" s="74">
        <v>0</v>
      </c>
      <c r="DV21" s="49" t="s">
        <v>100</v>
      </c>
      <c r="DW21" s="74">
        <v>2</v>
      </c>
      <c r="DX21" s="74">
        <v>0</v>
      </c>
      <c r="DY21" s="74">
        <v>1</v>
      </c>
      <c r="DZ21" s="74">
        <v>3</v>
      </c>
    </row>
    <row r="22" spans="1:130">
      <c r="A22" s="50">
        <v>20</v>
      </c>
      <c r="B22" s="50" t="s">
        <v>181</v>
      </c>
      <c r="C22" s="50" t="s">
        <v>182</v>
      </c>
      <c r="D22" s="72">
        <v>29875</v>
      </c>
      <c r="E22" s="49" t="s">
        <v>157</v>
      </c>
      <c r="F22" s="73">
        <v>16</v>
      </c>
      <c r="G22" s="73">
        <v>10</v>
      </c>
      <c r="H22" s="49">
        <v>1981</v>
      </c>
      <c r="I22" s="49" t="s">
        <v>183</v>
      </c>
      <c r="J22" s="49" t="s">
        <v>184</v>
      </c>
      <c r="K22" s="73">
        <v>17</v>
      </c>
      <c r="L22" s="73">
        <v>0</v>
      </c>
      <c r="M22" s="74">
        <v>2</v>
      </c>
      <c r="N22" s="73">
        <v>4</v>
      </c>
      <c r="O22" s="73">
        <v>0</v>
      </c>
      <c r="P22" s="73" t="s">
        <v>100</v>
      </c>
      <c r="Q22" s="49">
        <v>0</v>
      </c>
      <c r="R22" s="49">
        <v>0</v>
      </c>
      <c r="S22" s="73">
        <v>5</v>
      </c>
      <c r="T22" s="73">
        <v>3</v>
      </c>
      <c r="U22" s="74">
        <v>0</v>
      </c>
      <c r="V22" s="49">
        <v>70</v>
      </c>
      <c r="W22" s="49">
        <v>0</v>
      </c>
      <c r="X22" s="49">
        <v>0</v>
      </c>
      <c r="Y22" s="49">
        <v>0</v>
      </c>
      <c r="Z22" s="74">
        <v>0</v>
      </c>
      <c r="AA22" s="49"/>
      <c r="AB22" s="49"/>
      <c r="AC22" s="49"/>
      <c r="AD22" s="49"/>
      <c r="AE22" s="49"/>
      <c r="AF22" s="49"/>
      <c r="AG22" s="49"/>
      <c r="AH22" s="49"/>
      <c r="AI22" s="49">
        <v>0</v>
      </c>
      <c r="AJ22" s="49">
        <v>0</v>
      </c>
      <c r="AK22" s="49">
        <v>0</v>
      </c>
      <c r="AL22" s="49">
        <v>0</v>
      </c>
      <c r="AM22" s="49">
        <v>0</v>
      </c>
      <c r="AN22" s="49" t="s">
        <v>100</v>
      </c>
      <c r="AO22" s="49"/>
      <c r="AP22" s="49"/>
      <c r="AQ22" s="74">
        <v>1</v>
      </c>
      <c r="AR22" s="74">
        <v>1</v>
      </c>
      <c r="AS22" s="74">
        <v>1</v>
      </c>
      <c r="AT22" s="74">
        <v>0</v>
      </c>
      <c r="AU22" s="49" t="s">
        <v>100</v>
      </c>
      <c r="AV22" s="49" t="s">
        <v>100</v>
      </c>
      <c r="AW22" s="49" t="s">
        <v>100</v>
      </c>
      <c r="AX22" s="49">
        <v>0</v>
      </c>
      <c r="AY22" s="49">
        <v>0</v>
      </c>
      <c r="AZ22" s="49">
        <v>0</v>
      </c>
      <c r="BA22" s="49">
        <v>0</v>
      </c>
      <c r="BB22" s="49">
        <v>3</v>
      </c>
      <c r="BC22" s="49">
        <v>0</v>
      </c>
      <c r="BD22" s="49">
        <v>0</v>
      </c>
      <c r="BE22" s="49"/>
      <c r="BF22" s="49"/>
      <c r="BG22" s="49"/>
      <c r="BH22" s="49">
        <v>0</v>
      </c>
      <c r="BI22" s="49">
        <v>0</v>
      </c>
      <c r="BJ22" s="49">
        <v>0</v>
      </c>
      <c r="BK22" s="49">
        <v>0</v>
      </c>
      <c r="BL22" s="49">
        <v>0</v>
      </c>
      <c r="BM22" s="49" t="s">
        <v>100</v>
      </c>
      <c r="BN22" s="49"/>
      <c r="BO22" s="49">
        <v>0</v>
      </c>
      <c r="BP22" s="49">
        <v>0</v>
      </c>
      <c r="BQ22" s="49">
        <v>0</v>
      </c>
      <c r="BR22" s="49">
        <v>0</v>
      </c>
      <c r="BS22" s="49">
        <v>0</v>
      </c>
      <c r="BT22" s="49">
        <v>0</v>
      </c>
      <c r="BU22" s="49">
        <v>0</v>
      </c>
      <c r="BV22" s="49">
        <v>0</v>
      </c>
      <c r="BW22" s="49">
        <v>0</v>
      </c>
      <c r="BX22" s="49">
        <v>0</v>
      </c>
      <c r="BY22" s="49">
        <v>0</v>
      </c>
      <c r="BZ22" s="49">
        <v>0</v>
      </c>
      <c r="CA22" s="49">
        <v>0</v>
      </c>
      <c r="CB22" s="49" t="s">
        <v>100</v>
      </c>
      <c r="CC22" s="49">
        <v>0</v>
      </c>
      <c r="CD22" s="49" t="s">
        <v>100</v>
      </c>
      <c r="CE22" s="49">
        <v>0</v>
      </c>
      <c r="CF22" s="49">
        <v>0</v>
      </c>
      <c r="CG22" s="49">
        <v>0</v>
      </c>
      <c r="CH22" s="49">
        <v>0</v>
      </c>
      <c r="CI22" s="74">
        <v>1</v>
      </c>
      <c r="CJ22" s="49" t="s">
        <v>185</v>
      </c>
      <c r="CK22" s="49">
        <v>0</v>
      </c>
      <c r="CL22" s="49"/>
      <c r="CM22" s="49"/>
      <c r="CN22" s="49">
        <v>0</v>
      </c>
      <c r="CO22" s="49">
        <v>0</v>
      </c>
      <c r="CP22" s="49">
        <v>0</v>
      </c>
      <c r="CQ22" s="49">
        <v>0</v>
      </c>
      <c r="CR22" s="49">
        <v>0</v>
      </c>
      <c r="CS22" s="74">
        <v>1</v>
      </c>
      <c r="CT22" s="49">
        <v>0</v>
      </c>
      <c r="CU22" s="74">
        <v>1</v>
      </c>
      <c r="CV22" s="74">
        <v>1</v>
      </c>
      <c r="CW22" s="49">
        <v>0</v>
      </c>
      <c r="CX22" s="49">
        <v>0</v>
      </c>
      <c r="CY22" s="49">
        <v>0</v>
      </c>
      <c r="CZ22" s="74">
        <v>0</v>
      </c>
      <c r="DA22" s="49">
        <v>0</v>
      </c>
      <c r="DB22" s="49">
        <v>2</v>
      </c>
      <c r="DC22" s="49">
        <v>0</v>
      </c>
      <c r="DD22" s="49"/>
      <c r="DE22" s="49"/>
      <c r="DF22" s="49"/>
      <c r="DG22" s="49"/>
      <c r="DH22" s="49"/>
      <c r="DI22" s="49"/>
      <c r="DJ22" s="49">
        <v>0</v>
      </c>
      <c r="DK22" s="49">
        <v>0</v>
      </c>
      <c r="DL22" s="49" t="s">
        <v>100</v>
      </c>
      <c r="DM22" s="74">
        <v>0</v>
      </c>
      <c r="DN22" s="49">
        <v>0</v>
      </c>
      <c r="DO22" s="49" t="s">
        <v>100</v>
      </c>
      <c r="DP22" s="74">
        <v>0</v>
      </c>
      <c r="DQ22" s="74">
        <v>0</v>
      </c>
      <c r="DR22" s="49">
        <v>0</v>
      </c>
      <c r="DS22" s="49"/>
      <c r="DT22" s="49">
        <v>1</v>
      </c>
      <c r="DU22" s="74">
        <v>0</v>
      </c>
      <c r="DV22" s="49" t="s">
        <v>100</v>
      </c>
      <c r="DW22" s="49">
        <v>2</v>
      </c>
      <c r="DX22" s="74">
        <v>0</v>
      </c>
      <c r="DY22" s="74">
        <v>0</v>
      </c>
      <c r="DZ22" s="74">
        <v>1</v>
      </c>
    </row>
    <row r="23" spans="1:130">
      <c r="A23" s="50">
        <v>21</v>
      </c>
      <c r="B23" s="50" t="s">
        <v>186</v>
      </c>
      <c r="C23" s="50" t="s">
        <v>94</v>
      </c>
      <c r="D23" s="72">
        <v>30074</v>
      </c>
      <c r="E23" s="49" t="s">
        <v>95</v>
      </c>
      <c r="F23" s="73">
        <v>3</v>
      </c>
      <c r="G23" s="74">
        <v>5</v>
      </c>
      <c r="H23" s="74">
        <v>1982</v>
      </c>
      <c r="I23" s="49" t="s">
        <v>187</v>
      </c>
      <c r="J23" s="49" t="s">
        <v>3175</v>
      </c>
      <c r="K23" s="73">
        <v>2</v>
      </c>
      <c r="L23" s="73">
        <v>3</v>
      </c>
      <c r="M23" s="74">
        <v>0</v>
      </c>
      <c r="N23" s="73">
        <v>8</v>
      </c>
      <c r="O23" s="74">
        <v>0</v>
      </c>
      <c r="P23" s="73" t="s">
        <v>100</v>
      </c>
      <c r="Q23" s="49">
        <v>0</v>
      </c>
      <c r="R23" s="49">
        <v>0</v>
      </c>
      <c r="S23" s="73">
        <v>4</v>
      </c>
      <c r="T23" s="74">
        <v>0</v>
      </c>
      <c r="U23" s="49">
        <v>0</v>
      </c>
      <c r="V23" s="49">
        <v>34</v>
      </c>
      <c r="W23" s="49">
        <v>0</v>
      </c>
      <c r="X23" s="49">
        <v>0</v>
      </c>
      <c r="Y23" s="49">
        <v>0</v>
      </c>
      <c r="Z23" s="49">
        <v>0</v>
      </c>
      <c r="AA23" s="74">
        <v>1</v>
      </c>
      <c r="AB23" s="74">
        <v>2</v>
      </c>
      <c r="AC23" s="74">
        <v>0</v>
      </c>
      <c r="AD23" s="49" t="s">
        <v>3176</v>
      </c>
      <c r="AE23" s="49"/>
      <c r="AF23" s="49"/>
      <c r="AG23" s="49"/>
      <c r="AH23" s="49"/>
      <c r="AI23" s="49">
        <v>0</v>
      </c>
      <c r="AJ23" s="49">
        <v>0</v>
      </c>
      <c r="AK23" s="49">
        <v>1</v>
      </c>
      <c r="AL23" s="49">
        <v>0</v>
      </c>
      <c r="AM23" s="49">
        <v>0</v>
      </c>
      <c r="AN23" s="49" t="s">
        <v>100</v>
      </c>
      <c r="AO23" s="74">
        <v>1</v>
      </c>
      <c r="AP23" s="49" t="s">
        <v>3177</v>
      </c>
      <c r="AQ23" s="49">
        <v>1</v>
      </c>
      <c r="AR23" s="74">
        <v>1</v>
      </c>
      <c r="AS23" s="49">
        <v>1</v>
      </c>
      <c r="AT23" s="74">
        <v>1</v>
      </c>
      <c r="AU23" s="49">
        <v>1</v>
      </c>
      <c r="AV23" s="49"/>
      <c r="AW23" s="49"/>
      <c r="AX23" s="49">
        <v>0</v>
      </c>
      <c r="AY23" s="49">
        <v>0</v>
      </c>
      <c r="AZ23" s="49">
        <v>0</v>
      </c>
      <c r="BA23" s="49">
        <v>0</v>
      </c>
      <c r="BB23" s="49">
        <v>3</v>
      </c>
      <c r="BC23" s="49">
        <v>0</v>
      </c>
      <c r="BD23" s="49">
        <v>0</v>
      </c>
      <c r="BE23" s="49"/>
      <c r="BF23" s="74">
        <v>0</v>
      </c>
      <c r="BG23" s="49"/>
      <c r="BH23" s="49">
        <v>1</v>
      </c>
      <c r="BI23" s="49">
        <v>0</v>
      </c>
      <c r="BJ23" s="49">
        <v>0</v>
      </c>
      <c r="BK23" s="49">
        <v>0</v>
      </c>
      <c r="BL23" s="49">
        <v>0</v>
      </c>
      <c r="BM23" s="49" t="s">
        <v>100</v>
      </c>
      <c r="BN23" s="49"/>
      <c r="BO23" s="49">
        <v>0</v>
      </c>
      <c r="BP23" s="49">
        <v>0</v>
      </c>
      <c r="BQ23" s="49">
        <v>0</v>
      </c>
      <c r="BR23" s="49">
        <v>0</v>
      </c>
      <c r="BS23" s="49">
        <v>0</v>
      </c>
      <c r="BT23" s="49">
        <v>0</v>
      </c>
      <c r="BU23" s="49">
        <v>0</v>
      </c>
      <c r="BV23" s="49">
        <v>0</v>
      </c>
      <c r="BW23" s="49">
        <v>0</v>
      </c>
      <c r="BX23" s="49">
        <v>0</v>
      </c>
      <c r="BY23" s="49">
        <v>0</v>
      </c>
      <c r="BZ23" s="49">
        <v>1</v>
      </c>
      <c r="CA23" s="49">
        <v>0</v>
      </c>
      <c r="CB23" s="49" t="s">
        <v>100</v>
      </c>
      <c r="CC23" s="49">
        <v>1</v>
      </c>
      <c r="CD23" s="74">
        <v>1</v>
      </c>
      <c r="CE23" s="74">
        <v>2</v>
      </c>
      <c r="CF23" s="74">
        <v>1</v>
      </c>
      <c r="CG23" s="49">
        <v>0</v>
      </c>
      <c r="CH23" s="49">
        <v>4</v>
      </c>
      <c r="CI23" s="49">
        <v>1</v>
      </c>
      <c r="CJ23" s="49" t="s">
        <v>188</v>
      </c>
      <c r="CK23" s="49">
        <v>0</v>
      </c>
      <c r="CL23" s="49"/>
      <c r="CM23" s="49"/>
      <c r="CN23" s="49">
        <v>0</v>
      </c>
      <c r="CO23" s="49">
        <v>0</v>
      </c>
      <c r="CP23" s="49">
        <v>0</v>
      </c>
      <c r="CQ23" s="49">
        <v>0</v>
      </c>
      <c r="CR23" s="49">
        <v>0</v>
      </c>
      <c r="CS23" s="49">
        <v>0</v>
      </c>
      <c r="CT23" s="49">
        <v>0</v>
      </c>
      <c r="CU23" s="49">
        <v>0</v>
      </c>
      <c r="CV23" s="49">
        <v>0</v>
      </c>
      <c r="CW23" s="49">
        <v>0</v>
      </c>
      <c r="CX23" s="49">
        <v>1</v>
      </c>
      <c r="CY23" s="49">
        <v>0</v>
      </c>
      <c r="CZ23" s="49">
        <v>0</v>
      </c>
      <c r="DA23" s="49">
        <v>0</v>
      </c>
      <c r="DB23" s="49">
        <v>2</v>
      </c>
      <c r="DC23" s="49">
        <v>0</v>
      </c>
      <c r="DD23" s="49"/>
      <c r="DE23" s="49"/>
      <c r="DF23" s="49"/>
      <c r="DG23" s="49"/>
      <c r="DH23" s="49"/>
      <c r="DI23" s="49"/>
      <c r="DJ23" s="49">
        <v>0</v>
      </c>
      <c r="DK23" s="49">
        <v>0</v>
      </c>
      <c r="DL23" s="49" t="s">
        <v>100</v>
      </c>
      <c r="DM23" s="49">
        <v>0</v>
      </c>
      <c r="DN23" s="49">
        <v>0</v>
      </c>
      <c r="DO23" s="49" t="s">
        <v>100</v>
      </c>
      <c r="DP23" s="49">
        <v>0</v>
      </c>
      <c r="DQ23" s="49">
        <v>0</v>
      </c>
      <c r="DR23" s="49">
        <v>0</v>
      </c>
      <c r="DS23" s="74">
        <v>0</v>
      </c>
      <c r="DT23" s="49">
        <v>1</v>
      </c>
      <c r="DU23" s="49">
        <v>0</v>
      </c>
      <c r="DV23" s="49" t="s">
        <v>100</v>
      </c>
      <c r="DW23" s="74">
        <v>2</v>
      </c>
      <c r="DX23" s="49">
        <v>1</v>
      </c>
      <c r="DY23" s="49">
        <v>1</v>
      </c>
      <c r="DZ23" s="49">
        <v>2</v>
      </c>
    </row>
    <row r="24" spans="1:130">
      <c r="A24" s="50">
        <v>22</v>
      </c>
      <c r="B24" s="50" t="s">
        <v>189</v>
      </c>
      <c r="C24" s="50" t="s">
        <v>190</v>
      </c>
      <c r="D24" s="72">
        <v>30172</v>
      </c>
      <c r="E24" s="49" t="s">
        <v>95</v>
      </c>
      <c r="F24" s="73">
        <v>9</v>
      </c>
      <c r="G24" s="73">
        <v>8</v>
      </c>
      <c r="H24" s="49">
        <v>1982</v>
      </c>
      <c r="I24" s="49" t="s">
        <v>191</v>
      </c>
      <c r="J24" s="49" t="s">
        <v>192</v>
      </c>
      <c r="K24" s="74">
        <v>43</v>
      </c>
      <c r="L24" s="74">
        <v>0</v>
      </c>
      <c r="M24" s="73">
        <v>1</v>
      </c>
      <c r="N24" s="74">
        <v>6</v>
      </c>
      <c r="O24" s="74">
        <v>1</v>
      </c>
      <c r="P24" s="73">
        <v>8</v>
      </c>
      <c r="Q24" s="49">
        <v>0</v>
      </c>
      <c r="R24" s="49">
        <v>0</v>
      </c>
      <c r="S24" s="73">
        <v>6</v>
      </c>
      <c r="T24" s="74">
        <v>4</v>
      </c>
      <c r="U24" s="74">
        <v>0</v>
      </c>
      <c r="V24" s="49">
        <v>46</v>
      </c>
      <c r="W24" s="49">
        <v>0</v>
      </c>
      <c r="X24" s="74">
        <v>1</v>
      </c>
      <c r="Y24" s="49">
        <v>0</v>
      </c>
      <c r="Z24" s="74">
        <v>0</v>
      </c>
      <c r="AA24" s="49"/>
      <c r="AB24" s="49" t="s">
        <v>818</v>
      </c>
      <c r="AC24" s="49"/>
      <c r="AD24" s="49"/>
      <c r="AE24" s="74">
        <v>2</v>
      </c>
      <c r="AF24" s="74">
        <v>2</v>
      </c>
      <c r="AG24" s="74">
        <v>1</v>
      </c>
      <c r="AH24" s="74">
        <v>1</v>
      </c>
      <c r="AI24" s="74">
        <v>3</v>
      </c>
      <c r="AJ24" s="74">
        <v>1</v>
      </c>
      <c r="AK24" s="49">
        <v>1</v>
      </c>
      <c r="AL24" s="74">
        <v>0</v>
      </c>
      <c r="AM24" s="49">
        <v>0</v>
      </c>
      <c r="AN24" s="49" t="s">
        <v>100</v>
      </c>
      <c r="AO24" s="49"/>
      <c r="AP24" s="49"/>
      <c r="AQ24" s="74">
        <v>0</v>
      </c>
      <c r="AR24" s="49">
        <v>0</v>
      </c>
      <c r="AS24" s="49"/>
      <c r="AT24" s="49">
        <v>0</v>
      </c>
      <c r="AU24" s="49" t="s">
        <v>828</v>
      </c>
      <c r="AV24" s="49" t="s">
        <v>100</v>
      </c>
      <c r="AW24" s="49" t="s">
        <v>100</v>
      </c>
      <c r="AX24" s="49">
        <v>0</v>
      </c>
      <c r="AY24" s="49">
        <v>0</v>
      </c>
      <c r="AZ24" s="49">
        <v>0</v>
      </c>
      <c r="BA24" s="49">
        <v>0</v>
      </c>
      <c r="BB24" s="49">
        <v>3</v>
      </c>
      <c r="BC24" s="74">
        <v>0</v>
      </c>
      <c r="BD24" s="49">
        <v>0</v>
      </c>
      <c r="BE24" s="49"/>
      <c r="BF24" s="49"/>
      <c r="BG24" s="49"/>
      <c r="BH24" s="49"/>
      <c r="BI24" s="49"/>
      <c r="BJ24" s="74">
        <v>1</v>
      </c>
      <c r="BK24" s="49">
        <v>1</v>
      </c>
      <c r="BL24" s="49">
        <v>1</v>
      </c>
      <c r="BM24" s="49">
        <v>1</v>
      </c>
      <c r="BN24" s="49" t="s">
        <v>3022</v>
      </c>
      <c r="BO24" s="49">
        <v>1</v>
      </c>
      <c r="BP24" s="49">
        <v>0</v>
      </c>
      <c r="BQ24" s="49">
        <v>0</v>
      </c>
      <c r="BR24" s="49">
        <v>0</v>
      </c>
      <c r="BS24" s="49">
        <v>0</v>
      </c>
      <c r="BT24" s="49">
        <v>1</v>
      </c>
      <c r="BU24" s="49">
        <v>0</v>
      </c>
      <c r="BV24" s="49">
        <v>0</v>
      </c>
      <c r="BW24" s="49">
        <v>0</v>
      </c>
      <c r="BX24" s="49">
        <v>0</v>
      </c>
      <c r="BY24" s="49">
        <v>0</v>
      </c>
      <c r="BZ24" s="49">
        <v>0</v>
      </c>
      <c r="CA24" s="49">
        <v>0</v>
      </c>
      <c r="CB24" s="49" t="s">
        <v>100</v>
      </c>
      <c r="CC24" s="49">
        <v>0</v>
      </c>
      <c r="CD24" s="49" t="s">
        <v>100</v>
      </c>
      <c r="CE24" s="49">
        <v>0</v>
      </c>
      <c r="CF24" s="49">
        <v>0</v>
      </c>
      <c r="CG24" s="49">
        <v>0</v>
      </c>
      <c r="CH24" s="49"/>
      <c r="CI24" s="49">
        <v>0</v>
      </c>
      <c r="CJ24" s="49" t="s">
        <v>100</v>
      </c>
      <c r="CK24" s="49">
        <v>0</v>
      </c>
      <c r="CL24" s="49"/>
      <c r="CM24" s="49"/>
      <c r="CN24" s="49">
        <v>0</v>
      </c>
      <c r="CO24" s="49">
        <v>0</v>
      </c>
      <c r="CP24" s="49">
        <v>0</v>
      </c>
      <c r="CQ24" s="49">
        <v>0</v>
      </c>
      <c r="CR24" s="74">
        <v>1</v>
      </c>
      <c r="CS24" s="74">
        <v>1</v>
      </c>
      <c r="CT24" s="49">
        <v>0</v>
      </c>
      <c r="CU24" s="49">
        <v>0</v>
      </c>
      <c r="CV24" s="49">
        <v>0</v>
      </c>
      <c r="CW24" s="49">
        <v>0</v>
      </c>
      <c r="CX24" s="49">
        <v>0</v>
      </c>
      <c r="CY24" s="49">
        <v>0</v>
      </c>
      <c r="CZ24" s="74">
        <v>0</v>
      </c>
      <c r="DA24" s="49">
        <v>0</v>
      </c>
      <c r="DB24" s="49">
        <v>2</v>
      </c>
      <c r="DC24" s="74">
        <v>0</v>
      </c>
      <c r="DD24" s="49"/>
      <c r="DE24" s="49"/>
      <c r="DF24" s="49"/>
      <c r="DG24" s="49"/>
      <c r="DH24" s="49"/>
      <c r="DI24" s="49"/>
      <c r="DJ24" s="49">
        <v>0</v>
      </c>
      <c r="DK24" s="49">
        <v>0</v>
      </c>
      <c r="DL24" s="49" t="s">
        <v>100</v>
      </c>
      <c r="DM24" s="74">
        <v>0</v>
      </c>
      <c r="DN24" s="49">
        <v>0</v>
      </c>
      <c r="DO24" s="49" t="s">
        <v>100</v>
      </c>
      <c r="DP24" s="74">
        <v>0</v>
      </c>
      <c r="DQ24" s="74">
        <v>0</v>
      </c>
      <c r="DR24" s="49">
        <v>0</v>
      </c>
      <c r="DS24" s="49"/>
      <c r="DT24" s="49">
        <v>3</v>
      </c>
      <c r="DU24" s="74">
        <v>0</v>
      </c>
      <c r="DV24" s="49" t="s">
        <v>100</v>
      </c>
      <c r="DW24" s="74">
        <v>1</v>
      </c>
      <c r="DX24" s="74">
        <v>0</v>
      </c>
      <c r="DY24" s="49">
        <v>2</v>
      </c>
      <c r="DZ24" s="49">
        <v>0</v>
      </c>
    </row>
    <row r="25" spans="1:130">
      <c r="A25" s="50">
        <v>23</v>
      </c>
      <c r="B25" s="50" t="s">
        <v>193</v>
      </c>
      <c r="C25" s="50" t="s">
        <v>194</v>
      </c>
      <c r="D25" s="72">
        <v>30183</v>
      </c>
      <c r="E25" s="49" t="s">
        <v>157</v>
      </c>
      <c r="F25" s="73">
        <v>20</v>
      </c>
      <c r="G25" s="74">
        <v>8</v>
      </c>
      <c r="H25" s="74">
        <v>1982</v>
      </c>
      <c r="I25" s="49" t="s">
        <v>195</v>
      </c>
      <c r="J25" s="49" t="s">
        <v>196</v>
      </c>
      <c r="K25" s="74">
        <v>9</v>
      </c>
      <c r="L25" s="74">
        <v>0</v>
      </c>
      <c r="M25" s="74">
        <v>0</v>
      </c>
      <c r="N25" s="74">
        <v>4</v>
      </c>
      <c r="O25" s="74">
        <v>0</v>
      </c>
      <c r="P25" s="73" t="s">
        <v>100</v>
      </c>
      <c r="Q25" s="49">
        <v>1</v>
      </c>
      <c r="R25" s="49">
        <v>2</v>
      </c>
      <c r="S25" s="74">
        <v>8</v>
      </c>
      <c r="T25" s="73">
        <v>3</v>
      </c>
      <c r="U25" s="49">
        <v>0</v>
      </c>
      <c r="V25" s="74">
        <v>51</v>
      </c>
      <c r="W25" s="74">
        <v>0</v>
      </c>
      <c r="X25" s="74">
        <v>0</v>
      </c>
      <c r="Y25" s="49">
        <v>0</v>
      </c>
      <c r="Z25" s="74">
        <v>0</v>
      </c>
      <c r="AA25" s="49">
        <v>0</v>
      </c>
      <c r="AB25" s="49">
        <v>4</v>
      </c>
      <c r="AC25" s="74">
        <v>2</v>
      </c>
      <c r="AD25" s="49" t="s">
        <v>3178</v>
      </c>
      <c r="AE25" s="49"/>
      <c r="AF25" s="49"/>
      <c r="AG25" s="49"/>
      <c r="AH25" s="49"/>
      <c r="AI25" s="74">
        <v>3</v>
      </c>
      <c r="AJ25" s="74">
        <v>1</v>
      </c>
      <c r="AK25" s="74">
        <v>0</v>
      </c>
      <c r="AL25" s="74">
        <v>1</v>
      </c>
      <c r="AM25" s="74">
        <v>1</v>
      </c>
      <c r="AN25" s="74">
        <v>1</v>
      </c>
      <c r="AO25" s="74">
        <v>0</v>
      </c>
      <c r="AP25" s="49"/>
      <c r="AQ25" s="49">
        <v>0</v>
      </c>
      <c r="AR25" s="49">
        <v>0</v>
      </c>
      <c r="AS25" s="49">
        <v>0</v>
      </c>
      <c r="AT25" s="49">
        <v>1</v>
      </c>
      <c r="AU25" s="49">
        <v>3</v>
      </c>
      <c r="AV25" s="49"/>
      <c r="AW25" s="49"/>
      <c r="AX25" s="49">
        <v>0</v>
      </c>
      <c r="AY25" s="49">
        <v>0</v>
      </c>
      <c r="AZ25" s="49">
        <v>0</v>
      </c>
      <c r="BA25" s="49">
        <v>0</v>
      </c>
      <c r="BB25" s="49">
        <v>3</v>
      </c>
      <c r="BC25" s="49">
        <v>0</v>
      </c>
      <c r="BD25" s="49">
        <v>0</v>
      </c>
      <c r="BE25" s="49"/>
      <c r="BF25" s="49">
        <v>0</v>
      </c>
      <c r="BG25" s="49" t="s">
        <v>818</v>
      </c>
      <c r="BH25" s="49"/>
      <c r="BI25" s="49">
        <v>0</v>
      </c>
      <c r="BJ25" s="74">
        <v>1</v>
      </c>
      <c r="BK25" s="74">
        <v>0</v>
      </c>
      <c r="BL25" s="74">
        <v>1</v>
      </c>
      <c r="BM25" s="49">
        <v>3</v>
      </c>
      <c r="BN25" s="49" t="s">
        <v>3052</v>
      </c>
      <c r="BO25" s="49">
        <v>1</v>
      </c>
      <c r="BP25" s="49">
        <v>1</v>
      </c>
      <c r="BQ25" s="49">
        <v>0</v>
      </c>
      <c r="BR25" s="49">
        <v>0</v>
      </c>
      <c r="BS25" s="49">
        <v>1</v>
      </c>
      <c r="BT25" s="49">
        <v>1</v>
      </c>
      <c r="BU25" s="49">
        <v>1</v>
      </c>
      <c r="BV25" s="49">
        <v>1</v>
      </c>
      <c r="BW25" s="49">
        <v>1</v>
      </c>
      <c r="BX25" s="49">
        <v>1</v>
      </c>
      <c r="BY25" s="49">
        <v>0</v>
      </c>
      <c r="BZ25" s="74">
        <v>0</v>
      </c>
      <c r="CA25" s="74">
        <v>1</v>
      </c>
      <c r="CB25" s="74">
        <v>1</v>
      </c>
      <c r="CC25" s="74">
        <v>0</v>
      </c>
      <c r="CD25" s="49">
        <v>0</v>
      </c>
      <c r="CE25" s="74">
        <v>2</v>
      </c>
      <c r="CF25" s="49">
        <v>0</v>
      </c>
      <c r="CG25" s="49">
        <v>0</v>
      </c>
      <c r="CH25" s="74">
        <v>5</v>
      </c>
      <c r="CI25" s="49">
        <v>0</v>
      </c>
      <c r="CJ25" s="49" t="s">
        <v>100</v>
      </c>
      <c r="CK25" s="49">
        <v>1</v>
      </c>
      <c r="CL25" s="49"/>
      <c r="CM25" s="49"/>
      <c r="CN25" s="49">
        <v>0</v>
      </c>
      <c r="CO25" s="49">
        <v>0</v>
      </c>
      <c r="CP25" s="49">
        <v>0</v>
      </c>
      <c r="CQ25" s="49">
        <v>0</v>
      </c>
      <c r="CR25" s="49">
        <v>0</v>
      </c>
      <c r="CS25" s="49">
        <v>0</v>
      </c>
      <c r="CT25" s="49">
        <v>0</v>
      </c>
      <c r="CU25" s="49">
        <v>0</v>
      </c>
      <c r="CV25" s="74">
        <v>1</v>
      </c>
      <c r="CW25" s="49">
        <v>0</v>
      </c>
      <c r="CX25" s="49">
        <v>0</v>
      </c>
      <c r="CY25" s="49">
        <v>0</v>
      </c>
      <c r="CZ25" s="74">
        <v>0</v>
      </c>
      <c r="DA25" s="49">
        <v>2</v>
      </c>
      <c r="DB25" s="49">
        <v>2</v>
      </c>
      <c r="DC25" s="74">
        <v>1</v>
      </c>
      <c r="DD25" s="49">
        <v>0</v>
      </c>
      <c r="DE25" s="49">
        <v>1</v>
      </c>
      <c r="DF25" s="49">
        <v>1</v>
      </c>
      <c r="DG25" s="49"/>
      <c r="DH25" s="49"/>
      <c r="DI25" s="49"/>
      <c r="DJ25" s="49">
        <v>0</v>
      </c>
      <c r="DK25" s="49">
        <v>0</v>
      </c>
      <c r="DL25" s="49" t="s">
        <v>100</v>
      </c>
      <c r="DM25" s="74">
        <v>1</v>
      </c>
      <c r="DN25" s="49">
        <v>0</v>
      </c>
      <c r="DO25" s="49" t="s">
        <v>100</v>
      </c>
      <c r="DP25" s="74">
        <v>0</v>
      </c>
      <c r="DQ25" s="74">
        <v>0</v>
      </c>
      <c r="DR25" s="49">
        <v>0</v>
      </c>
      <c r="DS25" s="74">
        <v>3</v>
      </c>
      <c r="DT25" s="74">
        <v>1</v>
      </c>
      <c r="DU25" s="74">
        <v>0</v>
      </c>
      <c r="DV25" s="49" t="s">
        <v>100</v>
      </c>
      <c r="DW25" s="74">
        <v>1</v>
      </c>
      <c r="DX25" s="49"/>
      <c r="DY25" s="49">
        <v>2</v>
      </c>
      <c r="DZ25" s="49">
        <v>0</v>
      </c>
    </row>
    <row r="26" spans="1:130">
      <c r="A26" s="50">
        <v>24</v>
      </c>
      <c r="B26" s="50" t="s">
        <v>197</v>
      </c>
      <c r="C26" s="50" t="s">
        <v>198</v>
      </c>
      <c r="D26" s="72">
        <v>30350</v>
      </c>
      <c r="E26" s="49" t="s">
        <v>178</v>
      </c>
      <c r="F26" s="73">
        <v>3</v>
      </c>
      <c r="G26" s="74">
        <v>2</v>
      </c>
      <c r="H26" s="74">
        <v>1983</v>
      </c>
      <c r="I26" s="49" t="s">
        <v>199</v>
      </c>
      <c r="J26" s="49" t="s">
        <v>200</v>
      </c>
      <c r="K26" s="74">
        <v>32</v>
      </c>
      <c r="L26" s="74">
        <v>2</v>
      </c>
      <c r="M26" s="74">
        <v>0</v>
      </c>
      <c r="N26" s="74">
        <v>6</v>
      </c>
      <c r="O26" s="74">
        <v>1</v>
      </c>
      <c r="P26" s="73" t="s">
        <v>100</v>
      </c>
      <c r="Q26" s="49">
        <v>0</v>
      </c>
      <c r="R26" s="49">
        <v>0</v>
      </c>
      <c r="S26" s="74">
        <v>4</v>
      </c>
      <c r="T26" s="74">
        <v>1</v>
      </c>
      <c r="U26" s="74">
        <v>0</v>
      </c>
      <c r="V26" s="74">
        <v>41</v>
      </c>
      <c r="W26" s="74">
        <v>0</v>
      </c>
      <c r="X26" s="49"/>
      <c r="Y26" s="49">
        <v>0</v>
      </c>
      <c r="Z26" s="74">
        <v>0</v>
      </c>
      <c r="AA26" s="49"/>
      <c r="AB26" s="49"/>
      <c r="AC26" s="49"/>
      <c r="AD26" s="49"/>
      <c r="AE26" s="49"/>
      <c r="AF26" s="49"/>
      <c r="AG26" s="49"/>
      <c r="AH26" s="49"/>
      <c r="AI26" s="74">
        <v>2</v>
      </c>
      <c r="AJ26" s="49">
        <v>0</v>
      </c>
      <c r="AK26" s="74">
        <v>1</v>
      </c>
      <c r="AL26" s="74">
        <v>0</v>
      </c>
      <c r="AM26" s="49">
        <v>0</v>
      </c>
      <c r="AN26" s="49" t="s">
        <v>100</v>
      </c>
      <c r="AO26" s="49"/>
      <c r="AP26" s="49"/>
      <c r="AQ26" s="49"/>
      <c r="AR26" s="74">
        <v>0</v>
      </c>
      <c r="AS26" s="74">
        <v>1</v>
      </c>
      <c r="AT26" s="74">
        <v>1</v>
      </c>
      <c r="AU26" s="49">
        <v>3</v>
      </c>
      <c r="AV26" s="49"/>
      <c r="AW26" s="49"/>
      <c r="AX26" s="49">
        <v>0</v>
      </c>
      <c r="AY26" s="49">
        <v>0</v>
      </c>
      <c r="AZ26" s="49">
        <v>0</v>
      </c>
      <c r="BA26" s="49">
        <v>0</v>
      </c>
      <c r="BB26" s="49">
        <v>3</v>
      </c>
      <c r="BC26" s="74">
        <v>1</v>
      </c>
      <c r="BD26" s="49">
        <v>0</v>
      </c>
      <c r="BE26" s="49"/>
      <c r="BF26" s="49"/>
      <c r="BG26" s="49"/>
      <c r="BH26" s="49"/>
      <c r="BI26" s="49">
        <v>0</v>
      </c>
      <c r="BJ26" s="74">
        <v>0</v>
      </c>
      <c r="BK26" s="74">
        <v>1</v>
      </c>
      <c r="BL26" s="49">
        <v>0</v>
      </c>
      <c r="BM26" s="49" t="s">
        <v>100</v>
      </c>
      <c r="BN26" s="49"/>
      <c r="BO26" s="49">
        <v>0</v>
      </c>
      <c r="BP26" s="49">
        <v>0</v>
      </c>
      <c r="BQ26" s="49">
        <v>0</v>
      </c>
      <c r="BR26" s="49">
        <v>0</v>
      </c>
      <c r="BS26" s="49">
        <v>0</v>
      </c>
      <c r="BT26" s="49">
        <v>0</v>
      </c>
      <c r="BU26" s="49">
        <v>0</v>
      </c>
      <c r="BV26" s="49">
        <v>0</v>
      </c>
      <c r="BW26" s="49">
        <v>0</v>
      </c>
      <c r="BX26" s="49">
        <v>0</v>
      </c>
      <c r="BY26" s="74">
        <v>0</v>
      </c>
      <c r="BZ26" s="49">
        <v>0</v>
      </c>
      <c r="CA26" s="49">
        <v>0</v>
      </c>
      <c r="CB26" s="49" t="s">
        <v>100</v>
      </c>
      <c r="CC26" s="49">
        <v>0</v>
      </c>
      <c r="CD26" s="49" t="s">
        <v>100</v>
      </c>
      <c r="CE26" s="74">
        <v>5</v>
      </c>
      <c r="CF26" s="49">
        <v>0</v>
      </c>
      <c r="CG26" s="49">
        <v>0</v>
      </c>
      <c r="CH26" s="49"/>
      <c r="CI26" s="49">
        <v>0</v>
      </c>
      <c r="CJ26" s="49" t="s">
        <v>100</v>
      </c>
      <c r="CK26" s="49">
        <v>0</v>
      </c>
      <c r="CL26" s="49"/>
      <c r="CM26" s="49"/>
      <c r="CN26" s="49">
        <v>0</v>
      </c>
      <c r="CO26" s="49">
        <v>0</v>
      </c>
      <c r="CP26" s="49">
        <v>0</v>
      </c>
      <c r="CQ26" s="49">
        <v>0</v>
      </c>
      <c r="CR26" s="49">
        <v>1</v>
      </c>
      <c r="CS26" s="49">
        <v>0</v>
      </c>
      <c r="CT26" s="49">
        <v>0</v>
      </c>
      <c r="CU26" s="49">
        <v>0</v>
      </c>
      <c r="CV26" s="49">
        <v>0</v>
      </c>
      <c r="CW26" s="49">
        <v>0</v>
      </c>
      <c r="CX26" s="49">
        <v>0</v>
      </c>
      <c r="CY26" s="49">
        <v>1</v>
      </c>
      <c r="CZ26" s="49">
        <v>1</v>
      </c>
      <c r="DA26" s="49">
        <v>0</v>
      </c>
      <c r="DB26" s="74">
        <v>2</v>
      </c>
      <c r="DC26" s="49">
        <v>0</v>
      </c>
      <c r="DD26" s="49"/>
      <c r="DE26" s="49"/>
      <c r="DF26" s="49"/>
      <c r="DG26" s="49"/>
      <c r="DH26" s="49"/>
      <c r="DI26" s="49"/>
      <c r="DJ26" s="49">
        <v>0</v>
      </c>
      <c r="DK26" s="49">
        <v>0</v>
      </c>
      <c r="DL26" s="49" t="s">
        <v>100</v>
      </c>
      <c r="DM26" s="74">
        <v>0</v>
      </c>
      <c r="DN26" s="49">
        <v>0</v>
      </c>
      <c r="DO26" s="49" t="s">
        <v>100</v>
      </c>
      <c r="DP26" s="74">
        <v>0</v>
      </c>
      <c r="DQ26" s="74">
        <v>0</v>
      </c>
      <c r="DR26" s="49">
        <v>0</v>
      </c>
      <c r="DS26" s="49"/>
      <c r="DT26" s="74">
        <v>1</v>
      </c>
      <c r="DU26" s="74">
        <v>0</v>
      </c>
      <c r="DV26" s="49" t="s">
        <v>100</v>
      </c>
      <c r="DW26" s="74">
        <v>2</v>
      </c>
      <c r="DX26" s="74">
        <v>0</v>
      </c>
      <c r="DY26" s="49"/>
      <c r="DZ26" s="49"/>
    </row>
    <row r="27" spans="1:130">
      <c r="A27" s="50">
        <v>25</v>
      </c>
      <c r="B27" s="50" t="s">
        <v>201</v>
      </c>
      <c r="C27" s="50" t="s">
        <v>202</v>
      </c>
      <c r="D27" s="72">
        <v>30376</v>
      </c>
      <c r="E27" s="49" t="s">
        <v>203</v>
      </c>
      <c r="F27" s="73">
        <v>1</v>
      </c>
      <c r="G27" s="73">
        <v>3</v>
      </c>
      <c r="H27" s="49">
        <v>1983</v>
      </c>
      <c r="I27" s="49" t="s">
        <v>204</v>
      </c>
      <c r="J27" s="49" t="s">
        <v>205</v>
      </c>
      <c r="K27" s="73">
        <v>2</v>
      </c>
      <c r="L27" s="73">
        <v>3</v>
      </c>
      <c r="M27" s="73">
        <v>2</v>
      </c>
      <c r="N27" s="73">
        <v>8</v>
      </c>
      <c r="O27" s="73">
        <v>1</v>
      </c>
      <c r="P27" s="73">
        <v>7</v>
      </c>
      <c r="Q27" s="49">
        <v>0</v>
      </c>
      <c r="R27" s="49">
        <v>0</v>
      </c>
      <c r="S27" s="73">
        <v>6</v>
      </c>
      <c r="T27" s="73">
        <v>2</v>
      </c>
      <c r="U27" s="74">
        <v>0</v>
      </c>
      <c r="V27" s="49">
        <v>39</v>
      </c>
      <c r="W27" s="49">
        <v>0</v>
      </c>
      <c r="X27" s="49">
        <v>0</v>
      </c>
      <c r="Y27" s="49">
        <v>0</v>
      </c>
      <c r="Z27" s="49">
        <v>0</v>
      </c>
      <c r="AA27" s="49"/>
      <c r="AB27" s="49"/>
      <c r="AC27" s="49">
        <v>2</v>
      </c>
      <c r="AD27" s="49" t="s">
        <v>2946</v>
      </c>
      <c r="AE27" s="49"/>
      <c r="AF27" s="49">
        <v>1</v>
      </c>
      <c r="AG27" s="49"/>
      <c r="AH27" s="49"/>
      <c r="AI27" s="49">
        <v>3</v>
      </c>
      <c r="AJ27" s="49">
        <v>0</v>
      </c>
      <c r="AK27" s="74">
        <v>0</v>
      </c>
      <c r="AL27" s="74">
        <v>2</v>
      </c>
      <c r="AM27" s="49">
        <v>1</v>
      </c>
      <c r="AN27" s="49">
        <v>2</v>
      </c>
      <c r="AO27" s="49">
        <v>3</v>
      </c>
      <c r="AP27" s="49" t="s">
        <v>2947</v>
      </c>
      <c r="AQ27" s="74">
        <v>0</v>
      </c>
      <c r="AR27" s="49">
        <v>0</v>
      </c>
      <c r="AS27" s="49">
        <v>0</v>
      </c>
      <c r="AT27" s="49">
        <v>0</v>
      </c>
      <c r="AU27" s="49" t="s">
        <v>100</v>
      </c>
      <c r="AV27" s="49" t="s">
        <v>100</v>
      </c>
      <c r="AW27" s="49" t="s">
        <v>100</v>
      </c>
      <c r="AX27" s="49">
        <v>0</v>
      </c>
      <c r="AY27" s="49">
        <v>0</v>
      </c>
      <c r="AZ27" s="49">
        <v>0</v>
      </c>
      <c r="BA27" s="49">
        <v>0</v>
      </c>
      <c r="BB27" s="49">
        <v>3</v>
      </c>
      <c r="BC27" s="49">
        <v>0</v>
      </c>
      <c r="BD27" s="49">
        <v>0</v>
      </c>
      <c r="BE27" s="49">
        <v>0</v>
      </c>
      <c r="BF27" s="49">
        <v>0</v>
      </c>
      <c r="BG27" s="49">
        <v>1</v>
      </c>
      <c r="BH27" s="49">
        <v>0</v>
      </c>
      <c r="BI27" s="49">
        <v>0</v>
      </c>
      <c r="BJ27" s="49">
        <v>1</v>
      </c>
      <c r="BK27" s="49">
        <v>0</v>
      </c>
      <c r="BL27" s="49">
        <v>0</v>
      </c>
      <c r="BM27" s="49"/>
      <c r="BN27" s="49"/>
      <c r="BO27" s="49">
        <v>0</v>
      </c>
      <c r="BP27" s="49">
        <v>0</v>
      </c>
      <c r="BQ27" s="49">
        <v>0</v>
      </c>
      <c r="BR27" s="49">
        <v>0</v>
      </c>
      <c r="BS27" s="49">
        <v>0</v>
      </c>
      <c r="BT27" s="49">
        <v>0</v>
      </c>
      <c r="BU27" s="49">
        <v>0</v>
      </c>
      <c r="BV27" s="49">
        <v>0</v>
      </c>
      <c r="BW27" s="49">
        <v>0</v>
      </c>
      <c r="BX27" s="49">
        <v>0</v>
      </c>
      <c r="BY27" s="49">
        <v>1</v>
      </c>
      <c r="BZ27" s="49">
        <v>0</v>
      </c>
      <c r="CA27" s="49">
        <v>0</v>
      </c>
      <c r="CB27" s="49" t="s">
        <v>100</v>
      </c>
      <c r="CC27" s="49">
        <v>0</v>
      </c>
      <c r="CD27" s="49" t="s">
        <v>100</v>
      </c>
      <c r="CE27" s="49">
        <v>3</v>
      </c>
      <c r="CF27" s="49">
        <v>0</v>
      </c>
      <c r="CG27" s="49">
        <v>0</v>
      </c>
      <c r="CH27" s="49">
        <v>1</v>
      </c>
      <c r="CI27" s="49">
        <v>1</v>
      </c>
      <c r="CJ27" s="49" t="s">
        <v>3179</v>
      </c>
      <c r="CK27" s="49">
        <v>0</v>
      </c>
      <c r="CL27" s="49"/>
      <c r="CM27" s="49"/>
      <c r="CN27" s="49">
        <v>0</v>
      </c>
      <c r="CO27" s="49">
        <v>0</v>
      </c>
      <c r="CP27" s="49">
        <v>0</v>
      </c>
      <c r="CQ27" s="49">
        <v>0</v>
      </c>
      <c r="CR27" s="49">
        <v>0</v>
      </c>
      <c r="CS27" s="49">
        <v>0</v>
      </c>
      <c r="CT27" s="49">
        <v>0</v>
      </c>
      <c r="CU27" s="49">
        <v>0</v>
      </c>
      <c r="CV27" s="49">
        <v>0</v>
      </c>
      <c r="CW27" s="49">
        <v>0</v>
      </c>
      <c r="CX27" s="49">
        <v>1</v>
      </c>
      <c r="CY27" s="49">
        <v>0</v>
      </c>
      <c r="CZ27" s="49">
        <v>0</v>
      </c>
      <c r="DA27" s="49">
        <v>0</v>
      </c>
      <c r="DB27" s="49">
        <v>2</v>
      </c>
      <c r="DC27" s="49">
        <v>0</v>
      </c>
      <c r="DD27" s="49"/>
      <c r="DE27" s="49"/>
      <c r="DF27" s="49"/>
      <c r="DG27" s="49"/>
      <c r="DH27" s="49"/>
      <c r="DI27" s="49"/>
      <c r="DJ27" s="49">
        <v>0</v>
      </c>
      <c r="DK27" s="49">
        <v>0</v>
      </c>
      <c r="DL27" s="49" t="s">
        <v>100</v>
      </c>
      <c r="DM27" s="74">
        <v>0</v>
      </c>
      <c r="DN27" s="49">
        <v>0</v>
      </c>
      <c r="DO27" s="49" t="s">
        <v>100</v>
      </c>
      <c r="DP27" s="74">
        <v>1</v>
      </c>
      <c r="DQ27" s="49">
        <v>0</v>
      </c>
      <c r="DR27" s="49">
        <v>1</v>
      </c>
      <c r="DS27" s="49">
        <v>3</v>
      </c>
      <c r="DT27" s="49">
        <v>3</v>
      </c>
      <c r="DU27" s="49">
        <v>1</v>
      </c>
      <c r="DV27" s="49" t="s">
        <v>206</v>
      </c>
      <c r="DW27" s="49">
        <v>2</v>
      </c>
      <c r="DX27" s="74">
        <v>1</v>
      </c>
      <c r="DY27" s="74">
        <v>1</v>
      </c>
      <c r="DZ27" s="74">
        <v>3</v>
      </c>
    </row>
    <row r="28" spans="1:130">
      <c r="A28" s="50">
        <v>26</v>
      </c>
      <c r="B28" s="50" t="s">
        <v>207</v>
      </c>
      <c r="C28" s="50" t="s">
        <v>208</v>
      </c>
      <c r="D28" s="72">
        <v>30600</v>
      </c>
      <c r="E28" s="49" t="s">
        <v>203</v>
      </c>
      <c r="F28" s="73">
        <v>11</v>
      </c>
      <c r="G28" s="74">
        <v>10</v>
      </c>
      <c r="H28" s="74">
        <v>1983</v>
      </c>
      <c r="I28" s="49" t="s">
        <v>209</v>
      </c>
      <c r="J28" s="49" t="s">
        <v>210</v>
      </c>
      <c r="K28" s="74">
        <v>43</v>
      </c>
      <c r="L28" s="74">
        <v>0</v>
      </c>
      <c r="M28" s="74">
        <v>1</v>
      </c>
      <c r="N28" s="74">
        <v>7</v>
      </c>
      <c r="O28" s="74">
        <v>1</v>
      </c>
      <c r="P28" s="73">
        <v>8</v>
      </c>
      <c r="Q28" s="49">
        <v>0</v>
      </c>
      <c r="R28" s="49">
        <v>0</v>
      </c>
      <c r="S28" s="74">
        <v>6</v>
      </c>
      <c r="T28" s="74">
        <v>0</v>
      </c>
      <c r="U28" s="74">
        <v>1</v>
      </c>
      <c r="V28" s="74">
        <v>24</v>
      </c>
      <c r="W28" s="74">
        <v>0</v>
      </c>
      <c r="X28" s="49">
        <v>2</v>
      </c>
      <c r="Y28" s="49">
        <v>0</v>
      </c>
      <c r="Z28" s="74">
        <v>0</v>
      </c>
      <c r="AA28" s="74">
        <v>1</v>
      </c>
      <c r="AB28" s="74">
        <v>0</v>
      </c>
      <c r="AC28" s="74">
        <v>0</v>
      </c>
      <c r="AD28" s="49" t="s">
        <v>3180</v>
      </c>
      <c r="AE28" s="49"/>
      <c r="AF28" s="74">
        <v>10</v>
      </c>
      <c r="AG28" s="49"/>
      <c r="AH28" s="49"/>
      <c r="AI28" s="74">
        <v>3</v>
      </c>
      <c r="AJ28" s="74">
        <v>1</v>
      </c>
      <c r="AK28" s="49">
        <v>0</v>
      </c>
      <c r="AL28" s="74">
        <v>0</v>
      </c>
      <c r="AM28" s="49">
        <v>0</v>
      </c>
      <c r="AN28" s="49" t="s">
        <v>100</v>
      </c>
      <c r="AO28" s="49"/>
      <c r="AP28" s="49"/>
      <c r="AQ28" s="49"/>
      <c r="AR28" s="49">
        <v>0</v>
      </c>
      <c r="AS28" s="74">
        <v>1</v>
      </c>
      <c r="AT28" s="49">
        <v>0</v>
      </c>
      <c r="AU28" s="49" t="s">
        <v>100</v>
      </c>
      <c r="AV28" s="49" t="s">
        <v>100</v>
      </c>
      <c r="AW28" s="49" t="s">
        <v>100</v>
      </c>
      <c r="AX28" s="49">
        <v>0</v>
      </c>
      <c r="AY28" s="49">
        <v>0</v>
      </c>
      <c r="AZ28" s="49">
        <v>0</v>
      </c>
      <c r="BA28" s="49">
        <v>0</v>
      </c>
      <c r="BB28" s="49">
        <v>3</v>
      </c>
      <c r="BC28" s="49">
        <v>0</v>
      </c>
      <c r="BD28" s="49">
        <v>0</v>
      </c>
      <c r="BE28" s="74">
        <v>0</v>
      </c>
      <c r="BF28" s="74">
        <v>0</v>
      </c>
      <c r="BG28" s="49"/>
      <c r="BH28" s="49">
        <v>0</v>
      </c>
      <c r="BI28" s="49">
        <v>0</v>
      </c>
      <c r="BJ28" s="74">
        <v>1</v>
      </c>
      <c r="BK28" s="49">
        <v>0</v>
      </c>
      <c r="BL28" s="74">
        <v>1</v>
      </c>
      <c r="BM28" s="49">
        <v>0</v>
      </c>
      <c r="BN28" s="49" t="s">
        <v>3064</v>
      </c>
      <c r="BO28" s="49">
        <v>1</v>
      </c>
      <c r="BP28" s="49">
        <v>0</v>
      </c>
      <c r="BQ28" s="49">
        <v>1</v>
      </c>
      <c r="BR28" s="49">
        <v>0</v>
      </c>
      <c r="BS28" s="49">
        <v>0</v>
      </c>
      <c r="BT28" s="49">
        <v>1</v>
      </c>
      <c r="BU28" s="49">
        <v>0</v>
      </c>
      <c r="BV28" s="49">
        <v>1</v>
      </c>
      <c r="BW28" s="49">
        <v>0</v>
      </c>
      <c r="BX28" s="49">
        <v>0</v>
      </c>
      <c r="BY28" s="49">
        <v>0</v>
      </c>
      <c r="BZ28" s="49">
        <v>0</v>
      </c>
      <c r="CA28" s="49">
        <v>0</v>
      </c>
      <c r="CB28" s="49" t="s">
        <v>100</v>
      </c>
      <c r="CC28" s="49">
        <v>0</v>
      </c>
      <c r="CD28" s="49" t="s">
        <v>100</v>
      </c>
      <c r="CE28" s="49">
        <v>0</v>
      </c>
      <c r="CF28" s="49">
        <v>0</v>
      </c>
      <c r="CG28" s="49">
        <v>0</v>
      </c>
      <c r="CH28" s="74">
        <v>5</v>
      </c>
      <c r="CI28" s="49">
        <v>0</v>
      </c>
      <c r="CJ28" s="49" t="s">
        <v>100</v>
      </c>
      <c r="CK28" s="49">
        <v>0</v>
      </c>
      <c r="CL28" s="49"/>
      <c r="CM28" s="49"/>
      <c r="CN28" s="49">
        <v>0</v>
      </c>
      <c r="CO28" s="49">
        <v>0</v>
      </c>
      <c r="CP28" s="49">
        <v>0</v>
      </c>
      <c r="CQ28" s="49">
        <v>0</v>
      </c>
      <c r="CR28" s="49">
        <v>0</v>
      </c>
      <c r="CS28" s="49">
        <v>0</v>
      </c>
      <c r="CT28" s="49">
        <v>0</v>
      </c>
      <c r="CU28" s="74">
        <v>1</v>
      </c>
      <c r="CV28" s="49">
        <v>0</v>
      </c>
      <c r="CW28" s="49">
        <v>0</v>
      </c>
      <c r="CX28" s="49">
        <v>0</v>
      </c>
      <c r="CY28" s="49">
        <v>1</v>
      </c>
      <c r="CZ28" s="49">
        <v>1</v>
      </c>
      <c r="DA28" s="49">
        <v>0</v>
      </c>
      <c r="DB28" s="49">
        <v>2</v>
      </c>
      <c r="DC28" s="49">
        <v>0</v>
      </c>
      <c r="DD28" s="49"/>
      <c r="DE28" s="49"/>
      <c r="DF28" s="49"/>
      <c r="DG28" s="49"/>
      <c r="DH28" s="49"/>
      <c r="DI28" s="49"/>
      <c r="DJ28" s="49">
        <v>0</v>
      </c>
      <c r="DK28" s="49">
        <v>0</v>
      </c>
      <c r="DL28" s="49" t="s">
        <v>100</v>
      </c>
      <c r="DM28" s="74">
        <v>0</v>
      </c>
      <c r="DN28" s="49">
        <v>0</v>
      </c>
      <c r="DO28" s="49" t="s">
        <v>100</v>
      </c>
      <c r="DP28" s="74">
        <v>0</v>
      </c>
      <c r="DQ28" s="74">
        <v>0</v>
      </c>
      <c r="DR28" s="49">
        <v>0</v>
      </c>
      <c r="DS28" s="74">
        <v>0</v>
      </c>
      <c r="DT28" s="74">
        <v>3</v>
      </c>
      <c r="DU28" s="74">
        <v>0</v>
      </c>
      <c r="DV28" s="49" t="s">
        <v>100</v>
      </c>
      <c r="DW28" s="74">
        <v>2</v>
      </c>
      <c r="DX28" s="74">
        <v>1</v>
      </c>
      <c r="DY28" s="49">
        <v>0</v>
      </c>
      <c r="DZ28" s="74">
        <v>1</v>
      </c>
    </row>
    <row r="29" spans="1:130">
      <c r="A29" s="50">
        <v>27</v>
      </c>
      <c r="B29" s="50" t="s">
        <v>211</v>
      </c>
      <c r="C29" s="50" t="s">
        <v>212</v>
      </c>
      <c r="D29" s="72">
        <v>30819</v>
      </c>
      <c r="E29" s="49" t="s">
        <v>178</v>
      </c>
      <c r="F29" s="73">
        <v>17</v>
      </c>
      <c r="G29" s="74">
        <v>5</v>
      </c>
      <c r="H29" s="49">
        <v>1984</v>
      </c>
      <c r="I29" s="49" t="s">
        <v>213</v>
      </c>
      <c r="J29" s="49" t="s">
        <v>214</v>
      </c>
      <c r="K29" s="73">
        <v>2</v>
      </c>
      <c r="L29" s="73">
        <v>3</v>
      </c>
      <c r="M29" s="73">
        <v>2</v>
      </c>
      <c r="N29" s="73">
        <v>8</v>
      </c>
      <c r="O29" s="74">
        <v>1</v>
      </c>
      <c r="P29" s="73">
        <v>8</v>
      </c>
      <c r="Q29" s="49">
        <v>0</v>
      </c>
      <c r="R29" s="49">
        <v>0</v>
      </c>
      <c r="S29" s="73">
        <v>8</v>
      </c>
      <c r="T29" s="73">
        <v>1</v>
      </c>
      <c r="U29" s="74">
        <v>0</v>
      </c>
      <c r="V29" s="49">
        <v>25</v>
      </c>
      <c r="W29" s="49">
        <v>0</v>
      </c>
      <c r="X29" s="49">
        <v>0</v>
      </c>
      <c r="Y29" s="49">
        <v>0</v>
      </c>
      <c r="Z29" s="49">
        <v>0</v>
      </c>
      <c r="AA29" s="49"/>
      <c r="AB29" s="49">
        <v>1</v>
      </c>
      <c r="AC29" s="49"/>
      <c r="AD29" s="49"/>
      <c r="AE29" s="49"/>
      <c r="AF29" s="74">
        <v>2</v>
      </c>
      <c r="AG29" s="49"/>
      <c r="AH29" s="49"/>
      <c r="AI29" s="49">
        <v>0</v>
      </c>
      <c r="AJ29" s="49">
        <v>0</v>
      </c>
      <c r="AK29" s="49">
        <v>0</v>
      </c>
      <c r="AL29" s="49">
        <v>0</v>
      </c>
      <c r="AM29" s="49">
        <v>1</v>
      </c>
      <c r="AN29" s="49">
        <v>0</v>
      </c>
      <c r="AO29" s="74">
        <v>0</v>
      </c>
      <c r="AP29" s="49"/>
      <c r="AQ29" s="74">
        <v>1</v>
      </c>
      <c r="AR29" s="74">
        <v>1</v>
      </c>
      <c r="AS29" s="49">
        <v>1</v>
      </c>
      <c r="AT29" s="74">
        <v>0</v>
      </c>
      <c r="AU29" s="49" t="s">
        <v>100</v>
      </c>
      <c r="AV29" s="49" t="s">
        <v>100</v>
      </c>
      <c r="AW29" s="49" t="s">
        <v>100</v>
      </c>
      <c r="AX29" s="49">
        <v>0</v>
      </c>
      <c r="AY29" s="49">
        <v>0</v>
      </c>
      <c r="AZ29" s="74">
        <v>0</v>
      </c>
      <c r="BA29" s="49">
        <v>0</v>
      </c>
      <c r="BB29" s="49">
        <v>3</v>
      </c>
      <c r="BC29" s="49">
        <v>0</v>
      </c>
      <c r="BD29" s="49">
        <v>0</v>
      </c>
      <c r="BE29" s="49">
        <v>0</v>
      </c>
      <c r="BF29" s="49">
        <v>0</v>
      </c>
      <c r="BG29" s="49"/>
      <c r="BH29" s="49">
        <v>1</v>
      </c>
      <c r="BI29" s="49">
        <v>0</v>
      </c>
      <c r="BJ29" s="49">
        <v>0</v>
      </c>
      <c r="BK29" s="49">
        <v>0</v>
      </c>
      <c r="BL29" s="74">
        <v>0</v>
      </c>
      <c r="BM29" s="49"/>
      <c r="BN29" s="49"/>
      <c r="BO29" s="49">
        <v>0</v>
      </c>
      <c r="BP29" s="49">
        <v>0</v>
      </c>
      <c r="BQ29" s="49">
        <v>0</v>
      </c>
      <c r="BR29" s="49">
        <v>0</v>
      </c>
      <c r="BS29" s="49">
        <v>0</v>
      </c>
      <c r="BT29" s="49">
        <v>0</v>
      </c>
      <c r="BU29" s="49">
        <v>0</v>
      </c>
      <c r="BV29" s="49">
        <v>0</v>
      </c>
      <c r="BW29" s="49">
        <v>0</v>
      </c>
      <c r="BX29" s="49">
        <v>0</v>
      </c>
      <c r="BY29" s="49">
        <v>0</v>
      </c>
      <c r="BZ29" s="49">
        <v>0</v>
      </c>
      <c r="CA29" s="49">
        <v>0</v>
      </c>
      <c r="CB29" s="49" t="s">
        <v>100</v>
      </c>
      <c r="CC29" s="49">
        <v>0</v>
      </c>
      <c r="CD29" s="49" t="s">
        <v>100</v>
      </c>
      <c r="CE29" s="49">
        <v>0</v>
      </c>
      <c r="CF29" s="49">
        <v>0</v>
      </c>
      <c r="CG29" s="49">
        <v>0</v>
      </c>
      <c r="CH29" s="49">
        <v>0</v>
      </c>
      <c r="CI29" s="49">
        <v>0</v>
      </c>
      <c r="CJ29" s="49" t="s">
        <v>100</v>
      </c>
      <c r="CK29" s="49">
        <v>0</v>
      </c>
      <c r="CL29" s="49"/>
      <c r="CM29" s="49"/>
      <c r="CN29" s="49">
        <v>0</v>
      </c>
      <c r="CO29" s="49">
        <v>0</v>
      </c>
      <c r="CP29" s="49">
        <v>0</v>
      </c>
      <c r="CQ29" s="49">
        <v>0</v>
      </c>
      <c r="CR29" s="49">
        <v>0</v>
      </c>
      <c r="CS29" s="49">
        <v>0</v>
      </c>
      <c r="CT29" s="49">
        <v>0</v>
      </c>
      <c r="CU29" s="49">
        <v>0</v>
      </c>
      <c r="CV29" s="49">
        <v>1</v>
      </c>
      <c r="CW29" s="49">
        <v>0</v>
      </c>
      <c r="CX29" s="49">
        <v>0</v>
      </c>
      <c r="CY29" s="49">
        <v>1</v>
      </c>
      <c r="CZ29" s="74">
        <v>0</v>
      </c>
      <c r="DA29" s="49">
        <v>0</v>
      </c>
      <c r="DB29" s="49">
        <v>2</v>
      </c>
      <c r="DC29" s="49">
        <v>0</v>
      </c>
      <c r="DD29" s="49"/>
      <c r="DE29" s="49"/>
      <c r="DF29" s="49"/>
      <c r="DG29" s="49"/>
      <c r="DH29" s="49"/>
      <c r="DI29" s="49"/>
      <c r="DJ29" s="49">
        <v>0</v>
      </c>
      <c r="DK29" s="49">
        <v>0</v>
      </c>
      <c r="DL29" s="49" t="s">
        <v>100</v>
      </c>
      <c r="DM29" s="74">
        <v>0</v>
      </c>
      <c r="DN29" s="49">
        <v>0</v>
      </c>
      <c r="DO29" s="49" t="s">
        <v>100</v>
      </c>
      <c r="DP29" s="49">
        <v>0</v>
      </c>
      <c r="DQ29" s="74">
        <v>0</v>
      </c>
      <c r="DR29" s="49">
        <v>1</v>
      </c>
      <c r="DS29" s="74">
        <v>3</v>
      </c>
      <c r="DT29" s="49">
        <v>1</v>
      </c>
      <c r="DU29" s="74">
        <v>0</v>
      </c>
      <c r="DV29" s="49" t="s">
        <v>100</v>
      </c>
      <c r="DW29" s="49">
        <v>1</v>
      </c>
      <c r="DX29" s="74">
        <v>0</v>
      </c>
      <c r="DY29" s="49">
        <v>2</v>
      </c>
      <c r="DZ29" s="49">
        <v>0</v>
      </c>
    </row>
    <row r="30" spans="1:130">
      <c r="A30" s="50">
        <v>28</v>
      </c>
      <c r="B30" s="50" t="s">
        <v>215</v>
      </c>
      <c r="C30" s="50" t="s">
        <v>216</v>
      </c>
      <c r="D30" s="72">
        <v>30862</v>
      </c>
      <c r="E30" s="49" t="s">
        <v>157</v>
      </c>
      <c r="F30" s="73">
        <v>29</v>
      </c>
      <c r="G30" s="74">
        <v>6</v>
      </c>
      <c r="H30" s="74">
        <v>1984</v>
      </c>
      <c r="I30" s="49" t="s">
        <v>217</v>
      </c>
      <c r="J30" s="49" t="s">
        <v>218</v>
      </c>
      <c r="K30" s="74">
        <v>43</v>
      </c>
      <c r="L30" s="73">
        <v>0</v>
      </c>
      <c r="M30" s="74">
        <v>0</v>
      </c>
      <c r="N30" s="74">
        <v>5</v>
      </c>
      <c r="O30" s="74">
        <v>0</v>
      </c>
      <c r="P30" s="73" t="s">
        <v>100</v>
      </c>
      <c r="Q30" s="49">
        <v>0</v>
      </c>
      <c r="R30" s="49">
        <v>0</v>
      </c>
      <c r="S30" s="74">
        <v>6</v>
      </c>
      <c r="T30" s="73">
        <v>1</v>
      </c>
      <c r="U30" s="74">
        <v>0</v>
      </c>
      <c r="V30" s="74">
        <v>39</v>
      </c>
      <c r="W30" s="74">
        <v>0</v>
      </c>
      <c r="X30" s="74">
        <v>6</v>
      </c>
      <c r="Y30" s="49">
        <v>1</v>
      </c>
      <c r="Z30" s="74">
        <v>0</v>
      </c>
      <c r="AA30" s="49">
        <v>2</v>
      </c>
      <c r="AB30" s="49">
        <v>0</v>
      </c>
      <c r="AC30" s="74">
        <v>0</v>
      </c>
      <c r="AD30" s="49" t="s">
        <v>3181</v>
      </c>
      <c r="AE30" s="74">
        <v>2</v>
      </c>
      <c r="AF30" s="74">
        <v>11</v>
      </c>
      <c r="AG30" s="74">
        <v>3</v>
      </c>
      <c r="AH30" s="74">
        <v>8</v>
      </c>
      <c r="AI30" s="74">
        <v>3</v>
      </c>
      <c r="AJ30" s="74">
        <v>1</v>
      </c>
      <c r="AK30" s="74">
        <v>0</v>
      </c>
      <c r="AL30" s="74">
        <v>0</v>
      </c>
      <c r="AM30" s="49">
        <v>0</v>
      </c>
      <c r="AN30" s="49" t="s">
        <v>100</v>
      </c>
      <c r="AO30" s="74">
        <v>0</v>
      </c>
      <c r="AP30" s="49"/>
      <c r="AQ30" s="74">
        <v>1</v>
      </c>
      <c r="AR30" s="49">
        <v>0</v>
      </c>
      <c r="AS30" s="49">
        <v>1</v>
      </c>
      <c r="AT30" s="74">
        <v>1</v>
      </c>
      <c r="AU30" s="49">
        <v>1</v>
      </c>
      <c r="AV30" s="49">
        <v>3</v>
      </c>
      <c r="AW30" s="49"/>
      <c r="AX30" s="49">
        <v>0</v>
      </c>
      <c r="AY30" s="49">
        <v>0</v>
      </c>
      <c r="AZ30" s="49">
        <v>0</v>
      </c>
      <c r="BA30" s="49">
        <v>0</v>
      </c>
      <c r="BB30" s="49">
        <v>3</v>
      </c>
      <c r="BC30" s="49"/>
      <c r="BD30" s="49">
        <v>0</v>
      </c>
      <c r="BE30" s="74">
        <v>0</v>
      </c>
      <c r="BF30" s="74">
        <v>0</v>
      </c>
      <c r="BG30" s="74">
        <v>3</v>
      </c>
      <c r="BH30" s="49">
        <v>0</v>
      </c>
      <c r="BI30" s="49">
        <v>0</v>
      </c>
      <c r="BJ30" s="49">
        <v>1</v>
      </c>
      <c r="BK30" s="49">
        <v>1</v>
      </c>
      <c r="BL30" s="74">
        <v>0</v>
      </c>
      <c r="BM30" s="49"/>
      <c r="BN30" s="49"/>
      <c r="BO30" s="49">
        <v>0</v>
      </c>
      <c r="BP30" s="49">
        <v>0</v>
      </c>
      <c r="BQ30" s="49">
        <v>0</v>
      </c>
      <c r="BR30" s="49">
        <v>0</v>
      </c>
      <c r="BS30" s="49">
        <v>0</v>
      </c>
      <c r="BT30" s="49">
        <v>0</v>
      </c>
      <c r="BU30" s="49">
        <v>0</v>
      </c>
      <c r="BV30" s="49">
        <v>0</v>
      </c>
      <c r="BW30" s="49">
        <v>0</v>
      </c>
      <c r="BX30" s="49">
        <v>0</v>
      </c>
      <c r="BY30" s="74">
        <v>1</v>
      </c>
      <c r="BZ30" s="74">
        <v>1</v>
      </c>
      <c r="CA30" s="49">
        <v>0</v>
      </c>
      <c r="CB30" s="49" t="s">
        <v>100</v>
      </c>
      <c r="CC30" s="49">
        <v>0</v>
      </c>
      <c r="CD30" s="49">
        <v>0</v>
      </c>
      <c r="CE30" s="74">
        <v>2</v>
      </c>
      <c r="CF30" s="49">
        <v>0</v>
      </c>
      <c r="CG30" s="49">
        <v>0</v>
      </c>
      <c r="CH30" s="74">
        <v>5</v>
      </c>
      <c r="CI30" s="74">
        <v>1</v>
      </c>
      <c r="CJ30" s="49" t="s">
        <v>219</v>
      </c>
      <c r="CK30" s="49">
        <v>2</v>
      </c>
      <c r="CL30" s="49"/>
      <c r="CM30" s="49"/>
      <c r="CN30" s="49">
        <v>0</v>
      </c>
      <c r="CO30" s="49">
        <v>0</v>
      </c>
      <c r="CP30" s="74">
        <v>1</v>
      </c>
      <c r="CQ30" s="49">
        <v>0</v>
      </c>
      <c r="CR30" s="49">
        <v>0</v>
      </c>
      <c r="CS30" s="49">
        <v>0</v>
      </c>
      <c r="CT30" s="49">
        <v>0</v>
      </c>
      <c r="CU30" s="74">
        <v>1</v>
      </c>
      <c r="CV30" s="49">
        <v>0</v>
      </c>
      <c r="CW30" s="49">
        <v>0</v>
      </c>
      <c r="CX30" s="49">
        <v>0</v>
      </c>
      <c r="CY30" s="49">
        <v>0</v>
      </c>
      <c r="CZ30" s="74">
        <v>1</v>
      </c>
      <c r="DA30" s="49">
        <v>1</v>
      </c>
      <c r="DB30" s="49">
        <v>2</v>
      </c>
      <c r="DC30" s="74">
        <v>1</v>
      </c>
      <c r="DD30" s="49">
        <v>0</v>
      </c>
      <c r="DE30" s="49">
        <v>5</v>
      </c>
      <c r="DF30" s="49">
        <v>0</v>
      </c>
      <c r="DG30" s="49"/>
      <c r="DH30" s="49"/>
      <c r="DI30" s="49"/>
      <c r="DJ30" s="49">
        <v>0</v>
      </c>
      <c r="DK30" s="49">
        <v>0</v>
      </c>
      <c r="DL30" s="49" t="s">
        <v>100</v>
      </c>
      <c r="DM30" s="74">
        <v>0</v>
      </c>
      <c r="DN30" s="49">
        <v>0</v>
      </c>
      <c r="DO30" s="49" t="s">
        <v>100</v>
      </c>
      <c r="DP30" s="49">
        <v>0</v>
      </c>
      <c r="DQ30" s="74">
        <v>0</v>
      </c>
      <c r="DR30" s="49">
        <v>0</v>
      </c>
      <c r="DS30" s="49"/>
      <c r="DT30" s="74">
        <v>1</v>
      </c>
      <c r="DU30" s="74">
        <v>0</v>
      </c>
      <c r="DV30" s="49" t="s">
        <v>100</v>
      </c>
      <c r="DW30" s="49">
        <v>2</v>
      </c>
      <c r="DX30" s="74">
        <v>1</v>
      </c>
      <c r="DY30" s="74">
        <v>1</v>
      </c>
      <c r="DZ30" s="74">
        <v>3</v>
      </c>
    </row>
    <row r="31" spans="1:130">
      <c r="A31" s="50">
        <v>29</v>
      </c>
      <c r="B31" s="50" t="s">
        <v>220</v>
      </c>
      <c r="C31" s="50" t="s">
        <v>221</v>
      </c>
      <c r="D31" s="72">
        <v>30881</v>
      </c>
      <c r="E31" s="49" t="s">
        <v>123</v>
      </c>
      <c r="F31" s="73">
        <v>18</v>
      </c>
      <c r="G31" s="74">
        <v>7</v>
      </c>
      <c r="H31" s="74">
        <v>1984</v>
      </c>
      <c r="I31" s="49" t="s">
        <v>222</v>
      </c>
      <c r="J31" s="49" t="s">
        <v>223</v>
      </c>
      <c r="K31" s="73">
        <v>5</v>
      </c>
      <c r="L31" s="73">
        <v>3</v>
      </c>
      <c r="M31" s="74">
        <v>2</v>
      </c>
      <c r="N31" s="74">
        <v>5</v>
      </c>
      <c r="O31" s="74">
        <v>0</v>
      </c>
      <c r="P31" s="73" t="s">
        <v>100</v>
      </c>
      <c r="Q31" s="49">
        <v>0</v>
      </c>
      <c r="R31" s="49">
        <v>0</v>
      </c>
      <c r="S31" s="74">
        <v>21</v>
      </c>
      <c r="T31" s="74">
        <v>19</v>
      </c>
      <c r="U31" s="74">
        <v>1</v>
      </c>
      <c r="V31" s="49">
        <v>41</v>
      </c>
      <c r="W31" s="49">
        <v>0</v>
      </c>
      <c r="X31" s="49">
        <v>0</v>
      </c>
      <c r="Y31" s="74">
        <v>0</v>
      </c>
      <c r="Z31" s="74">
        <v>0</v>
      </c>
      <c r="AA31" s="49">
        <v>1</v>
      </c>
      <c r="AB31" s="74">
        <v>3</v>
      </c>
      <c r="AC31" s="74">
        <v>0</v>
      </c>
      <c r="AD31" s="49" t="s">
        <v>3182</v>
      </c>
      <c r="AE31" s="74">
        <v>3</v>
      </c>
      <c r="AF31" s="74">
        <v>1</v>
      </c>
      <c r="AG31" s="74">
        <v>1</v>
      </c>
      <c r="AH31" s="74">
        <v>0</v>
      </c>
      <c r="AI31" s="49">
        <v>2</v>
      </c>
      <c r="AJ31" s="74">
        <v>1</v>
      </c>
      <c r="AK31" s="74">
        <v>0</v>
      </c>
      <c r="AL31" s="74">
        <v>0</v>
      </c>
      <c r="AM31" s="74">
        <v>0</v>
      </c>
      <c r="AN31" s="49" t="s">
        <v>100</v>
      </c>
      <c r="AO31" s="74">
        <v>0</v>
      </c>
      <c r="AP31" s="49"/>
      <c r="AQ31" s="74">
        <v>1</v>
      </c>
      <c r="AR31" s="49">
        <v>0</v>
      </c>
      <c r="AS31" s="74">
        <v>1</v>
      </c>
      <c r="AT31" s="74">
        <v>3</v>
      </c>
      <c r="AU31" s="49">
        <v>1</v>
      </c>
      <c r="AV31" s="49">
        <v>4</v>
      </c>
      <c r="AW31" s="49"/>
      <c r="AX31" s="49">
        <v>0</v>
      </c>
      <c r="AY31" s="49">
        <v>0</v>
      </c>
      <c r="AZ31" s="49">
        <v>0</v>
      </c>
      <c r="BA31" s="49">
        <v>0</v>
      </c>
      <c r="BB31" s="49">
        <v>3</v>
      </c>
      <c r="BC31" s="49">
        <v>0</v>
      </c>
      <c r="BD31" s="74">
        <v>1</v>
      </c>
      <c r="BE31" s="74">
        <v>1</v>
      </c>
      <c r="BF31" s="74">
        <v>0</v>
      </c>
      <c r="BG31" s="74">
        <v>3</v>
      </c>
      <c r="BH31" s="49">
        <v>0</v>
      </c>
      <c r="BI31" s="49">
        <v>0</v>
      </c>
      <c r="BJ31" s="74">
        <v>0</v>
      </c>
      <c r="BK31" s="74">
        <v>1</v>
      </c>
      <c r="BL31" s="74">
        <v>1</v>
      </c>
      <c r="BM31" s="49">
        <v>0</v>
      </c>
      <c r="BN31" s="49" t="s">
        <v>3023</v>
      </c>
      <c r="BO31" s="49">
        <v>1</v>
      </c>
      <c r="BP31" s="49">
        <v>0</v>
      </c>
      <c r="BQ31" s="49">
        <v>0</v>
      </c>
      <c r="BR31" s="49">
        <v>0</v>
      </c>
      <c r="BS31" s="49">
        <v>0</v>
      </c>
      <c r="BT31" s="49">
        <v>1</v>
      </c>
      <c r="BU31" s="49">
        <v>0</v>
      </c>
      <c r="BV31" s="49">
        <v>0</v>
      </c>
      <c r="BW31" s="49">
        <v>0</v>
      </c>
      <c r="BX31" s="49">
        <v>0</v>
      </c>
      <c r="BY31" s="74">
        <v>2</v>
      </c>
      <c r="BZ31" s="74">
        <v>0</v>
      </c>
      <c r="CA31" s="74">
        <v>0</v>
      </c>
      <c r="CB31" s="49" t="s">
        <v>100</v>
      </c>
      <c r="CC31" s="74">
        <v>0</v>
      </c>
      <c r="CD31" s="49" t="s">
        <v>100</v>
      </c>
      <c r="CE31" s="74">
        <v>2</v>
      </c>
      <c r="CF31" s="49">
        <v>0</v>
      </c>
      <c r="CG31" s="49">
        <v>0</v>
      </c>
      <c r="CH31" s="74">
        <v>5</v>
      </c>
      <c r="CI31" s="49" t="s">
        <v>832</v>
      </c>
      <c r="CJ31" s="49" t="s">
        <v>3103</v>
      </c>
      <c r="CK31" s="49">
        <v>1</v>
      </c>
      <c r="CL31" s="49"/>
      <c r="CM31" s="49"/>
      <c r="CN31" s="49">
        <v>1</v>
      </c>
      <c r="CO31" s="49">
        <v>0</v>
      </c>
      <c r="CP31" s="49">
        <v>0</v>
      </c>
      <c r="CQ31" s="49">
        <v>0</v>
      </c>
      <c r="CR31" s="49">
        <v>0</v>
      </c>
      <c r="CS31" s="49">
        <v>0</v>
      </c>
      <c r="CT31" s="49">
        <v>0</v>
      </c>
      <c r="CU31" s="49">
        <v>0</v>
      </c>
      <c r="CV31" s="49">
        <v>0</v>
      </c>
      <c r="CW31" s="49">
        <v>0</v>
      </c>
      <c r="CX31" s="49">
        <v>0</v>
      </c>
      <c r="CY31" s="74">
        <v>1</v>
      </c>
      <c r="CZ31" s="74">
        <v>0</v>
      </c>
      <c r="DA31" s="49">
        <v>0</v>
      </c>
      <c r="DB31" s="49">
        <v>2</v>
      </c>
      <c r="DC31" s="49">
        <v>1</v>
      </c>
      <c r="DD31" s="49">
        <v>0</v>
      </c>
      <c r="DE31" s="49">
        <v>2</v>
      </c>
      <c r="DF31" s="49">
        <v>0</v>
      </c>
      <c r="DG31" s="49"/>
      <c r="DH31" s="49"/>
      <c r="DI31" s="49"/>
      <c r="DJ31" s="49">
        <v>0</v>
      </c>
      <c r="DK31" s="49" t="s">
        <v>833</v>
      </c>
      <c r="DL31" s="49" t="s">
        <v>100</v>
      </c>
      <c r="DM31" s="74">
        <v>0</v>
      </c>
      <c r="DN31" s="49">
        <v>0</v>
      </c>
      <c r="DO31" s="49" t="s">
        <v>100</v>
      </c>
      <c r="DP31" s="74">
        <v>0</v>
      </c>
      <c r="DQ31" s="74">
        <v>0</v>
      </c>
      <c r="DR31" s="74">
        <v>1</v>
      </c>
      <c r="DS31" s="74">
        <v>2</v>
      </c>
      <c r="DT31" s="49">
        <v>3</v>
      </c>
      <c r="DU31" s="74">
        <v>0</v>
      </c>
      <c r="DV31" s="49" t="s">
        <v>100</v>
      </c>
      <c r="DW31" s="49">
        <v>1</v>
      </c>
      <c r="DX31" s="74">
        <v>0</v>
      </c>
      <c r="DY31" s="49">
        <v>2</v>
      </c>
      <c r="DZ31" s="49">
        <v>0</v>
      </c>
    </row>
    <row r="32" spans="1:130">
      <c r="A32" s="50">
        <v>30</v>
      </c>
      <c r="B32" s="50" t="s">
        <v>224</v>
      </c>
      <c r="C32" s="50" t="s">
        <v>225</v>
      </c>
      <c r="D32" s="72">
        <v>30887</v>
      </c>
      <c r="E32" s="49" t="s">
        <v>203</v>
      </c>
      <c r="F32" s="73">
        <v>24</v>
      </c>
      <c r="G32" s="73">
        <v>7</v>
      </c>
      <c r="H32" s="49">
        <v>1984</v>
      </c>
      <c r="I32" s="49" t="s">
        <v>226</v>
      </c>
      <c r="J32" s="49" t="s">
        <v>227</v>
      </c>
      <c r="K32" s="73">
        <v>4</v>
      </c>
      <c r="L32" s="73">
        <v>0</v>
      </c>
      <c r="M32" s="74">
        <v>1</v>
      </c>
      <c r="N32" s="74">
        <v>5</v>
      </c>
      <c r="O32" s="74">
        <v>1</v>
      </c>
      <c r="P32" s="73">
        <v>8</v>
      </c>
      <c r="Q32" s="49">
        <v>0</v>
      </c>
      <c r="R32" s="49">
        <v>0</v>
      </c>
      <c r="S32" s="74">
        <v>5</v>
      </c>
      <c r="T32" s="74">
        <v>1</v>
      </c>
      <c r="U32" s="74">
        <v>0</v>
      </c>
      <c r="V32" s="49">
        <v>33</v>
      </c>
      <c r="W32" s="49">
        <v>0</v>
      </c>
      <c r="X32" s="74">
        <v>0</v>
      </c>
      <c r="Y32" s="49">
        <v>0</v>
      </c>
      <c r="Z32" s="74">
        <v>0</v>
      </c>
      <c r="AA32" s="49"/>
      <c r="AB32" s="49"/>
      <c r="AC32" s="49"/>
      <c r="AD32" s="49"/>
      <c r="AE32" s="49"/>
      <c r="AF32" s="49"/>
      <c r="AG32" s="49"/>
      <c r="AH32" s="49"/>
      <c r="AI32" s="74">
        <v>0</v>
      </c>
      <c r="AJ32" s="49">
        <v>0</v>
      </c>
      <c r="AK32" s="49"/>
      <c r="AL32" s="49"/>
      <c r="AM32" s="49">
        <v>0</v>
      </c>
      <c r="AN32" s="49" t="s">
        <v>100</v>
      </c>
      <c r="AO32" s="49"/>
      <c r="AP32" s="49"/>
      <c r="AQ32" s="74">
        <v>1</v>
      </c>
      <c r="AR32" s="49">
        <v>0</v>
      </c>
      <c r="AS32" s="49">
        <v>1</v>
      </c>
      <c r="AT32" s="49">
        <v>0</v>
      </c>
      <c r="AU32" s="49" t="s">
        <v>100</v>
      </c>
      <c r="AV32" s="49" t="s">
        <v>100</v>
      </c>
      <c r="AW32" s="49" t="s">
        <v>100</v>
      </c>
      <c r="AX32" s="49">
        <v>0</v>
      </c>
      <c r="AY32" s="49">
        <v>0</v>
      </c>
      <c r="AZ32" s="49">
        <v>0</v>
      </c>
      <c r="BA32" s="49">
        <v>0</v>
      </c>
      <c r="BB32" s="49">
        <v>3</v>
      </c>
      <c r="BC32" s="74">
        <v>1</v>
      </c>
      <c r="BD32" s="49">
        <v>0</v>
      </c>
      <c r="BE32" s="49"/>
      <c r="BF32" s="49"/>
      <c r="BG32" s="49"/>
      <c r="BH32" s="49">
        <v>1</v>
      </c>
      <c r="BI32" s="49">
        <v>0</v>
      </c>
      <c r="BJ32" s="74">
        <v>1</v>
      </c>
      <c r="BK32" s="49"/>
      <c r="BL32" s="49">
        <v>1</v>
      </c>
      <c r="BM32" s="49">
        <v>2</v>
      </c>
      <c r="BN32" s="49" t="s">
        <v>2990</v>
      </c>
      <c r="BO32" s="49">
        <v>1</v>
      </c>
      <c r="BP32" s="49">
        <v>0</v>
      </c>
      <c r="BQ32" s="49">
        <v>1</v>
      </c>
      <c r="BR32" s="49">
        <v>0</v>
      </c>
      <c r="BS32" s="49">
        <v>0</v>
      </c>
      <c r="BT32" s="49">
        <v>1</v>
      </c>
      <c r="BU32" s="49">
        <v>1</v>
      </c>
      <c r="BV32" s="49">
        <v>0</v>
      </c>
      <c r="BW32" s="49">
        <v>0</v>
      </c>
      <c r="BX32" s="49">
        <v>0</v>
      </c>
      <c r="BY32" s="74">
        <v>2</v>
      </c>
      <c r="BZ32" s="49">
        <v>0</v>
      </c>
      <c r="CA32" s="49">
        <v>0</v>
      </c>
      <c r="CB32" s="49" t="s">
        <v>100</v>
      </c>
      <c r="CC32" s="49">
        <v>0</v>
      </c>
      <c r="CD32" s="49" t="s">
        <v>100</v>
      </c>
      <c r="CE32" s="49">
        <v>0</v>
      </c>
      <c r="CF32" s="49">
        <v>0</v>
      </c>
      <c r="CG32" s="49">
        <v>0</v>
      </c>
      <c r="CH32" s="74">
        <v>5</v>
      </c>
      <c r="CI32" s="49">
        <v>0</v>
      </c>
      <c r="CJ32" s="49" t="s">
        <v>100</v>
      </c>
      <c r="CK32" s="49">
        <v>0</v>
      </c>
      <c r="CL32" s="49"/>
      <c r="CM32" s="49"/>
      <c r="CN32" s="49">
        <v>0</v>
      </c>
      <c r="CO32" s="49">
        <v>0</v>
      </c>
      <c r="CP32" s="49">
        <v>0</v>
      </c>
      <c r="CQ32" s="49">
        <v>0</v>
      </c>
      <c r="CR32" s="49">
        <v>0</v>
      </c>
      <c r="CS32" s="49">
        <v>0</v>
      </c>
      <c r="CT32" s="49">
        <v>0</v>
      </c>
      <c r="CU32" s="49">
        <v>1</v>
      </c>
      <c r="CV32" s="49">
        <v>0</v>
      </c>
      <c r="CW32" s="49">
        <v>0</v>
      </c>
      <c r="CX32" s="74">
        <v>1</v>
      </c>
      <c r="CY32" s="49">
        <v>0</v>
      </c>
      <c r="CZ32" s="74">
        <v>1</v>
      </c>
      <c r="DA32" s="49">
        <v>0</v>
      </c>
      <c r="DB32" s="49">
        <v>2</v>
      </c>
      <c r="DC32" s="49">
        <v>1</v>
      </c>
      <c r="DD32" s="49">
        <v>0</v>
      </c>
      <c r="DE32" s="49">
        <v>8</v>
      </c>
      <c r="DF32" s="49">
        <v>0</v>
      </c>
      <c r="DG32" s="49"/>
      <c r="DH32" s="49"/>
      <c r="DI32" s="49"/>
      <c r="DJ32" s="49">
        <v>0</v>
      </c>
      <c r="DK32" s="49">
        <v>1</v>
      </c>
      <c r="DL32" s="49" t="s">
        <v>228</v>
      </c>
      <c r="DM32" s="74">
        <v>0</v>
      </c>
      <c r="DN32" s="49">
        <v>0</v>
      </c>
      <c r="DO32" s="49" t="s">
        <v>100</v>
      </c>
      <c r="DP32" s="74">
        <v>0</v>
      </c>
      <c r="DQ32" s="74">
        <v>0</v>
      </c>
      <c r="DR32" s="49">
        <v>0</v>
      </c>
      <c r="DS32" s="74">
        <v>1</v>
      </c>
      <c r="DT32" s="74">
        <v>2</v>
      </c>
      <c r="DU32" s="74">
        <v>0</v>
      </c>
      <c r="DV32" s="49" t="s">
        <v>100</v>
      </c>
      <c r="DW32" s="74">
        <v>0</v>
      </c>
      <c r="DX32" s="74">
        <v>0</v>
      </c>
      <c r="DY32" s="49">
        <v>2</v>
      </c>
      <c r="DZ32" s="49">
        <v>0</v>
      </c>
    </row>
    <row r="33" spans="1:130">
      <c r="A33" s="50">
        <v>31</v>
      </c>
      <c r="B33" s="50" t="s">
        <v>229</v>
      </c>
      <c r="C33" s="50" t="s">
        <v>230</v>
      </c>
      <c r="D33" s="72">
        <v>31122</v>
      </c>
      <c r="E33" s="49" t="s">
        <v>103</v>
      </c>
      <c r="F33" s="73">
        <v>16</v>
      </c>
      <c r="G33" s="74">
        <v>3</v>
      </c>
      <c r="H33" s="74">
        <v>1985</v>
      </c>
      <c r="I33" s="49" t="s">
        <v>231</v>
      </c>
      <c r="J33" s="49" t="s">
        <v>232</v>
      </c>
      <c r="K33" s="74">
        <v>38</v>
      </c>
      <c r="L33" s="74">
        <v>2</v>
      </c>
      <c r="M33" s="73">
        <v>2</v>
      </c>
      <c r="N33" s="74">
        <v>6</v>
      </c>
      <c r="O33" s="73">
        <v>0</v>
      </c>
      <c r="P33" s="73" t="s">
        <v>100</v>
      </c>
      <c r="Q33" s="49">
        <v>0</v>
      </c>
      <c r="R33" s="49">
        <v>0</v>
      </c>
      <c r="S33" s="74">
        <v>4</v>
      </c>
      <c r="T33" s="73">
        <v>2</v>
      </c>
      <c r="U33" s="74">
        <v>0</v>
      </c>
      <c r="V33" s="49">
        <v>39</v>
      </c>
      <c r="W33" s="74">
        <v>0</v>
      </c>
      <c r="X33" s="49"/>
      <c r="Y33" s="49">
        <v>0</v>
      </c>
      <c r="Z33" s="74">
        <v>0</v>
      </c>
      <c r="AA33" s="49"/>
      <c r="AB33" s="74">
        <v>1</v>
      </c>
      <c r="AC33" s="49"/>
      <c r="AD33" s="49"/>
      <c r="AE33" s="49"/>
      <c r="AF33" s="49"/>
      <c r="AG33" s="49"/>
      <c r="AH33" s="49"/>
      <c r="AI33" s="49">
        <v>2</v>
      </c>
      <c r="AJ33" s="49">
        <v>1</v>
      </c>
      <c r="AK33" s="49">
        <v>1</v>
      </c>
      <c r="AL33" s="74">
        <v>0</v>
      </c>
      <c r="AM33" s="49">
        <v>0</v>
      </c>
      <c r="AN33" s="49" t="s">
        <v>100</v>
      </c>
      <c r="AO33" s="49"/>
      <c r="AP33" s="49"/>
      <c r="AQ33" s="49">
        <v>0</v>
      </c>
      <c r="AR33" s="49">
        <v>0</v>
      </c>
      <c r="AS33" s="49">
        <v>0</v>
      </c>
      <c r="AT33" s="49">
        <v>0</v>
      </c>
      <c r="AU33" s="49" t="s">
        <v>100</v>
      </c>
      <c r="AV33" s="49" t="s">
        <v>100</v>
      </c>
      <c r="AW33" s="49" t="s">
        <v>100</v>
      </c>
      <c r="AX33" s="49">
        <v>0</v>
      </c>
      <c r="AY33" s="49">
        <v>0</v>
      </c>
      <c r="AZ33" s="74">
        <v>0</v>
      </c>
      <c r="BA33" s="49">
        <v>0</v>
      </c>
      <c r="BB33" s="49">
        <v>3</v>
      </c>
      <c r="BC33" s="74">
        <v>0</v>
      </c>
      <c r="BD33" s="49">
        <v>0</v>
      </c>
      <c r="BE33" s="49"/>
      <c r="BF33" s="49"/>
      <c r="BG33" s="49"/>
      <c r="BH33" s="49"/>
      <c r="BI33" s="49">
        <v>0</v>
      </c>
      <c r="BJ33" s="49">
        <v>0</v>
      </c>
      <c r="BK33" s="49">
        <v>1</v>
      </c>
      <c r="BL33" s="49">
        <v>1</v>
      </c>
      <c r="BM33" s="49">
        <v>3</v>
      </c>
      <c r="BN33" s="49" t="s">
        <v>2991</v>
      </c>
      <c r="BO33" s="49">
        <v>1</v>
      </c>
      <c r="BP33" s="49">
        <v>0</v>
      </c>
      <c r="BQ33" s="49">
        <v>1</v>
      </c>
      <c r="BR33" s="49">
        <v>0</v>
      </c>
      <c r="BS33" s="49">
        <v>0</v>
      </c>
      <c r="BT33" s="49">
        <v>1</v>
      </c>
      <c r="BU33" s="49">
        <v>0</v>
      </c>
      <c r="BV33" s="49">
        <v>0</v>
      </c>
      <c r="BW33" s="49">
        <v>0</v>
      </c>
      <c r="BX33" s="49">
        <v>0</v>
      </c>
      <c r="BY33" s="74">
        <v>2</v>
      </c>
      <c r="BZ33" s="49">
        <v>0</v>
      </c>
      <c r="CA33" s="49">
        <v>0</v>
      </c>
      <c r="CB33" s="49" t="s">
        <v>100</v>
      </c>
      <c r="CC33" s="49">
        <v>0</v>
      </c>
      <c r="CD33" s="49" t="s">
        <v>100</v>
      </c>
      <c r="CE33" s="49">
        <v>0</v>
      </c>
      <c r="CF33" s="49">
        <v>0</v>
      </c>
      <c r="CG33" s="49">
        <v>0</v>
      </c>
      <c r="CH33" s="49">
        <v>0</v>
      </c>
      <c r="CI33" s="49">
        <v>0</v>
      </c>
      <c r="CJ33" s="49" t="s">
        <v>100</v>
      </c>
      <c r="CK33" s="49">
        <v>0</v>
      </c>
      <c r="CL33" s="49"/>
      <c r="CM33" s="49"/>
      <c r="CN33" s="49">
        <v>0</v>
      </c>
      <c r="CO33" s="49">
        <v>0</v>
      </c>
      <c r="CP33" s="49">
        <v>0</v>
      </c>
      <c r="CQ33" s="49">
        <v>0</v>
      </c>
      <c r="CR33" s="49">
        <v>1</v>
      </c>
      <c r="CS33" s="49">
        <v>0</v>
      </c>
      <c r="CT33" s="49">
        <v>0</v>
      </c>
      <c r="CU33" s="49">
        <v>0</v>
      </c>
      <c r="CV33" s="49">
        <v>0</v>
      </c>
      <c r="CW33" s="49">
        <v>0</v>
      </c>
      <c r="CX33" s="49">
        <v>0</v>
      </c>
      <c r="CY33" s="49">
        <v>0</v>
      </c>
      <c r="CZ33" s="74">
        <v>0</v>
      </c>
      <c r="DA33" s="49">
        <v>0</v>
      </c>
      <c r="DB33" s="49">
        <v>2</v>
      </c>
      <c r="DC33" s="49">
        <v>1</v>
      </c>
      <c r="DD33" s="49">
        <v>0</v>
      </c>
      <c r="DE33" s="49">
        <v>9</v>
      </c>
      <c r="DF33" s="49">
        <v>1</v>
      </c>
      <c r="DG33" s="49"/>
      <c r="DH33" s="49"/>
      <c r="DI33" s="49"/>
      <c r="DJ33" s="49">
        <v>0</v>
      </c>
      <c r="DK33" s="49">
        <v>0</v>
      </c>
      <c r="DL33" s="49" t="s">
        <v>100</v>
      </c>
      <c r="DM33" s="74">
        <v>0</v>
      </c>
      <c r="DN33" s="49">
        <v>0</v>
      </c>
      <c r="DO33" s="49" t="s">
        <v>100</v>
      </c>
      <c r="DP33" s="74">
        <v>0</v>
      </c>
      <c r="DQ33" s="74">
        <v>0</v>
      </c>
      <c r="DR33" s="49">
        <v>0</v>
      </c>
      <c r="DS33" s="74">
        <v>1</v>
      </c>
      <c r="DT33" s="49">
        <v>1</v>
      </c>
      <c r="DU33" s="74">
        <v>0</v>
      </c>
      <c r="DV33" s="49" t="s">
        <v>100</v>
      </c>
      <c r="DW33" s="74">
        <v>0</v>
      </c>
      <c r="DX33" s="74">
        <v>0</v>
      </c>
      <c r="DY33" s="49">
        <v>2</v>
      </c>
      <c r="DZ33" s="49">
        <v>0</v>
      </c>
    </row>
    <row r="34" spans="1:130">
      <c r="A34" s="50">
        <v>32</v>
      </c>
      <c r="B34" s="50" t="s">
        <v>233</v>
      </c>
      <c r="C34" s="50" t="s">
        <v>234</v>
      </c>
      <c r="D34" s="72">
        <v>31644</v>
      </c>
      <c r="E34" s="49" t="s">
        <v>123</v>
      </c>
      <c r="F34" s="73">
        <v>20</v>
      </c>
      <c r="G34" s="73">
        <v>8</v>
      </c>
      <c r="H34" s="74">
        <v>1986</v>
      </c>
      <c r="I34" s="49" t="s">
        <v>235</v>
      </c>
      <c r="J34" s="49" t="s">
        <v>236</v>
      </c>
      <c r="K34" s="74">
        <v>36</v>
      </c>
      <c r="L34" s="74">
        <v>0</v>
      </c>
      <c r="M34" s="74">
        <v>1</v>
      </c>
      <c r="N34" s="74">
        <v>6</v>
      </c>
      <c r="O34" s="73">
        <v>0</v>
      </c>
      <c r="P34" s="73" t="s">
        <v>100</v>
      </c>
      <c r="Q34" s="49">
        <v>0</v>
      </c>
      <c r="R34" s="49">
        <v>0</v>
      </c>
      <c r="S34" s="74">
        <v>14</v>
      </c>
      <c r="T34" s="73">
        <v>6</v>
      </c>
      <c r="U34" s="74">
        <v>0</v>
      </c>
      <c r="V34" s="49">
        <v>44</v>
      </c>
      <c r="W34" s="74">
        <v>0</v>
      </c>
      <c r="X34" s="74">
        <v>0</v>
      </c>
      <c r="Y34" s="49">
        <v>0</v>
      </c>
      <c r="Z34" s="74">
        <v>0</v>
      </c>
      <c r="AA34" s="74">
        <v>1</v>
      </c>
      <c r="AB34" s="49">
        <v>2</v>
      </c>
      <c r="AC34" s="49">
        <v>1</v>
      </c>
      <c r="AD34" s="49" t="s">
        <v>2948</v>
      </c>
      <c r="AE34" s="49">
        <v>3</v>
      </c>
      <c r="AF34" s="49">
        <v>2</v>
      </c>
      <c r="AG34" s="49">
        <v>2</v>
      </c>
      <c r="AH34" s="49">
        <v>0</v>
      </c>
      <c r="AI34" s="74">
        <v>0</v>
      </c>
      <c r="AJ34" s="49">
        <v>0</v>
      </c>
      <c r="AK34" s="74">
        <v>1</v>
      </c>
      <c r="AL34" s="49">
        <v>0</v>
      </c>
      <c r="AM34" s="74">
        <v>1</v>
      </c>
      <c r="AN34" s="74">
        <v>3</v>
      </c>
      <c r="AO34" s="74">
        <v>0</v>
      </c>
      <c r="AP34" s="49"/>
      <c r="AQ34" s="49">
        <v>0</v>
      </c>
      <c r="AR34" s="49">
        <v>0</v>
      </c>
      <c r="AS34" s="74">
        <v>1</v>
      </c>
      <c r="AT34" s="49">
        <v>2</v>
      </c>
      <c r="AU34" s="49">
        <v>3</v>
      </c>
      <c r="AV34" s="49"/>
      <c r="AW34" s="49"/>
      <c r="AX34" s="49">
        <v>1</v>
      </c>
      <c r="AY34" s="49">
        <v>0</v>
      </c>
      <c r="AZ34" s="49">
        <v>0</v>
      </c>
      <c r="BA34" s="49">
        <v>0</v>
      </c>
      <c r="BB34" s="49">
        <v>3</v>
      </c>
      <c r="BC34" s="49">
        <v>0</v>
      </c>
      <c r="BD34" s="49">
        <v>0</v>
      </c>
      <c r="BE34" s="49">
        <v>0</v>
      </c>
      <c r="BF34" s="49">
        <v>0</v>
      </c>
      <c r="BG34" s="49">
        <v>3</v>
      </c>
      <c r="BH34" s="49">
        <v>0</v>
      </c>
      <c r="BI34" s="74">
        <v>1</v>
      </c>
      <c r="BJ34" s="49">
        <v>0</v>
      </c>
      <c r="BK34" s="74">
        <v>1</v>
      </c>
      <c r="BL34" s="74">
        <v>1</v>
      </c>
      <c r="BM34" s="49">
        <v>3</v>
      </c>
      <c r="BN34" s="49" t="s">
        <v>3065</v>
      </c>
      <c r="BO34" s="49">
        <v>1</v>
      </c>
      <c r="BP34" s="49">
        <v>1</v>
      </c>
      <c r="BQ34" s="49">
        <v>0</v>
      </c>
      <c r="BR34" s="49">
        <v>0</v>
      </c>
      <c r="BS34" s="49">
        <v>0</v>
      </c>
      <c r="BT34" s="49">
        <v>1</v>
      </c>
      <c r="BU34" s="49">
        <v>0</v>
      </c>
      <c r="BV34" s="49">
        <v>0</v>
      </c>
      <c r="BW34" s="49">
        <v>0</v>
      </c>
      <c r="BX34" s="49">
        <v>1</v>
      </c>
      <c r="BY34" s="74">
        <v>2</v>
      </c>
      <c r="BZ34" s="49">
        <v>0</v>
      </c>
      <c r="CA34" s="49">
        <v>0</v>
      </c>
      <c r="CB34" s="49" t="s">
        <v>100</v>
      </c>
      <c r="CC34" s="49">
        <v>0</v>
      </c>
      <c r="CD34" s="49" t="s">
        <v>100</v>
      </c>
      <c r="CE34" s="74">
        <v>5</v>
      </c>
      <c r="CF34" s="49">
        <v>1</v>
      </c>
      <c r="CG34" s="49">
        <v>0</v>
      </c>
      <c r="CH34" s="49">
        <v>0</v>
      </c>
      <c r="CI34" s="49">
        <v>0</v>
      </c>
      <c r="CJ34" s="49" t="s">
        <v>100</v>
      </c>
      <c r="CK34" s="49">
        <v>2</v>
      </c>
      <c r="CL34" s="49"/>
      <c r="CM34" s="49"/>
      <c r="CN34" s="49">
        <v>0</v>
      </c>
      <c r="CO34" s="49">
        <v>0</v>
      </c>
      <c r="CP34" s="49">
        <v>0</v>
      </c>
      <c r="CQ34" s="49">
        <v>0</v>
      </c>
      <c r="CR34" s="74">
        <v>1</v>
      </c>
      <c r="CS34" s="49">
        <v>0</v>
      </c>
      <c r="CT34" s="49">
        <v>0</v>
      </c>
      <c r="CU34" s="49">
        <v>0</v>
      </c>
      <c r="CV34" s="49">
        <v>0</v>
      </c>
      <c r="CW34" s="49">
        <v>0</v>
      </c>
      <c r="CX34" s="49">
        <v>0</v>
      </c>
      <c r="CY34" s="49">
        <v>0</v>
      </c>
      <c r="CZ34" s="74">
        <v>0</v>
      </c>
      <c r="DA34" s="49">
        <v>0</v>
      </c>
      <c r="DB34" s="49">
        <v>2</v>
      </c>
      <c r="DC34" s="74">
        <v>1</v>
      </c>
      <c r="DD34" s="49">
        <v>0</v>
      </c>
      <c r="DE34" s="49">
        <v>4</v>
      </c>
      <c r="DF34" s="49">
        <v>0</v>
      </c>
      <c r="DG34" s="49"/>
      <c r="DH34" s="49"/>
      <c r="DI34" s="49"/>
      <c r="DJ34" s="49">
        <v>0</v>
      </c>
      <c r="DK34" s="49">
        <v>0</v>
      </c>
      <c r="DL34" s="49" t="s">
        <v>100</v>
      </c>
      <c r="DM34" s="74">
        <v>1</v>
      </c>
      <c r="DN34" s="49">
        <v>0</v>
      </c>
      <c r="DO34" s="49" t="s">
        <v>100</v>
      </c>
      <c r="DP34" s="49">
        <v>0</v>
      </c>
      <c r="DQ34" s="74">
        <v>0</v>
      </c>
      <c r="DR34" s="74">
        <v>1</v>
      </c>
      <c r="DS34" s="74">
        <v>3</v>
      </c>
      <c r="DT34" s="74">
        <v>3</v>
      </c>
      <c r="DU34" s="74">
        <v>0</v>
      </c>
      <c r="DV34" s="49" t="s">
        <v>100</v>
      </c>
      <c r="DW34" s="49">
        <v>0</v>
      </c>
      <c r="DX34" s="74">
        <v>0</v>
      </c>
      <c r="DY34" s="49">
        <v>2</v>
      </c>
      <c r="DZ34" s="49">
        <v>0</v>
      </c>
    </row>
    <row r="35" spans="1:130">
      <c r="A35" s="50">
        <v>33</v>
      </c>
      <c r="B35" s="50" t="s">
        <v>237</v>
      </c>
      <c r="C35" s="50" t="s">
        <v>182</v>
      </c>
      <c r="D35" s="72">
        <v>31890</v>
      </c>
      <c r="E35" s="49" t="s">
        <v>178</v>
      </c>
      <c r="F35" s="73">
        <v>23</v>
      </c>
      <c r="G35" s="73">
        <v>4</v>
      </c>
      <c r="H35" s="49">
        <v>1987</v>
      </c>
      <c r="I35" s="49" t="s">
        <v>238</v>
      </c>
      <c r="J35" s="49" t="s">
        <v>239</v>
      </c>
      <c r="K35" s="73">
        <v>9</v>
      </c>
      <c r="L35" s="73">
        <v>0</v>
      </c>
      <c r="M35" s="74">
        <v>1</v>
      </c>
      <c r="N35" s="74">
        <v>4</v>
      </c>
      <c r="O35" s="74">
        <v>1</v>
      </c>
      <c r="P35" s="74">
        <v>7</v>
      </c>
      <c r="Q35" s="49">
        <v>0</v>
      </c>
      <c r="R35" s="49">
        <v>0</v>
      </c>
      <c r="S35" s="73">
        <v>6</v>
      </c>
      <c r="T35" s="73">
        <v>14</v>
      </c>
      <c r="U35" s="74">
        <v>1</v>
      </c>
      <c r="V35" s="49">
        <v>60</v>
      </c>
      <c r="W35" s="49">
        <v>0</v>
      </c>
      <c r="X35" s="74">
        <v>0</v>
      </c>
      <c r="Y35" s="74">
        <v>0</v>
      </c>
      <c r="Z35" s="74">
        <v>0</v>
      </c>
      <c r="AA35" s="49"/>
      <c r="AB35" s="74">
        <v>4</v>
      </c>
      <c r="AC35" s="74">
        <v>1</v>
      </c>
      <c r="AD35" s="49" t="s">
        <v>3183</v>
      </c>
      <c r="AE35" s="49"/>
      <c r="AF35" s="74">
        <v>1</v>
      </c>
      <c r="AG35" s="49"/>
      <c r="AH35" s="49"/>
      <c r="AI35" s="49">
        <v>2</v>
      </c>
      <c r="AJ35" s="74">
        <v>0</v>
      </c>
      <c r="AK35" s="74">
        <v>0</v>
      </c>
      <c r="AL35" s="74">
        <v>0</v>
      </c>
      <c r="AM35" s="49">
        <v>0</v>
      </c>
      <c r="AN35" s="49" t="s">
        <v>100</v>
      </c>
      <c r="AO35" s="74">
        <v>0</v>
      </c>
      <c r="AP35" s="49"/>
      <c r="AQ35" s="74">
        <v>1</v>
      </c>
      <c r="AR35" s="49">
        <v>0</v>
      </c>
      <c r="AS35" s="74">
        <v>1</v>
      </c>
      <c r="AT35" s="49">
        <v>0</v>
      </c>
      <c r="AU35" s="49" t="s">
        <v>100</v>
      </c>
      <c r="AV35" s="49" t="s">
        <v>100</v>
      </c>
      <c r="AW35" s="49" t="s">
        <v>100</v>
      </c>
      <c r="AX35" s="49">
        <v>0</v>
      </c>
      <c r="AY35" s="49">
        <v>0</v>
      </c>
      <c r="AZ35" s="49">
        <v>0</v>
      </c>
      <c r="BA35" s="49">
        <v>0</v>
      </c>
      <c r="BB35" s="49">
        <v>3</v>
      </c>
      <c r="BC35" s="74">
        <v>1</v>
      </c>
      <c r="BD35" s="74">
        <v>0</v>
      </c>
      <c r="BE35" s="74">
        <v>0</v>
      </c>
      <c r="BF35" s="49"/>
      <c r="BG35" s="74">
        <v>1</v>
      </c>
      <c r="BH35" s="49">
        <v>0</v>
      </c>
      <c r="BI35" s="49">
        <v>0</v>
      </c>
      <c r="BJ35" s="49">
        <v>0</v>
      </c>
      <c r="BK35" s="74">
        <v>0</v>
      </c>
      <c r="BL35" s="74">
        <v>1</v>
      </c>
      <c r="BM35" s="49">
        <v>3</v>
      </c>
      <c r="BN35" s="49" t="s">
        <v>3066</v>
      </c>
      <c r="BO35" s="49">
        <v>1</v>
      </c>
      <c r="BP35" s="49">
        <v>0</v>
      </c>
      <c r="BQ35" s="49">
        <v>0</v>
      </c>
      <c r="BR35" s="49">
        <v>0</v>
      </c>
      <c r="BS35" s="49">
        <v>1</v>
      </c>
      <c r="BT35" s="49">
        <v>1</v>
      </c>
      <c r="BU35" s="49">
        <v>1</v>
      </c>
      <c r="BV35" s="49">
        <v>1</v>
      </c>
      <c r="BW35" s="74">
        <v>1</v>
      </c>
      <c r="BX35" s="49">
        <v>1</v>
      </c>
      <c r="BY35" s="74">
        <v>2</v>
      </c>
      <c r="BZ35" s="49">
        <v>0</v>
      </c>
      <c r="CA35" s="49">
        <v>0</v>
      </c>
      <c r="CB35" s="49" t="s">
        <v>100</v>
      </c>
      <c r="CC35" s="49">
        <v>0</v>
      </c>
      <c r="CD35" s="49" t="s">
        <v>100</v>
      </c>
      <c r="CE35" s="74">
        <v>5</v>
      </c>
      <c r="CF35" s="49">
        <v>0</v>
      </c>
      <c r="CG35" s="49">
        <v>0</v>
      </c>
      <c r="CH35" s="74">
        <v>5</v>
      </c>
      <c r="CI35" s="49">
        <v>0</v>
      </c>
      <c r="CJ35" s="49" t="s">
        <v>100</v>
      </c>
      <c r="CK35" s="49">
        <v>3</v>
      </c>
      <c r="CL35" s="49"/>
      <c r="CM35" s="49"/>
      <c r="CN35" s="49">
        <v>0</v>
      </c>
      <c r="CO35" s="49">
        <v>0</v>
      </c>
      <c r="CP35" s="49">
        <v>0</v>
      </c>
      <c r="CQ35" s="49">
        <v>1</v>
      </c>
      <c r="CR35" s="49">
        <v>0</v>
      </c>
      <c r="CS35" s="49">
        <v>0</v>
      </c>
      <c r="CT35" s="49">
        <v>0</v>
      </c>
      <c r="CU35" s="49">
        <v>0</v>
      </c>
      <c r="CV35" s="74">
        <v>1</v>
      </c>
      <c r="CW35" s="49">
        <v>0</v>
      </c>
      <c r="CX35" s="49">
        <v>0</v>
      </c>
      <c r="CY35" s="49">
        <v>0</v>
      </c>
      <c r="CZ35" s="74">
        <v>0</v>
      </c>
      <c r="DA35" s="74">
        <v>1</v>
      </c>
      <c r="DB35" s="49">
        <v>2</v>
      </c>
      <c r="DC35" s="49">
        <v>0</v>
      </c>
      <c r="DD35" s="49"/>
      <c r="DE35" s="49"/>
      <c r="DF35" s="49"/>
      <c r="DG35" s="49"/>
      <c r="DH35" s="49"/>
      <c r="DI35" s="49"/>
      <c r="DJ35" s="49">
        <v>0</v>
      </c>
      <c r="DK35" s="49">
        <v>0</v>
      </c>
      <c r="DL35" s="49" t="s">
        <v>100</v>
      </c>
      <c r="DM35" s="74">
        <v>0</v>
      </c>
      <c r="DN35" s="49">
        <v>0</v>
      </c>
      <c r="DO35" s="49" t="s">
        <v>100</v>
      </c>
      <c r="DP35" s="49">
        <v>0</v>
      </c>
      <c r="DQ35" s="74">
        <v>0</v>
      </c>
      <c r="DR35" s="74">
        <v>1</v>
      </c>
      <c r="DS35" s="74">
        <v>1</v>
      </c>
      <c r="DT35" s="74">
        <v>3</v>
      </c>
      <c r="DU35" s="74">
        <v>0</v>
      </c>
      <c r="DV35" s="49" t="s">
        <v>100</v>
      </c>
      <c r="DW35" s="49">
        <v>2</v>
      </c>
      <c r="DX35" s="74">
        <v>1</v>
      </c>
      <c r="DY35" s="74">
        <v>1</v>
      </c>
      <c r="DZ35" s="74">
        <v>1</v>
      </c>
    </row>
    <row r="36" spans="1:130">
      <c r="A36" s="50">
        <v>34</v>
      </c>
      <c r="B36" s="50" t="s">
        <v>240</v>
      </c>
      <c r="C36" s="50" t="s">
        <v>241</v>
      </c>
      <c r="D36" s="72">
        <v>32189</v>
      </c>
      <c r="E36" s="49" t="s">
        <v>203</v>
      </c>
      <c r="F36" s="73">
        <v>16</v>
      </c>
      <c r="G36" s="74">
        <v>2</v>
      </c>
      <c r="H36" s="74">
        <v>1988</v>
      </c>
      <c r="I36" s="49" t="s">
        <v>242</v>
      </c>
      <c r="J36" s="49" t="s">
        <v>3184</v>
      </c>
      <c r="K36" s="74">
        <v>5</v>
      </c>
      <c r="L36" s="74">
        <v>3</v>
      </c>
      <c r="M36" s="74">
        <v>0</v>
      </c>
      <c r="N36" s="74">
        <v>6</v>
      </c>
      <c r="O36" s="73">
        <v>0</v>
      </c>
      <c r="P36" s="73" t="s">
        <v>100</v>
      </c>
      <c r="Q36" s="49">
        <v>0</v>
      </c>
      <c r="R36" s="49">
        <v>0</v>
      </c>
      <c r="S36" s="74">
        <v>7</v>
      </c>
      <c r="T36" s="74">
        <v>4</v>
      </c>
      <c r="U36" s="74">
        <v>0</v>
      </c>
      <c r="V36" s="74">
        <v>39</v>
      </c>
      <c r="W36" s="74">
        <v>0</v>
      </c>
      <c r="X36" s="74">
        <v>0</v>
      </c>
      <c r="Y36" s="49">
        <v>0</v>
      </c>
      <c r="Z36" s="74">
        <v>0</v>
      </c>
      <c r="AA36" s="49"/>
      <c r="AB36" s="49">
        <v>2</v>
      </c>
      <c r="AC36" s="74">
        <v>2</v>
      </c>
      <c r="AD36" s="49" t="s">
        <v>3185</v>
      </c>
      <c r="AE36" s="49">
        <v>1</v>
      </c>
      <c r="AF36" s="49">
        <v>5</v>
      </c>
      <c r="AG36" s="49">
        <v>0</v>
      </c>
      <c r="AH36" s="49">
        <v>5</v>
      </c>
      <c r="AI36" s="74">
        <v>1</v>
      </c>
      <c r="AJ36" s="49">
        <v>0</v>
      </c>
      <c r="AK36" s="74">
        <v>1</v>
      </c>
      <c r="AL36" s="74">
        <v>2</v>
      </c>
      <c r="AM36" s="74">
        <v>1</v>
      </c>
      <c r="AN36" s="74">
        <v>1</v>
      </c>
      <c r="AO36" s="74">
        <v>0</v>
      </c>
      <c r="AP36" s="49"/>
      <c r="AQ36" s="74">
        <v>1</v>
      </c>
      <c r="AR36" s="49">
        <v>0</v>
      </c>
      <c r="AS36" s="74">
        <v>1</v>
      </c>
      <c r="AT36" s="74">
        <v>1</v>
      </c>
      <c r="AU36" s="49">
        <v>3</v>
      </c>
      <c r="AV36" s="49"/>
      <c r="AW36" s="49"/>
      <c r="AX36" s="74">
        <v>1</v>
      </c>
      <c r="AY36" s="49">
        <v>0</v>
      </c>
      <c r="AZ36" s="49">
        <v>0</v>
      </c>
      <c r="BA36" s="49">
        <v>0</v>
      </c>
      <c r="BB36" s="49">
        <v>3</v>
      </c>
      <c r="BC36" s="74">
        <v>1</v>
      </c>
      <c r="BD36" s="74">
        <v>0</v>
      </c>
      <c r="BE36" s="49">
        <v>0</v>
      </c>
      <c r="BF36" s="74">
        <v>0</v>
      </c>
      <c r="BG36" s="49"/>
      <c r="BH36" s="49">
        <v>1</v>
      </c>
      <c r="BI36" s="49">
        <v>0</v>
      </c>
      <c r="BJ36" s="74">
        <v>0</v>
      </c>
      <c r="BK36" s="74">
        <v>0</v>
      </c>
      <c r="BL36" s="74">
        <v>1</v>
      </c>
      <c r="BM36" s="49">
        <v>3</v>
      </c>
      <c r="BN36" s="49" t="s">
        <v>3067</v>
      </c>
      <c r="BO36" s="49">
        <v>1</v>
      </c>
      <c r="BP36" s="49">
        <v>1</v>
      </c>
      <c r="BQ36" s="49">
        <v>0</v>
      </c>
      <c r="BR36" s="49">
        <v>0</v>
      </c>
      <c r="BS36" s="49">
        <v>0</v>
      </c>
      <c r="BT36" s="49">
        <v>1</v>
      </c>
      <c r="BU36" s="49">
        <v>1</v>
      </c>
      <c r="BV36" s="49">
        <v>0</v>
      </c>
      <c r="BW36" s="49">
        <v>1</v>
      </c>
      <c r="BX36" s="49">
        <v>0</v>
      </c>
      <c r="BY36" s="74">
        <v>1</v>
      </c>
      <c r="BZ36" s="49">
        <v>0</v>
      </c>
      <c r="CA36" s="49">
        <v>1</v>
      </c>
      <c r="CB36" s="49">
        <v>1</v>
      </c>
      <c r="CC36" s="49">
        <v>0</v>
      </c>
      <c r="CD36" s="49">
        <v>0</v>
      </c>
      <c r="CE36" s="49">
        <v>0</v>
      </c>
      <c r="CF36" s="74">
        <v>0</v>
      </c>
      <c r="CG36" s="49">
        <v>0</v>
      </c>
      <c r="CH36" s="49">
        <v>0</v>
      </c>
      <c r="CI36" s="49">
        <v>0</v>
      </c>
      <c r="CJ36" s="49" t="s">
        <v>100</v>
      </c>
      <c r="CK36" s="49">
        <v>2</v>
      </c>
      <c r="CL36" s="49"/>
      <c r="CM36" s="49"/>
      <c r="CN36" s="49">
        <v>0</v>
      </c>
      <c r="CO36" s="49">
        <v>0</v>
      </c>
      <c r="CP36" s="49">
        <v>0</v>
      </c>
      <c r="CQ36" s="49">
        <v>0</v>
      </c>
      <c r="CR36" s="49">
        <v>0</v>
      </c>
      <c r="CS36" s="49">
        <v>0</v>
      </c>
      <c r="CT36" s="74">
        <v>1</v>
      </c>
      <c r="CU36" s="74">
        <v>1</v>
      </c>
      <c r="CV36" s="49">
        <v>1</v>
      </c>
      <c r="CW36" s="49">
        <v>0</v>
      </c>
      <c r="CX36" s="49">
        <v>0</v>
      </c>
      <c r="CY36" s="49">
        <v>0</v>
      </c>
      <c r="CZ36" s="49">
        <v>0</v>
      </c>
      <c r="DA36" s="49">
        <v>0</v>
      </c>
      <c r="DB36" s="49">
        <v>2</v>
      </c>
      <c r="DC36" s="74">
        <v>1</v>
      </c>
      <c r="DD36" s="49">
        <v>1</v>
      </c>
      <c r="DE36" s="49">
        <v>4</v>
      </c>
      <c r="DF36" s="49">
        <v>1</v>
      </c>
      <c r="DG36" s="49"/>
      <c r="DH36" s="49"/>
      <c r="DI36" s="49"/>
      <c r="DJ36" s="49">
        <v>1</v>
      </c>
      <c r="DK36" s="49">
        <v>0</v>
      </c>
      <c r="DL36" s="49" t="s">
        <v>100</v>
      </c>
      <c r="DM36" s="74">
        <v>0</v>
      </c>
      <c r="DN36" s="49">
        <v>0</v>
      </c>
      <c r="DO36" s="49" t="s">
        <v>100</v>
      </c>
      <c r="DP36" s="49">
        <v>1</v>
      </c>
      <c r="DQ36" s="74">
        <v>0</v>
      </c>
      <c r="DR36" s="74">
        <v>1</v>
      </c>
      <c r="DS36" s="74">
        <v>3</v>
      </c>
      <c r="DT36" s="74">
        <v>7</v>
      </c>
      <c r="DU36" s="74">
        <v>1</v>
      </c>
      <c r="DV36" s="49" t="s">
        <v>243</v>
      </c>
      <c r="DW36" s="74">
        <v>2</v>
      </c>
      <c r="DX36" s="74">
        <v>0</v>
      </c>
      <c r="DY36" s="49">
        <v>0</v>
      </c>
      <c r="DZ36" s="74">
        <v>1</v>
      </c>
    </row>
    <row r="37" spans="1:130">
      <c r="A37" s="50">
        <v>35</v>
      </c>
      <c r="B37" s="50" t="s">
        <v>244</v>
      </c>
      <c r="C37" s="50" t="s">
        <v>212</v>
      </c>
      <c r="D37" s="72">
        <v>32341</v>
      </c>
      <c r="E37" s="49" t="s">
        <v>137</v>
      </c>
      <c r="F37" s="73">
        <v>17</v>
      </c>
      <c r="G37" s="73">
        <v>7</v>
      </c>
      <c r="H37" s="49">
        <v>1988</v>
      </c>
      <c r="I37" s="49" t="s">
        <v>245</v>
      </c>
      <c r="J37" s="49" t="s">
        <v>246</v>
      </c>
      <c r="K37" s="74">
        <v>33</v>
      </c>
      <c r="L37" s="73">
        <v>0</v>
      </c>
      <c r="M37" s="73">
        <v>2</v>
      </c>
      <c r="N37" s="73">
        <v>8</v>
      </c>
      <c r="O37" s="73">
        <v>0</v>
      </c>
      <c r="P37" s="73" t="s">
        <v>100</v>
      </c>
      <c r="Q37" s="49">
        <v>0</v>
      </c>
      <c r="R37" s="49">
        <v>0</v>
      </c>
      <c r="S37" s="73">
        <v>4</v>
      </c>
      <c r="T37" s="73">
        <v>5</v>
      </c>
      <c r="U37" s="74">
        <v>0</v>
      </c>
      <c r="V37" s="49">
        <v>24</v>
      </c>
      <c r="W37" s="49">
        <v>0</v>
      </c>
      <c r="X37" s="49">
        <v>0</v>
      </c>
      <c r="Y37" s="49">
        <v>0</v>
      </c>
      <c r="Z37" s="74">
        <v>0</v>
      </c>
      <c r="AA37" s="49"/>
      <c r="AB37" s="49"/>
      <c r="AC37" s="49"/>
      <c r="AD37" s="49"/>
      <c r="AE37" s="49"/>
      <c r="AF37" s="49"/>
      <c r="AG37" s="49"/>
      <c r="AH37" s="49"/>
      <c r="AI37" s="74">
        <v>3</v>
      </c>
      <c r="AJ37" s="49">
        <v>0</v>
      </c>
      <c r="AK37" s="49">
        <v>1</v>
      </c>
      <c r="AL37" s="49">
        <v>0</v>
      </c>
      <c r="AM37" s="49">
        <v>0</v>
      </c>
      <c r="AN37" s="49" t="s">
        <v>100</v>
      </c>
      <c r="AO37" s="74">
        <v>0</v>
      </c>
      <c r="AP37" s="49"/>
      <c r="AQ37" s="49">
        <v>1</v>
      </c>
      <c r="AR37" s="49">
        <v>0</v>
      </c>
      <c r="AS37" s="49">
        <v>1</v>
      </c>
      <c r="AT37" s="49">
        <v>0</v>
      </c>
      <c r="AU37" s="49" t="s">
        <v>100</v>
      </c>
      <c r="AV37" s="49" t="s">
        <v>100</v>
      </c>
      <c r="AW37" s="49" t="s">
        <v>100</v>
      </c>
      <c r="AX37" s="49">
        <v>0</v>
      </c>
      <c r="AY37" s="49">
        <v>0</v>
      </c>
      <c r="AZ37" s="49">
        <v>0</v>
      </c>
      <c r="BA37" s="49">
        <v>0</v>
      </c>
      <c r="BB37" s="49">
        <v>3</v>
      </c>
      <c r="BC37" s="49">
        <v>0</v>
      </c>
      <c r="BD37" s="49">
        <v>0</v>
      </c>
      <c r="BE37" s="49">
        <v>0</v>
      </c>
      <c r="BF37" s="74">
        <v>0</v>
      </c>
      <c r="BG37" s="49"/>
      <c r="BH37" s="49">
        <v>1</v>
      </c>
      <c r="BI37" s="49">
        <v>0</v>
      </c>
      <c r="BJ37" s="49">
        <v>1</v>
      </c>
      <c r="BK37" s="49">
        <v>1</v>
      </c>
      <c r="BL37" s="74">
        <v>1</v>
      </c>
      <c r="BM37" s="49">
        <v>0</v>
      </c>
      <c r="BN37" s="49" t="s">
        <v>3148</v>
      </c>
      <c r="BO37" s="49">
        <v>1</v>
      </c>
      <c r="BP37" s="49">
        <v>1</v>
      </c>
      <c r="BQ37" s="49">
        <v>1</v>
      </c>
      <c r="BR37" s="49">
        <v>0</v>
      </c>
      <c r="BS37" s="49">
        <v>0</v>
      </c>
      <c r="BT37" s="49">
        <v>1</v>
      </c>
      <c r="BU37" s="49">
        <v>0</v>
      </c>
      <c r="BV37" s="49">
        <v>0</v>
      </c>
      <c r="BW37" s="74">
        <v>1</v>
      </c>
      <c r="BX37" s="49">
        <v>1</v>
      </c>
      <c r="BY37" s="49">
        <v>0</v>
      </c>
      <c r="BZ37" s="49">
        <v>0</v>
      </c>
      <c r="CA37" s="49">
        <v>0</v>
      </c>
      <c r="CB37" s="49" t="s">
        <v>100</v>
      </c>
      <c r="CC37" s="49">
        <v>0</v>
      </c>
      <c r="CD37" s="49" t="s">
        <v>100</v>
      </c>
      <c r="CE37" s="74">
        <v>2</v>
      </c>
      <c r="CF37" s="49">
        <v>0</v>
      </c>
      <c r="CG37" s="49">
        <v>0</v>
      </c>
      <c r="CH37" s="49">
        <v>4</v>
      </c>
      <c r="CI37" s="49">
        <v>0</v>
      </c>
      <c r="CJ37" s="49" t="s">
        <v>100</v>
      </c>
      <c r="CK37" s="49">
        <v>0</v>
      </c>
      <c r="CL37" s="49"/>
      <c r="CM37" s="49"/>
      <c r="CN37" s="49">
        <v>0</v>
      </c>
      <c r="CO37" s="49">
        <v>0</v>
      </c>
      <c r="CP37" s="49">
        <v>0</v>
      </c>
      <c r="CQ37" s="49">
        <v>0</v>
      </c>
      <c r="CR37" s="49">
        <v>0</v>
      </c>
      <c r="CS37" s="49">
        <v>0</v>
      </c>
      <c r="CT37" s="49">
        <v>0</v>
      </c>
      <c r="CU37" s="49">
        <v>0</v>
      </c>
      <c r="CV37" s="49">
        <v>0</v>
      </c>
      <c r="CW37" s="49">
        <v>0</v>
      </c>
      <c r="CX37" s="49">
        <v>1</v>
      </c>
      <c r="CY37" s="49">
        <v>0</v>
      </c>
      <c r="CZ37" s="74">
        <v>0</v>
      </c>
      <c r="DA37" s="74">
        <v>3</v>
      </c>
      <c r="DB37" s="49">
        <v>2</v>
      </c>
      <c r="DC37" s="49">
        <v>1</v>
      </c>
      <c r="DD37" s="49">
        <v>0</v>
      </c>
      <c r="DE37" s="49">
        <v>3</v>
      </c>
      <c r="DF37" s="49">
        <v>1</v>
      </c>
      <c r="DG37" s="49"/>
      <c r="DH37" s="49"/>
      <c r="DI37" s="49"/>
      <c r="DJ37" s="49">
        <v>0</v>
      </c>
      <c r="DK37" s="49">
        <v>0</v>
      </c>
      <c r="DL37" s="49" t="s">
        <v>100</v>
      </c>
      <c r="DM37" s="74">
        <v>0</v>
      </c>
      <c r="DN37" s="49">
        <v>0</v>
      </c>
      <c r="DO37" s="49" t="s">
        <v>100</v>
      </c>
      <c r="DP37" s="74">
        <v>0</v>
      </c>
      <c r="DQ37" s="74">
        <v>0</v>
      </c>
      <c r="DR37" s="49">
        <v>0</v>
      </c>
      <c r="DS37" s="49"/>
      <c r="DT37" s="49">
        <v>1</v>
      </c>
      <c r="DU37" s="74">
        <v>0</v>
      </c>
      <c r="DV37" s="49" t="s">
        <v>100</v>
      </c>
      <c r="DW37" s="49">
        <v>2</v>
      </c>
      <c r="DX37" s="74">
        <v>0</v>
      </c>
      <c r="DY37" s="74">
        <v>1</v>
      </c>
      <c r="DZ37" s="74">
        <v>4</v>
      </c>
    </row>
    <row r="38" spans="1:130">
      <c r="A38" s="50">
        <v>36</v>
      </c>
      <c r="B38" s="50" t="s">
        <v>247</v>
      </c>
      <c r="C38" s="50" t="s">
        <v>248</v>
      </c>
      <c r="D38" s="72">
        <v>32408</v>
      </c>
      <c r="E38" s="49" t="s">
        <v>178</v>
      </c>
      <c r="F38" s="73">
        <v>22</v>
      </c>
      <c r="G38" s="74">
        <v>9</v>
      </c>
      <c r="H38" s="74">
        <v>1988</v>
      </c>
      <c r="I38" s="49" t="s">
        <v>249</v>
      </c>
      <c r="J38" s="49" t="s">
        <v>3186</v>
      </c>
      <c r="K38" s="74">
        <v>13</v>
      </c>
      <c r="L38" s="73">
        <v>1</v>
      </c>
      <c r="M38" s="73">
        <v>0</v>
      </c>
      <c r="N38" s="74">
        <v>4</v>
      </c>
      <c r="O38" s="73">
        <v>1</v>
      </c>
      <c r="P38" s="74">
        <v>0</v>
      </c>
      <c r="Q38" s="49">
        <v>1</v>
      </c>
      <c r="R38" s="49">
        <v>1</v>
      </c>
      <c r="S38" s="74">
        <v>4</v>
      </c>
      <c r="T38" s="73">
        <v>2</v>
      </c>
      <c r="U38" s="74">
        <v>0</v>
      </c>
      <c r="V38" s="74">
        <v>40</v>
      </c>
      <c r="W38" s="74">
        <v>0</v>
      </c>
      <c r="X38" s="74">
        <v>1</v>
      </c>
      <c r="Y38" s="74">
        <v>0</v>
      </c>
      <c r="Z38" s="74">
        <v>0</v>
      </c>
      <c r="AA38" s="74">
        <v>1</v>
      </c>
      <c r="AB38" s="49"/>
      <c r="AC38" s="49"/>
      <c r="AD38" s="49"/>
      <c r="AE38" s="49"/>
      <c r="AF38" s="49"/>
      <c r="AG38" s="49"/>
      <c r="AH38" s="49"/>
      <c r="AI38" s="74">
        <v>2</v>
      </c>
      <c r="AJ38" s="74">
        <v>1</v>
      </c>
      <c r="AK38" s="49">
        <v>0</v>
      </c>
      <c r="AL38" s="49">
        <v>0</v>
      </c>
      <c r="AM38" s="74">
        <v>1</v>
      </c>
      <c r="AN38" s="74">
        <v>0</v>
      </c>
      <c r="AO38" s="74">
        <v>0</v>
      </c>
      <c r="AP38" s="49"/>
      <c r="AQ38" s="74">
        <v>1</v>
      </c>
      <c r="AR38" s="49">
        <v>0</v>
      </c>
      <c r="AS38" s="49">
        <v>1</v>
      </c>
      <c r="AT38" s="49">
        <v>0</v>
      </c>
      <c r="AU38" s="49" t="s">
        <v>100</v>
      </c>
      <c r="AV38" s="49" t="s">
        <v>100</v>
      </c>
      <c r="AW38" s="49" t="s">
        <v>100</v>
      </c>
      <c r="AX38" s="49">
        <v>0</v>
      </c>
      <c r="AY38" s="74">
        <v>0</v>
      </c>
      <c r="AZ38" s="49">
        <v>0</v>
      </c>
      <c r="BA38" s="49">
        <v>0</v>
      </c>
      <c r="BB38" s="49">
        <v>3</v>
      </c>
      <c r="BC38" s="49">
        <v>0</v>
      </c>
      <c r="BD38" s="49">
        <v>0</v>
      </c>
      <c r="BE38" s="49"/>
      <c r="BF38" s="49">
        <v>0</v>
      </c>
      <c r="BG38" s="49"/>
      <c r="BH38" s="49">
        <v>0</v>
      </c>
      <c r="BI38" s="49">
        <v>1</v>
      </c>
      <c r="BJ38" s="74">
        <v>0</v>
      </c>
      <c r="BK38" s="49">
        <v>0</v>
      </c>
      <c r="BL38" s="74">
        <v>1</v>
      </c>
      <c r="BM38" s="49">
        <v>3</v>
      </c>
      <c r="BN38" s="49" t="s">
        <v>3068</v>
      </c>
      <c r="BO38" s="49">
        <v>0</v>
      </c>
      <c r="BP38" s="49">
        <v>0</v>
      </c>
      <c r="BQ38" s="49">
        <v>0</v>
      </c>
      <c r="BR38" s="49">
        <v>1</v>
      </c>
      <c r="BS38" s="49">
        <v>1</v>
      </c>
      <c r="BT38" s="49">
        <v>1</v>
      </c>
      <c r="BU38" s="49">
        <v>1</v>
      </c>
      <c r="BV38" s="49">
        <v>1</v>
      </c>
      <c r="BW38" s="49">
        <v>1</v>
      </c>
      <c r="BX38" s="49">
        <v>0</v>
      </c>
      <c r="BY38" s="49">
        <v>0</v>
      </c>
      <c r="BZ38" s="49">
        <v>0</v>
      </c>
      <c r="CA38" s="49">
        <v>0</v>
      </c>
      <c r="CB38" s="49" t="s">
        <v>100</v>
      </c>
      <c r="CC38" s="74">
        <v>1</v>
      </c>
      <c r="CD38" s="74">
        <v>1</v>
      </c>
      <c r="CE38" s="49">
        <v>4</v>
      </c>
      <c r="CF38" s="49">
        <v>0</v>
      </c>
      <c r="CG38" s="49">
        <v>0</v>
      </c>
      <c r="CH38" s="74">
        <v>2</v>
      </c>
      <c r="CI38" s="74">
        <v>1</v>
      </c>
      <c r="CJ38" s="49" t="s">
        <v>251</v>
      </c>
      <c r="CK38" s="49">
        <v>0</v>
      </c>
      <c r="CL38" s="49"/>
      <c r="CM38" s="49"/>
      <c r="CN38" s="49">
        <v>0</v>
      </c>
      <c r="CO38" s="49">
        <v>0</v>
      </c>
      <c r="CP38" s="49">
        <v>0</v>
      </c>
      <c r="CQ38" s="49">
        <v>0</v>
      </c>
      <c r="CR38" s="49">
        <v>0</v>
      </c>
      <c r="CS38" s="49">
        <v>0</v>
      </c>
      <c r="CT38" s="49">
        <v>0</v>
      </c>
      <c r="CU38" s="49">
        <v>0</v>
      </c>
      <c r="CV38" s="49">
        <v>0</v>
      </c>
      <c r="CW38" s="49">
        <v>0</v>
      </c>
      <c r="CX38" s="49">
        <v>0</v>
      </c>
      <c r="CY38" s="74">
        <v>1</v>
      </c>
      <c r="CZ38" s="74">
        <v>0</v>
      </c>
      <c r="DA38" s="49">
        <v>1</v>
      </c>
      <c r="DB38" s="49">
        <v>2</v>
      </c>
      <c r="DC38" s="74">
        <v>0</v>
      </c>
      <c r="DD38" s="49"/>
      <c r="DE38" s="49"/>
      <c r="DF38" s="49"/>
      <c r="DG38" s="49"/>
      <c r="DH38" s="49"/>
      <c r="DI38" s="49"/>
      <c r="DJ38" s="49">
        <v>0</v>
      </c>
      <c r="DK38" s="49">
        <v>0</v>
      </c>
      <c r="DL38" s="49" t="s">
        <v>100</v>
      </c>
      <c r="DM38" s="74">
        <v>0</v>
      </c>
      <c r="DN38" s="49">
        <v>0</v>
      </c>
      <c r="DO38" s="49" t="s">
        <v>100</v>
      </c>
      <c r="DP38" s="74">
        <v>0</v>
      </c>
      <c r="DQ38" s="74">
        <v>0</v>
      </c>
      <c r="DR38" s="49">
        <v>0</v>
      </c>
      <c r="DS38" s="74">
        <v>3</v>
      </c>
      <c r="DT38" s="74">
        <v>1</v>
      </c>
      <c r="DU38" s="74">
        <v>0</v>
      </c>
      <c r="DV38" s="49" t="s">
        <v>100</v>
      </c>
      <c r="DW38" s="74">
        <v>1</v>
      </c>
      <c r="DX38" s="74">
        <v>0</v>
      </c>
      <c r="DY38" s="49">
        <v>2</v>
      </c>
      <c r="DZ38" s="49">
        <v>0</v>
      </c>
    </row>
    <row r="39" spans="1:130">
      <c r="A39" s="50">
        <v>37</v>
      </c>
      <c r="B39" s="50" t="s">
        <v>252</v>
      </c>
      <c r="C39" s="50" t="s">
        <v>234</v>
      </c>
      <c r="D39" s="72">
        <v>32525</v>
      </c>
      <c r="E39" s="49" t="s">
        <v>203</v>
      </c>
      <c r="F39" s="73">
        <v>17</v>
      </c>
      <c r="G39" s="74">
        <v>1</v>
      </c>
      <c r="H39" s="74">
        <v>1989</v>
      </c>
      <c r="I39" s="49" t="s">
        <v>253</v>
      </c>
      <c r="J39" s="49" t="s">
        <v>254</v>
      </c>
      <c r="K39" s="73">
        <v>5</v>
      </c>
      <c r="L39" s="73">
        <v>3</v>
      </c>
      <c r="M39" s="74">
        <v>2</v>
      </c>
      <c r="N39" s="74">
        <v>0</v>
      </c>
      <c r="O39" s="73">
        <v>0</v>
      </c>
      <c r="P39" s="73" t="s">
        <v>100</v>
      </c>
      <c r="Q39" s="49">
        <v>0</v>
      </c>
      <c r="R39" s="49">
        <v>0</v>
      </c>
      <c r="S39" s="74">
        <v>5</v>
      </c>
      <c r="T39" s="73">
        <v>30</v>
      </c>
      <c r="U39" s="74">
        <v>0</v>
      </c>
      <c r="V39" s="74">
        <v>24</v>
      </c>
      <c r="W39" s="74">
        <v>0</v>
      </c>
      <c r="X39" s="74">
        <v>0</v>
      </c>
      <c r="Y39" s="49">
        <v>0</v>
      </c>
      <c r="Z39" s="74">
        <v>1</v>
      </c>
      <c r="AA39" s="74">
        <v>0</v>
      </c>
      <c r="AB39" s="74">
        <v>2</v>
      </c>
      <c r="AC39" s="74">
        <v>0</v>
      </c>
      <c r="AD39" s="49" t="s">
        <v>3375</v>
      </c>
      <c r="AE39" s="74">
        <v>2</v>
      </c>
      <c r="AF39" s="74">
        <v>2</v>
      </c>
      <c r="AG39" s="74">
        <v>1</v>
      </c>
      <c r="AH39" s="74">
        <v>1</v>
      </c>
      <c r="AI39" s="74">
        <v>0</v>
      </c>
      <c r="AJ39" s="49">
        <v>0</v>
      </c>
      <c r="AK39" s="74">
        <v>0</v>
      </c>
      <c r="AL39" s="49">
        <v>0</v>
      </c>
      <c r="AM39" s="49">
        <v>0</v>
      </c>
      <c r="AN39" s="49" t="s">
        <v>100</v>
      </c>
      <c r="AO39" s="74">
        <v>0</v>
      </c>
      <c r="AP39" s="49"/>
      <c r="AQ39" s="74">
        <v>1</v>
      </c>
      <c r="AR39" s="49">
        <v>0</v>
      </c>
      <c r="AS39" s="74">
        <v>1</v>
      </c>
      <c r="AT39" s="49">
        <v>2</v>
      </c>
      <c r="AU39" s="49">
        <v>1</v>
      </c>
      <c r="AV39" s="49"/>
      <c r="AW39" s="49"/>
      <c r="AX39" s="49">
        <v>0</v>
      </c>
      <c r="AY39" s="49">
        <v>0</v>
      </c>
      <c r="AZ39" s="49">
        <v>0</v>
      </c>
      <c r="BA39" s="74">
        <v>0</v>
      </c>
      <c r="BB39" s="49">
        <v>3</v>
      </c>
      <c r="BC39" s="74">
        <v>0</v>
      </c>
      <c r="BD39" s="74">
        <v>0</v>
      </c>
      <c r="BE39" s="74">
        <v>1</v>
      </c>
      <c r="BF39" s="49">
        <v>0</v>
      </c>
      <c r="BG39" s="74">
        <v>2</v>
      </c>
      <c r="BH39" s="49">
        <v>0</v>
      </c>
      <c r="BI39" s="49">
        <v>0</v>
      </c>
      <c r="BJ39" s="49">
        <v>0</v>
      </c>
      <c r="BK39" s="74">
        <v>1</v>
      </c>
      <c r="BL39" s="74">
        <v>1</v>
      </c>
      <c r="BM39" s="49">
        <v>3</v>
      </c>
      <c r="BN39" s="49" t="s">
        <v>3069</v>
      </c>
      <c r="BO39" s="49">
        <v>1</v>
      </c>
      <c r="BP39" s="49">
        <v>1</v>
      </c>
      <c r="BQ39" s="49">
        <v>0</v>
      </c>
      <c r="BR39" s="49">
        <v>0</v>
      </c>
      <c r="BS39" s="49">
        <v>0</v>
      </c>
      <c r="BT39" s="49">
        <v>1</v>
      </c>
      <c r="BU39" s="49">
        <v>0</v>
      </c>
      <c r="BV39" s="49">
        <v>1</v>
      </c>
      <c r="BW39" s="49">
        <v>0</v>
      </c>
      <c r="BX39" s="49">
        <v>0</v>
      </c>
      <c r="BY39" s="74">
        <v>1</v>
      </c>
      <c r="BZ39" s="74">
        <v>1</v>
      </c>
      <c r="CA39" s="74">
        <v>1</v>
      </c>
      <c r="CB39" s="74">
        <v>2</v>
      </c>
      <c r="CC39" s="74">
        <v>1</v>
      </c>
      <c r="CD39" s="74">
        <v>0</v>
      </c>
      <c r="CE39" s="74">
        <v>1</v>
      </c>
      <c r="CF39" s="74">
        <v>1</v>
      </c>
      <c r="CG39" s="49">
        <v>0</v>
      </c>
      <c r="CH39" s="74">
        <v>4</v>
      </c>
      <c r="CI39" s="74">
        <v>1</v>
      </c>
      <c r="CJ39" s="49" t="s">
        <v>255</v>
      </c>
      <c r="CK39" s="49">
        <v>1</v>
      </c>
      <c r="CL39" s="49"/>
      <c r="CM39" s="49"/>
      <c r="CN39" s="74">
        <v>1</v>
      </c>
      <c r="CO39" s="49">
        <v>0</v>
      </c>
      <c r="CP39" s="49">
        <v>0</v>
      </c>
      <c r="CQ39" s="49">
        <v>0</v>
      </c>
      <c r="CR39" s="49">
        <v>0</v>
      </c>
      <c r="CS39" s="49">
        <v>0</v>
      </c>
      <c r="CT39" s="49">
        <v>0</v>
      </c>
      <c r="CU39" s="49">
        <v>0</v>
      </c>
      <c r="CV39" s="49">
        <v>0</v>
      </c>
      <c r="CW39" s="74">
        <v>1</v>
      </c>
      <c r="CX39" s="49">
        <v>0</v>
      </c>
      <c r="CY39" s="49">
        <v>0</v>
      </c>
      <c r="CZ39" s="74">
        <v>0</v>
      </c>
      <c r="DA39" s="49">
        <v>0</v>
      </c>
      <c r="DB39" s="49">
        <v>2</v>
      </c>
      <c r="DC39" s="74">
        <v>1</v>
      </c>
      <c r="DD39" s="49">
        <v>0</v>
      </c>
      <c r="DE39" s="49">
        <v>8</v>
      </c>
      <c r="DF39" s="49">
        <v>0</v>
      </c>
      <c r="DG39" s="49"/>
      <c r="DH39" s="49"/>
      <c r="DI39" s="49"/>
      <c r="DJ39" s="74">
        <v>1</v>
      </c>
      <c r="DK39" s="49">
        <v>0</v>
      </c>
      <c r="DL39" s="49" t="s">
        <v>100</v>
      </c>
      <c r="DM39" s="74">
        <v>0</v>
      </c>
      <c r="DN39" s="49">
        <v>0</v>
      </c>
      <c r="DO39" s="49" t="s">
        <v>100</v>
      </c>
      <c r="DP39" s="74">
        <v>1</v>
      </c>
      <c r="DQ39" s="74">
        <v>0</v>
      </c>
      <c r="DR39" s="74">
        <v>1</v>
      </c>
      <c r="DS39" s="74">
        <v>1</v>
      </c>
      <c r="DT39" s="49">
        <v>2</v>
      </c>
      <c r="DU39" s="74">
        <v>1</v>
      </c>
      <c r="DV39" s="49" t="s">
        <v>256</v>
      </c>
      <c r="DW39" s="74">
        <v>0</v>
      </c>
      <c r="DX39" s="74">
        <v>0</v>
      </c>
      <c r="DY39" s="49">
        <v>2</v>
      </c>
      <c r="DZ39" s="49">
        <v>0</v>
      </c>
    </row>
    <row r="40" spans="1:130">
      <c r="A40" s="50">
        <v>38</v>
      </c>
      <c r="B40" s="50" t="s">
        <v>257</v>
      </c>
      <c r="C40" s="50" t="s">
        <v>122</v>
      </c>
      <c r="D40" s="72">
        <v>32765</v>
      </c>
      <c r="E40" s="49" t="s">
        <v>178</v>
      </c>
      <c r="F40" s="73">
        <v>14</v>
      </c>
      <c r="G40" s="73">
        <v>9</v>
      </c>
      <c r="H40" s="49">
        <v>1989</v>
      </c>
      <c r="I40" s="49" t="s">
        <v>258</v>
      </c>
      <c r="J40" s="49" t="s">
        <v>259</v>
      </c>
      <c r="K40" s="73">
        <v>17</v>
      </c>
      <c r="L40" s="74">
        <v>0</v>
      </c>
      <c r="M40" s="73">
        <v>0</v>
      </c>
      <c r="N40" s="74">
        <v>6</v>
      </c>
      <c r="O40" s="74">
        <v>0</v>
      </c>
      <c r="P40" s="73" t="s">
        <v>100</v>
      </c>
      <c r="Q40" s="49">
        <v>0</v>
      </c>
      <c r="R40" s="49">
        <v>0</v>
      </c>
      <c r="S40" s="74">
        <v>9</v>
      </c>
      <c r="T40" s="73">
        <v>12</v>
      </c>
      <c r="U40" s="74">
        <v>0</v>
      </c>
      <c r="V40" s="49">
        <v>47</v>
      </c>
      <c r="W40" s="49">
        <v>0</v>
      </c>
      <c r="X40" s="74">
        <v>0</v>
      </c>
      <c r="Y40" s="49">
        <v>0</v>
      </c>
      <c r="Z40" s="74">
        <v>0</v>
      </c>
      <c r="AA40" s="49"/>
      <c r="AB40" s="49">
        <v>1</v>
      </c>
      <c r="AC40" s="74">
        <v>0</v>
      </c>
      <c r="AD40" s="49" t="s">
        <v>3187</v>
      </c>
      <c r="AE40" s="74">
        <v>0</v>
      </c>
      <c r="AF40" s="74">
        <v>0</v>
      </c>
      <c r="AG40" s="74">
        <v>0</v>
      </c>
      <c r="AH40" s="74">
        <v>0</v>
      </c>
      <c r="AI40" s="49">
        <v>1</v>
      </c>
      <c r="AJ40" s="49">
        <v>1</v>
      </c>
      <c r="AK40" s="74">
        <v>0</v>
      </c>
      <c r="AL40" s="49">
        <v>0</v>
      </c>
      <c r="AM40" s="49">
        <v>0</v>
      </c>
      <c r="AN40" s="49" t="s">
        <v>100</v>
      </c>
      <c r="AO40" s="74">
        <v>0</v>
      </c>
      <c r="AP40" s="49"/>
      <c r="AQ40" s="49">
        <v>0</v>
      </c>
      <c r="AR40" s="49">
        <v>0</v>
      </c>
      <c r="AS40" s="74">
        <v>0</v>
      </c>
      <c r="AT40" s="49">
        <v>0</v>
      </c>
      <c r="AU40" s="49" t="s">
        <v>100</v>
      </c>
      <c r="AV40" s="49" t="s">
        <v>100</v>
      </c>
      <c r="AW40" s="49" t="s">
        <v>100</v>
      </c>
      <c r="AX40" s="49">
        <v>0</v>
      </c>
      <c r="AY40" s="49">
        <v>0</v>
      </c>
      <c r="AZ40" s="49">
        <v>0</v>
      </c>
      <c r="BA40" s="49">
        <v>0</v>
      </c>
      <c r="BB40" s="49">
        <v>3</v>
      </c>
      <c r="BC40" s="49">
        <v>0</v>
      </c>
      <c r="BD40" s="49">
        <v>0</v>
      </c>
      <c r="BE40" s="49">
        <v>1</v>
      </c>
      <c r="BF40" s="49">
        <v>0</v>
      </c>
      <c r="BG40" s="74">
        <v>3</v>
      </c>
      <c r="BH40" s="49">
        <v>0</v>
      </c>
      <c r="BI40" s="49">
        <v>0</v>
      </c>
      <c r="BJ40" s="49">
        <v>0</v>
      </c>
      <c r="BK40" s="74">
        <v>1</v>
      </c>
      <c r="BL40" s="49">
        <v>1</v>
      </c>
      <c r="BM40" s="49">
        <v>3</v>
      </c>
      <c r="BN40" s="49" t="s">
        <v>3149</v>
      </c>
      <c r="BO40" s="49">
        <v>1</v>
      </c>
      <c r="BP40" s="49">
        <v>1</v>
      </c>
      <c r="BQ40" s="49">
        <v>1</v>
      </c>
      <c r="BR40" s="49">
        <v>0</v>
      </c>
      <c r="BS40" s="49">
        <v>0</v>
      </c>
      <c r="BT40" s="49">
        <v>1</v>
      </c>
      <c r="BU40" s="49">
        <v>1</v>
      </c>
      <c r="BV40" s="49">
        <v>1</v>
      </c>
      <c r="BW40" s="49">
        <v>1</v>
      </c>
      <c r="BX40" s="49">
        <v>1</v>
      </c>
      <c r="BY40" s="49">
        <v>1</v>
      </c>
      <c r="BZ40" s="49">
        <v>1</v>
      </c>
      <c r="CA40" s="49">
        <v>0</v>
      </c>
      <c r="CB40" s="49" t="s">
        <v>100</v>
      </c>
      <c r="CC40" s="74">
        <v>1</v>
      </c>
      <c r="CD40" s="74">
        <v>1</v>
      </c>
      <c r="CE40" s="74">
        <v>1</v>
      </c>
      <c r="CF40" s="49">
        <v>0</v>
      </c>
      <c r="CG40" s="49">
        <v>0</v>
      </c>
      <c r="CH40" s="74">
        <v>0</v>
      </c>
      <c r="CI40" s="49">
        <v>1</v>
      </c>
      <c r="CJ40" s="49" t="s">
        <v>3104</v>
      </c>
      <c r="CK40" s="49">
        <v>0</v>
      </c>
      <c r="CL40" s="49"/>
      <c r="CM40" s="49"/>
      <c r="CN40" s="49">
        <v>0</v>
      </c>
      <c r="CO40" s="49">
        <v>0</v>
      </c>
      <c r="CP40" s="49">
        <v>0</v>
      </c>
      <c r="CQ40" s="49">
        <v>0</v>
      </c>
      <c r="CR40" s="74">
        <v>1</v>
      </c>
      <c r="CS40" s="74">
        <v>1</v>
      </c>
      <c r="CT40" s="49">
        <v>0</v>
      </c>
      <c r="CU40" s="49">
        <v>0</v>
      </c>
      <c r="CV40" s="49">
        <v>0</v>
      </c>
      <c r="CW40" s="49">
        <v>0</v>
      </c>
      <c r="CX40" s="49">
        <v>0</v>
      </c>
      <c r="CY40" s="49">
        <v>0</v>
      </c>
      <c r="CZ40" s="74">
        <v>0</v>
      </c>
      <c r="DA40" s="49">
        <v>0</v>
      </c>
      <c r="DB40" s="49">
        <v>2</v>
      </c>
      <c r="DC40" s="74">
        <v>1</v>
      </c>
      <c r="DD40" s="49">
        <v>0</v>
      </c>
      <c r="DE40" s="49">
        <v>4</v>
      </c>
      <c r="DF40" s="49">
        <v>1</v>
      </c>
      <c r="DG40" s="49"/>
      <c r="DH40" s="49"/>
      <c r="DI40" s="49"/>
      <c r="DJ40" s="49">
        <v>0</v>
      </c>
      <c r="DK40" s="49">
        <v>1</v>
      </c>
      <c r="DL40" s="49" t="s">
        <v>3188</v>
      </c>
      <c r="DM40" s="74">
        <v>0</v>
      </c>
      <c r="DN40" s="49">
        <v>0</v>
      </c>
      <c r="DO40" s="49" t="s">
        <v>100</v>
      </c>
      <c r="DP40" s="74">
        <v>1</v>
      </c>
      <c r="DQ40" s="74">
        <v>0</v>
      </c>
      <c r="DR40" s="49">
        <v>0</v>
      </c>
      <c r="DS40" s="74">
        <v>1</v>
      </c>
      <c r="DT40" s="49">
        <v>5</v>
      </c>
      <c r="DU40" s="74">
        <v>0</v>
      </c>
      <c r="DV40" s="49" t="s">
        <v>100</v>
      </c>
      <c r="DW40" s="74">
        <v>0</v>
      </c>
      <c r="DX40" s="74">
        <v>0</v>
      </c>
      <c r="DY40" s="49">
        <v>2</v>
      </c>
      <c r="DZ40" s="49">
        <v>0</v>
      </c>
    </row>
    <row r="41" spans="1:130">
      <c r="A41" s="50">
        <v>39</v>
      </c>
      <c r="B41" s="50" t="s">
        <v>260</v>
      </c>
      <c r="C41" s="50" t="s">
        <v>221</v>
      </c>
      <c r="D41" s="72">
        <v>33042</v>
      </c>
      <c r="E41" s="49" t="s">
        <v>95</v>
      </c>
      <c r="F41" s="73">
        <v>18</v>
      </c>
      <c r="G41" s="73">
        <v>6</v>
      </c>
      <c r="H41" s="49">
        <v>1990</v>
      </c>
      <c r="I41" s="49" t="s">
        <v>261</v>
      </c>
      <c r="J41" s="49" t="s">
        <v>262</v>
      </c>
      <c r="K41" s="73">
        <v>9</v>
      </c>
      <c r="L41" s="73">
        <v>0</v>
      </c>
      <c r="M41" s="73">
        <v>0</v>
      </c>
      <c r="N41" s="74">
        <v>4</v>
      </c>
      <c r="O41" s="74">
        <v>1</v>
      </c>
      <c r="P41" s="73">
        <v>8</v>
      </c>
      <c r="Q41" s="49">
        <v>0</v>
      </c>
      <c r="R41" s="49">
        <v>0</v>
      </c>
      <c r="S41" s="74">
        <v>11</v>
      </c>
      <c r="T41" s="74">
        <v>6</v>
      </c>
      <c r="U41" s="74">
        <v>0</v>
      </c>
      <c r="V41" s="49">
        <v>42</v>
      </c>
      <c r="W41" s="49">
        <v>0</v>
      </c>
      <c r="X41" s="74">
        <v>1</v>
      </c>
      <c r="Y41" s="49">
        <v>0</v>
      </c>
      <c r="Z41" s="74">
        <v>0</v>
      </c>
      <c r="AA41" s="49"/>
      <c r="AB41" s="49" t="s">
        <v>818</v>
      </c>
      <c r="AC41" s="49"/>
      <c r="AD41" s="49"/>
      <c r="AE41" s="74">
        <v>1</v>
      </c>
      <c r="AF41" s="74">
        <v>8</v>
      </c>
      <c r="AG41" s="74">
        <v>0</v>
      </c>
      <c r="AH41" s="74">
        <v>8</v>
      </c>
      <c r="AI41" s="49">
        <v>3</v>
      </c>
      <c r="AJ41" s="49">
        <v>0</v>
      </c>
      <c r="AK41" s="74">
        <v>1</v>
      </c>
      <c r="AL41" s="74">
        <v>0</v>
      </c>
      <c r="AM41" s="49">
        <v>0</v>
      </c>
      <c r="AN41" s="49" t="s">
        <v>100</v>
      </c>
      <c r="AO41" s="74">
        <v>0</v>
      </c>
      <c r="AP41" s="49"/>
      <c r="AQ41" s="74">
        <v>1</v>
      </c>
      <c r="AR41" s="74">
        <v>1</v>
      </c>
      <c r="AS41" s="74">
        <v>1</v>
      </c>
      <c r="AT41" s="74">
        <v>1</v>
      </c>
      <c r="AU41" s="49">
        <v>1</v>
      </c>
      <c r="AV41" s="49">
        <v>4</v>
      </c>
      <c r="AW41" s="49"/>
      <c r="AX41" s="49">
        <v>0</v>
      </c>
      <c r="AY41" s="74">
        <v>1</v>
      </c>
      <c r="AZ41" s="49">
        <v>0</v>
      </c>
      <c r="BA41" s="49">
        <v>0</v>
      </c>
      <c r="BB41" s="49">
        <v>3</v>
      </c>
      <c r="BC41" s="74">
        <v>0</v>
      </c>
      <c r="BD41" s="49">
        <v>0</v>
      </c>
      <c r="BE41" s="74">
        <v>1</v>
      </c>
      <c r="BF41" s="49">
        <v>0</v>
      </c>
      <c r="BG41" s="49"/>
      <c r="BH41" s="49">
        <v>0</v>
      </c>
      <c r="BI41" s="74">
        <v>1</v>
      </c>
      <c r="BJ41" s="74">
        <v>1</v>
      </c>
      <c r="BK41" s="74">
        <v>0</v>
      </c>
      <c r="BL41" s="74">
        <v>1</v>
      </c>
      <c r="BM41" s="49">
        <v>3</v>
      </c>
      <c r="BN41" s="49" t="s">
        <v>2992</v>
      </c>
      <c r="BO41" s="49">
        <v>1</v>
      </c>
      <c r="BP41" s="49">
        <v>0</v>
      </c>
      <c r="BQ41" s="49">
        <v>1</v>
      </c>
      <c r="BR41" s="49">
        <v>0</v>
      </c>
      <c r="BS41" s="49">
        <v>0</v>
      </c>
      <c r="BT41" s="49">
        <v>1</v>
      </c>
      <c r="BU41" s="49">
        <v>1</v>
      </c>
      <c r="BV41" s="49">
        <v>1</v>
      </c>
      <c r="BW41" s="49">
        <v>0</v>
      </c>
      <c r="BX41" s="49">
        <v>0</v>
      </c>
      <c r="BY41" s="74">
        <v>2</v>
      </c>
      <c r="BZ41" s="49">
        <v>0</v>
      </c>
      <c r="CA41" s="49">
        <v>0</v>
      </c>
      <c r="CB41" s="49" t="s">
        <v>100</v>
      </c>
      <c r="CC41" s="49">
        <v>0</v>
      </c>
      <c r="CD41" s="49" t="s">
        <v>100</v>
      </c>
      <c r="CE41" s="49">
        <v>0</v>
      </c>
      <c r="CF41" s="49">
        <v>0</v>
      </c>
      <c r="CG41" s="49">
        <v>0</v>
      </c>
      <c r="CH41" s="74">
        <v>0</v>
      </c>
      <c r="CI41" s="49">
        <v>0</v>
      </c>
      <c r="CJ41" s="49" t="s">
        <v>100</v>
      </c>
      <c r="CK41" s="49">
        <v>0</v>
      </c>
      <c r="CL41" s="49"/>
      <c r="CM41" s="49"/>
      <c r="CN41" s="49">
        <v>0</v>
      </c>
      <c r="CO41" s="49">
        <v>0</v>
      </c>
      <c r="CP41" s="49">
        <v>0</v>
      </c>
      <c r="CQ41" s="49">
        <v>0</v>
      </c>
      <c r="CR41" s="49">
        <v>0</v>
      </c>
      <c r="CS41" s="74">
        <v>1</v>
      </c>
      <c r="CT41" s="49">
        <v>0</v>
      </c>
      <c r="CU41" s="49">
        <v>0</v>
      </c>
      <c r="CV41" s="49">
        <v>0</v>
      </c>
      <c r="CW41" s="49">
        <v>0</v>
      </c>
      <c r="CX41" s="49">
        <v>0</v>
      </c>
      <c r="CY41" s="74">
        <v>1</v>
      </c>
      <c r="CZ41" s="74">
        <v>0</v>
      </c>
      <c r="DA41" s="49">
        <v>0</v>
      </c>
      <c r="DB41" s="49">
        <v>2</v>
      </c>
      <c r="DC41" s="74">
        <v>1</v>
      </c>
      <c r="DD41" s="49">
        <v>0</v>
      </c>
      <c r="DE41" s="49">
        <v>5</v>
      </c>
      <c r="DF41" s="49">
        <v>0</v>
      </c>
      <c r="DG41" s="49"/>
      <c r="DH41" s="49"/>
      <c r="DI41" s="49"/>
      <c r="DJ41" s="49">
        <v>0</v>
      </c>
      <c r="DK41" s="49">
        <v>0</v>
      </c>
      <c r="DL41" s="49" t="s">
        <v>100</v>
      </c>
      <c r="DM41" s="74">
        <v>0</v>
      </c>
      <c r="DN41" s="49">
        <v>0</v>
      </c>
      <c r="DO41" s="49" t="s">
        <v>100</v>
      </c>
      <c r="DP41" s="74">
        <v>0</v>
      </c>
      <c r="DQ41" s="74">
        <v>0</v>
      </c>
      <c r="DR41" s="74">
        <v>0</v>
      </c>
      <c r="DS41" s="74">
        <v>1</v>
      </c>
      <c r="DT41" s="74">
        <v>3</v>
      </c>
      <c r="DU41" s="74">
        <v>0</v>
      </c>
      <c r="DV41" s="49" t="s">
        <v>100</v>
      </c>
      <c r="DW41" s="49">
        <v>0</v>
      </c>
      <c r="DX41" s="74">
        <v>0</v>
      </c>
      <c r="DY41" s="49">
        <v>2</v>
      </c>
      <c r="DZ41" s="49">
        <v>0</v>
      </c>
    </row>
    <row r="42" spans="1:130">
      <c r="A42" s="50">
        <v>40</v>
      </c>
      <c r="B42" s="50" t="s">
        <v>263</v>
      </c>
      <c r="C42" s="50" t="s">
        <v>122</v>
      </c>
      <c r="D42" s="72">
        <v>33521</v>
      </c>
      <c r="E42" s="49" t="s">
        <v>178</v>
      </c>
      <c r="F42" s="73">
        <v>10</v>
      </c>
      <c r="G42" s="73">
        <v>10</v>
      </c>
      <c r="H42" s="49">
        <v>1991</v>
      </c>
      <c r="I42" s="49" t="s">
        <v>264</v>
      </c>
      <c r="J42" s="49" t="s">
        <v>265</v>
      </c>
      <c r="K42" s="73">
        <v>30</v>
      </c>
      <c r="L42" s="74">
        <v>2</v>
      </c>
      <c r="M42" s="73">
        <v>1</v>
      </c>
      <c r="N42" s="74">
        <v>6</v>
      </c>
      <c r="O42" s="73">
        <v>1</v>
      </c>
      <c r="P42" s="74">
        <v>7</v>
      </c>
      <c r="Q42" s="49">
        <v>0</v>
      </c>
      <c r="R42" s="49">
        <v>0</v>
      </c>
      <c r="S42" s="73">
        <v>4</v>
      </c>
      <c r="T42" s="74">
        <v>0</v>
      </c>
      <c r="U42" s="74">
        <v>0</v>
      </c>
      <c r="V42" s="49">
        <v>35</v>
      </c>
      <c r="W42" s="49">
        <v>0</v>
      </c>
      <c r="X42" s="74">
        <v>1</v>
      </c>
      <c r="Y42" s="74">
        <v>0</v>
      </c>
      <c r="Z42" s="49">
        <v>0</v>
      </c>
      <c r="AA42" s="49"/>
      <c r="AB42" s="49" t="s">
        <v>818</v>
      </c>
      <c r="AC42" s="49"/>
      <c r="AD42" s="49"/>
      <c r="AE42" s="74">
        <v>2</v>
      </c>
      <c r="AF42" s="74">
        <v>9</v>
      </c>
      <c r="AG42" s="74">
        <v>1</v>
      </c>
      <c r="AH42" s="74">
        <v>8</v>
      </c>
      <c r="AI42" s="49" t="s">
        <v>833</v>
      </c>
      <c r="AJ42" s="49">
        <v>0</v>
      </c>
      <c r="AK42" s="49">
        <v>0</v>
      </c>
      <c r="AL42" s="49">
        <v>0</v>
      </c>
      <c r="AM42" s="49">
        <v>1</v>
      </c>
      <c r="AN42" s="49">
        <v>1</v>
      </c>
      <c r="AO42" s="74">
        <v>0</v>
      </c>
      <c r="AP42" s="49"/>
      <c r="AQ42" s="74">
        <v>1</v>
      </c>
      <c r="AR42" s="74">
        <v>1</v>
      </c>
      <c r="AS42" s="74">
        <v>1</v>
      </c>
      <c r="AT42" s="74">
        <v>0</v>
      </c>
      <c r="AU42" s="49" t="s">
        <v>100</v>
      </c>
      <c r="AV42" s="49" t="s">
        <v>100</v>
      </c>
      <c r="AW42" s="49" t="s">
        <v>100</v>
      </c>
      <c r="AX42" s="74">
        <v>1</v>
      </c>
      <c r="AY42" s="49">
        <v>0</v>
      </c>
      <c r="AZ42" s="49">
        <v>0</v>
      </c>
      <c r="BA42" s="49">
        <v>0</v>
      </c>
      <c r="BB42" s="49">
        <v>3</v>
      </c>
      <c r="BC42" s="49">
        <v>1</v>
      </c>
      <c r="BD42" s="49">
        <v>0</v>
      </c>
      <c r="BE42" s="49">
        <v>0</v>
      </c>
      <c r="BF42" s="49">
        <v>0</v>
      </c>
      <c r="BG42" s="74">
        <v>3</v>
      </c>
      <c r="BH42" s="49">
        <v>0</v>
      </c>
      <c r="BI42" s="49">
        <v>0</v>
      </c>
      <c r="BJ42" s="49">
        <v>0</v>
      </c>
      <c r="BK42" s="49">
        <v>1</v>
      </c>
      <c r="BL42" s="74">
        <v>0</v>
      </c>
      <c r="BM42" s="49" t="s">
        <v>100</v>
      </c>
      <c r="BN42" s="49"/>
      <c r="BO42" s="49">
        <v>0</v>
      </c>
      <c r="BP42" s="49">
        <v>0</v>
      </c>
      <c r="BQ42" s="49">
        <v>0</v>
      </c>
      <c r="BR42" s="49">
        <v>0</v>
      </c>
      <c r="BS42" s="49">
        <v>0</v>
      </c>
      <c r="BT42" s="49">
        <v>0</v>
      </c>
      <c r="BU42" s="49">
        <v>0</v>
      </c>
      <c r="BV42" s="49">
        <v>0</v>
      </c>
      <c r="BW42" s="49">
        <v>0</v>
      </c>
      <c r="BX42" s="49">
        <v>0</v>
      </c>
      <c r="BY42" s="74">
        <v>2</v>
      </c>
      <c r="BZ42" s="49">
        <v>0</v>
      </c>
      <c r="CA42" s="49">
        <v>0</v>
      </c>
      <c r="CB42" s="49" t="s">
        <v>100</v>
      </c>
      <c r="CC42" s="49">
        <v>0</v>
      </c>
      <c r="CD42" s="49" t="s">
        <v>100</v>
      </c>
      <c r="CE42" s="74">
        <v>2</v>
      </c>
      <c r="CF42" s="49">
        <v>0</v>
      </c>
      <c r="CG42" s="49">
        <v>0</v>
      </c>
      <c r="CH42" s="49">
        <v>0</v>
      </c>
      <c r="CI42" s="49">
        <v>0</v>
      </c>
      <c r="CJ42" s="49" t="s">
        <v>100</v>
      </c>
      <c r="CK42" s="49">
        <v>0</v>
      </c>
      <c r="CL42" s="49"/>
      <c r="CM42" s="49"/>
      <c r="CN42" s="49">
        <v>0</v>
      </c>
      <c r="CO42" s="49">
        <v>0</v>
      </c>
      <c r="CP42" s="49">
        <v>0</v>
      </c>
      <c r="CQ42" s="49">
        <v>0</v>
      </c>
      <c r="CR42" s="74">
        <v>1</v>
      </c>
      <c r="CS42" s="49">
        <v>0</v>
      </c>
      <c r="CT42" s="49">
        <v>0</v>
      </c>
      <c r="CU42" s="49">
        <v>0</v>
      </c>
      <c r="CV42" s="49">
        <v>0</v>
      </c>
      <c r="CW42" s="49">
        <v>0</v>
      </c>
      <c r="CX42" s="49">
        <v>0</v>
      </c>
      <c r="CY42" s="49">
        <v>0</v>
      </c>
      <c r="CZ42" s="74">
        <v>0</v>
      </c>
      <c r="DA42" s="49">
        <v>0</v>
      </c>
      <c r="DB42" s="49">
        <v>2</v>
      </c>
      <c r="DC42" s="74">
        <v>0</v>
      </c>
      <c r="DD42" s="49"/>
      <c r="DE42" s="49"/>
      <c r="DF42" s="49"/>
      <c r="DG42" s="49"/>
      <c r="DH42" s="49"/>
      <c r="DI42" s="49"/>
      <c r="DJ42" s="49">
        <v>1</v>
      </c>
      <c r="DK42" s="49" t="s">
        <v>832</v>
      </c>
      <c r="DL42" s="49" t="s">
        <v>266</v>
      </c>
      <c r="DM42" s="74">
        <v>1</v>
      </c>
      <c r="DN42" s="49">
        <v>0</v>
      </c>
      <c r="DO42" s="49" t="s">
        <v>100</v>
      </c>
      <c r="DP42" s="49">
        <v>1</v>
      </c>
      <c r="DQ42" s="74">
        <v>0</v>
      </c>
      <c r="DR42" s="49">
        <v>1</v>
      </c>
      <c r="DS42" s="74">
        <v>3</v>
      </c>
      <c r="DT42" s="74">
        <v>2</v>
      </c>
      <c r="DU42" s="74">
        <v>1</v>
      </c>
      <c r="DV42" s="49" t="s">
        <v>3376</v>
      </c>
      <c r="DW42" s="49">
        <v>2</v>
      </c>
      <c r="DX42" s="74">
        <v>0</v>
      </c>
      <c r="DY42" s="74">
        <v>1</v>
      </c>
      <c r="DZ42" s="49">
        <v>0</v>
      </c>
    </row>
    <row r="43" spans="1:130">
      <c r="A43" s="50">
        <v>41</v>
      </c>
      <c r="B43" s="50" t="s">
        <v>267</v>
      </c>
      <c r="C43" s="50" t="s">
        <v>268</v>
      </c>
      <c r="D43" s="72">
        <v>33527</v>
      </c>
      <c r="E43" s="49" t="s">
        <v>123</v>
      </c>
      <c r="F43" s="73">
        <v>16</v>
      </c>
      <c r="G43" s="73">
        <v>10</v>
      </c>
      <c r="H43" s="49">
        <v>1991</v>
      </c>
      <c r="I43" s="49" t="s">
        <v>269</v>
      </c>
      <c r="J43" s="49" t="s">
        <v>270</v>
      </c>
      <c r="K43" s="74">
        <v>43</v>
      </c>
      <c r="L43" s="73">
        <v>0</v>
      </c>
      <c r="M43" s="73">
        <v>2</v>
      </c>
      <c r="N43" s="74">
        <v>5</v>
      </c>
      <c r="O43" s="74">
        <v>0</v>
      </c>
      <c r="P43" s="73" t="s">
        <v>100</v>
      </c>
      <c r="Q43" s="49">
        <v>0</v>
      </c>
      <c r="R43" s="49">
        <v>0</v>
      </c>
      <c r="S43" s="74">
        <v>23</v>
      </c>
      <c r="T43" s="74">
        <v>22</v>
      </c>
      <c r="U43" s="74">
        <v>0</v>
      </c>
      <c r="V43" s="49">
        <v>35</v>
      </c>
      <c r="W43" s="49">
        <v>0</v>
      </c>
      <c r="X43" s="74">
        <v>0</v>
      </c>
      <c r="Y43" s="74">
        <v>0</v>
      </c>
      <c r="Z43" s="74">
        <v>0</v>
      </c>
      <c r="AA43" s="49"/>
      <c r="AB43" s="49">
        <v>1</v>
      </c>
      <c r="AC43" s="49"/>
      <c r="AD43" s="49"/>
      <c r="AE43" s="74">
        <v>1</v>
      </c>
      <c r="AF43" s="74">
        <v>2</v>
      </c>
      <c r="AG43" s="74">
        <v>0</v>
      </c>
      <c r="AH43" s="74">
        <v>2</v>
      </c>
      <c r="AI43" s="49">
        <v>0</v>
      </c>
      <c r="AJ43" s="49">
        <v>0</v>
      </c>
      <c r="AK43" s="74">
        <v>0</v>
      </c>
      <c r="AL43" s="49">
        <v>0</v>
      </c>
      <c r="AM43" s="49">
        <v>1</v>
      </c>
      <c r="AN43" s="49">
        <v>1</v>
      </c>
      <c r="AO43" s="74">
        <v>0</v>
      </c>
      <c r="AP43" s="49"/>
      <c r="AQ43" s="49">
        <v>1</v>
      </c>
      <c r="AR43" s="49">
        <v>0</v>
      </c>
      <c r="AS43" s="74">
        <v>1</v>
      </c>
      <c r="AT43" s="74">
        <v>0</v>
      </c>
      <c r="AU43" s="49" t="s">
        <v>100</v>
      </c>
      <c r="AV43" s="49" t="s">
        <v>100</v>
      </c>
      <c r="AW43" s="49" t="s">
        <v>100</v>
      </c>
      <c r="AX43" s="49">
        <v>0</v>
      </c>
      <c r="AY43" s="49">
        <v>0</v>
      </c>
      <c r="AZ43" s="49">
        <v>0</v>
      </c>
      <c r="BA43" s="49">
        <v>0</v>
      </c>
      <c r="BB43" s="49">
        <v>3</v>
      </c>
      <c r="BC43" s="74">
        <v>1</v>
      </c>
      <c r="BD43" s="49">
        <v>0</v>
      </c>
      <c r="BE43" s="74">
        <v>0</v>
      </c>
      <c r="BF43" s="74">
        <v>0</v>
      </c>
      <c r="BG43" s="74">
        <v>1</v>
      </c>
      <c r="BH43" s="49">
        <v>2</v>
      </c>
      <c r="BI43" s="49">
        <v>0</v>
      </c>
      <c r="BJ43" s="49">
        <v>0</v>
      </c>
      <c r="BK43" s="74">
        <v>1</v>
      </c>
      <c r="BL43" s="74">
        <v>1</v>
      </c>
      <c r="BM43" s="49">
        <v>2</v>
      </c>
      <c r="BN43" s="49" t="s">
        <v>3150</v>
      </c>
      <c r="BO43" s="49">
        <v>1</v>
      </c>
      <c r="BP43" s="49">
        <v>0</v>
      </c>
      <c r="BQ43" s="49">
        <v>0</v>
      </c>
      <c r="BR43" s="49">
        <v>1</v>
      </c>
      <c r="BS43" s="49">
        <v>1</v>
      </c>
      <c r="BT43" s="49">
        <v>1</v>
      </c>
      <c r="BU43" s="49">
        <v>1</v>
      </c>
      <c r="BV43" s="49">
        <v>1</v>
      </c>
      <c r="BW43" s="49">
        <v>1</v>
      </c>
      <c r="BX43" s="49">
        <v>1</v>
      </c>
      <c r="BY43" s="74">
        <v>2</v>
      </c>
      <c r="BZ43" s="49">
        <v>0</v>
      </c>
      <c r="CA43" s="49">
        <v>1</v>
      </c>
      <c r="CB43" s="74">
        <v>0</v>
      </c>
      <c r="CC43" s="49">
        <v>0</v>
      </c>
      <c r="CD43" s="74">
        <v>0</v>
      </c>
      <c r="CE43" s="74">
        <v>5</v>
      </c>
      <c r="CF43" s="49">
        <v>0</v>
      </c>
      <c r="CG43" s="49">
        <v>0</v>
      </c>
      <c r="CH43" s="49">
        <v>4</v>
      </c>
      <c r="CI43" s="49">
        <v>0</v>
      </c>
      <c r="CJ43" s="49" t="s">
        <v>100</v>
      </c>
      <c r="CK43" s="49">
        <v>2</v>
      </c>
      <c r="CL43" s="49"/>
      <c r="CM43" s="49"/>
      <c r="CN43" s="49">
        <v>0</v>
      </c>
      <c r="CO43" s="49">
        <v>0</v>
      </c>
      <c r="CP43" s="49">
        <v>1</v>
      </c>
      <c r="CQ43" s="49">
        <v>0</v>
      </c>
      <c r="CR43" s="49">
        <v>0</v>
      </c>
      <c r="CS43" s="49">
        <v>0</v>
      </c>
      <c r="CT43" s="49">
        <v>0</v>
      </c>
      <c r="CU43" s="49">
        <v>0</v>
      </c>
      <c r="CV43" s="49">
        <v>0</v>
      </c>
      <c r="CW43" s="49">
        <v>0</v>
      </c>
      <c r="CX43" s="49">
        <v>0</v>
      </c>
      <c r="CY43" s="74">
        <v>1</v>
      </c>
      <c r="CZ43" s="74">
        <v>0</v>
      </c>
      <c r="DA43" s="49">
        <v>0</v>
      </c>
      <c r="DB43" s="49">
        <v>2</v>
      </c>
      <c r="DC43" s="49">
        <v>1</v>
      </c>
      <c r="DD43" s="49">
        <v>0</v>
      </c>
      <c r="DE43" s="49">
        <v>8</v>
      </c>
      <c r="DF43" s="49">
        <v>0</v>
      </c>
      <c r="DG43" s="49"/>
      <c r="DH43" s="49"/>
      <c r="DI43" s="49"/>
      <c r="DJ43" s="49">
        <v>1</v>
      </c>
      <c r="DK43" s="49">
        <v>1</v>
      </c>
      <c r="DL43" s="49" t="s">
        <v>271</v>
      </c>
      <c r="DM43" s="74">
        <v>0</v>
      </c>
      <c r="DN43" s="74">
        <v>2</v>
      </c>
      <c r="DO43" s="49" t="s">
        <v>3189</v>
      </c>
      <c r="DP43" s="74">
        <v>1</v>
      </c>
      <c r="DQ43" s="74">
        <v>0</v>
      </c>
      <c r="DR43" s="74">
        <v>0</v>
      </c>
      <c r="DS43" s="74">
        <v>3</v>
      </c>
      <c r="DT43" s="49">
        <v>2</v>
      </c>
      <c r="DU43" s="74">
        <v>0</v>
      </c>
      <c r="DV43" s="49" t="s">
        <v>100</v>
      </c>
      <c r="DW43" s="49">
        <v>0</v>
      </c>
      <c r="DX43" s="74">
        <v>0</v>
      </c>
      <c r="DY43" s="49">
        <v>2</v>
      </c>
      <c r="DZ43" s="49">
        <v>0</v>
      </c>
    </row>
    <row r="44" spans="1:130">
      <c r="A44" s="50">
        <v>42</v>
      </c>
      <c r="B44" s="50" t="s">
        <v>272</v>
      </c>
      <c r="C44" s="50" t="s">
        <v>273</v>
      </c>
      <c r="D44" s="72">
        <v>33543</v>
      </c>
      <c r="E44" s="49" t="s">
        <v>157</v>
      </c>
      <c r="F44" s="73">
        <v>1</v>
      </c>
      <c r="G44" s="74">
        <v>11</v>
      </c>
      <c r="H44" s="74">
        <v>1991</v>
      </c>
      <c r="I44" s="49" t="s">
        <v>274</v>
      </c>
      <c r="J44" s="49" t="s">
        <v>3190</v>
      </c>
      <c r="K44" s="74">
        <v>15</v>
      </c>
      <c r="L44" s="73">
        <v>1</v>
      </c>
      <c r="M44" s="73">
        <v>1</v>
      </c>
      <c r="N44" s="74">
        <v>1</v>
      </c>
      <c r="O44" s="74">
        <v>0</v>
      </c>
      <c r="P44" s="73" t="s">
        <v>100</v>
      </c>
      <c r="Q44" s="49">
        <v>0</v>
      </c>
      <c r="R44" s="49">
        <v>0</v>
      </c>
      <c r="S44" s="74">
        <v>5</v>
      </c>
      <c r="T44" s="74">
        <v>1</v>
      </c>
      <c r="U44" s="74">
        <v>0</v>
      </c>
      <c r="V44" s="49">
        <v>28</v>
      </c>
      <c r="W44" s="74">
        <v>0</v>
      </c>
      <c r="X44" s="74">
        <v>3</v>
      </c>
      <c r="Y44" s="74">
        <v>1</v>
      </c>
      <c r="Z44" s="74">
        <v>0</v>
      </c>
      <c r="AA44" s="74">
        <v>3</v>
      </c>
      <c r="AB44" s="74">
        <v>4</v>
      </c>
      <c r="AC44" s="74">
        <v>2</v>
      </c>
      <c r="AD44" s="49" t="s">
        <v>3191</v>
      </c>
      <c r="AE44" s="74">
        <v>3</v>
      </c>
      <c r="AF44" s="74">
        <v>2</v>
      </c>
      <c r="AG44" s="74">
        <v>2</v>
      </c>
      <c r="AH44" s="74">
        <v>0</v>
      </c>
      <c r="AI44" s="49">
        <v>0</v>
      </c>
      <c r="AJ44" s="49">
        <v>0</v>
      </c>
      <c r="AK44" s="74">
        <v>0</v>
      </c>
      <c r="AL44" s="74">
        <v>1</v>
      </c>
      <c r="AM44" s="49">
        <v>0</v>
      </c>
      <c r="AN44" s="49" t="s">
        <v>100</v>
      </c>
      <c r="AO44" s="74">
        <v>1</v>
      </c>
      <c r="AP44" s="49" t="s">
        <v>3192</v>
      </c>
      <c r="AQ44" s="49">
        <v>0</v>
      </c>
      <c r="AR44" s="49">
        <v>0</v>
      </c>
      <c r="AS44" s="49">
        <v>0</v>
      </c>
      <c r="AT44" s="49">
        <v>0</v>
      </c>
      <c r="AU44" s="49" t="s">
        <v>100</v>
      </c>
      <c r="AV44" s="49" t="s">
        <v>100</v>
      </c>
      <c r="AW44" s="49" t="s">
        <v>100</v>
      </c>
      <c r="AX44" s="49">
        <v>0</v>
      </c>
      <c r="AY44" s="49">
        <v>0</v>
      </c>
      <c r="AZ44" s="49">
        <v>0</v>
      </c>
      <c r="BA44" s="49">
        <v>0</v>
      </c>
      <c r="BB44" s="49">
        <v>3</v>
      </c>
      <c r="BC44" s="74">
        <v>0</v>
      </c>
      <c r="BD44" s="74">
        <v>0</v>
      </c>
      <c r="BE44" s="74">
        <v>0</v>
      </c>
      <c r="BF44" s="74">
        <v>0</v>
      </c>
      <c r="BG44" s="49"/>
      <c r="BH44" s="49">
        <v>0</v>
      </c>
      <c r="BI44" s="49">
        <v>0</v>
      </c>
      <c r="BJ44" s="49">
        <v>0</v>
      </c>
      <c r="BK44" s="74">
        <v>1</v>
      </c>
      <c r="BL44" s="74">
        <v>1</v>
      </c>
      <c r="BM44" s="49">
        <v>2</v>
      </c>
      <c r="BN44" s="49" t="s">
        <v>2993</v>
      </c>
      <c r="BO44" s="49">
        <v>1</v>
      </c>
      <c r="BP44" s="49">
        <v>0</v>
      </c>
      <c r="BQ44" s="49">
        <v>0</v>
      </c>
      <c r="BR44" s="49">
        <v>0</v>
      </c>
      <c r="BS44" s="49">
        <v>1</v>
      </c>
      <c r="BT44" s="49">
        <v>1</v>
      </c>
      <c r="BU44" s="49">
        <v>1</v>
      </c>
      <c r="BV44" s="49">
        <v>1</v>
      </c>
      <c r="BW44" s="49">
        <v>0</v>
      </c>
      <c r="BX44" s="49">
        <v>0</v>
      </c>
      <c r="BY44" s="74">
        <v>2</v>
      </c>
      <c r="BZ44" s="49">
        <v>0</v>
      </c>
      <c r="CA44" s="49">
        <v>0</v>
      </c>
      <c r="CB44" s="49" t="s">
        <v>100</v>
      </c>
      <c r="CC44" s="49">
        <v>0</v>
      </c>
      <c r="CD44" s="49" t="s">
        <v>100</v>
      </c>
      <c r="CE44" s="74">
        <v>5</v>
      </c>
      <c r="CF44" s="49">
        <v>0</v>
      </c>
      <c r="CG44" s="49">
        <v>0</v>
      </c>
      <c r="CH44" s="74">
        <v>1</v>
      </c>
      <c r="CI44" s="49">
        <v>0</v>
      </c>
      <c r="CJ44" s="49" t="s">
        <v>100</v>
      </c>
      <c r="CK44" s="49">
        <v>0</v>
      </c>
      <c r="CL44" s="49"/>
      <c r="CM44" s="49"/>
      <c r="CN44" s="49">
        <v>0</v>
      </c>
      <c r="CO44" s="49">
        <v>0</v>
      </c>
      <c r="CP44" s="49">
        <v>0</v>
      </c>
      <c r="CQ44" s="49">
        <v>0</v>
      </c>
      <c r="CR44" s="49">
        <v>1</v>
      </c>
      <c r="CS44" s="49">
        <v>0</v>
      </c>
      <c r="CT44" s="49">
        <v>0</v>
      </c>
      <c r="CU44" s="49">
        <v>0</v>
      </c>
      <c r="CV44" s="49">
        <v>1</v>
      </c>
      <c r="CW44" s="49">
        <v>0</v>
      </c>
      <c r="CX44" s="49">
        <v>1</v>
      </c>
      <c r="CY44" s="49">
        <v>0</v>
      </c>
      <c r="CZ44" s="74">
        <v>0</v>
      </c>
      <c r="DA44" s="49">
        <v>0</v>
      </c>
      <c r="DB44" s="49">
        <v>2</v>
      </c>
      <c r="DC44" s="74">
        <v>0</v>
      </c>
      <c r="DD44" s="49"/>
      <c r="DE44" s="49"/>
      <c r="DF44" s="49"/>
      <c r="DG44" s="49"/>
      <c r="DH44" s="49"/>
      <c r="DI44" s="49"/>
      <c r="DJ44" s="49">
        <v>0</v>
      </c>
      <c r="DK44" s="49">
        <v>1</v>
      </c>
      <c r="DL44" s="49" t="s">
        <v>275</v>
      </c>
      <c r="DM44" s="74">
        <v>1</v>
      </c>
      <c r="DN44" s="74">
        <v>2</v>
      </c>
      <c r="DO44" s="49" t="s">
        <v>2944</v>
      </c>
      <c r="DP44" s="74">
        <v>1</v>
      </c>
      <c r="DQ44" s="74">
        <v>1</v>
      </c>
      <c r="DR44" s="74">
        <v>1</v>
      </c>
      <c r="DS44" s="74">
        <v>1</v>
      </c>
      <c r="DT44" s="74">
        <v>2</v>
      </c>
      <c r="DU44" s="74">
        <v>0</v>
      </c>
      <c r="DV44" s="49" t="s">
        <v>100</v>
      </c>
      <c r="DW44" s="74">
        <v>0</v>
      </c>
      <c r="DX44" s="74">
        <v>0</v>
      </c>
      <c r="DY44" s="49">
        <v>2</v>
      </c>
      <c r="DZ44" s="49">
        <v>0</v>
      </c>
    </row>
    <row r="45" spans="1:130">
      <c r="A45" s="50">
        <v>43</v>
      </c>
      <c r="B45" s="50" t="s">
        <v>276</v>
      </c>
      <c r="C45" s="50" t="s">
        <v>102</v>
      </c>
      <c r="D45" s="72">
        <v>33551</v>
      </c>
      <c r="E45" s="49" t="s">
        <v>103</v>
      </c>
      <c r="F45" s="73">
        <v>9</v>
      </c>
      <c r="G45" s="74">
        <v>11</v>
      </c>
      <c r="H45" s="74">
        <v>1991</v>
      </c>
      <c r="I45" s="49" t="s">
        <v>277</v>
      </c>
      <c r="J45" s="49" t="s">
        <v>278</v>
      </c>
      <c r="K45" s="73">
        <v>17</v>
      </c>
      <c r="L45" s="73">
        <v>0</v>
      </c>
      <c r="M45" s="74">
        <v>2</v>
      </c>
      <c r="N45" s="74">
        <v>8</v>
      </c>
      <c r="O45" s="73">
        <v>0</v>
      </c>
      <c r="P45" s="73" t="s">
        <v>100</v>
      </c>
      <c r="Q45" s="49">
        <v>0</v>
      </c>
      <c r="R45" s="49">
        <v>0</v>
      </c>
      <c r="S45" s="74">
        <v>4</v>
      </c>
      <c r="T45" s="74">
        <v>0</v>
      </c>
      <c r="U45" s="74">
        <v>0</v>
      </c>
      <c r="V45" s="74">
        <v>45</v>
      </c>
      <c r="W45" s="74">
        <v>0</v>
      </c>
      <c r="X45" s="49"/>
      <c r="Y45" s="49">
        <v>0</v>
      </c>
      <c r="Z45" s="74">
        <v>0</v>
      </c>
      <c r="AA45" s="49"/>
      <c r="AB45" s="49"/>
      <c r="AC45" s="49"/>
      <c r="AD45" s="49"/>
      <c r="AE45" s="49"/>
      <c r="AF45" s="49"/>
      <c r="AG45" s="49"/>
      <c r="AH45" s="49"/>
      <c r="AI45" s="74">
        <v>3</v>
      </c>
      <c r="AJ45" s="49">
        <v>1</v>
      </c>
      <c r="AK45" s="49"/>
      <c r="AL45" s="49"/>
      <c r="AM45" s="74">
        <v>1</v>
      </c>
      <c r="AN45" s="49"/>
      <c r="AO45" s="49"/>
      <c r="AP45" s="49"/>
      <c r="AQ45" s="49">
        <v>1</v>
      </c>
      <c r="AR45" s="49">
        <v>0</v>
      </c>
      <c r="AS45" s="49">
        <v>1</v>
      </c>
      <c r="AT45" s="74">
        <v>1</v>
      </c>
      <c r="AU45" s="49">
        <v>1</v>
      </c>
      <c r="AV45" s="49"/>
      <c r="AW45" s="49"/>
      <c r="AX45" s="49">
        <v>0</v>
      </c>
      <c r="AY45" s="49">
        <v>0</v>
      </c>
      <c r="AZ45" s="49">
        <v>0</v>
      </c>
      <c r="BA45" s="49">
        <v>0</v>
      </c>
      <c r="BB45" s="49">
        <v>3</v>
      </c>
      <c r="BC45" s="49"/>
      <c r="BD45" s="49">
        <v>0</v>
      </c>
      <c r="BE45" s="49"/>
      <c r="BF45" s="49"/>
      <c r="BG45" s="49"/>
      <c r="BH45" s="49"/>
      <c r="BI45" s="49">
        <v>0</v>
      </c>
      <c r="BJ45" s="74">
        <v>1</v>
      </c>
      <c r="BK45" s="49"/>
      <c r="BL45" s="49">
        <v>1</v>
      </c>
      <c r="BM45" s="49">
        <v>2</v>
      </c>
      <c r="BN45" s="49" t="s">
        <v>2994</v>
      </c>
      <c r="BO45" s="49">
        <v>1</v>
      </c>
      <c r="BP45" s="49">
        <v>0</v>
      </c>
      <c r="BQ45" s="49">
        <v>1</v>
      </c>
      <c r="BR45" s="49">
        <v>0</v>
      </c>
      <c r="BS45" s="49">
        <v>0</v>
      </c>
      <c r="BT45" s="49">
        <v>1</v>
      </c>
      <c r="BU45" s="49">
        <v>1</v>
      </c>
      <c r="BV45" s="49">
        <v>1</v>
      </c>
      <c r="BW45" s="49">
        <v>0</v>
      </c>
      <c r="BX45" s="49">
        <v>0</v>
      </c>
      <c r="BY45" s="74">
        <v>1</v>
      </c>
      <c r="BZ45" s="49">
        <v>1</v>
      </c>
      <c r="CA45" s="49">
        <v>0</v>
      </c>
      <c r="CB45" s="49" t="s">
        <v>100</v>
      </c>
      <c r="CC45" s="49">
        <v>0</v>
      </c>
      <c r="CD45" s="74">
        <v>1</v>
      </c>
      <c r="CE45" s="74">
        <v>3</v>
      </c>
      <c r="CF45" s="49">
        <v>0</v>
      </c>
      <c r="CG45" s="49">
        <v>0</v>
      </c>
      <c r="CH45" s="49"/>
      <c r="CI45" s="74">
        <v>1</v>
      </c>
      <c r="CJ45" s="49" t="s">
        <v>279</v>
      </c>
      <c r="CK45" s="49">
        <v>0</v>
      </c>
      <c r="CL45" s="49"/>
      <c r="CM45" s="49"/>
      <c r="CN45" s="49">
        <v>0</v>
      </c>
      <c r="CO45" s="49">
        <v>0</v>
      </c>
      <c r="CP45" s="49">
        <v>0</v>
      </c>
      <c r="CQ45" s="49">
        <v>0</v>
      </c>
      <c r="CR45" s="49">
        <v>0</v>
      </c>
      <c r="CS45" s="49">
        <v>0</v>
      </c>
      <c r="CT45" s="49">
        <v>0</v>
      </c>
      <c r="CU45" s="74">
        <v>1</v>
      </c>
      <c r="CV45" s="49">
        <v>0</v>
      </c>
      <c r="CW45" s="49">
        <v>0</v>
      </c>
      <c r="CX45" s="49">
        <v>0</v>
      </c>
      <c r="CY45" s="49">
        <v>0</v>
      </c>
      <c r="CZ45" s="74">
        <v>1</v>
      </c>
      <c r="DA45" s="49">
        <v>0</v>
      </c>
      <c r="DB45" s="49">
        <v>2</v>
      </c>
      <c r="DC45" s="49">
        <v>0</v>
      </c>
      <c r="DD45" s="49"/>
      <c r="DE45" s="49"/>
      <c r="DF45" s="49"/>
      <c r="DG45" s="49"/>
      <c r="DH45" s="49"/>
      <c r="DI45" s="49"/>
      <c r="DJ45" s="49">
        <v>0</v>
      </c>
      <c r="DK45" s="49">
        <v>0</v>
      </c>
      <c r="DL45" s="49" t="s">
        <v>100</v>
      </c>
      <c r="DM45" s="74">
        <v>0</v>
      </c>
      <c r="DN45" s="49">
        <v>0</v>
      </c>
      <c r="DO45" s="49" t="s">
        <v>100</v>
      </c>
      <c r="DP45" s="74">
        <v>0</v>
      </c>
      <c r="DQ45" s="74">
        <v>0</v>
      </c>
      <c r="DR45" s="49"/>
      <c r="DS45" s="74">
        <v>3</v>
      </c>
      <c r="DT45" s="74">
        <v>1</v>
      </c>
      <c r="DU45" s="74">
        <v>0</v>
      </c>
      <c r="DV45" s="49" t="s">
        <v>100</v>
      </c>
      <c r="DW45" s="74">
        <v>0</v>
      </c>
      <c r="DX45" s="74">
        <v>0</v>
      </c>
      <c r="DY45" s="49">
        <v>2</v>
      </c>
      <c r="DZ45" s="74">
        <v>0</v>
      </c>
    </row>
    <row r="46" spans="1:130">
      <c r="A46" s="50">
        <v>44</v>
      </c>
      <c r="B46" s="50" t="s">
        <v>280</v>
      </c>
      <c r="C46" s="50" t="s">
        <v>281</v>
      </c>
      <c r="D46" s="72">
        <v>33556</v>
      </c>
      <c r="E46" s="49" t="s">
        <v>178</v>
      </c>
      <c r="F46" s="73">
        <v>14</v>
      </c>
      <c r="G46" s="74">
        <v>11</v>
      </c>
      <c r="H46" s="74">
        <v>1991</v>
      </c>
      <c r="I46" s="49" t="s">
        <v>282</v>
      </c>
      <c r="J46" s="49" t="s">
        <v>283</v>
      </c>
      <c r="K46" s="73">
        <v>22</v>
      </c>
      <c r="L46" s="73">
        <v>1</v>
      </c>
      <c r="M46" s="74">
        <v>1</v>
      </c>
      <c r="N46" s="74">
        <v>6</v>
      </c>
      <c r="O46" s="74">
        <v>0</v>
      </c>
      <c r="P46" s="73" t="s">
        <v>100</v>
      </c>
      <c r="Q46" s="49">
        <v>0</v>
      </c>
      <c r="R46" s="49">
        <v>0</v>
      </c>
      <c r="S46" s="74">
        <v>4</v>
      </c>
      <c r="T46" s="74">
        <v>6</v>
      </c>
      <c r="U46" s="74">
        <v>0</v>
      </c>
      <c r="V46" s="49">
        <v>31</v>
      </c>
      <c r="W46" s="49">
        <v>0</v>
      </c>
      <c r="X46" s="74">
        <v>0</v>
      </c>
      <c r="Y46" s="49">
        <v>0</v>
      </c>
      <c r="Z46" s="74">
        <v>0</v>
      </c>
      <c r="AA46" s="49">
        <v>1</v>
      </c>
      <c r="AB46" s="74">
        <v>1</v>
      </c>
      <c r="AC46" s="49"/>
      <c r="AD46" s="49"/>
      <c r="AE46" s="74">
        <v>3</v>
      </c>
      <c r="AF46" s="74">
        <v>2</v>
      </c>
      <c r="AG46" s="74">
        <v>2</v>
      </c>
      <c r="AH46" s="74">
        <v>0</v>
      </c>
      <c r="AI46" s="49">
        <v>0</v>
      </c>
      <c r="AJ46" s="49">
        <v>0</v>
      </c>
      <c r="AK46" s="74">
        <v>0</v>
      </c>
      <c r="AL46" s="74">
        <v>0</v>
      </c>
      <c r="AM46" s="49">
        <v>1</v>
      </c>
      <c r="AN46" s="49">
        <v>3</v>
      </c>
      <c r="AO46" s="74">
        <v>2</v>
      </c>
      <c r="AP46" s="49" t="s">
        <v>837</v>
      </c>
      <c r="AQ46" s="74">
        <v>1</v>
      </c>
      <c r="AR46" s="49">
        <v>0</v>
      </c>
      <c r="AS46" s="49">
        <v>1</v>
      </c>
      <c r="AT46" s="49">
        <v>0</v>
      </c>
      <c r="AU46" s="49" t="s">
        <v>100</v>
      </c>
      <c r="AV46" s="49" t="s">
        <v>100</v>
      </c>
      <c r="AW46" s="49" t="s">
        <v>100</v>
      </c>
      <c r="AX46" s="49">
        <v>0</v>
      </c>
      <c r="AY46" s="49">
        <v>0</v>
      </c>
      <c r="AZ46" s="49">
        <v>0</v>
      </c>
      <c r="BA46" s="49">
        <v>0</v>
      </c>
      <c r="BB46" s="49">
        <v>3</v>
      </c>
      <c r="BC46" s="74">
        <v>0</v>
      </c>
      <c r="BD46" s="49">
        <v>0</v>
      </c>
      <c r="BE46" s="49">
        <v>1</v>
      </c>
      <c r="BF46" s="49">
        <v>0</v>
      </c>
      <c r="BG46" s="49"/>
      <c r="BH46" s="49">
        <v>1</v>
      </c>
      <c r="BI46" s="49">
        <v>0</v>
      </c>
      <c r="BJ46" s="49">
        <v>0</v>
      </c>
      <c r="BK46" s="74">
        <v>1</v>
      </c>
      <c r="BL46" s="49">
        <v>1</v>
      </c>
      <c r="BM46" s="49">
        <v>2</v>
      </c>
      <c r="BN46" s="49" t="s">
        <v>2995</v>
      </c>
      <c r="BO46" s="49">
        <v>1</v>
      </c>
      <c r="BP46" s="49">
        <v>0</v>
      </c>
      <c r="BQ46" s="49">
        <v>0</v>
      </c>
      <c r="BR46" s="49">
        <v>0</v>
      </c>
      <c r="BS46" s="49">
        <v>0</v>
      </c>
      <c r="BT46" s="49">
        <v>1</v>
      </c>
      <c r="BU46" s="49">
        <v>1</v>
      </c>
      <c r="BV46" s="49">
        <v>0</v>
      </c>
      <c r="BW46" s="49">
        <v>1</v>
      </c>
      <c r="BX46" s="49">
        <v>0</v>
      </c>
      <c r="BY46" s="74">
        <v>2</v>
      </c>
      <c r="BZ46" s="49">
        <v>0</v>
      </c>
      <c r="CA46" s="49">
        <v>0</v>
      </c>
      <c r="CB46" s="49" t="s">
        <v>100</v>
      </c>
      <c r="CC46" s="49">
        <v>0</v>
      </c>
      <c r="CD46" s="49" t="s">
        <v>100</v>
      </c>
      <c r="CE46" s="74">
        <v>5</v>
      </c>
      <c r="CF46" s="49">
        <v>0</v>
      </c>
      <c r="CG46" s="49">
        <v>0</v>
      </c>
      <c r="CH46" s="49">
        <v>0</v>
      </c>
      <c r="CI46" s="49">
        <v>0</v>
      </c>
      <c r="CJ46" s="49" t="s">
        <v>100</v>
      </c>
      <c r="CK46" s="49">
        <v>3</v>
      </c>
      <c r="CL46" s="49"/>
      <c r="CM46" s="49"/>
      <c r="CN46" s="49">
        <v>0</v>
      </c>
      <c r="CO46" s="49">
        <v>0</v>
      </c>
      <c r="CP46" s="49">
        <v>0</v>
      </c>
      <c r="CQ46" s="49">
        <v>0</v>
      </c>
      <c r="CR46" s="49">
        <v>1</v>
      </c>
      <c r="CS46" s="49">
        <v>0</v>
      </c>
      <c r="CT46" s="74">
        <v>1</v>
      </c>
      <c r="CU46" s="49">
        <v>0</v>
      </c>
      <c r="CV46" s="49">
        <v>0</v>
      </c>
      <c r="CW46" s="49">
        <v>0</v>
      </c>
      <c r="CX46" s="49">
        <v>0</v>
      </c>
      <c r="CY46" s="49">
        <v>0</v>
      </c>
      <c r="CZ46" s="49">
        <v>0</v>
      </c>
      <c r="DA46" s="49">
        <v>0</v>
      </c>
      <c r="DB46" s="49">
        <v>2</v>
      </c>
      <c r="DC46" s="74">
        <v>1</v>
      </c>
      <c r="DD46" s="49">
        <v>0</v>
      </c>
      <c r="DE46" s="49">
        <v>4</v>
      </c>
      <c r="DF46" s="49">
        <v>1</v>
      </c>
      <c r="DG46" s="49"/>
      <c r="DH46" s="49"/>
      <c r="DI46" s="49"/>
      <c r="DJ46" s="49">
        <v>0</v>
      </c>
      <c r="DK46" s="74">
        <v>1</v>
      </c>
      <c r="DL46" s="49" t="s">
        <v>284</v>
      </c>
      <c r="DM46" s="74">
        <v>0</v>
      </c>
      <c r="DN46" s="49">
        <v>0</v>
      </c>
      <c r="DO46" s="49" t="s">
        <v>100</v>
      </c>
      <c r="DP46" s="74">
        <v>0</v>
      </c>
      <c r="DQ46" s="74">
        <v>0</v>
      </c>
      <c r="DR46" s="49">
        <v>0</v>
      </c>
      <c r="DS46" s="74">
        <v>3</v>
      </c>
      <c r="DT46" s="74">
        <v>1</v>
      </c>
      <c r="DU46" s="74">
        <v>0</v>
      </c>
      <c r="DV46" s="49" t="s">
        <v>100</v>
      </c>
      <c r="DW46" s="49">
        <v>0</v>
      </c>
      <c r="DX46" s="74">
        <v>0</v>
      </c>
      <c r="DY46" s="49">
        <v>2</v>
      </c>
      <c r="DZ46" s="49">
        <v>0</v>
      </c>
    </row>
    <row r="47" spans="1:130">
      <c r="A47" s="50">
        <v>45</v>
      </c>
      <c r="B47" s="50" t="s">
        <v>285</v>
      </c>
      <c r="C47" s="50" t="s">
        <v>2996</v>
      </c>
      <c r="D47" s="72">
        <v>33678</v>
      </c>
      <c r="E47" s="49" t="s">
        <v>137</v>
      </c>
      <c r="F47" s="73">
        <v>15</v>
      </c>
      <c r="G47" s="74">
        <v>3</v>
      </c>
      <c r="H47" s="74">
        <v>1992</v>
      </c>
      <c r="I47" s="49" t="s">
        <v>286</v>
      </c>
      <c r="J47" s="49" t="s">
        <v>287</v>
      </c>
      <c r="K47" s="74">
        <v>3</v>
      </c>
      <c r="L47" s="74">
        <v>3</v>
      </c>
      <c r="M47" s="73">
        <v>0</v>
      </c>
      <c r="N47" s="74">
        <v>8</v>
      </c>
      <c r="O47" s="74">
        <v>1</v>
      </c>
      <c r="P47" s="74">
        <v>4</v>
      </c>
      <c r="Q47" s="49">
        <v>0</v>
      </c>
      <c r="R47" s="49">
        <v>0</v>
      </c>
      <c r="S47" s="74">
        <v>4</v>
      </c>
      <c r="T47" s="74">
        <v>0</v>
      </c>
      <c r="U47" s="74">
        <v>0</v>
      </c>
      <c r="V47" s="74">
        <v>26</v>
      </c>
      <c r="W47" s="74">
        <v>0</v>
      </c>
      <c r="X47" s="74">
        <v>0</v>
      </c>
      <c r="Y47" s="49">
        <v>0</v>
      </c>
      <c r="Z47" s="74">
        <v>0</v>
      </c>
      <c r="AA47" s="49"/>
      <c r="AB47" s="49"/>
      <c r="AC47" s="49"/>
      <c r="AD47" s="49"/>
      <c r="AE47" s="49"/>
      <c r="AF47" s="49"/>
      <c r="AG47" s="49"/>
      <c r="AH47" s="49"/>
      <c r="AI47" s="74">
        <v>0</v>
      </c>
      <c r="AJ47" s="49">
        <v>0</v>
      </c>
      <c r="AK47" s="74">
        <v>1</v>
      </c>
      <c r="AL47" s="74">
        <v>0</v>
      </c>
      <c r="AM47" s="49">
        <v>0</v>
      </c>
      <c r="AN47" s="49" t="s">
        <v>100</v>
      </c>
      <c r="AO47" s="49"/>
      <c r="AP47" s="49"/>
      <c r="AQ47" s="74">
        <v>0</v>
      </c>
      <c r="AR47" s="49">
        <v>0</v>
      </c>
      <c r="AS47" s="49">
        <v>0</v>
      </c>
      <c r="AT47" s="49">
        <v>0</v>
      </c>
      <c r="AU47" s="49" t="s">
        <v>100</v>
      </c>
      <c r="AV47" s="49" t="s">
        <v>100</v>
      </c>
      <c r="AW47" s="49" t="s">
        <v>100</v>
      </c>
      <c r="AX47" s="49">
        <v>0</v>
      </c>
      <c r="AY47" s="49">
        <v>0</v>
      </c>
      <c r="AZ47" s="49">
        <v>0</v>
      </c>
      <c r="BA47" s="49">
        <v>0</v>
      </c>
      <c r="BB47" s="49">
        <v>0</v>
      </c>
      <c r="BC47" s="49">
        <v>0</v>
      </c>
      <c r="BD47" s="49">
        <v>0</v>
      </c>
      <c r="BE47" s="74">
        <v>1</v>
      </c>
      <c r="BF47" s="49"/>
      <c r="BG47" s="74">
        <v>6</v>
      </c>
      <c r="BH47" s="49">
        <v>0</v>
      </c>
      <c r="BI47" s="74">
        <v>1</v>
      </c>
      <c r="BJ47" s="74">
        <v>1</v>
      </c>
      <c r="BK47" s="49">
        <v>0</v>
      </c>
      <c r="BL47" s="49">
        <v>1</v>
      </c>
      <c r="BM47" s="49">
        <v>1</v>
      </c>
      <c r="BN47" s="49" t="s">
        <v>3070</v>
      </c>
      <c r="BO47" s="49">
        <v>1</v>
      </c>
      <c r="BP47" s="49">
        <v>0</v>
      </c>
      <c r="BQ47" s="49">
        <v>1</v>
      </c>
      <c r="BR47" s="49">
        <v>0</v>
      </c>
      <c r="BS47" s="49">
        <v>0</v>
      </c>
      <c r="BT47" s="49">
        <v>1</v>
      </c>
      <c r="BU47" s="49">
        <v>0</v>
      </c>
      <c r="BV47" s="49">
        <v>0</v>
      </c>
      <c r="BW47" s="49">
        <v>0</v>
      </c>
      <c r="BX47" s="49">
        <v>0</v>
      </c>
      <c r="BY47" s="49">
        <v>0</v>
      </c>
      <c r="BZ47" s="49">
        <v>0</v>
      </c>
      <c r="CA47" s="49">
        <v>0</v>
      </c>
      <c r="CB47" s="49" t="s">
        <v>100</v>
      </c>
      <c r="CC47" s="49">
        <v>0</v>
      </c>
      <c r="CD47" s="49" t="s">
        <v>100</v>
      </c>
      <c r="CE47" s="74">
        <v>4</v>
      </c>
      <c r="CF47" s="49">
        <v>0</v>
      </c>
      <c r="CG47" s="49">
        <v>0</v>
      </c>
      <c r="CH47" s="74">
        <v>4</v>
      </c>
      <c r="CI47" s="49">
        <v>0</v>
      </c>
      <c r="CJ47" s="49" t="s">
        <v>100</v>
      </c>
      <c r="CK47" s="49">
        <v>0</v>
      </c>
      <c r="CL47" s="49"/>
      <c r="CM47" s="49"/>
      <c r="CN47" s="49">
        <v>0</v>
      </c>
      <c r="CO47" s="49">
        <v>0</v>
      </c>
      <c r="CP47" s="49">
        <v>0</v>
      </c>
      <c r="CQ47" s="49">
        <v>0</v>
      </c>
      <c r="CR47" s="49">
        <v>0</v>
      </c>
      <c r="CS47" s="49">
        <v>0</v>
      </c>
      <c r="CT47" s="49">
        <v>0</v>
      </c>
      <c r="CU47" s="49">
        <v>1</v>
      </c>
      <c r="CV47" s="49">
        <v>0</v>
      </c>
      <c r="CW47" s="49">
        <v>0</v>
      </c>
      <c r="CX47" s="49">
        <v>0</v>
      </c>
      <c r="CY47" s="49">
        <v>1</v>
      </c>
      <c r="CZ47" s="49">
        <v>0</v>
      </c>
      <c r="DA47" s="49">
        <v>0</v>
      </c>
      <c r="DB47" s="49">
        <v>2</v>
      </c>
      <c r="DC47" s="74">
        <v>0</v>
      </c>
      <c r="DD47" s="49"/>
      <c r="DE47" s="49"/>
      <c r="DF47" s="49"/>
      <c r="DG47" s="49"/>
      <c r="DH47" s="49"/>
      <c r="DI47" s="49"/>
      <c r="DJ47" s="49">
        <v>0</v>
      </c>
      <c r="DK47" s="49">
        <v>0</v>
      </c>
      <c r="DL47" s="49" t="s">
        <v>100</v>
      </c>
      <c r="DM47" s="74">
        <v>0</v>
      </c>
      <c r="DN47" s="49">
        <v>0</v>
      </c>
      <c r="DO47" s="49" t="s">
        <v>100</v>
      </c>
      <c r="DP47" s="74">
        <v>0</v>
      </c>
      <c r="DQ47" s="74">
        <v>0</v>
      </c>
      <c r="DR47" s="49">
        <v>0</v>
      </c>
      <c r="DS47" s="49"/>
      <c r="DT47" s="74">
        <v>1</v>
      </c>
      <c r="DU47" s="74">
        <v>0</v>
      </c>
      <c r="DV47" s="49" t="s">
        <v>100</v>
      </c>
      <c r="DW47" s="74">
        <v>2</v>
      </c>
      <c r="DX47" s="74">
        <v>1</v>
      </c>
      <c r="DY47" s="74">
        <v>1</v>
      </c>
      <c r="DZ47" s="74">
        <v>1</v>
      </c>
    </row>
    <row r="48" spans="1:130">
      <c r="A48" s="50">
        <v>46</v>
      </c>
      <c r="B48" s="50" t="s">
        <v>288</v>
      </c>
      <c r="C48" s="50" t="s">
        <v>114</v>
      </c>
      <c r="D48" s="72">
        <v>33725</v>
      </c>
      <c r="E48" s="49" t="s">
        <v>157</v>
      </c>
      <c r="F48" s="73">
        <v>1</v>
      </c>
      <c r="G48" s="73">
        <v>5</v>
      </c>
      <c r="H48" s="49">
        <v>1992</v>
      </c>
      <c r="I48" s="49" t="s">
        <v>289</v>
      </c>
      <c r="J48" s="49" t="s">
        <v>290</v>
      </c>
      <c r="K48" s="73">
        <v>5</v>
      </c>
      <c r="L48" s="73">
        <v>3</v>
      </c>
      <c r="M48" s="73">
        <v>2</v>
      </c>
      <c r="N48" s="73">
        <v>0</v>
      </c>
      <c r="O48" s="74">
        <v>0</v>
      </c>
      <c r="P48" s="73" t="s">
        <v>100</v>
      </c>
      <c r="Q48" s="49">
        <v>0</v>
      </c>
      <c r="R48" s="49">
        <v>0</v>
      </c>
      <c r="S48" s="74">
        <v>4</v>
      </c>
      <c r="T48" s="74">
        <v>10</v>
      </c>
      <c r="U48" s="74">
        <v>1</v>
      </c>
      <c r="V48" s="49">
        <v>20</v>
      </c>
      <c r="W48" s="49">
        <v>0</v>
      </c>
      <c r="X48" s="49">
        <v>0</v>
      </c>
      <c r="Y48" s="49">
        <v>0</v>
      </c>
      <c r="Z48" s="49">
        <v>1</v>
      </c>
      <c r="AA48" s="49"/>
      <c r="AB48" s="49">
        <v>0</v>
      </c>
      <c r="AC48" s="74">
        <v>0</v>
      </c>
      <c r="AD48" s="49" t="s">
        <v>3193</v>
      </c>
      <c r="AE48" s="74">
        <v>3</v>
      </c>
      <c r="AF48" s="74">
        <v>2</v>
      </c>
      <c r="AG48" s="74">
        <v>2</v>
      </c>
      <c r="AH48" s="74">
        <v>0</v>
      </c>
      <c r="AI48" s="49">
        <v>0</v>
      </c>
      <c r="AJ48" s="49">
        <v>0</v>
      </c>
      <c r="AK48" s="49">
        <v>0</v>
      </c>
      <c r="AL48" s="49">
        <v>0</v>
      </c>
      <c r="AM48" s="49">
        <v>0</v>
      </c>
      <c r="AN48" s="49" t="s">
        <v>100</v>
      </c>
      <c r="AO48" s="74">
        <v>0</v>
      </c>
      <c r="AP48" s="49"/>
      <c r="AQ48" s="49">
        <v>0</v>
      </c>
      <c r="AR48" s="49">
        <v>0</v>
      </c>
      <c r="AS48" s="74">
        <v>1</v>
      </c>
      <c r="AT48" s="74">
        <v>2</v>
      </c>
      <c r="AU48" s="49">
        <v>1</v>
      </c>
      <c r="AV48" s="49">
        <v>3</v>
      </c>
      <c r="AW48" s="49"/>
      <c r="AX48" s="49">
        <v>0</v>
      </c>
      <c r="AY48" s="49">
        <v>0</v>
      </c>
      <c r="AZ48" s="49">
        <v>0</v>
      </c>
      <c r="BA48" s="49">
        <v>0</v>
      </c>
      <c r="BB48" s="49">
        <v>0</v>
      </c>
      <c r="BC48" s="49">
        <v>0</v>
      </c>
      <c r="BD48" s="49">
        <v>0</v>
      </c>
      <c r="BE48" s="74">
        <v>1</v>
      </c>
      <c r="BF48" s="74">
        <v>0</v>
      </c>
      <c r="BG48" s="74">
        <v>5</v>
      </c>
      <c r="BH48" s="49">
        <v>0</v>
      </c>
      <c r="BI48" s="49">
        <v>0</v>
      </c>
      <c r="BJ48" s="74">
        <v>1</v>
      </c>
      <c r="BK48" s="49">
        <v>1</v>
      </c>
      <c r="BL48" s="49">
        <v>1</v>
      </c>
      <c r="BM48" s="49">
        <v>2</v>
      </c>
      <c r="BN48" s="49" t="s">
        <v>2997</v>
      </c>
      <c r="BO48" s="49">
        <v>1</v>
      </c>
      <c r="BP48" s="49">
        <v>0</v>
      </c>
      <c r="BQ48" s="49">
        <v>1</v>
      </c>
      <c r="BR48" s="49">
        <v>0</v>
      </c>
      <c r="BS48" s="49">
        <v>0</v>
      </c>
      <c r="BT48" s="49">
        <v>1</v>
      </c>
      <c r="BU48" s="49">
        <v>0</v>
      </c>
      <c r="BV48" s="49">
        <v>0</v>
      </c>
      <c r="BW48" s="49">
        <v>1</v>
      </c>
      <c r="BX48" s="49">
        <v>0</v>
      </c>
      <c r="BY48" s="74">
        <v>1</v>
      </c>
      <c r="BZ48" s="49">
        <v>0</v>
      </c>
      <c r="CA48" s="49">
        <v>0</v>
      </c>
      <c r="CB48" s="49" t="s">
        <v>100</v>
      </c>
      <c r="CC48" s="49">
        <v>0</v>
      </c>
      <c r="CD48" s="49" t="s">
        <v>100</v>
      </c>
      <c r="CE48" s="74">
        <v>4</v>
      </c>
      <c r="CF48" s="74">
        <v>2</v>
      </c>
      <c r="CG48" s="49">
        <v>0</v>
      </c>
      <c r="CH48" s="74">
        <v>0</v>
      </c>
      <c r="CI48" s="74">
        <v>1</v>
      </c>
      <c r="CJ48" s="49" t="s">
        <v>291</v>
      </c>
      <c r="CK48" s="49">
        <v>0</v>
      </c>
      <c r="CL48" s="49"/>
      <c r="CM48" s="49"/>
      <c r="CN48" s="49">
        <v>0</v>
      </c>
      <c r="CO48" s="49">
        <v>0</v>
      </c>
      <c r="CP48" s="49">
        <v>0</v>
      </c>
      <c r="CQ48" s="49">
        <v>0</v>
      </c>
      <c r="CR48" s="74">
        <v>1</v>
      </c>
      <c r="CS48" s="49">
        <v>0</v>
      </c>
      <c r="CT48" s="49">
        <v>0</v>
      </c>
      <c r="CU48" s="74">
        <v>1</v>
      </c>
      <c r="CV48" s="74">
        <v>1</v>
      </c>
      <c r="CW48" s="74">
        <v>1</v>
      </c>
      <c r="CX48" s="49">
        <v>0</v>
      </c>
      <c r="CY48" s="49">
        <v>0</v>
      </c>
      <c r="CZ48" s="74">
        <v>0</v>
      </c>
      <c r="DA48" s="74">
        <v>2</v>
      </c>
      <c r="DB48" s="49">
        <v>2</v>
      </c>
      <c r="DC48" s="74">
        <v>1</v>
      </c>
      <c r="DD48" s="49">
        <v>0</v>
      </c>
      <c r="DE48" s="49">
        <v>5</v>
      </c>
      <c r="DF48" s="49">
        <v>1</v>
      </c>
      <c r="DG48" s="49"/>
      <c r="DH48" s="49"/>
      <c r="DI48" s="49"/>
      <c r="DJ48" s="74">
        <v>1</v>
      </c>
      <c r="DK48" s="49">
        <v>0</v>
      </c>
      <c r="DL48" s="49" t="s">
        <v>100</v>
      </c>
      <c r="DM48" s="74">
        <v>1</v>
      </c>
      <c r="DN48" s="49">
        <v>2</v>
      </c>
      <c r="DO48" s="49" t="s">
        <v>840</v>
      </c>
      <c r="DP48" s="74">
        <v>1</v>
      </c>
      <c r="DQ48" s="74">
        <v>0</v>
      </c>
      <c r="DR48" s="74">
        <v>1</v>
      </c>
      <c r="DS48" s="74">
        <v>3</v>
      </c>
      <c r="DT48" s="49">
        <v>2</v>
      </c>
      <c r="DU48" s="74">
        <v>1</v>
      </c>
      <c r="DV48" s="49" t="s">
        <v>292</v>
      </c>
      <c r="DW48" s="49">
        <v>2</v>
      </c>
      <c r="DX48" s="74">
        <v>0</v>
      </c>
      <c r="DY48" s="74">
        <v>1</v>
      </c>
      <c r="DZ48" s="74">
        <v>1</v>
      </c>
    </row>
    <row r="49" spans="1:130">
      <c r="A49" s="50">
        <v>47</v>
      </c>
      <c r="B49" s="50" t="s">
        <v>293</v>
      </c>
      <c r="C49" s="50" t="s">
        <v>190</v>
      </c>
      <c r="D49" s="72">
        <v>33892</v>
      </c>
      <c r="E49" s="49" t="s">
        <v>178</v>
      </c>
      <c r="F49" s="73">
        <v>15</v>
      </c>
      <c r="G49" s="73">
        <v>10</v>
      </c>
      <c r="H49" s="49">
        <v>1992</v>
      </c>
      <c r="I49" s="49" t="s">
        <v>294</v>
      </c>
      <c r="J49" s="49" t="s">
        <v>295</v>
      </c>
      <c r="K49" s="74">
        <v>32</v>
      </c>
      <c r="L49" s="73">
        <v>2</v>
      </c>
      <c r="M49" s="73">
        <v>2</v>
      </c>
      <c r="N49" s="74">
        <v>2</v>
      </c>
      <c r="O49" s="74">
        <v>0</v>
      </c>
      <c r="P49" s="73" t="s">
        <v>100</v>
      </c>
      <c r="Q49" s="49">
        <v>0</v>
      </c>
      <c r="R49" s="49">
        <v>0</v>
      </c>
      <c r="S49" s="73">
        <v>4</v>
      </c>
      <c r="T49" s="74">
        <v>0</v>
      </c>
      <c r="U49" s="74">
        <v>0</v>
      </c>
      <c r="V49" s="49">
        <v>50</v>
      </c>
      <c r="W49" s="49">
        <v>0</v>
      </c>
      <c r="X49" s="49"/>
      <c r="Y49" s="74">
        <v>0</v>
      </c>
      <c r="Z49" s="74">
        <v>0</v>
      </c>
      <c r="AA49" s="49"/>
      <c r="AB49" s="49" t="s">
        <v>818</v>
      </c>
      <c r="AC49" s="49"/>
      <c r="AD49" s="49"/>
      <c r="AE49" s="49"/>
      <c r="AF49" s="74">
        <v>2</v>
      </c>
      <c r="AG49" s="49"/>
      <c r="AH49" s="49"/>
      <c r="AI49" s="74">
        <v>0</v>
      </c>
      <c r="AJ49" s="49">
        <v>1</v>
      </c>
      <c r="AK49" s="74">
        <v>1</v>
      </c>
      <c r="AL49" s="74">
        <v>0</v>
      </c>
      <c r="AM49" s="49">
        <v>1</v>
      </c>
      <c r="AN49" s="74">
        <v>0</v>
      </c>
      <c r="AO49" s="74">
        <v>0</v>
      </c>
      <c r="AP49" s="49"/>
      <c r="AQ49" s="74">
        <v>1</v>
      </c>
      <c r="AR49" s="49">
        <v>0</v>
      </c>
      <c r="AS49" s="74">
        <v>1</v>
      </c>
      <c r="AT49" s="74">
        <v>1</v>
      </c>
      <c r="AU49" s="49">
        <v>1</v>
      </c>
      <c r="AV49" s="49"/>
      <c r="AW49" s="49"/>
      <c r="AX49" s="49">
        <v>0</v>
      </c>
      <c r="AY49" s="49">
        <v>0</v>
      </c>
      <c r="AZ49" s="49">
        <v>0</v>
      </c>
      <c r="BA49" s="49">
        <v>0</v>
      </c>
      <c r="BB49" s="49">
        <v>0</v>
      </c>
      <c r="BC49" s="49">
        <v>0</v>
      </c>
      <c r="BD49" s="49">
        <v>0</v>
      </c>
      <c r="BE49" s="49"/>
      <c r="BF49" s="49"/>
      <c r="BG49" s="49"/>
      <c r="BH49" s="49"/>
      <c r="BI49" s="49">
        <v>0</v>
      </c>
      <c r="BJ49" s="49">
        <v>0</v>
      </c>
      <c r="BK49" s="74">
        <v>0</v>
      </c>
      <c r="BL49" s="49">
        <v>1</v>
      </c>
      <c r="BM49" s="49">
        <v>0</v>
      </c>
      <c r="BN49" s="49" t="s">
        <v>2998</v>
      </c>
      <c r="BO49" s="49">
        <v>1</v>
      </c>
      <c r="BP49" s="49">
        <v>0</v>
      </c>
      <c r="BQ49" s="49">
        <v>0</v>
      </c>
      <c r="BR49" s="49">
        <v>0</v>
      </c>
      <c r="BS49" s="49">
        <v>0</v>
      </c>
      <c r="BT49" s="49">
        <v>1</v>
      </c>
      <c r="BU49" s="49">
        <v>0</v>
      </c>
      <c r="BV49" s="49">
        <v>0</v>
      </c>
      <c r="BW49" s="49">
        <v>0</v>
      </c>
      <c r="BX49" s="49">
        <v>0</v>
      </c>
      <c r="BY49" s="74">
        <v>1</v>
      </c>
      <c r="BZ49" s="49">
        <v>0</v>
      </c>
      <c r="CA49" s="49">
        <v>1</v>
      </c>
      <c r="CB49" s="74">
        <v>1</v>
      </c>
      <c r="CC49" s="49">
        <v>0</v>
      </c>
      <c r="CD49" s="74">
        <v>0</v>
      </c>
      <c r="CE49" s="49">
        <v>0</v>
      </c>
      <c r="CF49" s="49">
        <v>0</v>
      </c>
      <c r="CG49" s="49">
        <v>0</v>
      </c>
      <c r="CH49" s="74">
        <v>5</v>
      </c>
      <c r="CI49" s="49">
        <v>0</v>
      </c>
      <c r="CJ49" s="49" t="s">
        <v>100</v>
      </c>
      <c r="CK49" s="49">
        <v>0</v>
      </c>
      <c r="CL49" s="49"/>
      <c r="CM49" s="49"/>
      <c r="CN49" s="49">
        <v>0</v>
      </c>
      <c r="CO49" s="49">
        <v>0</v>
      </c>
      <c r="CP49" s="49">
        <v>0</v>
      </c>
      <c r="CQ49" s="49">
        <v>0</v>
      </c>
      <c r="CR49" s="49">
        <v>0</v>
      </c>
      <c r="CS49" s="74">
        <v>1</v>
      </c>
      <c r="CT49" s="74">
        <v>1</v>
      </c>
      <c r="CU49" s="49">
        <v>0</v>
      </c>
      <c r="CV49" s="49">
        <v>0</v>
      </c>
      <c r="CW49" s="49">
        <v>0</v>
      </c>
      <c r="CX49" s="49">
        <v>0</v>
      </c>
      <c r="CY49" s="49">
        <v>0</v>
      </c>
      <c r="CZ49" s="74">
        <v>0</v>
      </c>
      <c r="DA49" s="49">
        <v>0</v>
      </c>
      <c r="DB49" s="49">
        <v>2</v>
      </c>
      <c r="DC49" s="74">
        <v>0</v>
      </c>
      <c r="DD49" s="49"/>
      <c r="DE49" s="49"/>
      <c r="DF49" s="49"/>
      <c r="DG49" s="49"/>
      <c r="DH49" s="49"/>
      <c r="DI49" s="49"/>
      <c r="DJ49" s="49">
        <v>0</v>
      </c>
      <c r="DK49" s="49">
        <v>0</v>
      </c>
      <c r="DL49" s="49" t="s">
        <v>100</v>
      </c>
      <c r="DM49" s="74">
        <v>1</v>
      </c>
      <c r="DN49" s="49">
        <v>0</v>
      </c>
      <c r="DO49" s="49" t="s">
        <v>100</v>
      </c>
      <c r="DP49" s="74">
        <v>0</v>
      </c>
      <c r="DQ49" s="74">
        <v>0</v>
      </c>
      <c r="DR49" s="74">
        <v>0</v>
      </c>
      <c r="DS49" s="74">
        <v>3</v>
      </c>
      <c r="DT49" s="74">
        <v>1</v>
      </c>
      <c r="DU49" s="74">
        <v>0</v>
      </c>
      <c r="DV49" s="49" t="s">
        <v>100</v>
      </c>
      <c r="DW49" s="74">
        <v>0</v>
      </c>
      <c r="DX49" s="74">
        <v>0</v>
      </c>
      <c r="DY49" s="49">
        <v>2</v>
      </c>
      <c r="DZ49" s="49">
        <v>0</v>
      </c>
    </row>
    <row r="50" spans="1:130">
      <c r="A50" s="50">
        <v>48</v>
      </c>
      <c r="B50" s="50" t="s">
        <v>296</v>
      </c>
      <c r="C50" s="50" t="s">
        <v>297</v>
      </c>
      <c r="D50" s="72">
        <v>33916</v>
      </c>
      <c r="E50" s="49" t="s">
        <v>137</v>
      </c>
      <c r="F50" s="73">
        <v>8</v>
      </c>
      <c r="G50" s="74">
        <v>11</v>
      </c>
      <c r="H50" s="74">
        <v>1992</v>
      </c>
      <c r="I50" s="49" t="s">
        <v>298</v>
      </c>
      <c r="J50" s="49" t="s">
        <v>299</v>
      </c>
      <c r="K50" s="74">
        <v>5</v>
      </c>
      <c r="L50" s="74">
        <v>3</v>
      </c>
      <c r="M50" s="74">
        <v>1</v>
      </c>
      <c r="N50" s="74">
        <v>7</v>
      </c>
      <c r="O50" s="73">
        <v>1</v>
      </c>
      <c r="P50" s="74">
        <v>4</v>
      </c>
      <c r="Q50" s="49">
        <v>0</v>
      </c>
      <c r="R50" s="49">
        <v>0</v>
      </c>
      <c r="S50" s="74">
        <v>6</v>
      </c>
      <c r="T50" s="73">
        <v>1</v>
      </c>
      <c r="U50" s="74">
        <v>1</v>
      </c>
      <c r="V50" s="74">
        <v>43</v>
      </c>
      <c r="W50" s="74">
        <v>0</v>
      </c>
      <c r="X50" s="49">
        <v>0</v>
      </c>
      <c r="Y50" s="49">
        <v>0</v>
      </c>
      <c r="Z50" s="49">
        <v>0</v>
      </c>
      <c r="AA50" s="74">
        <v>1</v>
      </c>
      <c r="AB50" s="49"/>
      <c r="AC50" s="49"/>
      <c r="AD50" s="49"/>
      <c r="AE50" s="49"/>
      <c r="AF50" s="74">
        <v>1</v>
      </c>
      <c r="AG50" s="49"/>
      <c r="AH50" s="49"/>
      <c r="AI50" s="49">
        <v>3</v>
      </c>
      <c r="AJ50" s="49">
        <v>1</v>
      </c>
      <c r="AK50" s="74">
        <v>0</v>
      </c>
      <c r="AL50" s="74">
        <v>0</v>
      </c>
      <c r="AM50" s="49">
        <v>0</v>
      </c>
      <c r="AN50" s="49" t="s">
        <v>100</v>
      </c>
      <c r="AO50" s="74">
        <v>1</v>
      </c>
      <c r="AP50" s="49" t="s">
        <v>3194</v>
      </c>
      <c r="AQ50" s="49">
        <v>1</v>
      </c>
      <c r="AR50" s="49">
        <v>0</v>
      </c>
      <c r="AS50" s="49">
        <v>1</v>
      </c>
      <c r="AT50" s="49">
        <v>0</v>
      </c>
      <c r="AU50" s="49" t="s">
        <v>100</v>
      </c>
      <c r="AV50" s="49" t="s">
        <v>100</v>
      </c>
      <c r="AW50" s="49" t="s">
        <v>100</v>
      </c>
      <c r="AX50" s="49">
        <v>0</v>
      </c>
      <c r="AY50" s="49">
        <v>0</v>
      </c>
      <c r="AZ50" s="49">
        <v>0</v>
      </c>
      <c r="BA50" s="49">
        <v>0</v>
      </c>
      <c r="BB50" s="49">
        <v>0</v>
      </c>
      <c r="BC50" s="49"/>
      <c r="BD50" s="49"/>
      <c r="BE50" s="49">
        <v>0</v>
      </c>
      <c r="BF50" s="49">
        <v>0</v>
      </c>
      <c r="BG50" s="49" t="s">
        <v>818</v>
      </c>
      <c r="BH50" s="49"/>
      <c r="BI50" s="49">
        <v>0</v>
      </c>
      <c r="BJ50" s="49">
        <v>1</v>
      </c>
      <c r="BK50" s="49">
        <v>0</v>
      </c>
      <c r="BL50" s="74">
        <v>1</v>
      </c>
      <c r="BM50" s="49">
        <v>2</v>
      </c>
      <c r="BN50" s="49" t="s">
        <v>3071</v>
      </c>
      <c r="BO50" s="49">
        <v>1</v>
      </c>
      <c r="BP50" s="49">
        <v>0</v>
      </c>
      <c r="BQ50" s="49">
        <v>1</v>
      </c>
      <c r="BR50" s="49">
        <v>0</v>
      </c>
      <c r="BS50" s="49">
        <v>0</v>
      </c>
      <c r="BT50" s="49">
        <v>1</v>
      </c>
      <c r="BU50" s="49">
        <v>1</v>
      </c>
      <c r="BV50" s="49">
        <v>1</v>
      </c>
      <c r="BW50" s="49">
        <v>1</v>
      </c>
      <c r="BX50" s="49">
        <v>1</v>
      </c>
      <c r="BY50" s="74">
        <v>1</v>
      </c>
      <c r="BZ50" s="49">
        <v>0</v>
      </c>
      <c r="CA50" s="49">
        <v>0</v>
      </c>
      <c r="CB50" s="49" t="s">
        <v>100</v>
      </c>
      <c r="CC50" s="49"/>
      <c r="CD50" s="49" t="s">
        <v>100</v>
      </c>
      <c r="CE50" s="49">
        <v>0</v>
      </c>
      <c r="CF50" s="49">
        <v>0</v>
      </c>
      <c r="CG50" s="49">
        <v>0</v>
      </c>
      <c r="CH50" s="49">
        <v>0</v>
      </c>
      <c r="CI50" s="49">
        <v>1</v>
      </c>
      <c r="CJ50" s="49" t="s">
        <v>842</v>
      </c>
      <c r="CK50" s="49">
        <v>0</v>
      </c>
      <c r="CL50" s="49"/>
      <c r="CM50" s="49"/>
      <c r="CN50" s="49">
        <v>0</v>
      </c>
      <c r="CO50" s="49">
        <v>0</v>
      </c>
      <c r="CP50" s="49">
        <v>0</v>
      </c>
      <c r="CQ50" s="49">
        <v>0</v>
      </c>
      <c r="CR50" s="49">
        <v>0</v>
      </c>
      <c r="CS50" s="49">
        <v>1</v>
      </c>
      <c r="CT50" s="49">
        <v>1</v>
      </c>
      <c r="CU50" s="49">
        <v>1</v>
      </c>
      <c r="CV50" s="49">
        <v>1</v>
      </c>
      <c r="CW50" s="49">
        <v>0</v>
      </c>
      <c r="CX50" s="49">
        <v>0</v>
      </c>
      <c r="CY50" s="49">
        <v>0</v>
      </c>
      <c r="CZ50" s="74">
        <v>0</v>
      </c>
      <c r="DA50" s="49">
        <v>0</v>
      </c>
      <c r="DB50" s="49">
        <v>2</v>
      </c>
      <c r="DC50" s="49">
        <v>1</v>
      </c>
      <c r="DD50" s="49">
        <v>0</v>
      </c>
      <c r="DE50" s="49">
        <v>9</v>
      </c>
      <c r="DF50" s="49">
        <v>0</v>
      </c>
      <c r="DG50" s="49"/>
      <c r="DH50" s="49"/>
      <c r="DI50" s="49"/>
      <c r="DJ50" s="49">
        <v>0</v>
      </c>
      <c r="DK50" s="49">
        <v>0</v>
      </c>
      <c r="DL50" s="49" t="s">
        <v>100</v>
      </c>
      <c r="DM50" s="49">
        <v>1</v>
      </c>
      <c r="DN50" s="49">
        <v>0</v>
      </c>
      <c r="DO50" s="49" t="s">
        <v>100</v>
      </c>
      <c r="DP50" s="49">
        <v>0</v>
      </c>
      <c r="DQ50" s="74">
        <v>0</v>
      </c>
      <c r="DR50" s="49">
        <v>0</v>
      </c>
      <c r="DS50" s="49"/>
      <c r="DT50" s="49">
        <v>2</v>
      </c>
      <c r="DU50" s="49">
        <v>0</v>
      </c>
      <c r="DV50" s="49" t="s">
        <v>100</v>
      </c>
      <c r="DW50" s="74">
        <v>0</v>
      </c>
      <c r="DX50" s="74">
        <v>0</v>
      </c>
      <c r="DY50" s="49">
        <v>2</v>
      </c>
      <c r="DZ50" s="49">
        <v>0</v>
      </c>
    </row>
    <row r="51" spans="1:130">
      <c r="A51" s="50">
        <v>49</v>
      </c>
      <c r="B51" s="50" t="s">
        <v>300</v>
      </c>
      <c r="C51" s="50" t="s">
        <v>301</v>
      </c>
      <c r="D51" s="72">
        <v>34151</v>
      </c>
      <c r="E51" s="49" t="s">
        <v>178</v>
      </c>
      <c r="F51" s="73">
        <v>1</v>
      </c>
      <c r="G51" s="74">
        <v>7</v>
      </c>
      <c r="H51" s="49">
        <v>1993</v>
      </c>
      <c r="I51" s="49" t="s">
        <v>302</v>
      </c>
      <c r="J51" s="49" t="s">
        <v>303</v>
      </c>
      <c r="K51" s="74">
        <v>5</v>
      </c>
      <c r="L51" s="73">
        <v>3</v>
      </c>
      <c r="M51" s="73">
        <v>0</v>
      </c>
      <c r="N51" s="74">
        <v>6</v>
      </c>
      <c r="O51" s="74">
        <v>0</v>
      </c>
      <c r="P51" s="73" t="s">
        <v>100</v>
      </c>
      <c r="Q51" s="49">
        <v>0</v>
      </c>
      <c r="R51" s="49">
        <v>0</v>
      </c>
      <c r="S51" s="74">
        <v>8</v>
      </c>
      <c r="T51" s="74">
        <v>6</v>
      </c>
      <c r="U51" s="74">
        <v>0</v>
      </c>
      <c r="V51" s="49">
        <v>55</v>
      </c>
      <c r="W51" s="49">
        <v>0</v>
      </c>
      <c r="X51" s="49">
        <v>0</v>
      </c>
      <c r="Y51" s="49">
        <v>1</v>
      </c>
      <c r="Z51" s="74">
        <v>0</v>
      </c>
      <c r="AA51" s="74">
        <v>1</v>
      </c>
      <c r="AB51" s="74">
        <v>4</v>
      </c>
      <c r="AC51" s="49"/>
      <c r="AD51" s="49"/>
      <c r="AE51" s="49"/>
      <c r="AF51" s="74">
        <v>1</v>
      </c>
      <c r="AG51" s="49"/>
      <c r="AH51" s="49"/>
      <c r="AI51" s="49">
        <v>3</v>
      </c>
      <c r="AJ51" s="74">
        <v>0</v>
      </c>
      <c r="AK51" s="74">
        <v>1</v>
      </c>
      <c r="AL51" s="74">
        <v>1</v>
      </c>
      <c r="AM51" s="49">
        <v>0</v>
      </c>
      <c r="AN51" s="49" t="s">
        <v>100</v>
      </c>
      <c r="AO51" s="49"/>
      <c r="AP51" s="49"/>
      <c r="AQ51" s="74">
        <v>0</v>
      </c>
      <c r="AR51" s="49">
        <v>0</v>
      </c>
      <c r="AS51" s="74">
        <v>0</v>
      </c>
      <c r="AT51" s="49">
        <v>0</v>
      </c>
      <c r="AU51" s="49" t="s">
        <v>100</v>
      </c>
      <c r="AV51" s="49" t="s">
        <v>100</v>
      </c>
      <c r="AW51" s="49" t="s">
        <v>100</v>
      </c>
      <c r="AX51" s="49">
        <v>0</v>
      </c>
      <c r="AY51" s="49">
        <v>0</v>
      </c>
      <c r="AZ51" s="49">
        <v>0</v>
      </c>
      <c r="BA51" s="49">
        <v>0</v>
      </c>
      <c r="BB51" s="49">
        <v>0</v>
      </c>
      <c r="BC51" s="74">
        <v>0</v>
      </c>
      <c r="BD51" s="49">
        <v>0</v>
      </c>
      <c r="BE51" s="49"/>
      <c r="BF51" s="49"/>
      <c r="BG51" s="49"/>
      <c r="BH51" s="49"/>
      <c r="BI51" s="49">
        <v>0</v>
      </c>
      <c r="BJ51" s="49">
        <v>0</v>
      </c>
      <c r="BK51" s="49">
        <v>1</v>
      </c>
      <c r="BL51" s="49">
        <v>1</v>
      </c>
      <c r="BM51" s="49">
        <v>2</v>
      </c>
      <c r="BN51" s="49" t="s">
        <v>2999</v>
      </c>
      <c r="BO51" s="49">
        <v>1</v>
      </c>
      <c r="BP51" s="49">
        <v>0</v>
      </c>
      <c r="BQ51" s="49">
        <v>0</v>
      </c>
      <c r="BR51" s="49">
        <v>0</v>
      </c>
      <c r="BS51" s="49">
        <v>0</v>
      </c>
      <c r="BT51" s="49">
        <v>0</v>
      </c>
      <c r="BU51" s="49">
        <v>0</v>
      </c>
      <c r="BV51" s="49">
        <v>1</v>
      </c>
      <c r="BW51" s="49">
        <v>1</v>
      </c>
      <c r="BX51" s="49">
        <v>1</v>
      </c>
      <c r="BY51" s="74">
        <v>2</v>
      </c>
      <c r="BZ51" s="49">
        <v>0</v>
      </c>
      <c r="CA51" s="49">
        <v>0</v>
      </c>
      <c r="CB51" s="49" t="s">
        <v>100</v>
      </c>
      <c r="CC51" s="49">
        <v>0</v>
      </c>
      <c r="CD51" s="49" t="s">
        <v>100</v>
      </c>
      <c r="CE51" s="74">
        <v>5</v>
      </c>
      <c r="CF51" s="49">
        <v>0</v>
      </c>
      <c r="CG51" s="49">
        <v>0</v>
      </c>
      <c r="CH51" s="49">
        <v>0</v>
      </c>
      <c r="CI51" s="49">
        <v>0</v>
      </c>
      <c r="CJ51" s="49" t="s">
        <v>100</v>
      </c>
      <c r="CK51" s="49">
        <v>0</v>
      </c>
      <c r="CL51" s="49"/>
      <c r="CM51" s="49"/>
      <c r="CN51" s="49">
        <v>0</v>
      </c>
      <c r="CO51" s="49">
        <v>0</v>
      </c>
      <c r="CP51" s="49">
        <v>0</v>
      </c>
      <c r="CQ51" s="49">
        <v>0</v>
      </c>
      <c r="CR51" s="49">
        <v>0</v>
      </c>
      <c r="CS51" s="49">
        <v>1</v>
      </c>
      <c r="CT51" s="49">
        <v>1</v>
      </c>
      <c r="CU51" s="49">
        <v>0</v>
      </c>
      <c r="CV51" s="49">
        <v>0</v>
      </c>
      <c r="CW51" s="49">
        <v>0</v>
      </c>
      <c r="CX51" s="74">
        <v>1</v>
      </c>
      <c r="CY51" s="49">
        <v>0</v>
      </c>
      <c r="CZ51" s="74">
        <v>0</v>
      </c>
      <c r="DA51" s="74">
        <v>2</v>
      </c>
      <c r="DB51" s="49">
        <v>2</v>
      </c>
      <c r="DC51" s="74">
        <v>0</v>
      </c>
      <c r="DD51" s="49"/>
      <c r="DE51" s="49"/>
      <c r="DF51" s="49"/>
      <c r="DG51" s="49"/>
      <c r="DH51" s="49"/>
      <c r="DI51" s="49"/>
      <c r="DJ51" s="49">
        <v>0</v>
      </c>
      <c r="DK51" s="49">
        <v>0</v>
      </c>
      <c r="DL51" s="49" t="s">
        <v>100</v>
      </c>
      <c r="DM51" s="74">
        <v>1</v>
      </c>
      <c r="DN51" s="49">
        <v>0</v>
      </c>
      <c r="DO51" s="49" t="s">
        <v>100</v>
      </c>
      <c r="DP51" s="49">
        <v>0</v>
      </c>
      <c r="DQ51" s="74">
        <v>0</v>
      </c>
      <c r="DR51" s="74">
        <v>0</v>
      </c>
      <c r="DS51" s="74">
        <v>1</v>
      </c>
      <c r="DT51" s="74">
        <v>3</v>
      </c>
      <c r="DU51" s="74">
        <v>1</v>
      </c>
      <c r="DV51" s="49" t="s">
        <v>304</v>
      </c>
      <c r="DW51" s="49">
        <v>0</v>
      </c>
      <c r="DX51" s="74">
        <v>0</v>
      </c>
      <c r="DY51" s="49">
        <v>2</v>
      </c>
      <c r="DZ51" s="49">
        <v>0</v>
      </c>
    </row>
    <row r="52" spans="1:130">
      <c r="A52" s="50">
        <v>50</v>
      </c>
      <c r="B52" s="50" t="s">
        <v>305</v>
      </c>
      <c r="C52" s="50" t="s">
        <v>306</v>
      </c>
      <c r="D52" s="72">
        <v>34187</v>
      </c>
      <c r="E52" s="49" t="s">
        <v>157</v>
      </c>
      <c r="F52" s="73">
        <v>6</v>
      </c>
      <c r="G52" s="73">
        <v>8</v>
      </c>
      <c r="H52" s="49">
        <v>1993</v>
      </c>
      <c r="I52" s="49" t="s">
        <v>307</v>
      </c>
      <c r="J52" s="49" t="s">
        <v>308</v>
      </c>
      <c r="K52" s="73">
        <v>33</v>
      </c>
      <c r="L52" s="74">
        <v>0</v>
      </c>
      <c r="M52" s="73">
        <v>0</v>
      </c>
      <c r="N52" s="74">
        <v>5</v>
      </c>
      <c r="O52" s="74">
        <v>0</v>
      </c>
      <c r="P52" s="73" t="s">
        <v>100</v>
      </c>
      <c r="Q52" s="49">
        <v>0</v>
      </c>
      <c r="R52" s="49">
        <v>0</v>
      </c>
      <c r="S52" s="73">
        <v>4</v>
      </c>
      <c r="T52" s="74">
        <v>7</v>
      </c>
      <c r="U52" s="74">
        <v>0</v>
      </c>
      <c r="V52" s="49">
        <v>22</v>
      </c>
      <c r="W52" s="49">
        <v>0</v>
      </c>
      <c r="X52" s="74">
        <v>0</v>
      </c>
      <c r="Y52" s="49">
        <v>0</v>
      </c>
      <c r="Z52" s="74">
        <v>0</v>
      </c>
      <c r="AA52" s="49"/>
      <c r="AB52" s="49" t="s">
        <v>818</v>
      </c>
      <c r="AC52" s="49"/>
      <c r="AD52" s="49"/>
      <c r="AE52" s="74">
        <v>2</v>
      </c>
      <c r="AF52" s="74">
        <v>2</v>
      </c>
      <c r="AG52" s="74">
        <v>1</v>
      </c>
      <c r="AH52" s="74">
        <v>1</v>
      </c>
      <c r="AI52" s="49">
        <v>1</v>
      </c>
      <c r="AJ52" s="49">
        <v>0</v>
      </c>
      <c r="AK52" s="49">
        <v>1</v>
      </c>
      <c r="AL52" s="74">
        <v>0</v>
      </c>
      <c r="AM52" s="49">
        <v>1</v>
      </c>
      <c r="AN52" s="49">
        <v>0</v>
      </c>
      <c r="AO52" s="74">
        <v>0</v>
      </c>
      <c r="AP52" s="49"/>
      <c r="AQ52" s="49">
        <v>0</v>
      </c>
      <c r="AR52" s="49">
        <v>0</v>
      </c>
      <c r="AS52" s="49">
        <v>0</v>
      </c>
      <c r="AT52" s="49">
        <v>0</v>
      </c>
      <c r="AU52" s="49" t="s">
        <v>100</v>
      </c>
      <c r="AV52" s="49" t="s">
        <v>100</v>
      </c>
      <c r="AW52" s="49" t="s">
        <v>100</v>
      </c>
      <c r="AX52" s="49">
        <v>0</v>
      </c>
      <c r="AY52" s="49">
        <v>0</v>
      </c>
      <c r="AZ52" s="49">
        <v>0</v>
      </c>
      <c r="BA52" s="49">
        <v>0</v>
      </c>
      <c r="BB52" s="49">
        <v>0</v>
      </c>
      <c r="BC52" s="49">
        <v>0</v>
      </c>
      <c r="BD52" s="49">
        <v>0</v>
      </c>
      <c r="BE52" s="74">
        <v>0</v>
      </c>
      <c r="BF52" s="74">
        <v>1</v>
      </c>
      <c r="BG52" s="74">
        <v>1</v>
      </c>
      <c r="BH52" s="49">
        <v>0</v>
      </c>
      <c r="BI52" s="49">
        <v>1</v>
      </c>
      <c r="BJ52" s="74">
        <v>0</v>
      </c>
      <c r="BK52" s="74">
        <v>0</v>
      </c>
      <c r="BL52" s="74">
        <v>1</v>
      </c>
      <c r="BM52" s="49">
        <v>0</v>
      </c>
      <c r="BN52" s="49" t="s">
        <v>3000</v>
      </c>
      <c r="BO52" s="49">
        <v>0</v>
      </c>
      <c r="BP52" s="49">
        <v>0</v>
      </c>
      <c r="BQ52" s="49">
        <v>0</v>
      </c>
      <c r="BR52" s="49">
        <v>0</v>
      </c>
      <c r="BS52" s="49">
        <v>1</v>
      </c>
      <c r="BT52" s="49">
        <v>1</v>
      </c>
      <c r="BU52" s="49">
        <v>0</v>
      </c>
      <c r="BV52" s="49">
        <v>0</v>
      </c>
      <c r="BW52" s="49">
        <v>1</v>
      </c>
      <c r="BX52" s="49">
        <v>0</v>
      </c>
      <c r="BY52" s="49">
        <v>2</v>
      </c>
      <c r="BZ52" s="49">
        <v>0</v>
      </c>
      <c r="CA52" s="49">
        <v>0</v>
      </c>
      <c r="CB52" s="49" t="s">
        <v>100</v>
      </c>
      <c r="CC52" s="49">
        <v>0</v>
      </c>
      <c r="CD52" s="49" t="s">
        <v>100</v>
      </c>
      <c r="CE52" s="49">
        <v>0</v>
      </c>
      <c r="CF52" s="74">
        <v>1</v>
      </c>
      <c r="CG52" s="49">
        <v>0</v>
      </c>
      <c r="CH52" s="74">
        <v>5</v>
      </c>
      <c r="CI52" s="49">
        <v>0</v>
      </c>
      <c r="CJ52" s="49" t="s">
        <v>100</v>
      </c>
      <c r="CK52" s="49">
        <v>1</v>
      </c>
      <c r="CL52" s="49">
        <v>3</v>
      </c>
      <c r="CM52" s="49"/>
      <c r="CN52" s="49">
        <v>0</v>
      </c>
      <c r="CO52" s="49">
        <v>0</v>
      </c>
      <c r="CP52" s="49">
        <v>0</v>
      </c>
      <c r="CQ52" s="74">
        <v>1</v>
      </c>
      <c r="CR52" s="49">
        <v>0</v>
      </c>
      <c r="CS52" s="49">
        <v>0</v>
      </c>
      <c r="CT52" s="49">
        <v>0</v>
      </c>
      <c r="CU52" s="49">
        <v>0</v>
      </c>
      <c r="CV52" s="49">
        <v>0</v>
      </c>
      <c r="CW52" s="49">
        <v>0</v>
      </c>
      <c r="CX52" s="49">
        <v>0</v>
      </c>
      <c r="CY52" s="74">
        <v>1</v>
      </c>
      <c r="CZ52" s="74">
        <v>0</v>
      </c>
      <c r="DA52" s="49">
        <v>0</v>
      </c>
      <c r="DB52" s="49">
        <v>2</v>
      </c>
      <c r="DC52" s="49">
        <v>0</v>
      </c>
      <c r="DD52" s="49"/>
      <c r="DE52" s="49"/>
      <c r="DF52" s="49"/>
      <c r="DG52" s="49"/>
      <c r="DH52" s="49"/>
      <c r="DI52" s="49"/>
      <c r="DJ52" s="49">
        <v>0</v>
      </c>
      <c r="DK52" s="49">
        <v>0</v>
      </c>
      <c r="DL52" s="49" t="s">
        <v>100</v>
      </c>
      <c r="DM52" s="74">
        <v>0</v>
      </c>
      <c r="DN52" s="74">
        <v>1</v>
      </c>
      <c r="DO52" s="49" t="s">
        <v>3195</v>
      </c>
      <c r="DP52" s="74">
        <v>0</v>
      </c>
      <c r="DQ52" s="74">
        <v>0</v>
      </c>
      <c r="DR52" s="49">
        <v>0</v>
      </c>
      <c r="DS52" s="74">
        <v>3</v>
      </c>
      <c r="DT52" s="49">
        <v>3</v>
      </c>
      <c r="DU52" s="74">
        <v>0</v>
      </c>
      <c r="DV52" s="49" t="s">
        <v>100</v>
      </c>
      <c r="DW52" s="49">
        <v>2</v>
      </c>
      <c r="DX52" s="74">
        <v>0</v>
      </c>
      <c r="DY52" s="74">
        <v>0</v>
      </c>
      <c r="DZ52" s="74">
        <v>3</v>
      </c>
    </row>
    <row r="53" spans="1:130">
      <c r="A53" s="50">
        <v>51</v>
      </c>
      <c r="B53" s="50" t="s">
        <v>309</v>
      </c>
      <c r="C53" s="50" t="s">
        <v>221</v>
      </c>
      <c r="D53" s="72">
        <v>34256</v>
      </c>
      <c r="E53" s="49" t="s">
        <v>178</v>
      </c>
      <c r="F53" s="73">
        <v>14</v>
      </c>
      <c r="G53" s="73">
        <v>10</v>
      </c>
      <c r="H53" s="49">
        <v>1993</v>
      </c>
      <c r="I53" s="49" t="s">
        <v>310</v>
      </c>
      <c r="J53" s="49" t="s">
        <v>311</v>
      </c>
      <c r="K53" s="73">
        <v>5</v>
      </c>
      <c r="L53" s="73">
        <v>3</v>
      </c>
      <c r="M53" s="74">
        <v>1</v>
      </c>
      <c r="N53" s="74">
        <v>4</v>
      </c>
      <c r="O53" s="74">
        <v>0</v>
      </c>
      <c r="P53" s="73" t="s">
        <v>100</v>
      </c>
      <c r="Q53" s="49">
        <v>0</v>
      </c>
      <c r="R53" s="49">
        <v>0</v>
      </c>
      <c r="S53" s="73">
        <v>4</v>
      </c>
      <c r="T53" s="74">
        <v>2</v>
      </c>
      <c r="U53" s="74">
        <v>0</v>
      </c>
      <c r="V53" s="49">
        <v>19</v>
      </c>
      <c r="W53" s="49">
        <v>0</v>
      </c>
      <c r="X53" s="49">
        <v>0</v>
      </c>
      <c r="Y53" s="49">
        <v>0</v>
      </c>
      <c r="Z53" s="74">
        <v>0</v>
      </c>
      <c r="AA53" s="49">
        <v>1</v>
      </c>
      <c r="AB53" s="49">
        <v>2</v>
      </c>
      <c r="AC53" s="74">
        <v>2</v>
      </c>
      <c r="AD53" s="49" t="s">
        <v>3196</v>
      </c>
      <c r="AE53" s="74">
        <v>1</v>
      </c>
      <c r="AF53" s="74">
        <v>1</v>
      </c>
      <c r="AG53" s="74">
        <v>0</v>
      </c>
      <c r="AH53" s="74">
        <v>1</v>
      </c>
      <c r="AI53" s="49">
        <v>0</v>
      </c>
      <c r="AJ53" s="49">
        <v>0</v>
      </c>
      <c r="AK53" s="49">
        <v>0</v>
      </c>
      <c r="AL53" s="49"/>
      <c r="AM53" s="49">
        <v>0</v>
      </c>
      <c r="AN53" s="49" t="s">
        <v>100</v>
      </c>
      <c r="AO53" s="74">
        <v>0</v>
      </c>
      <c r="AP53" s="49"/>
      <c r="AQ53" s="49">
        <v>0</v>
      </c>
      <c r="AR53" s="49">
        <v>0</v>
      </c>
      <c r="AS53" s="74">
        <v>0</v>
      </c>
      <c r="AT53" s="49">
        <v>0</v>
      </c>
      <c r="AU53" s="49" t="s">
        <v>100</v>
      </c>
      <c r="AV53" s="49" t="s">
        <v>100</v>
      </c>
      <c r="AW53" s="49" t="s">
        <v>100</v>
      </c>
      <c r="AX53" s="49">
        <v>0</v>
      </c>
      <c r="AY53" s="49">
        <v>0</v>
      </c>
      <c r="AZ53" s="49">
        <v>0</v>
      </c>
      <c r="BA53" s="49">
        <v>0</v>
      </c>
      <c r="BB53" s="49">
        <v>0</v>
      </c>
      <c r="BC53" s="49">
        <v>0</v>
      </c>
      <c r="BD53" s="49">
        <v>0</v>
      </c>
      <c r="BE53" s="74">
        <v>0</v>
      </c>
      <c r="BF53" s="74">
        <v>0</v>
      </c>
      <c r="BG53" s="49"/>
      <c r="BH53" s="49">
        <v>2</v>
      </c>
      <c r="BI53" s="49">
        <v>0</v>
      </c>
      <c r="BJ53" s="49">
        <v>0</v>
      </c>
      <c r="BK53" s="49">
        <v>0</v>
      </c>
      <c r="BL53" s="49">
        <v>1</v>
      </c>
      <c r="BM53" s="49">
        <v>1</v>
      </c>
      <c r="BN53" s="49" t="s">
        <v>2983</v>
      </c>
      <c r="BO53" s="49">
        <v>1</v>
      </c>
      <c r="BP53" s="49">
        <v>0</v>
      </c>
      <c r="BQ53" s="49">
        <v>1</v>
      </c>
      <c r="BR53" s="49">
        <v>0</v>
      </c>
      <c r="BS53" s="49">
        <v>0</v>
      </c>
      <c r="BT53" s="49">
        <v>1</v>
      </c>
      <c r="BU53" s="49">
        <v>0</v>
      </c>
      <c r="BV53" s="49">
        <v>1</v>
      </c>
      <c r="BW53" s="49">
        <v>0</v>
      </c>
      <c r="BX53" s="49">
        <v>0</v>
      </c>
      <c r="BY53" s="74">
        <v>2</v>
      </c>
      <c r="BZ53" s="49">
        <v>0</v>
      </c>
      <c r="CA53" s="49">
        <v>1</v>
      </c>
      <c r="CB53" s="74">
        <v>0</v>
      </c>
      <c r="CC53" s="49">
        <v>0</v>
      </c>
      <c r="CD53" s="74">
        <v>1</v>
      </c>
      <c r="CE53" s="74">
        <v>1</v>
      </c>
      <c r="CF53" s="49">
        <v>0</v>
      </c>
      <c r="CG53" s="49">
        <v>0</v>
      </c>
      <c r="CH53" s="49">
        <v>3</v>
      </c>
      <c r="CI53" s="49" t="s">
        <v>832</v>
      </c>
      <c r="CJ53" s="49" t="s">
        <v>3105</v>
      </c>
      <c r="CK53" s="49">
        <v>0</v>
      </c>
      <c r="CL53" s="49"/>
      <c r="CM53" s="49"/>
      <c r="CN53" s="49">
        <v>0</v>
      </c>
      <c r="CO53" s="49">
        <v>0</v>
      </c>
      <c r="CP53" s="49">
        <v>0</v>
      </c>
      <c r="CQ53" s="49">
        <v>0</v>
      </c>
      <c r="CR53" s="49">
        <v>0</v>
      </c>
      <c r="CS53" s="49">
        <v>0</v>
      </c>
      <c r="CT53" s="49">
        <v>0</v>
      </c>
      <c r="CU53" s="49">
        <v>0</v>
      </c>
      <c r="CV53" s="49">
        <v>0</v>
      </c>
      <c r="CW53" s="49">
        <v>0</v>
      </c>
      <c r="CX53" s="49">
        <v>0</v>
      </c>
      <c r="CY53" s="74">
        <v>1</v>
      </c>
      <c r="CZ53" s="74">
        <v>0</v>
      </c>
      <c r="DA53" s="49">
        <v>0</v>
      </c>
      <c r="DB53" s="49">
        <v>2</v>
      </c>
      <c r="DC53" s="74">
        <v>1</v>
      </c>
      <c r="DD53" s="49">
        <v>2</v>
      </c>
      <c r="DE53" s="49">
        <v>7</v>
      </c>
      <c r="DF53" s="49">
        <v>0</v>
      </c>
      <c r="DG53" s="49"/>
      <c r="DH53" s="49"/>
      <c r="DI53" s="49"/>
      <c r="DJ53" s="74">
        <v>1</v>
      </c>
      <c r="DK53" s="49">
        <v>0</v>
      </c>
      <c r="DL53" s="49" t="s">
        <v>100</v>
      </c>
      <c r="DM53" s="74">
        <v>0</v>
      </c>
      <c r="DN53" s="49">
        <v>0</v>
      </c>
      <c r="DO53" s="49" t="s">
        <v>100</v>
      </c>
      <c r="DP53" s="49">
        <v>0</v>
      </c>
      <c r="DQ53" s="74">
        <v>0</v>
      </c>
      <c r="DR53" s="74">
        <v>0</v>
      </c>
      <c r="DS53" s="74">
        <v>0</v>
      </c>
      <c r="DT53" s="74">
        <v>1</v>
      </c>
      <c r="DU53" s="74">
        <v>0</v>
      </c>
      <c r="DV53" s="49" t="s">
        <v>100</v>
      </c>
      <c r="DW53" s="49">
        <v>0</v>
      </c>
      <c r="DX53" s="74">
        <v>0</v>
      </c>
      <c r="DY53" s="49">
        <v>2</v>
      </c>
      <c r="DZ53" s="49">
        <v>0</v>
      </c>
    </row>
    <row r="54" spans="1:130">
      <c r="A54" s="50">
        <v>52</v>
      </c>
      <c r="B54" s="50" t="s">
        <v>312</v>
      </c>
      <c r="C54" s="50" t="s">
        <v>313</v>
      </c>
      <c r="D54" s="72">
        <v>34305</v>
      </c>
      <c r="E54" s="49" t="s">
        <v>178</v>
      </c>
      <c r="F54" s="73">
        <v>2</v>
      </c>
      <c r="G54" s="74">
        <v>12</v>
      </c>
      <c r="H54" s="74">
        <v>1993</v>
      </c>
      <c r="I54" s="49" t="s">
        <v>314</v>
      </c>
      <c r="J54" s="49" t="s">
        <v>3377</v>
      </c>
      <c r="K54" s="74">
        <v>5</v>
      </c>
      <c r="L54" s="73">
        <v>3</v>
      </c>
      <c r="M54" s="74">
        <v>1</v>
      </c>
      <c r="N54" s="74">
        <v>6</v>
      </c>
      <c r="O54" s="74">
        <v>1</v>
      </c>
      <c r="P54" s="73">
        <v>8</v>
      </c>
      <c r="Q54" s="49">
        <v>0</v>
      </c>
      <c r="R54" s="49">
        <v>0</v>
      </c>
      <c r="S54" s="74">
        <v>4</v>
      </c>
      <c r="T54" s="73">
        <v>5</v>
      </c>
      <c r="U54" s="74">
        <v>0</v>
      </c>
      <c r="V54" s="74">
        <v>33</v>
      </c>
      <c r="W54" s="74">
        <v>0</v>
      </c>
      <c r="X54" s="74">
        <v>0</v>
      </c>
      <c r="Y54" s="74">
        <v>0</v>
      </c>
      <c r="Z54" s="74">
        <v>0</v>
      </c>
      <c r="AA54" s="74">
        <v>1</v>
      </c>
      <c r="AB54" s="49">
        <v>3</v>
      </c>
      <c r="AC54" s="49">
        <v>0</v>
      </c>
      <c r="AD54" s="49" t="s">
        <v>843</v>
      </c>
      <c r="AE54" s="74">
        <v>3</v>
      </c>
      <c r="AF54" s="74">
        <v>1</v>
      </c>
      <c r="AG54" s="74">
        <v>1</v>
      </c>
      <c r="AH54" s="74">
        <v>0</v>
      </c>
      <c r="AI54" s="74">
        <v>0</v>
      </c>
      <c r="AJ54" s="49">
        <v>0</v>
      </c>
      <c r="AK54" s="49">
        <v>0</v>
      </c>
      <c r="AL54" s="49">
        <v>2</v>
      </c>
      <c r="AM54" s="74">
        <v>0</v>
      </c>
      <c r="AN54" s="49" t="s">
        <v>100</v>
      </c>
      <c r="AO54" s="74">
        <v>2</v>
      </c>
      <c r="AP54" s="49" t="s">
        <v>3197</v>
      </c>
      <c r="AQ54" s="74">
        <v>0</v>
      </c>
      <c r="AR54" s="49">
        <v>0</v>
      </c>
      <c r="AS54" s="74">
        <v>0</v>
      </c>
      <c r="AT54" s="49">
        <v>0</v>
      </c>
      <c r="AU54" s="49" t="s">
        <v>100</v>
      </c>
      <c r="AV54" s="49" t="s">
        <v>100</v>
      </c>
      <c r="AW54" s="49" t="s">
        <v>100</v>
      </c>
      <c r="AX54" s="49">
        <v>0</v>
      </c>
      <c r="AY54" s="49">
        <v>0</v>
      </c>
      <c r="AZ54" s="49">
        <v>0</v>
      </c>
      <c r="BA54" s="49">
        <v>0</v>
      </c>
      <c r="BB54" s="49">
        <v>0</v>
      </c>
      <c r="BC54" s="74">
        <v>0</v>
      </c>
      <c r="BD54" s="74">
        <v>0</v>
      </c>
      <c r="BE54" s="49">
        <v>0</v>
      </c>
      <c r="BF54" s="74">
        <v>1</v>
      </c>
      <c r="BG54" s="49"/>
      <c r="BH54" s="49">
        <v>1</v>
      </c>
      <c r="BI54" s="49">
        <v>1</v>
      </c>
      <c r="BJ54" s="74">
        <v>0</v>
      </c>
      <c r="BK54" s="74">
        <v>1</v>
      </c>
      <c r="BL54" s="74">
        <v>1</v>
      </c>
      <c r="BM54" s="49">
        <v>1</v>
      </c>
      <c r="BN54" s="49" t="s">
        <v>3001</v>
      </c>
      <c r="BO54" s="49">
        <v>1</v>
      </c>
      <c r="BP54" s="49">
        <v>1</v>
      </c>
      <c r="BQ54" s="49">
        <v>1</v>
      </c>
      <c r="BR54" s="49">
        <v>0</v>
      </c>
      <c r="BS54" s="49">
        <v>0</v>
      </c>
      <c r="BT54" s="49">
        <v>0</v>
      </c>
      <c r="BU54" s="49">
        <v>0</v>
      </c>
      <c r="BV54" s="49">
        <v>1</v>
      </c>
      <c r="BW54" s="49">
        <v>1</v>
      </c>
      <c r="BX54" s="49">
        <v>1</v>
      </c>
      <c r="BY54" s="74">
        <v>2</v>
      </c>
      <c r="BZ54" s="74">
        <v>0</v>
      </c>
      <c r="CA54" s="74">
        <v>0</v>
      </c>
      <c r="CB54" s="49" t="s">
        <v>100</v>
      </c>
      <c r="CC54" s="74">
        <v>0</v>
      </c>
      <c r="CD54" s="49" t="s">
        <v>100</v>
      </c>
      <c r="CE54" s="74">
        <v>2</v>
      </c>
      <c r="CF54" s="74">
        <v>1</v>
      </c>
      <c r="CG54" s="49">
        <v>0</v>
      </c>
      <c r="CH54" s="49">
        <v>0</v>
      </c>
      <c r="CI54" s="49">
        <v>0</v>
      </c>
      <c r="CJ54" s="49" t="s">
        <v>100</v>
      </c>
      <c r="CK54" s="49">
        <v>0</v>
      </c>
      <c r="CL54" s="49"/>
      <c r="CM54" s="49"/>
      <c r="CN54" s="49">
        <v>0</v>
      </c>
      <c r="CO54" s="49">
        <v>0</v>
      </c>
      <c r="CP54" s="49">
        <v>0</v>
      </c>
      <c r="CQ54" s="49">
        <v>0</v>
      </c>
      <c r="CR54" s="74">
        <v>1</v>
      </c>
      <c r="CS54" s="74">
        <v>1</v>
      </c>
      <c r="CT54" s="49">
        <v>0</v>
      </c>
      <c r="CU54" s="49">
        <v>0</v>
      </c>
      <c r="CV54" s="49">
        <v>0</v>
      </c>
      <c r="CW54" s="49">
        <v>0</v>
      </c>
      <c r="CX54" s="49">
        <v>0</v>
      </c>
      <c r="CY54" s="49">
        <v>0</v>
      </c>
      <c r="CZ54" s="74">
        <v>0</v>
      </c>
      <c r="DA54" s="49">
        <v>1</v>
      </c>
      <c r="DB54" s="49">
        <v>2</v>
      </c>
      <c r="DC54" s="74">
        <v>0</v>
      </c>
      <c r="DD54" s="49"/>
      <c r="DE54" s="49"/>
      <c r="DF54" s="49"/>
      <c r="DG54" s="49"/>
      <c r="DH54" s="49"/>
      <c r="DI54" s="49"/>
      <c r="DJ54" s="74">
        <v>0</v>
      </c>
      <c r="DK54" s="49">
        <v>0</v>
      </c>
      <c r="DL54" s="49" t="s">
        <v>100</v>
      </c>
      <c r="DM54" s="74">
        <v>1</v>
      </c>
      <c r="DN54" s="49">
        <v>0</v>
      </c>
      <c r="DO54" s="49" t="s">
        <v>100</v>
      </c>
      <c r="DP54" s="74">
        <v>0</v>
      </c>
      <c r="DQ54" s="74">
        <v>0</v>
      </c>
      <c r="DR54" s="74">
        <v>0</v>
      </c>
      <c r="DS54" s="74">
        <v>1</v>
      </c>
      <c r="DT54" s="74">
        <v>4</v>
      </c>
      <c r="DU54" s="74">
        <v>0</v>
      </c>
      <c r="DV54" s="49" t="s">
        <v>100</v>
      </c>
      <c r="DW54" s="74">
        <v>1</v>
      </c>
      <c r="DX54" s="74">
        <v>0</v>
      </c>
      <c r="DY54" s="49">
        <v>2</v>
      </c>
      <c r="DZ54" s="49">
        <v>0</v>
      </c>
    </row>
    <row r="55" spans="1:130">
      <c r="A55" s="50">
        <v>53</v>
      </c>
      <c r="B55" s="50" t="s">
        <v>315</v>
      </c>
      <c r="C55" s="50" t="s">
        <v>316</v>
      </c>
      <c r="D55" s="72">
        <v>34310</v>
      </c>
      <c r="E55" s="49" t="s">
        <v>203</v>
      </c>
      <c r="F55" s="73">
        <v>7</v>
      </c>
      <c r="G55" s="74">
        <v>12</v>
      </c>
      <c r="H55" s="74">
        <v>1993</v>
      </c>
      <c r="I55" s="49" t="s">
        <v>317</v>
      </c>
      <c r="J55" s="49" t="s">
        <v>3378</v>
      </c>
      <c r="K55" s="74">
        <v>32</v>
      </c>
      <c r="L55" s="73">
        <v>2</v>
      </c>
      <c r="M55" s="73">
        <v>0</v>
      </c>
      <c r="N55" s="74">
        <v>8</v>
      </c>
      <c r="O55" s="74">
        <v>0</v>
      </c>
      <c r="P55" s="73" t="s">
        <v>100</v>
      </c>
      <c r="Q55" s="49">
        <v>0</v>
      </c>
      <c r="R55" s="49">
        <v>0</v>
      </c>
      <c r="S55" s="74">
        <v>6</v>
      </c>
      <c r="T55" s="73">
        <v>19</v>
      </c>
      <c r="U55" s="74">
        <v>0</v>
      </c>
      <c r="V55" s="74">
        <v>35</v>
      </c>
      <c r="W55" s="74">
        <v>0</v>
      </c>
      <c r="X55" s="74">
        <v>1</v>
      </c>
      <c r="Y55" s="49">
        <v>1</v>
      </c>
      <c r="Z55" s="74">
        <v>0</v>
      </c>
      <c r="AA55" s="74">
        <v>1</v>
      </c>
      <c r="AB55" s="74">
        <v>2</v>
      </c>
      <c r="AC55" s="74">
        <v>2</v>
      </c>
      <c r="AD55" s="49" t="s">
        <v>3196</v>
      </c>
      <c r="AE55" s="49"/>
      <c r="AF55" s="74">
        <v>4</v>
      </c>
      <c r="AG55" s="49"/>
      <c r="AH55" s="49"/>
      <c r="AI55" s="74">
        <v>3</v>
      </c>
      <c r="AJ55" s="74">
        <v>0</v>
      </c>
      <c r="AK55" s="74">
        <v>0</v>
      </c>
      <c r="AL55" s="74">
        <v>0</v>
      </c>
      <c r="AM55" s="49">
        <v>0</v>
      </c>
      <c r="AN55" s="49" t="s">
        <v>100</v>
      </c>
      <c r="AO55" s="74">
        <v>0</v>
      </c>
      <c r="AP55" s="49"/>
      <c r="AQ55" s="74">
        <v>1</v>
      </c>
      <c r="AR55" s="49">
        <v>0</v>
      </c>
      <c r="AS55" s="74">
        <v>1</v>
      </c>
      <c r="AT55" s="49">
        <v>1</v>
      </c>
      <c r="AU55" s="49">
        <v>1</v>
      </c>
      <c r="AV55" s="49">
        <v>3</v>
      </c>
      <c r="AW55" s="49"/>
      <c r="AX55" s="49">
        <v>0</v>
      </c>
      <c r="AY55" s="49">
        <v>0</v>
      </c>
      <c r="AZ55" s="49">
        <v>0</v>
      </c>
      <c r="BA55" s="49">
        <v>0</v>
      </c>
      <c r="BB55" s="49">
        <v>0</v>
      </c>
      <c r="BC55" s="49">
        <v>0</v>
      </c>
      <c r="BD55" s="49">
        <v>0</v>
      </c>
      <c r="BE55" s="74">
        <v>0</v>
      </c>
      <c r="BF55" s="74">
        <v>0</v>
      </c>
      <c r="BG55" s="49"/>
      <c r="BH55" s="49">
        <v>2</v>
      </c>
      <c r="BI55" s="74">
        <v>1</v>
      </c>
      <c r="BJ55" s="74">
        <v>0</v>
      </c>
      <c r="BK55" s="74">
        <v>1</v>
      </c>
      <c r="BL55" s="74">
        <v>1</v>
      </c>
      <c r="BM55" s="49">
        <v>3</v>
      </c>
      <c r="BN55" s="49" t="s">
        <v>3151</v>
      </c>
      <c r="BO55" s="49">
        <v>1</v>
      </c>
      <c r="BP55" s="49">
        <v>0</v>
      </c>
      <c r="BQ55" s="49">
        <v>0</v>
      </c>
      <c r="BR55" s="49">
        <v>1</v>
      </c>
      <c r="BS55" s="49">
        <v>1</v>
      </c>
      <c r="BT55" s="49">
        <v>1</v>
      </c>
      <c r="BU55" s="49">
        <v>1</v>
      </c>
      <c r="BV55" s="49">
        <v>1</v>
      </c>
      <c r="BW55" s="49">
        <v>1</v>
      </c>
      <c r="BX55" s="49">
        <v>1</v>
      </c>
      <c r="BY55" s="49">
        <v>0</v>
      </c>
      <c r="BZ55" s="49">
        <v>0</v>
      </c>
      <c r="CA55" s="49">
        <v>0</v>
      </c>
      <c r="CB55" s="49" t="s">
        <v>100</v>
      </c>
      <c r="CC55" s="49">
        <v>0</v>
      </c>
      <c r="CD55" s="49" t="s">
        <v>100</v>
      </c>
      <c r="CE55" s="74">
        <v>5</v>
      </c>
      <c r="CF55" s="74">
        <v>0</v>
      </c>
      <c r="CG55" s="49">
        <v>0</v>
      </c>
      <c r="CH55" s="74">
        <v>0</v>
      </c>
      <c r="CI55" s="49">
        <v>1</v>
      </c>
      <c r="CJ55" s="49" t="s">
        <v>844</v>
      </c>
      <c r="CK55" s="49">
        <v>1</v>
      </c>
      <c r="CL55" s="49"/>
      <c r="CM55" s="49"/>
      <c r="CN55" s="49">
        <v>2</v>
      </c>
      <c r="CO55" s="49">
        <v>0</v>
      </c>
      <c r="CP55" s="49">
        <v>0</v>
      </c>
      <c r="CQ55" s="49">
        <v>0</v>
      </c>
      <c r="CR55" s="49">
        <v>0</v>
      </c>
      <c r="CS55" s="49">
        <v>1</v>
      </c>
      <c r="CT55" s="49">
        <v>1</v>
      </c>
      <c r="CU55" s="49">
        <v>0</v>
      </c>
      <c r="CV55" s="49">
        <v>0</v>
      </c>
      <c r="CW55" s="49">
        <v>0</v>
      </c>
      <c r="CX55" s="49">
        <v>0</v>
      </c>
      <c r="CY55" s="49">
        <v>0</v>
      </c>
      <c r="CZ55" s="74">
        <v>0</v>
      </c>
      <c r="DA55" s="74">
        <v>2</v>
      </c>
      <c r="DB55" s="49">
        <v>2</v>
      </c>
      <c r="DC55" s="74">
        <v>0</v>
      </c>
      <c r="DD55" s="49"/>
      <c r="DE55" s="49"/>
      <c r="DF55" s="49"/>
      <c r="DG55" s="49"/>
      <c r="DH55" s="49"/>
      <c r="DI55" s="49"/>
      <c r="DJ55" s="49">
        <v>0</v>
      </c>
      <c r="DK55" s="49">
        <v>0</v>
      </c>
      <c r="DL55" s="49" t="s">
        <v>100</v>
      </c>
      <c r="DM55" s="74">
        <v>1</v>
      </c>
      <c r="DN55" s="49">
        <v>0</v>
      </c>
      <c r="DO55" s="49" t="s">
        <v>100</v>
      </c>
      <c r="DP55" s="74">
        <v>1</v>
      </c>
      <c r="DQ55" s="74">
        <v>0</v>
      </c>
      <c r="DR55" s="49">
        <v>0</v>
      </c>
      <c r="DS55" s="74">
        <v>1</v>
      </c>
      <c r="DT55" s="74">
        <v>1</v>
      </c>
      <c r="DU55" s="74">
        <v>0</v>
      </c>
      <c r="DV55" s="49" t="s">
        <v>100</v>
      </c>
      <c r="DW55" s="74">
        <v>2</v>
      </c>
      <c r="DX55" s="74">
        <v>0</v>
      </c>
      <c r="DY55" s="49">
        <v>0</v>
      </c>
      <c r="DZ55" s="74">
        <v>3</v>
      </c>
    </row>
    <row r="56" spans="1:130">
      <c r="A56" s="50">
        <v>54</v>
      </c>
      <c r="B56" s="50" t="s">
        <v>318</v>
      </c>
      <c r="C56" s="50" t="s">
        <v>319</v>
      </c>
      <c r="D56" s="72">
        <v>34317</v>
      </c>
      <c r="E56" s="49" t="s">
        <v>203</v>
      </c>
      <c r="F56" s="73">
        <v>14</v>
      </c>
      <c r="G56" s="74">
        <v>12</v>
      </c>
      <c r="H56" s="74">
        <v>1993</v>
      </c>
      <c r="I56" s="49" t="s">
        <v>320</v>
      </c>
      <c r="J56" s="49" t="s">
        <v>321</v>
      </c>
      <c r="K56" s="74">
        <v>6</v>
      </c>
      <c r="L56" s="74">
        <v>3</v>
      </c>
      <c r="M56" s="74">
        <v>1</v>
      </c>
      <c r="N56" s="74">
        <v>6</v>
      </c>
      <c r="O56" s="73">
        <v>0</v>
      </c>
      <c r="P56" s="73" t="s">
        <v>100</v>
      </c>
      <c r="Q56" s="49">
        <v>0</v>
      </c>
      <c r="R56" s="49">
        <v>0</v>
      </c>
      <c r="S56" s="74">
        <v>4</v>
      </c>
      <c r="T56" s="74">
        <v>1</v>
      </c>
      <c r="U56" s="74">
        <v>0</v>
      </c>
      <c r="V56" s="74">
        <v>19</v>
      </c>
      <c r="W56" s="74">
        <v>0</v>
      </c>
      <c r="X56" s="74">
        <v>1</v>
      </c>
      <c r="Y56" s="49">
        <v>0</v>
      </c>
      <c r="Z56" s="74">
        <v>0</v>
      </c>
      <c r="AA56" s="49">
        <v>1</v>
      </c>
      <c r="AB56" s="49">
        <v>1</v>
      </c>
      <c r="AC56" s="74">
        <v>1</v>
      </c>
      <c r="AD56" s="49" t="s">
        <v>3198</v>
      </c>
      <c r="AE56" s="74">
        <v>2</v>
      </c>
      <c r="AF56" s="74">
        <v>2</v>
      </c>
      <c r="AG56" s="74">
        <v>1</v>
      </c>
      <c r="AH56" s="74">
        <v>1</v>
      </c>
      <c r="AI56" s="49">
        <v>1</v>
      </c>
      <c r="AJ56" s="49">
        <v>0</v>
      </c>
      <c r="AK56" s="49">
        <v>1</v>
      </c>
      <c r="AL56" s="74">
        <v>0</v>
      </c>
      <c r="AM56" s="49">
        <v>0</v>
      </c>
      <c r="AN56" s="49" t="s">
        <v>100</v>
      </c>
      <c r="AO56" s="49">
        <v>0</v>
      </c>
      <c r="AP56" s="49"/>
      <c r="AQ56" s="74">
        <v>1</v>
      </c>
      <c r="AR56" s="49">
        <v>0</v>
      </c>
      <c r="AS56" s="49">
        <v>1</v>
      </c>
      <c r="AT56" s="49">
        <v>0</v>
      </c>
      <c r="AU56" s="49" t="s">
        <v>100</v>
      </c>
      <c r="AV56" s="49" t="s">
        <v>100</v>
      </c>
      <c r="AW56" s="49" t="s">
        <v>100</v>
      </c>
      <c r="AX56" s="49">
        <v>0</v>
      </c>
      <c r="AY56" s="49">
        <v>0</v>
      </c>
      <c r="AZ56" s="49">
        <v>0</v>
      </c>
      <c r="BA56" s="49">
        <v>0</v>
      </c>
      <c r="BB56" s="74">
        <v>1</v>
      </c>
      <c r="BC56" s="49">
        <v>0</v>
      </c>
      <c r="BD56" s="49">
        <v>0</v>
      </c>
      <c r="BE56" s="49">
        <v>0</v>
      </c>
      <c r="BF56" s="74">
        <v>0</v>
      </c>
      <c r="BG56" s="74">
        <v>6</v>
      </c>
      <c r="BH56" s="49">
        <v>0</v>
      </c>
      <c r="BI56" s="49">
        <v>0</v>
      </c>
      <c r="BJ56" s="49">
        <v>0</v>
      </c>
      <c r="BK56" s="74">
        <v>1</v>
      </c>
      <c r="BL56" s="49">
        <v>1</v>
      </c>
      <c r="BM56" s="49">
        <v>2</v>
      </c>
      <c r="BN56" s="49" t="s">
        <v>3002</v>
      </c>
      <c r="BO56" s="49">
        <v>1</v>
      </c>
      <c r="BP56" s="49">
        <v>1</v>
      </c>
      <c r="BQ56" s="49">
        <v>0</v>
      </c>
      <c r="BR56" s="49">
        <v>0</v>
      </c>
      <c r="BS56" s="49">
        <v>0</v>
      </c>
      <c r="BT56" s="49">
        <v>1</v>
      </c>
      <c r="BU56" s="49">
        <v>1</v>
      </c>
      <c r="BV56" s="49">
        <v>0</v>
      </c>
      <c r="BW56" s="49">
        <v>1</v>
      </c>
      <c r="BX56" s="49">
        <v>0</v>
      </c>
      <c r="BY56" s="49">
        <v>1</v>
      </c>
      <c r="BZ56" s="74">
        <v>1</v>
      </c>
      <c r="CA56" s="49">
        <v>1</v>
      </c>
      <c r="CB56" s="74">
        <v>0</v>
      </c>
      <c r="CC56" s="49">
        <v>0</v>
      </c>
      <c r="CD56" s="74">
        <v>0</v>
      </c>
      <c r="CE56" s="74">
        <v>1</v>
      </c>
      <c r="CF56" s="74">
        <v>1</v>
      </c>
      <c r="CG56" s="49">
        <v>0</v>
      </c>
      <c r="CH56" s="49"/>
      <c r="CI56" s="49">
        <v>1</v>
      </c>
      <c r="CJ56" s="49" t="s">
        <v>291</v>
      </c>
      <c r="CK56" s="49">
        <v>0</v>
      </c>
      <c r="CL56" s="49"/>
      <c r="CM56" s="49"/>
      <c r="CN56" s="49">
        <v>0</v>
      </c>
      <c r="CO56" s="49">
        <v>0</v>
      </c>
      <c r="CP56" s="49">
        <v>0</v>
      </c>
      <c r="CQ56" s="49">
        <v>0</v>
      </c>
      <c r="CR56" s="74">
        <v>1</v>
      </c>
      <c r="CS56" s="49">
        <v>0</v>
      </c>
      <c r="CT56" s="49">
        <v>0</v>
      </c>
      <c r="CU56" s="49">
        <v>0</v>
      </c>
      <c r="CV56" s="49">
        <v>0</v>
      </c>
      <c r="CW56" s="49">
        <v>0</v>
      </c>
      <c r="CX56" s="49">
        <v>0</v>
      </c>
      <c r="CY56" s="49">
        <v>0</v>
      </c>
      <c r="CZ56" s="74">
        <v>0</v>
      </c>
      <c r="DA56" s="49">
        <v>1</v>
      </c>
      <c r="DB56" s="49">
        <v>2</v>
      </c>
      <c r="DC56" s="74">
        <v>1</v>
      </c>
      <c r="DD56" s="49">
        <v>0</v>
      </c>
      <c r="DE56" s="49">
        <v>4</v>
      </c>
      <c r="DF56" s="49">
        <v>1</v>
      </c>
      <c r="DG56" s="49"/>
      <c r="DH56" s="49"/>
      <c r="DI56" s="49"/>
      <c r="DJ56" s="49">
        <v>0</v>
      </c>
      <c r="DK56" s="49">
        <v>0</v>
      </c>
      <c r="DL56" s="49" t="s">
        <v>100</v>
      </c>
      <c r="DM56" s="74">
        <v>0</v>
      </c>
      <c r="DN56" s="49">
        <v>0</v>
      </c>
      <c r="DO56" s="49" t="s">
        <v>100</v>
      </c>
      <c r="DP56" s="74">
        <v>0</v>
      </c>
      <c r="DQ56" s="74">
        <v>0</v>
      </c>
      <c r="DR56" s="49">
        <v>0</v>
      </c>
      <c r="DS56" s="74">
        <v>1</v>
      </c>
      <c r="DT56" s="74">
        <v>1</v>
      </c>
      <c r="DU56" s="74">
        <v>0</v>
      </c>
      <c r="DV56" s="49" t="s">
        <v>100</v>
      </c>
      <c r="DW56" s="74">
        <v>2</v>
      </c>
      <c r="DX56" s="74">
        <v>1</v>
      </c>
      <c r="DY56" s="74">
        <v>0</v>
      </c>
      <c r="DZ56" s="74">
        <v>1</v>
      </c>
    </row>
    <row r="57" spans="1:130">
      <c r="A57" s="50">
        <v>55</v>
      </c>
      <c r="B57" s="50" t="s">
        <v>322</v>
      </c>
      <c r="C57" s="50" t="s">
        <v>323</v>
      </c>
      <c r="D57" s="72">
        <v>34505</v>
      </c>
      <c r="E57" s="49" t="s">
        <v>95</v>
      </c>
      <c r="F57" s="73">
        <v>20</v>
      </c>
      <c r="G57" s="74">
        <v>6</v>
      </c>
      <c r="H57" s="74">
        <v>1994</v>
      </c>
      <c r="I57" s="49" t="s">
        <v>324</v>
      </c>
      <c r="J57" s="49" t="s">
        <v>3199</v>
      </c>
      <c r="K57" s="74">
        <v>47</v>
      </c>
      <c r="L57" s="73">
        <v>3</v>
      </c>
      <c r="M57" s="73">
        <v>0</v>
      </c>
      <c r="N57" s="74">
        <v>6</v>
      </c>
      <c r="O57" s="74">
        <v>0</v>
      </c>
      <c r="P57" s="73" t="s">
        <v>100</v>
      </c>
      <c r="Q57" s="49">
        <v>1</v>
      </c>
      <c r="R57" s="49">
        <v>1</v>
      </c>
      <c r="S57" s="74">
        <v>4</v>
      </c>
      <c r="T57" s="73">
        <v>23</v>
      </c>
      <c r="U57" s="74">
        <v>0</v>
      </c>
      <c r="V57" s="74">
        <v>20</v>
      </c>
      <c r="W57" s="74">
        <v>0</v>
      </c>
      <c r="X57" s="74">
        <v>0</v>
      </c>
      <c r="Y57" s="49">
        <v>0</v>
      </c>
      <c r="Z57" s="49">
        <v>0</v>
      </c>
      <c r="AA57" s="49"/>
      <c r="AB57" s="49">
        <v>2</v>
      </c>
      <c r="AC57" s="74">
        <v>2</v>
      </c>
      <c r="AD57" s="49" t="s">
        <v>3200</v>
      </c>
      <c r="AE57" s="49"/>
      <c r="AF57" s="49"/>
      <c r="AG57" s="49"/>
      <c r="AH57" s="49"/>
      <c r="AI57" s="49">
        <v>0</v>
      </c>
      <c r="AJ57" s="49">
        <v>0</v>
      </c>
      <c r="AK57" s="74">
        <v>0</v>
      </c>
      <c r="AL57" s="49">
        <v>2</v>
      </c>
      <c r="AM57" s="74">
        <v>1</v>
      </c>
      <c r="AN57" s="74">
        <v>2</v>
      </c>
      <c r="AO57" s="74">
        <v>0</v>
      </c>
      <c r="AP57" s="49"/>
      <c r="AQ57" s="49">
        <v>0</v>
      </c>
      <c r="AR57" s="49">
        <v>0</v>
      </c>
      <c r="AS57" s="49">
        <v>0</v>
      </c>
      <c r="AT57" s="49">
        <v>0</v>
      </c>
      <c r="AU57" s="49" t="s">
        <v>100</v>
      </c>
      <c r="AV57" s="49" t="s">
        <v>100</v>
      </c>
      <c r="AW57" s="49" t="s">
        <v>100</v>
      </c>
      <c r="AX57" s="49">
        <v>0</v>
      </c>
      <c r="AY57" s="49">
        <v>0</v>
      </c>
      <c r="AZ57" s="49">
        <v>0</v>
      </c>
      <c r="BA57" s="49">
        <v>0</v>
      </c>
      <c r="BB57" s="49">
        <v>0</v>
      </c>
      <c r="BC57" s="49">
        <v>0</v>
      </c>
      <c r="BD57" s="74">
        <v>1</v>
      </c>
      <c r="BE57" s="49">
        <v>0</v>
      </c>
      <c r="BF57" s="74">
        <v>0</v>
      </c>
      <c r="BG57" s="74">
        <v>5</v>
      </c>
      <c r="BH57" s="49">
        <v>1</v>
      </c>
      <c r="BI57" s="49">
        <v>0</v>
      </c>
      <c r="BJ57" s="49">
        <v>0</v>
      </c>
      <c r="BK57" s="74">
        <v>1</v>
      </c>
      <c r="BL57" s="74">
        <v>1</v>
      </c>
      <c r="BM57" s="49">
        <v>2</v>
      </c>
      <c r="BN57" s="49" t="s">
        <v>3003</v>
      </c>
      <c r="BO57" s="49">
        <v>1</v>
      </c>
      <c r="BP57" s="49">
        <v>1</v>
      </c>
      <c r="BQ57" s="49">
        <v>0</v>
      </c>
      <c r="BR57" s="49">
        <v>0</v>
      </c>
      <c r="BS57" s="49">
        <v>0</v>
      </c>
      <c r="BT57" s="49">
        <v>0</v>
      </c>
      <c r="BU57" s="49">
        <v>0</v>
      </c>
      <c r="BV57" s="49">
        <v>0</v>
      </c>
      <c r="BW57" s="49">
        <v>1</v>
      </c>
      <c r="BX57" s="49">
        <v>1</v>
      </c>
      <c r="BY57" s="49">
        <v>0</v>
      </c>
      <c r="BZ57" s="74">
        <v>1</v>
      </c>
      <c r="CA57" s="49">
        <v>1</v>
      </c>
      <c r="CB57" s="49">
        <v>0</v>
      </c>
      <c r="CC57" s="49">
        <v>0</v>
      </c>
      <c r="CD57" s="74">
        <v>1</v>
      </c>
      <c r="CE57" s="74">
        <v>2</v>
      </c>
      <c r="CF57" s="49">
        <v>0</v>
      </c>
      <c r="CG57" s="74">
        <v>1</v>
      </c>
      <c r="CH57" s="49">
        <v>0</v>
      </c>
      <c r="CI57" s="49">
        <v>0</v>
      </c>
      <c r="CJ57" s="49" t="s">
        <v>100</v>
      </c>
      <c r="CK57" s="49">
        <v>0</v>
      </c>
      <c r="CL57" s="49"/>
      <c r="CM57" s="49"/>
      <c r="CN57" s="49">
        <v>0</v>
      </c>
      <c r="CO57" s="49">
        <v>0</v>
      </c>
      <c r="CP57" s="49">
        <v>0</v>
      </c>
      <c r="CQ57" s="49">
        <v>0</v>
      </c>
      <c r="CR57" s="74">
        <v>1</v>
      </c>
      <c r="CS57" s="49">
        <v>0</v>
      </c>
      <c r="CT57" s="49">
        <v>0</v>
      </c>
      <c r="CU57" s="49">
        <v>0</v>
      </c>
      <c r="CV57" s="49">
        <v>0</v>
      </c>
      <c r="CW57" s="49">
        <v>0</v>
      </c>
      <c r="CX57" s="49">
        <v>0</v>
      </c>
      <c r="CY57" s="49">
        <v>0</v>
      </c>
      <c r="CZ57" s="74">
        <v>0</v>
      </c>
      <c r="DA57" s="49">
        <v>0</v>
      </c>
      <c r="DB57" s="49">
        <v>2</v>
      </c>
      <c r="DC57" s="49">
        <v>1</v>
      </c>
      <c r="DD57" s="49">
        <v>0</v>
      </c>
      <c r="DE57" s="49">
        <v>0</v>
      </c>
      <c r="DF57" s="49">
        <v>1</v>
      </c>
      <c r="DG57" s="49"/>
      <c r="DH57" s="49"/>
      <c r="DI57" s="49"/>
      <c r="DJ57" s="49">
        <v>0</v>
      </c>
      <c r="DK57" s="49">
        <v>0</v>
      </c>
      <c r="DL57" s="49" t="s">
        <v>100</v>
      </c>
      <c r="DM57" s="74">
        <v>0</v>
      </c>
      <c r="DN57" s="49">
        <v>0</v>
      </c>
      <c r="DO57" s="49" t="s">
        <v>100</v>
      </c>
      <c r="DP57" s="49">
        <v>0</v>
      </c>
      <c r="DQ57" s="74">
        <v>0</v>
      </c>
      <c r="DR57" s="49">
        <v>0</v>
      </c>
      <c r="DS57" s="74">
        <v>3</v>
      </c>
      <c r="DT57" s="74">
        <v>1</v>
      </c>
      <c r="DU57" s="74">
        <v>0</v>
      </c>
      <c r="DV57" s="49" t="s">
        <v>100</v>
      </c>
      <c r="DW57" s="74">
        <v>1</v>
      </c>
      <c r="DX57" s="74">
        <v>0</v>
      </c>
      <c r="DY57" s="49">
        <v>2</v>
      </c>
      <c r="DZ57" s="49">
        <v>0</v>
      </c>
    </row>
    <row r="58" spans="1:130">
      <c r="A58" s="50">
        <v>56</v>
      </c>
      <c r="B58" s="50" t="s">
        <v>315</v>
      </c>
      <c r="C58" s="50" t="s">
        <v>325</v>
      </c>
      <c r="D58" s="72">
        <v>34699</v>
      </c>
      <c r="E58" s="49" t="s">
        <v>103</v>
      </c>
      <c r="F58" s="73">
        <v>31</v>
      </c>
      <c r="G58" s="74">
        <v>12</v>
      </c>
      <c r="H58" s="74">
        <v>1994</v>
      </c>
      <c r="I58" s="49" t="s">
        <v>847</v>
      </c>
      <c r="J58" s="49" t="s">
        <v>326</v>
      </c>
      <c r="K58" s="74">
        <v>33</v>
      </c>
      <c r="L58" s="73">
        <v>0</v>
      </c>
      <c r="M58" s="74">
        <v>2</v>
      </c>
      <c r="N58" s="74">
        <v>4</v>
      </c>
      <c r="O58" s="74">
        <v>1</v>
      </c>
      <c r="P58" s="74">
        <v>5</v>
      </c>
      <c r="Q58" s="49">
        <v>0</v>
      </c>
      <c r="R58" s="49">
        <v>0</v>
      </c>
      <c r="S58" s="74">
        <v>5</v>
      </c>
      <c r="T58" s="73">
        <v>1</v>
      </c>
      <c r="U58" s="74">
        <v>0</v>
      </c>
      <c r="V58" s="74">
        <v>18</v>
      </c>
      <c r="W58" s="74">
        <v>0</v>
      </c>
      <c r="X58" s="74">
        <v>1</v>
      </c>
      <c r="Y58" s="49">
        <v>0</v>
      </c>
      <c r="Z58" s="49">
        <v>0</v>
      </c>
      <c r="AA58" s="49"/>
      <c r="AB58" s="74">
        <v>0</v>
      </c>
      <c r="AC58" s="49"/>
      <c r="AD58" s="49"/>
      <c r="AE58" s="74">
        <v>2</v>
      </c>
      <c r="AF58" s="74">
        <v>2</v>
      </c>
      <c r="AG58" s="74">
        <v>1</v>
      </c>
      <c r="AH58" s="74">
        <v>1</v>
      </c>
      <c r="AI58" s="49">
        <v>0</v>
      </c>
      <c r="AJ58" s="49">
        <v>0</v>
      </c>
      <c r="AK58" s="49">
        <v>0</v>
      </c>
      <c r="AL58" s="49"/>
      <c r="AM58" s="49">
        <v>0</v>
      </c>
      <c r="AN58" s="49" t="s">
        <v>100</v>
      </c>
      <c r="AO58" s="49"/>
      <c r="AP58" s="49"/>
      <c r="AQ58" s="74">
        <v>1</v>
      </c>
      <c r="AR58" s="49">
        <v>0</v>
      </c>
      <c r="AS58" s="74">
        <v>1</v>
      </c>
      <c r="AT58" s="49">
        <v>0</v>
      </c>
      <c r="AU58" s="49" t="s">
        <v>100</v>
      </c>
      <c r="AV58" s="49" t="s">
        <v>100</v>
      </c>
      <c r="AW58" s="49" t="s">
        <v>100</v>
      </c>
      <c r="AX58" s="49">
        <v>0</v>
      </c>
      <c r="AY58" s="49">
        <v>0</v>
      </c>
      <c r="AZ58" s="49">
        <v>0</v>
      </c>
      <c r="BA58" s="49">
        <v>0</v>
      </c>
      <c r="BB58" s="49">
        <v>0</v>
      </c>
      <c r="BC58" s="49"/>
      <c r="BD58" s="49"/>
      <c r="BE58" s="49"/>
      <c r="BF58" s="49"/>
      <c r="BG58" s="74">
        <v>3</v>
      </c>
      <c r="BH58" s="49">
        <v>0</v>
      </c>
      <c r="BI58" s="49">
        <v>0</v>
      </c>
      <c r="BJ58" s="49">
        <v>0</v>
      </c>
      <c r="BK58" s="49">
        <v>0</v>
      </c>
      <c r="BL58" s="49">
        <v>0</v>
      </c>
      <c r="BM58" s="49" t="s">
        <v>100</v>
      </c>
      <c r="BN58" s="49"/>
      <c r="BO58" s="49">
        <v>0</v>
      </c>
      <c r="BP58" s="49">
        <v>0</v>
      </c>
      <c r="BQ58" s="49">
        <v>0</v>
      </c>
      <c r="BR58" s="49">
        <v>0</v>
      </c>
      <c r="BS58" s="49">
        <v>0</v>
      </c>
      <c r="BT58" s="49">
        <v>0</v>
      </c>
      <c r="BU58" s="49">
        <v>0</v>
      </c>
      <c r="BV58" s="49">
        <v>0</v>
      </c>
      <c r="BW58" s="49">
        <v>0</v>
      </c>
      <c r="BX58" s="49">
        <v>0</v>
      </c>
      <c r="BY58" s="49">
        <v>0</v>
      </c>
      <c r="BZ58" s="49">
        <v>0</v>
      </c>
      <c r="CA58" s="49">
        <v>0</v>
      </c>
      <c r="CB58" s="49" t="s">
        <v>100</v>
      </c>
      <c r="CC58" s="49">
        <v>0</v>
      </c>
      <c r="CD58" s="49" t="s">
        <v>100</v>
      </c>
      <c r="CE58" s="74">
        <v>3</v>
      </c>
      <c r="CF58" s="49">
        <v>0</v>
      </c>
      <c r="CG58" s="49">
        <v>0</v>
      </c>
      <c r="CH58" s="74">
        <v>4</v>
      </c>
      <c r="CI58" s="49">
        <v>0</v>
      </c>
      <c r="CJ58" s="49" t="s">
        <v>100</v>
      </c>
      <c r="CK58" s="49">
        <v>0</v>
      </c>
      <c r="CL58" s="49"/>
      <c r="CM58" s="49"/>
      <c r="CN58" s="49">
        <v>0</v>
      </c>
      <c r="CO58" s="49">
        <v>0</v>
      </c>
      <c r="CP58" s="49">
        <v>0</v>
      </c>
      <c r="CQ58" s="49">
        <v>0</v>
      </c>
      <c r="CR58" s="49">
        <v>0</v>
      </c>
      <c r="CS58" s="49">
        <v>0</v>
      </c>
      <c r="CT58" s="49">
        <v>0</v>
      </c>
      <c r="CU58" s="49">
        <v>0</v>
      </c>
      <c r="CV58" s="49">
        <v>1</v>
      </c>
      <c r="CW58" s="49">
        <v>0</v>
      </c>
      <c r="CX58" s="49">
        <v>0</v>
      </c>
      <c r="CY58" s="74">
        <v>1</v>
      </c>
      <c r="CZ58" s="74">
        <v>0</v>
      </c>
      <c r="DA58" s="49">
        <v>0</v>
      </c>
      <c r="DB58" s="49">
        <v>2</v>
      </c>
      <c r="DC58" s="74">
        <v>1</v>
      </c>
      <c r="DD58" s="49">
        <v>0</v>
      </c>
      <c r="DE58" s="49">
        <v>1</v>
      </c>
      <c r="DF58" s="49">
        <v>0</v>
      </c>
      <c r="DG58" s="49"/>
      <c r="DH58" s="49"/>
      <c r="DI58" s="49"/>
      <c r="DJ58" s="49">
        <v>0</v>
      </c>
      <c r="DK58" s="49">
        <v>0</v>
      </c>
      <c r="DL58" s="49" t="s">
        <v>100</v>
      </c>
      <c r="DM58" s="74">
        <v>0</v>
      </c>
      <c r="DN58" s="49">
        <v>0</v>
      </c>
      <c r="DO58" s="49" t="s">
        <v>100</v>
      </c>
      <c r="DP58" s="74">
        <v>0</v>
      </c>
      <c r="DQ58" s="74">
        <v>0</v>
      </c>
      <c r="DR58" s="49"/>
      <c r="DS58" s="49"/>
      <c r="DT58" s="74">
        <v>1</v>
      </c>
      <c r="DU58" s="74">
        <v>0</v>
      </c>
      <c r="DV58" s="49" t="s">
        <v>100</v>
      </c>
      <c r="DW58" s="49">
        <v>2</v>
      </c>
      <c r="DX58" s="74">
        <v>0</v>
      </c>
      <c r="DY58" s="74">
        <v>0</v>
      </c>
      <c r="DZ58" s="74">
        <v>3</v>
      </c>
    </row>
    <row r="59" spans="1:130">
      <c r="A59" s="50">
        <v>57</v>
      </c>
      <c r="B59" s="50" t="s">
        <v>327</v>
      </c>
      <c r="C59" s="50" t="s">
        <v>221</v>
      </c>
      <c r="D59" s="72">
        <v>34792</v>
      </c>
      <c r="E59" s="49" t="s">
        <v>95</v>
      </c>
      <c r="F59" s="73">
        <v>3</v>
      </c>
      <c r="G59" s="73">
        <v>4</v>
      </c>
      <c r="H59" s="49">
        <v>1995</v>
      </c>
      <c r="I59" s="49" t="s">
        <v>328</v>
      </c>
      <c r="J59" s="49" t="s">
        <v>329</v>
      </c>
      <c r="K59" s="73">
        <v>43</v>
      </c>
      <c r="L59" s="73">
        <v>0</v>
      </c>
      <c r="M59" s="74">
        <v>0</v>
      </c>
      <c r="N59" s="74">
        <v>6</v>
      </c>
      <c r="O59" s="74">
        <v>0</v>
      </c>
      <c r="P59" s="73" t="s">
        <v>100</v>
      </c>
      <c r="Q59" s="49">
        <v>0</v>
      </c>
      <c r="R59" s="49">
        <v>0</v>
      </c>
      <c r="S59" s="74">
        <v>5</v>
      </c>
      <c r="T59" s="74">
        <v>0</v>
      </c>
      <c r="U59" s="74">
        <v>0</v>
      </c>
      <c r="V59" s="49">
        <v>28</v>
      </c>
      <c r="W59" s="49">
        <v>0</v>
      </c>
      <c r="X59" s="49"/>
      <c r="Y59" s="49">
        <v>0</v>
      </c>
      <c r="Z59" s="49">
        <v>0</v>
      </c>
      <c r="AA59" s="49"/>
      <c r="AB59" s="49">
        <v>2</v>
      </c>
      <c r="AC59" s="74">
        <v>2</v>
      </c>
      <c r="AD59" s="49" t="s">
        <v>3201</v>
      </c>
      <c r="AE59" s="49"/>
      <c r="AF59" s="49"/>
      <c r="AG59" s="49"/>
      <c r="AH59" s="49"/>
      <c r="AI59" s="49">
        <v>0</v>
      </c>
      <c r="AJ59" s="49">
        <v>0</v>
      </c>
      <c r="AK59" s="49">
        <v>0</v>
      </c>
      <c r="AL59" s="49">
        <v>2</v>
      </c>
      <c r="AM59" s="49">
        <v>0</v>
      </c>
      <c r="AN59" s="49" t="s">
        <v>100</v>
      </c>
      <c r="AO59" s="49"/>
      <c r="AP59" s="49"/>
      <c r="AQ59" s="74">
        <v>0</v>
      </c>
      <c r="AR59" s="49">
        <v>0</v>
      </c>
      <c r="AS59" s="49">
        <v>0</v>
      </c>
      <c r="AT59" s="49">
        <v>0</v>
      </c>
      <c r="AU59" s="49" t="s">
        <v>100</v>
      </c>
      <c r="AV59" s="49" t="s">
        <v>100</v>
      </c>
      <c r="AW59" s="49" t="s">
        <v>100</v>
      </c>
      <c r="AX59" s="49">
        <v>0</v>
      </c>
      <c r="AY59" s="49">
        <v>0</v>
      </c>
      <c r="AZ59" s="49">
        <v>0</v>
      </c>
      <c r="BA59" s="49">
        <v>0</v>
      </c>
      <c r="BB59" s="49">
        <v>0</v>
      </c>
      <c r="BC59" s="74">
        <v>0</v>
      </c>
      <c r="BD59" s="49"/>
      <c r="BE59" s="74">
        <v>0</v>
      </c>
      <c r="BF59" s="74">
        <v>0</v>
      </c>
      <c r="BG59" s="49"/>
      <c r="BH59" s="49">
        <v>1</v>
      </c>
      <c r="BI59" s="49">
        <v>0</v>
      </c>
      <c r="BJ59" s="49">
        <v>0</v>
      </c>
      <c r="BK59" s="74">
        <v>1</v>
      </c>
      <c r="BL59" s="49">
        <v>0</v>
      </c>
      <c r="BM59" s="49" t="s">
        <v>100</v>
      </c>
      <c r="BN59" s="49"/>
      <c r="BO59" s="49">
        <v>0</v>
      </c>
      <c r="BP59" s="49">
        <v>0</v>
      </c>
      <c r="BQ59" s="49">
        <v>0</v>
      </c>
      <c r="BR59" s="49">
        <v>0</v>
      </c>
      <c r="BS59" s="49">
        <v>0</v>
      </c>
      <c r="BT59" s="49">
        <v>0</v>
      </c>
      <c r="BU59" s="49">
        <v>0</v>
      </c>
      <c r="BV59" s="49">
        <v>0</v>
      </c>
      <c r="BW59" s="49">
        <v>0</v>
      </c>
      <c r="BX59" s="49">
        <v>0</v>
      </c>
      <c r="BY59" s="74">
        <v>2</v>
      </c>
      <c r="BZ59" s="49">
        <v>0</v>
      </c>
      <c r="CA59" s="49">
        <v>0</v>
      </c>
      <c r="CB59" s="49" t="s">
        <v>100</v>
      </c>
      <c r="CC59" s="49">
        <v>0</v>
      </c>
      <c r="CD59" s="49" t="s">
        <v>100</v>
      </c>
      <c r="CE59" s="49">
        <v>1</v>
      </c>
      <c r="CF59" s="49">
        <v>0</v>
      </c>
      <c r="CG59" s="49">
        <v>0</v>
      </c>
      <c r="CH59" s="49"/>
      <c r="CI59" s="49" t="s">
        <v>833</v>
      </c>
      <c r="CJ59" s="49" t="s">
        <v>100</v>
      </c>
      <c r="CK59" s="49">
        <v>0</v>
      </c>
      <c r="CL59" s="49"/>
      <c r="CM59" s="49"/>
      <c r="CN59" s="49">
        <v>0</v>
      </c>
      <c r="CO59" s="49">
        <v>0</v>
      </c>
      <c r="CP59" s="49">
        <v>0</v>
      </c>
      <c r="CQ59" s="49">
        <v>0</v>
      </c>
      <c r="CR59" s="49">
        <v>1</v>
      </c>
      <c r="CS59" s="49">
        <v>0</v>
      </c>
      <c r="CT59" s="49">
        <v>0</v>
      </c>
      <c r="CU59" s="49">
        <v>0</v>
      </c>
      <c r="CV59" s="49">
        <v>0</v>
      </c>
      <c r="CW59" s="49">
        <v>0</v>
      </c>
      <c r="CX59" s="49">
        <v>0</v>
      </c>
      <c r="CY59" s="74">
        <v>1</v>
      </c>
      <c r="CZ59" s="74">
        <v>0</v>
      </c>
      <c r="DA59" s="49">
        <v>0</v>
      </c>
      <c r="DB59" s="49">
        <v>2</v>
      </c>
      <c r="DC59" s="74">
        <v>0</v>
      </c>
      <c r="DD59" s="49"/>
      <c r="DE59" s="49"/>
      <c r="DF59" s="49"/>
      <c r="DG59" s="49"/>
      <c r="DH59" s="49"/>
      <c r="DI59" s="49"/>
      <c r="DJ59" s="49">
        <v>0</v>
      </c>
      <c r="DK59" s="49">
        <v>0</v>
      </c>
      <c r="DL59" s="49" t="s">
        <v>100</v>
      </c>
      <c r="DM59" s="74">
        <v>0</v>
      </c>
      <c r="DN59" s="49">
        <v>0</v>
      </c>
      <c r="DO59" s="49" t="s">
        <v>100</v>
      </c>
      <c r="DP59" s="74">
        <v>0</v>
      </c>
      <c r="DQ59" s="74">
        <v>0</v>
      </c>
      <c r="DR59" s="49">
        <v>0</v>
      </c>
      <c r="DS59" s="49"/>
      <c r="DT59" s="49">
        <v>2</v>
      </c>
      <c r="DU59" s="74">
        <v>0</v>
      </c>
      <c r="DV59" s="49" t="s">
        <v>100</v>
      </c>
      <c r="DW59" s="49">
        <v>0</v>
      </c>
      <c r="DX59" s="74">
        <v>0</v>
      </c>
      <c r="DY59" s="49">
        <v>2</v>
      </c>
      <c r="DZ59" s="49">
        <v>0</v>
      </c>
    </row>
    <row r="60" spans="1:130">
      <c r="A60" s="50">
        <v>58</v>
      </c>
      <c r="B60" s="50" t="s">
        <v>330</v>
      </c>
      <c r="C60" s="50" t="s">
        <v>331</v>
      </c>
      <c r="D60" s="72">
        <v>34899</v>
      </c>
      <c r="E60" s="49" t="s">
        <v>123</v>
      </c>
      <c r="F60" s="73">
        <v>19</v>
      </c>
      <c r="G60" s="73">
        <v>7</v>
      </c>
      <c r="H60" s="49">
        <v>1995</v>
      </c>
      <c r="I60" s="49" t="s">
        <v>332</v>
      </c>
      <c r="J60" s="49" t="s">
        <v>333</v>
      </c>
      <c r="K60" s="73">
        <v>5</v>
      </c>
      <c r="L60" s="73">
        <v>3</v>
      </c>
      <c r="M60" s="73">
        <v>0</v>
      </c>
      <c r="N60" s="74">
        <v>6</v>
      </c>
      <c r="O60" s="74">
        <v>0</v>
      </c>
      <c r="P60" s="73" t="s">
        <v>100</v>
      </c>
      <c r="Q60" s="49">
        <v>0</v>
      </c>
      <c r="R60" s="49">
        <v>0</v>
      </c>
      <c r="S60" s="73">
        <v>4</v>
      </c>
      <c r="T60" s="74">
        <v>0</v>
      </c>
      <c r="U60" s="74">
        <v>0</v>
      </c>
      <c r="V60" s="49">
        <v>42</v>
      </c>
      <c r="W60" s="49">
        <v>0</v>
      </c>
      <c r="X60" s="74">
        <v>1</v>
      </c>
      <c r="Y60" s="49">
        <v>0</v>
      </c>
      <c r="Z60" s="49">
        <v>0</v>
      </c>
      <c r="AA60" s="49"/>
      <c r="AB60" s="49"/>
      <c r="AC60" s="49"/>
      <c r="AD60" s="49"/>
      <c r="AE60" s="49"/>
      <c r="AF60" s="49"/>
      <c r="AG60" s="49"/>
      <c r="AH60" s="49"/>
      <c r="AI60" s="49">
        <v>1</v>
      </c>
      <c r="AJ60" s="49">
        <v>1</v>
      </c>
      <c r="AK60" s="49">
        <v>1</v>
      </c>
      <c r="AL60" s="49">
        <v>0</v>
      </c>
      <c r="AM60" s="74">
        <v>1</v>
      </c>
      <c r="AN60" s="74">
        <v>3</v>
      </c>
      <c r="AO60" s="49"/>
      <c r="AP60" s="49"/>
      <c r="AQ60" s="49">
        <v>0</v>
      </c>
      <c r="AR60" s="49">
        <v>0</v>
      </c>
      <c r="AS60" s="49">
        <v>0</v>
      </c>
      <c r="AT60" s="49">
        <v>0</v>
      </c>
      <c r="AU60" s="49" t="s">
        <v>100</v>
      </c>
      <c r="AV60" s="49" t="s">
        <v>100</v>
      </c>
      <c r="AW60" s="49" t="s">
        <v>100</v>
      </c>
      <c r="AX60" s="49">
        <v>0</v>
      </c>
      <c r="AY60" s="49">
        <v>0</v>
      </c>
      <c r="AZ60" s="49">
        <v>0</v>
      </c>
      <c r="BA60" s="49">
        <v>0</v>
      </c>
      <c r="BB60" s="49">
        <v>0</v>
      </c>
      <c r="BC60" s="74">
        <v>0</v>
      </c>
      <c r="BD60" s="74">
        <v>0</v>
      </c>
      <c r="BE60" s="49"/>
      <c r="BF60" s="49"/>
      <c r="BG60" s="49">
        <v>1</v>
      </c>
      <c r="BH60" s="49"/>
      <c r="BI60" s="49">
        <v>0</v>
      </c>
      <c r="BJ60" s="49">
        <v>0</v>
      </c>
      <c r="BK60" s="74">
        <v>1</v>
      </c>
      <c r="BL60" s="74">
        <v>1</v>
      </c>
      <c r="BM60" s="49">
        <v>0</v>
      </c>
      <c r="BN60" s="49" t="s">
        <v>3020</v>
      </c>
      <c r="BO60" s="49">
        <v>1</v>
      </c>
      <c r="BP60" s="49">
        <v>0</v>
      </c>
      <c r="BQ60" s="49">
        <v>0</v>
      </c>
      <c r="BR60" s="49">
        <v>0</v>
      </c>
      <c r="BS60" s="49">
        <v>0</v>
      </c>
      <c r="BT60" s="49">
        <v>1</v>
      </c>
      <c r="BU60" s="49">
        <v>0</v>
      </c>
      <c r="BV60" s="49">
        <v>0</v>
      </c>
      <c r="BW60" s="49">
        <v>0</v>
      </c>
      <c r="BX60" s="49">
        <v>0</v>
      </c>
      <c r="BY60" s="49">
        <v>0</v>
      </c>
      <c r="BZ60" s="49">
        <v>0</v>
      </c>
      <c r="CA60" s="49">
        <v>0</v>
      </c>
      <c r="CB60" s="49" t="s">
        <v>100</v>
      </c>
      <c r="CC60" s="49">
        <v>0</v>
      </c>
      <c r="CD60" s="49" t="s">
        <v>100</v>
      </c>
      <c r="CE60" s="49">
        <v>0</v>
      </c>
      <c r="CF60" s="49">
        <v>0</v>
      </c>
      <c r="CG60" s="49">
        <v>0</v>
      </c>
      <c r="CH60" s="49">
        <v>0</v>
      </c>
      <c r="CI60" s="49">
        <v>0</v>
      </c>
      <c r="CJ60" s="49" t="s">
        <v>100</v>
      </c>
      <c r="CK60" s="49">
        <v>0</v>
      </c>
      <c r="CL60" s="49"/>
      <c r="CM60" s="49"/>
      <c r="CN60" s="49">
        <v>0</v>
      </c>
      <c r="CO60" s="49">
        <v>0</v>
      </c>
      <c r="CP60" s="49">
        <v>0</v>
      </c>
      <c r="CQ60" s="49">
        <v>0</v>
      </c>
      <c r="CR60" s="74">
        <v>1</v>
      </c>
      <c r="CS60" s="49">
        <v>0</v>
      </c>
      <c r="CT60" s="49">
        <v>0</v>
      </c>
      <c r="CU60" s="49">
        <v>0</v>
      </c>
      <c r="CV60" s="49">
        <v>0</v>
      </c>
      <c r="CW60" s="49">
        <v>0</v>
      </c>
      <c r="CX60" s="49">
        <v>0</v>
      </c>
      <c r="CY60" s="49">
        <v>0</v>
      </c>
      <c r="CZ60" s="74">
        <v>0</v>
      </c>
      <c r="DA60" s="49">
        <v>0</v>
      </c>
      <c r="DB60" s="49">
        <v>2</v>
      </c>
      <c r="DC60" s="49">
        <v>0</v>
      </c>
      <c r="DD60" s="49"/>
      <c r="DE60" s="49"/>
      <c r="DF60" s="49"/>
      <c r="DG60" s="49"/>
      <c r="DH60" s="49"/>
      <c r="DI60" s="49"/>
      <c r="DJ60" s="49">
        <v>0</v>
      </c>
      <c r="DK60" s="49">
        <v>0</v>
      </c>
      <c r="DL60" s="49" t="s">
        <v>100</v>
      </c>
      <c r="DM60" s="74">
        <v>0</v>
      </c>
      <c r="DN60" s="49">
        <v>0</v>
      </c>
      <c r="DO60" s="49" t="s">
        <v>100</v>
      </c>
      <c r="DP60" s="49">
        <v>0</v>
      </c>
      <c r="DQ60" s="74">
        <v>0</v>
      </c>
      <c r="DR60" s="49">
        <v>0</v>
      </c>
      <c r="DS60" s="74">
        <v>3</v>
      </c>
      <c r="DT60" s="74">
        <v>1</v>
      </c>
      <c r="DU60" s="74">
        <v>0</v>
      </c>
      <c r="DV60" s="49" t="s">
        <v>100</v>
      </c>
      <c r="DW60" s="49">
        <v>2</v>
      </c>
      <c r="DX60" s="74">
        <v>0</v>
      </c>
      <c r="DY60" s="49"/>
      <c r="DZ60" s="74">
        <v>2</v>
      </c>
    </row>
    <row r="61" spans="1:130">
      <c r="A61" s="50">
        <v>59</v>
      </c>
      <c r="B61" s="50" t="s">
        <v>334</v>
      </c>
      <c r="C61" s="50" t="s">
        <v>212</v>
      </c>
      <c r="D61" s="72">
        <v>35052</v>
      </c>
      <c r="E61" s="49" t="s">
        <v>203</v>
      </c>
      <c r="F61" s="73">
        <v>19</v>
      </c>
      <c r="G61" s="74">
        <v>12</v>
      </c>
      <c r="H61" s="74">
        <v>1995</v>
      </c>
      <c r="I61" s="49" t="s">
        <v>335</v>
      </c>
      <c r="J61" s="49" t="s">
        <v>336</v>
      </c>
      <c r="K61" s="73">
        <v>32</v>
      </c>
      <c r="L61" s="74">
        <v>2</v>
      </c>
      <c r="M61" s="73">
        <v>0</v>
      </c>
      <c r="N61" s="74">
        <v>4</v>
      </c>
      <c r="O61" s="73">
        <v>0</v>
      </c>
      <c r="P61" s="73" t="s">
        <v>100</v>
      </c>
      <c r="Q61" s="49">
        <v>0</v>
      </c>
      <c r="R61" s="49">
        <v>0</v>
      </c>
      <c r="S61" s="74">
        <v>5</v>
      </c>
      <c r="T61" s="73">
        <v>3</v>
      </c>
      <c r="U61" s="74">
        <v>1</v>
      </c>
      <c r="V61" s="74">
        <v>22</v>
      </c>
      <c r="W61" s="74">
        <v>0</v>
      </c>
      <c r="X61" s="49">
        <v>1</v>
      </c>
      <c r="Y61" s="49">
        <v>0</v>
      </c>
      <c r="Z61" s="49">
        <v>0</v>
      </c>
      <c r="AA61" s="49"/>
      <c r="AB61" s="74">
        <v>0</v>
      </c>
      <c r="AC61" s="74">
        <v>0</v>
      </c>
      <c r="AD61" s="49" t="s">
        <v>3180</v>
      </c>
      <c r="AE61" s="49"/>
      <c r="AF61" s="74">
        <v>2</v>
      </c>
      <c r="AG61" s="49"/>
      <c r="AH61" s="49"/>
      <c r="AI61" s="49">
        <v>0</v>
      </c>
      <c r="AJ61" s="74">
        <v>1</v>
      </c>
      <c r="AK61" s="49">
        <v>0</v>
      </c>
      <c r="AL61" s="49"/>
      <c r="AM61" s="49">
        <v>0</v>
      </c>
      <c r="AN61" s="49" t="s">
        <v>100</v>
      </c>
      <c r="AO61" s="74">
        <v>1</v>
      </c>
      <c r="AP61" s="49" t="s">
        <v>3202</v>
      </c>
      <c r="AQ61" s="74">
        <v>1</v>
      </c>
      <c r="AR61" s="74">
        <v>1</v>
      </c>
      <c r="AS61" s="74">
        <v>1</v>
      </c>
      <c r="AT61" s="49">
        <v>0</v>
      </c>
      <c r="AU61" s="49" t="s">
        <v>100</v>
      </c>
      <c r="AV61" s="49" t="s">
        <v>100</v>
      </c>
      <c r="AW61" s="49" t="s">
        <v>100</v>
      </c>
      <c r="AX61" s="49">
        <v>0</v>
      </c>
      <c r="AY61" s="49">
        <v>0</v>
      </c>
      <c r="AZ61" s="74">
        <v>0</v>
      </c>
      <c r="BA61" s="49">
        <v>0</v>
      </c>
      <c r="BB61" s="49">
        <v>0</v>
      </c>
      <c r="BC61" s="49">
        <v>0</v>
      </c>
      <c r="BD61" s="49">
        <v>0</v>
      </c>
      <c r="BE61" s="49"/>
      <c r="BF61" s="49"/>
      <c r="BG61" s="49"/>
      <c r="BH61" s="49">
        <v>0</v>
      </c>
      <c r="BI61" s="49">
        <v>0</v>
      </c>
      <c r="BJ61" s="49">
        <v>0</v>
      </c>
      <c r="BK61" s="49">
        <v>0</v>
      </c>
      <c r="BL61" s="74">
        <v>1</v>
      </c>
      <c r="BM61" s="49">
        <v>3</v>
      </c>
      <c r="BN61" s="49" t="s">
        <v>3072</v>
      </c>
      <c r="BO61" s="49">
        <v>1</v>
      </c>
      <c r="BP61" s="49">
        <v>1</v>
      </c>
      <c r="BQ61" s="49">
        <v>0</v>
      </c>
      <c r="BR61" s="49">
        <v>0</v>
      </c>
      <c r="BS61" s="49">
        <v>0</v>
      </c>
      <c r="BT61" s="49">
        <v>1</v>
      </c>
      <c r="BU61" s="49">
        <v>1</v>
      </c>
      <c r="BV61" s="49">
        <v>0</v>
      </c>
      <c r="BW61" s="49">
        <v>0</v>
      </c>
      <c r="BX61" s="49">
        <v>1</v>
      </c>
      <c r="BY61" s="49">
        <v>0</v>
      </c>
      <c r="BZ61" s="74">
        <v>1</v>
      </c>
      <c r="CA61" s="74">
        <v>1</v>
      </c>
      <c r="CB61" s="74">
        <v>0</v>
      </c>
      <c r="CC61" s="74">
        <v>1</v>
      </c>
      <c r="CD61" s="74">
        <v>1</v>
      </c>
      <c r="CE61" s="74">
        <v>2</v>
      </c>
      <c r="CF61" s="49">
        <v>0</v>
      </c>
      <c r="CG61" s="49">
        <v>0</v>
      </c>
      <c r="CH61" s="74">
        <v>3</v>
      </c>
      <c r="CI61" s="49">
        <v>0</v>
      </c>
      <c r="CJ61" s="49" t="s">
        <v>100</v>
      </c>
      <c r="CK61" s="49">
        <v>0</v>
      </c>
      <c r="CL61" s="49"/>
      <c r="CM61" s="49"/>
      <c r="CN61" s="49">
        <v>0</v>
      </c>
      <c r="CO61" s="49">
        <v>0</v>
      </c>
      <c r="CP61" s="49">
        <v>0</v>
      </c>
      <c r="CQ61" s="49">
        <v>0</v>
      </c>
      <c r="CR61" s="49">
        <v>0</v>
      </c>
      <c r="CS61" s="49">
        <v>0</v>
      </c>
      <c r="CT61" s="49">
        <v>0</v>
      </c>
      <c r="CU61" s="49">
        <v>0</v>
      </c>
      <c r="CV61" s="49">
        <v>0</v>
      </c>
      <c r="CW61" s="49">
        <v>0</v>
      </c>
      <c r="CX61" s="74">
        <v>1</v>
      </c>
      <c r="CY61" s="49">
        <v>0</v>
      </c>
      <c r="CZ61" s="74">
        <v>0</v>
      </c>
      <c r="DA61" s="49">
        <v>2</v>
      </c>
      <c r="DB61" s="49">
        <v>2</v>
      </c>
      <c r="DC61" s="49">
        <v>0</v>
      </c>
      <c r="DD61" s="49"/>
      <c r="DE61" s="49"/>
      <c r="DF61" s="49"/>
      <c r="DG61" s="49"/>
      <c r="DH61" s="49"/>
      <c r="DI61" s="49"/>
      <c r="DJ61" s="49">
        <v>0</v>
      </c>
      <c r="DK61" s="49">
        <v>0</v>
      </c>
      <c r="DL61" s="49" t="s">
        <v>100</v>
      </c>
      <c r="DM61" s="74">
        <v>0</v>
      </c>
      <c r="DN61" s="49">
        <v>0</v>
      </c>
      <c r="DO61" s="49" t="s">
        <v>100</v>
      </c>
      <c r="DP61" s="74">
        <v>0</v>
      </c>
      <c r="DQ61" s="74">
        <v>0</v>
      </c>
      <c r="DR61" s="49">
        <v>0</v>
      </c>
      <c r="DS61" s="74">
        <v>1</v>
      </c>
      <c r="DT61" s="74">
        <v>1</v>
      </c>
      <c r="DU61" s="74">
        <v>1</v>
      </c>
      <c r="DV61" s="49" t="s">
        <v>337</v>
      </c>
      <c r="DW61" s="74">
        <v>2</v>
      </c>
      <c r="DX61" s="74">
        <v>1</v>
      </c>
      <c r="DY61" s="74">
        <v>1</v>
      </c>
      <c r="DZ61" s="74">
        <v>3</v>
      </c>
    </row>
    <row r="62" spans="1:130">
      <c r="A62" s="50">
        <v>60</v>
      </c>
      <c r="B62" s="50" t="s">
        <v>338</v>
      </c>
      <c r="C62" s="50" t="s">
        <v>339</v>
      </c>
      <c r="D62" s="72">
        <v>35104</v>
      </c>
      <c r="E62" s="49" t="s">
        <v>157</v>
      </c>
      <c r="F62" s="73">
        <v>9</v>
      </c>
      <c r="G62" s="74">
        <v>2</v>
      </c>
      <c r="H62" s="74">
        <v>1996</v>
      </c>
      <c r="I62" s="49" t="s">
        <v>340</v>
      </c>
      <c r="J62" s="49" t="s">
        <v>3203</v>
      </c>
      <c r="K62" s="74">
        <v>9</v>
      </c>
      <c r="L62" s="73">
        <v>0</v>
      </c>
      <c r="M62" s="73">
        <v>0</v>
      </c>
      <c r="N62" s="74">
        <v>6</v>
      </c>
      <c r="O62" s="74">
        <v>0</v>
      </c>
      <c r="P62" s="73" t="s">
        <v>100</v>
      </c>
      <c r="Q62" s="49">
        <v>0</v>
      </c>
      <c r="R62" s="49">
        <v>0</v>
      </c>
      <c r="S62" s="74">
        <v>5</v>
      </c>
      <c r="T62" s="73">
        <v>1</v>
      </c>
      <c r="U62" s="74">
        <v>0</v>
      </c>
      <c r="V62" s="74">
        <v>41</v>
      </c>
      <c r="W62" s="74">
        <v>0</v>
      </c>
      <c r="X62" s="74">
        <v>1</v>
      </c>
      <c r="Y62" s="49">
        <v>0</v>
      </c>
      <c r="Z62" s="74">
        <v>0</v>
      </c>
      <c r="AA62" s="74">
        <v>1</v>
      </c>
      <c r="AB62" s="49" t="s">
        <v>818</v>
      </c>
      <c r="AC62" s="49"/>
      <c r="AD62" s="49"/>
      <c r="AE62" s="49"/>
      <c r="AF62" s="49"/>
      <c r="AG62" s="49"/>
      <c r="AH62" s="49"/>
      <c r="AI62" s="74">
        <v>2</v>
      </c>
      <c r="AJ62" s="74">
        <v>1</v>
      </c>
      <c r="AK62" s="74">
        <v>0</v>
      </c>
      <c r="AL62" s="49">
        <v>0</v>
      </c>
      <c r="AM62" s="74">
        <v>1</v>
      </c>
      <c r="AN62" s="74">
        <v>3</v>
      </c>
      <c r="AO62" s="74">
        <v>1</v>
      </c>
      <c r="AP62" s="49" t="s">
        <v>3163</v>
      </c>
      <c r="AQ62" s="74">
        <v>0</v>
      </c>
      <c r="AR62" s="49">
        <v>0</v>
      </c>
      <c r="AS62" s="49">
        <v>0</v>
      </c>
      <c r="AT62" s="49">
        <v>0</v>
      </c>
      <c r="AU62" s="49" t="s">
        <v>100</v>
      </c>
      <c r="AV62" s="49" t="s">
        <v>100</v>
      </c>
      <c r="AW62" s="49" t="s">
        <v>100</v>
      </c>
      <c r="AX62" s="49">
        <v>0</v>
      </c>
      <c r="AY62" s="49">
        <v>0</v>
      </c>
      <c r="AZ62" s="49">
        <v>0</v>
      </c>
      <c r="BA62" s="49">
        <v>0</v>
      </c>
      <c r="BB62" s="49">
        <v>0</v>
      </c>
      <c r="BC62" s="74">
        <v>1</v>
      </c>
      <c r="BD62" s="49">
        <v>0</v>
      </c>
      <c r="BE62" s="49"/>
      <c r="BF62" s="49"/>
      <c r="BG62" s="49"/>
      <c r="BH62" s="49"/>
      <c r="BI62" s="49">
        <v>0</v>
      </c>
      <c r="BJ62" s="49">
        <v>0</v>
      </c>
      <c r="BK62" s="74">
        <v>1</v>
      </c>
      <c r="BL62" s="74">
        <v>1</v>
      </c>
      <c r="BM62" s="49">
        <v>0</v>
      </c>
      <c r="BN62" s="49" t="s">
        <v>3024</v>
      </c>
      <c r="BO62" s="49">
        <v>1</v>
      </c>
      <c r="BP62" s="49">
        <v>0</v>
      </c>
      <c r="BQ62" s="49">
        <v>1</v>
      </c>
      <c r="BR62" s="49">
        <v>0</v>
      </c>
      <c r="BS62" s="49">
        <v>0</v>
      </c>
      <c r="BT62" s="49">
        <v>1</v>
      </c>
      <c r="BU62" s="49">
        <v>0</v>
      </c>
      <c r="BV62" s="49">
        <v>0</v>
      </c>
      <c r="BW62" s="49">
        <v>0</v>
      </c>
      <c r="BX62" s="49">
        <v>0</v>
      </c>
      <c r="BY62" s="74">
        <v>2</v>
      </c>
      <c r="BZ62" s="49">
        <v>0</v>
      </c>
      <c r="CA62" s="74">
        <v>0</v>
      </c>
      <c r="CB62" s="49" t="s">
        <v>100</v>
      </c>
      <c r="CC62" s="49">
        <v>0</v>
      </c>
      <c r="CD62" s="49" t="s">
        <v>100</v>
      </c>
      <c r="CE62" s="74">
        <v>5</v>
      </c>
      <c r="CF62" s="49">
        <v>0</v>
      </c>
      <c r="CG62" s="49">
        <v>0</v>
      </c>
      <c r="CH62" s="74">
        <v>2</v>
      </c>
      <c r="CI62" s="49">
        <v>0</v>
      </c>
      <c r="CJ62" s="49" t="s">
        <v>100</v>
      </c>
      <c r="CK62" s="49">
        <v>1</v>
      </c>
      <c r="CL62" s="49"/>
      <c r="CM62" s="49"/>
      <c r="CN62" s="49">
        <v>0</v>
      </c>
      <c r="CO62" s="49">
        <v>0</v>
      </c>
      <c r="CP62" s="49">
        <v>0</v>
      </c>
      <c r="CQ62" s="49">
        <v>0</v>
      </c>
      <c r="CR62" s="49">
        <v>1</v>
      </c>
      <c r="CS62" s="49">
        <v>0</v>
      </c>
      <c r="CT62" s="49">
        <v>0</v>
      </c>
      <c r="CU62" s="49">
        <v>0</v>
      </c>
      <c r="CV62" s="49">
        <v>0</v>
      </c>
      <c r="CW62" s="49">
        <v>0</v>
      </c>
      <c r="CX62" s="49">
        <v>0</v>
      </c>
      <c r="CY62" s="49">
        <v>0</v>
      </c>
      <c r="CZ62" s="74">
        <v>0</v>
      </c>
      <c r="DA62" s="49">
        <v>0</v>
      </c>
      <c r="DB62" s="49">
        <v>2</v>
      </c>
      <c r="DC62" s="74">
        <v>1</v>
      </c>
      <c r="DD62" s="49">
        <v>0</v>
      </c>
      <c r="DE62" s="49">
        <v>4</v>
      </c>
      <c r="DF62" s="49">
        <v>1</v>
      </c>
      <c r="DG62" s="49"/>
      <c r="DH62" s="49"/>
      <c r="DI62" s="49"/>
      <c r="DJ62" s="49">
        <v>0</v>
      </c>
      <c r="DK62" s="49">
        <v>0</v>
      </c>
      <c r="DL62" s="49" t="s">
        <v>100</v>
      </c>
      <c r="DM62" s="74">
        <v>1</v>
      </c>
      <c r="DN62" s="49">
        <v>0</v>
      </c>
      <c r="DO62" s="49" t="s">
        <v>100</v>
      </c>
      <c r="DP62" s="49">
        <v>0</v>
      </c>
      <c r="DQ62" s="74">
        <v>0</v>
      </c>
      <c r="DR62" s="49">
        <v>0</v>
      </c>
      <c r="DS62" s="49">
        <v>3</v>
      </c>
      <c r="DT62" s="74">
        <v>2</v>
      </c>
      <c r="DU62" s="74">
        <v>0</v>
      </c>
      <c r="DV62" s="49" t="s">
        <v>100</v>
      </c>
      <c r="DW62" s="74">
        <v>0</v>
      </c>
      <c r="DX62" s="74">
        <v>0</v>
      </c>
      <c r="DY62" s="49">
        <v>2</v>
      </c>
      <c r="DZ62" s="49">
        <v>0</v>
      </c>
    </row>
    <row r="63" spans="1:130">
      <c r="A63" s="50">
        <v>61</v>
      </c>
      <c r="B63" s="50" t="s">
        <v>341</v>
      </c>
      <c r="C63" s="50" t="s">
        <v>306</v>
      </c>
      <c r="D63" s="72">
        <v>35179</v>
      </c>
      <c r="E63" s="49" t="s">
        <v>123</v>
      </c>
      <c r="F63" s="73">
        <v>24</v>
      </c>
      <c r="G63" s="73">
        <v>4</v>
      </c>
      <c r="H63" s="49">
        <v>1996</v>
      </c>
      <c r="I63" s="49" t="s">
        <v>342</v>
      </c>
      <c r="J63" s="49" t="s">
        <v>343</v>
      </c>
      <c r="K63" s="73">
        <v>24</v>
      </c>
      <c r="L63" s="74">
        <v>0</v>
      </c>
      <c r="M63" s="73">
        <v>0</v>
      </c>
      <c r="N63" s="74">
        <v>6</v>
      </c>
      <c r="O63" s="73">
        <v>1</v>
      </c>
      <c r="P63" s="74">
        <v>7</v>
      </c>
      <c r="Q63" s="49">
        <v>1</v>
      </c>
      <c r="R63" s="49">
        <v>1</v>
      </c>
      <c r="S63" s="73">
        <v>5</v>
      </c>
      <c r="T63" s="73">
        <v>3</v>
      </c>
      <c r="U63" s="74">
        <v>0</v>
      </c>
      <c r="V63" s="49">
        <v>32</v>
      </c>
      <c r="W63" s="49">
        <v>0</v>
      </c>
      <c r="X63" s="49">
        <v>1</v>
      </c>
      <c r="Y63" s="49">
        <v>0</v>
      </c>
      <c r="Z63" s="74">
        <v>0</v>
      </c>
      <c r="AA63" s="49"/>
      <c r="AB63" s="49" t="s">
        <v>818</v>
      </c>
      <c r="AC63" s="49"/>
      <c r="AD63" s="49"/>
      <c r="AE63" s="49"/>
      <c r="AF63" s="49"/>
      <c r="AG63" s="49"/>
      <c r="AH63" s="49"/>
      <c r="AI63" s="49">
        <v>2</v>
      </c>
      <c r="AJ63" s="74">
        <v>1</v>
      </c>
      <c r="AK63" s="49">
        <v>1</v>
      </c>
      <c r="AL63" s="74">
        <v>0</v>
      </c>
      <c r="AM63" s="49">
        <v>0</v>
      </c>
      <c r="AN63" s="49" t="s">
        <v>100</v>
      </c>
      <c r="AO63" s="49"/>
      <c r="AP63" s="49"/>
      <c r="AQ63" s="49">
        <v>0</v>
      </c>
      <c r="AR63" s="74">
        <v>1</v>
      </c>
      <c r="AS63" s="49">
        <v>0</v>
      </c>
      <c r="AT63" s="49">
        <v>0</v>
      </c>
      <c r="AU63" s="49" t="s">
        <v>100</v>
      </c>
      <c r="AV63" s="49" t="s">
        <v>100</v>
      </c>
      <c r="AW63" s="49" t="s">
        <v>100</v>
      </c>
      <c r="AX63" s="49">
        <v>0</v>
      </c>
      <c r="AY63" s="49">
        <v>0</v>
      </c>
      <c r="AZ63" s="49">
        <v>0</v>
      </c>
      <c r="BA63" s="49">
        <v>0</v>
      </c>
      <c r="BB63" s="49">
        <v>0</v>
      </c>
      <c r="BC63" s="49">
        <v>0</v>
      </c>
      <c r="BD63" s="49">
        <v>0</v>
      </c>
      <c r="BE63" s="49"/>
      <c r="BF63" s="49"/>
      <c r="BG63" s="49"/>
      <c r="BH63" s="49"/>
      <c r="BI63" s="49">
        <v>0</v>
      </c>
      <c r="BJ63" s="49">
        <v>1</v>
      </c>
      <c r="BK63" s="74">
        <v>1</v>
      </c>
      <c r="BL63" s="49">
        <v>0</v>
      </c>
      <c r="BM63" s="49" t="s">
        <v>100</v>
      </c>
      <c r="BN63" s="49"/>
      <c r="BO63" s="49">
        <v>0</v>
      </c>
      <c r="BP63" s="49">
        <v>0</v>
      </c>
      <c r="BQ63" s="49">
        <v>0</v>
      </c>
      <c r="BR63" s="49">
        <v>0</v>
      </c>
      <c r="BS63" s="49">
        <v>0</v>
      </c>
      <c r="BT63" s="49">
        <v>0</v>
      </c>
      <c r="BU63" s="49">
        <v>0</v>
      </c>
      <c r="BV63" s="49">
        <v>0</v>
      </c>
      <c r="BW63" s="49">
        <v>0</v>
      </c>
      <c r="BX63" s="49">
        <v>0</v>
      </c>
      <c r="BY63" s="74">
        <v>2</v>
      </c>
      <c r="BZ63" s="49">
        <v>0</v>
      </c>
      <c r="CA63" s="49">
        <v>0</v>
      </c>
      <c r="CB63" s="49" t="s">
        <v>100</v>
      </c>
      <c r="CC63" s="49">
        <v>0</v>
      </c>
      <c r="CD63" s="49" t="s">
        <v>100</v>
      </c>
      <c r="CE63" s="49">
        <v>0</v>
      </c>
      <c r="CF63" s="49">
        <v>0</v>
      </c>
      <c r="CG63" s="49">
        <v>0</v>
      </c>
      <c r="CH63" s="49">
        <v>0</v>
      </c>
      <c r="CI63" s="49">
        <v>0</v>
      </c>
      <c r="CJ63" s="49" t="s">
        <v>100</v>
      </c>
      <c r="CK63" s="49">
        <v>0</v>
      </c>
      <c r="CL63" s="49"/>
      <c r="CM63" s="49"/>
      <c r="CN63" s="49">
        <v>0</v>
      </c>
      <c r="CO63" s="49">
        <v>0</v>
      </c>
      <c r="CP63" s="49">
        <v>0</v>
      </c>
      <c r="CQ63" s="49">
        <v>0</v>
      </c>
      <c r="CR63" s="49">
        <v>1</v>
      </c>
      <c r="CS63" s="49">
        <v>0</v>
      </c>
      <c r="CT63" s="49">
        <v>0</v>
      </c>
      <c r="CU63" s="49">
        <v>1</v>
      </c>
      <c r="CV63" s="49">
        <v>0</v>
      </c>
      <c r="CW63" s="49">
        <v>0</v>
      </c>
      <c r="CX63" s="49">
        <v>0</v>
      </c>
      <c r="CY63" s="49">
        <v>0</v>
      </c>
      <c r="CZ63" s="49">
        <v>1</v>
      </c>
      <c r="DA63" s="49">
        <v>0</v>
      </c>
      <c r="DB63" s="49">
        <v>2</v>
      </c>
      <c r="DC63" s="49">
        <v>1</v>
      </c>
      <c r="DD63" s="49">
        <v>0</v>
      </c>
      <c r="DE63" s="49">
        <v>9</v>
      </c>
      <c r="DF63" s="49">
        <v>1</v>
      </c>
      <c r="DG63" s="49"/>
      <c r="DH63" s="49"/>
      <c r="DI63" s="49"/>
      <c r="DJ63" s="49">
        <v>0</v>
      </c>
      <c r="DK63" s="49">
        <v>0</v>
      </c>
      <c r="DL63" s="49" t="s">
        <v>100</v>
      </c>
      <c r="DM63" s="74">
        <v>0</v>
      </c>
      <c r="DN63" s="49">
        <v>0</v>
      </c>
      <c r="DO63" s="49" t="s">
        <v>100</v>
      </c>
      <c r="DP63" s="74">
        <v>0</v>
      </c>
      <c r="DQ63" s="74">
        <v>0</v>
      </c>
      <c r="DR63" s="49">
        <v>0</v>
      </c>
      <c r="DS63" s="74">
        <v>1</v>
      </c>
      <c r="DT63" s="49">
        <v>3</v>
      </c>
      <c r="DU63" s="74">
        <v>0</v>
      </c>
      <c r="DV63" s="49" t="s">
        <v>100</v>
      </c>
      <c r="DW63" s="49">
        <v>2</v>
      </c>
      <c r="DX63" s="74">
        <v>1</v>
      </c>
      <c r="DY63" s="49">
        <v>0</v>
      </c>
      <c r="DZ63" s="74">
        <v>1</v>
      </c>
    </row>
    <row r="64" spans="1:130">
      <c r="A64" s="50">
        <v>62</v>
      </c>
      <c r="B64" s="50" t="s">
        <v>344</v>
      </c>
      <c r="C64" s="50" t="s">
        <v>194</v>
      </c>
      <c r="D64" s="72">
        <v>35661</v>
      </c>
      <c r="E64" s="49" t="s">
        <v>203</v>
      </c>
      <c r="F64" s="73">
        <v>19</v>
      </c>
      <c r="G64" s="74">
        <v>8</v>
      </c>
      <c r="H64" s="74">
        <v>1997</v>
      </c>
      <c r="I64" s="49" t="s">
        <v>345</v>
      </c>
      <c r="J64" s="49" t="s">
        <v>346</v>
      </c>
      <c r="K64" s="74">
        <v>29</v>
      </c>
      <c r="L64" s="73">
        <v>2</v>
      </c>
      <c r="M64" s="73">
        <v>2</v>
      </c>
      <c r="N64" s="73">
        <v>6</v>
      </c>
      <c r="O64" s="74">
        <v>1</v>
      </c>
      <c r="P64" s="73">
        <v>8</v>
      </c>
      <c r="Q64" s="49">
        <v>1</v>
      </c>
      <c r="R64" s="49">
        <v>1</v>
      </c>
      <c r="S64" s="74">
        <v>4</v>
      </c>
      <c r="T64" s="73">
        <v>4</v>
      </c>
      <c r="U64" s="74">
        <v>0</v>
      </c>
      <c r="V64" s="74">
        <v>62</v>
      </c>
      <c r="W64" s="74">
        <v>0</v>
      </c>
      <c r="X64" s="49">
        <v>0</v>
      </c>
      <c r="Y64" s="49">
        <v>0</v>
      </c>
      <c r="Z64" s="74">
        <v>0</v>
      </c>
      <c r="AA64" s="74">
        <v>1</v>
      </c>
      <c r="AB64" s="49"/>
      <c r="AC64" s="49"/>
      <c r="AD64" s="49"/>
      <c r="AE64" s="74">
        <v>3</v>
      </c>
      <c r="AF64" s="74">
        <v>6</v>
      </c>
      <c r="AG64" s="74">
        <v>6</v>
      </c>
      <c r="AH64" s="74">
        <v>0</v>
      </c>
      <c r="AI64" s="74">
        <v>1</v>
      </c>
      <c r="AJ64" s="49">
        <v>0</v>
      </c>
      <c r="AK64" s="49">
        <v>1</v>
      </c>
      <c r="AL64" s="74">
        <v>0</v>
      </c>
      <c r="AM64" s="49">
        <v>0</v>
      </c>
      <c r="AN64" s="49" t="s">
        <v>100</v>
      </c>
      <c r="AO64" s="74">
        <v>0</v>
      </c>
      <c r="AP64" s="49"/>
      <c r="AQ64" s="74">
        <v>1</v>
      </c>
      <c r="AR64" s="49">
        <v>0</v>
      </c>
      <c r="AS64" s="74">
        <v>1</v>
      </c>
      <c r="AT64" s="74">
        <v>0</v>
      </c>
      <c r="AU64" s="49" t="s">
        <v>100</v>
      </c>
      <c r="AV64" s="49" t="s">
        <v>100</v>
      </c>
      <c r="AW64" s="49" t="s">
        <v>100</v>
      </c>
      <c r="AX64" s="49">
        <v>0</v>
      </c>
      <c r="AY64" s="49">
        <v>0</v>
      </c>
      <c r="AZ64" s="49">
        <v>0</v>
      </c>
      <c r="BA64" s="49">
        <v>0</v>
      </c>
      <c r="BB64" s="49">
        <v>0</v>
      </c>
      <c r="BC64" s="49">
        <v>1</v>
      </c>
      <c r="BD64" s="49">
        <v>0</v>
      </c>
      <c r="BE64" s="49"/>
      <c r="BF64" s="49"/>
      <c r="BG64" s="49"/>
      <c r="BH64" s="49"/>
      <c r="BI64" s="49">
        <v>1</v>
      </c>
      <c r="BJ64" s="49">
        <v>0</v>
      </c>
      <c r="BK64" s="74">
        <v>0</v>
      </c>
      <c r="BL64" s="74">
        <v>1</v>
      </c>
      <c r="BM64" s="49">
        <v>3</v>
      </c>
      <c r="BN64" s="49" t="s">
        <v>3073</v>
      </c>
      <c r="BO64" s="49">
        <v>1</v>
      </c>
      <c r="BP64" s="49">
        <v>0</v>
      </c>
      <c r="BQ64" s="49">
        <v>0</v>
      </c>
      <c r="BR64" s="49">
        <v>0</v>
      </c>
      <c r="BS64" s="49">
        <v>1</v>
      </c>
      <c r="BT64" s="49">
        <v>1</v>
      </c>
      <c r="BU64" s="49">
        <v>1</v>
      </c>
      <c r="BV64" s="49">
        <v>1</v>
      </c>
      <c r="BW64" s="49">
        <v>1</v>
      </c>
      <c r="BX64" s="49">
        <v>0</v>
      </c>
      <c r="BY64" s="74">
        <v>0</v>
      </c>
      <c r="BZ64" s="49">
        <v>0</v>
      </c>
      <c r="CA64" s="49">
        <v>0</v>
      </c>
      <c r="CB64" s="49" t="s">
        <v>100</v>
      </c>
      <c r="CC64" s="49">
        <v>0</v>
      </c>
      <c r="CD64" s="49" t="s">
        <v>100</v>
      </c>
      <c r="CE64" s="74">
        <v>5</v>
      </c>
      <c r="CF64" s="49">
        <v>0</v>
      </c>
      <c r="CG64" s="49">
        <v>0</v>
      </c>
      <c r="CH64" s="49">
        <v>0</v>
      </c>
      <c r="CI64" s="49">
        <v>0</v>
      </c>
      <c r="CJ64" s="49" t="s">
        <v>100</v>
      </c>
      <c r="CK64" s="49">
        <v>0</v>
      </c>
      <c r="CL64" s="49"/>
      <c r="CM64" s="49"/>
      <c r="CN64" s="49">
        <v>0</v>
      </c>
      <c r="CO64" s="49">
        <v>0</v>
      </c>
      <c r="CP64" s="49">
        <v>0</v>
      </c>
      <c r="CQ64" s="49">
        <v>0</v>
      </c>
      <c r="CR64" s="49">
        <v>0</v>
      </c>
      <c r="CS64" s="49">
        <v>0</v>
      </c>
      <c r="CT64" s="49">
        <v>1</v>
      </c>
      <c r="CU64" s="49">
        <v>0</v>
      </c>
      <c r="CV64" s="74">
        <v>1</v>
      </c>
      <c r="CW64" s="49">
        <v>0</v>
      </c>
      <c r="CX64" s="49">
        <v>0</v>
      </c>
      <c r="CY64" s="49">
        <v>0</v>
      </c>
      <c r="CZ64" s="74">
        <v>0</v>
      </c>
      <c r="DA64" s="49">
        <v>0</v>
      </c>
      <c r="DB64" s="49">
        <v>2</v>
      </c>
      <c r="DC64" s="49">
        <v>0</v>
      </c>
      <c r="DD64" s="49"/>
      <c r="DE64" s="49"/>
      <c r="DF64" s="49"/>
      <c r="DG64" s="49"/>
      <c r="DH64" s="49"/>
      <c r="DI64" s="49"/>
      <c r="DJ64" s="49">
        <v>0</v>
      </c>
      <c r="DK64" s="49">
        <v>0</v>
      </c>
      <c r="DL64" s="49" t="s">
        <v>100</v>
      </c>
      <c r="DM64" s="74">
        <v>0</v>
      </c>
      <c r="DN64" s="49">
        <v>0</v>
      </c>
      <c r="DO64" s="49" t="s">
        <v>100</v>
      </c>
      <c r="DP64" s="74">
        <v>0</v>
      </c>
      <c r="DQ64" s="74">
        <v>0</v>
      </c>
      <c r="DR64" s="74">
        <v>1</v>
      </c>
      <c r="DS64" s="74">
        <v>1</v>
      </c>
      <c r="DT64" s="49">
        <v>2</v>
      </c>
      <c r="DU64" s="74">
        <v>1</v>
      </c>
      <c r="DV64" s="49" t="s">
        <v>347</v>
      </c>
      <c r="DW64" s="74">
        <v>1</v>
      </c>
      <c r="DX64" s="74">
        <v>1</v>
      </c>
      <c r="DY64" s="49">
        <v>2</v>
      </c>
      <c r="DZ64" s="49">
        <v>0</v>
      </c>
    </row>
    <row r="65" spans="1:130">
      <c r="A65" s="50">
        <v>63</v>
      </c>
      <c r="B65" s="50" t="s">
        <v>348</v>
      </c>
      <c r="C65" s="50" t="s">
        <v>349</v>
      </c>
      <c r="D65" s="72">
        <v>35688</v>
      </c>
      <c r="E65" s="49" t="s">
        <v>95</v>
      </c>
      <c r="F65" s="73">
        <v>15</v>
      </c>
      <c r="G65" s="73">
        <v>9</v>
      </c>
      <c r="H65" s="74">
        <v>1997</v>
      </c>
      <c r="I65" s="49" t="s">
        <v>350</v>
      </c>
      <c r="J65" s="49" t="s">
        <v>851</v>
      </c>
      <c r="K65" s="73" t="s">
        <v>3204</v>
      </c>
      <c r="L65" s="73">
        <v>0</v>
      </c>
      <c r="M65" s="73">
        <v>0</v>
      </c>
      <c r="N65" s="74">
        <v>6</v>
      </c>
      <c r="O65" s="74">
        <v>0</v>
      </c>
      <c r="P65" s="73" t="s">
        <v>100</v>
      </c>
      <c r="Q65" s="49">
        <v>0</v>
      </c>
      <c r="R65" s="49">
        <v>0</v>
      </c>
      <c r="S65" s="73">
        <v>4</v>
      </c>
      <c r="T65" s="74">
        <v>3</v>
      </c>
      <c r="U65" s="74">
        <v>0</v>
      </c>
      <c r="V65" s="49">
        <v>43</v>
      </c>
      <c r="W65" s="49">
        <v>0</v>
      </c>
      <c r="X65" s="49">
        <v>1</v>
      </c>
      <c r="Y65" s="49">
        <v>0</v>
      </c>
      <c r="Z65" s="49">
        <v>0</v>
      </c>
      <c r="AA65" s="74">
        <v>1</v>
      </c>
      <c r="AB65" s="49">
        <v>2</v>
      </c>
      <c r="AC65" s="49"/>
      <c r="AD65" s="49"/>
      <c r="AE65" s="49"/>
      <c r="AF65" s="49"/>
      <c r="AG65" s="49"/>
      <c r="AH65" s="49"/>
      <c r="AI65" s="49">
        <v>0</v>
      </c>
      <c r="AJ65" s="49">
        <v>0</v>
      </c>
      <c r="AK65" s="74">
        <v>0</v>
      </c>
      <c r="AL65" s="74">
        <v>0</v>
      </c>
      <c r="AM65" s="49">
        <v>0</v>
      </c>
      <c r="AN65" s="49" t="s">
        <v>100</v>
      </c>
      <c r="AO65" s="74">
        <v>1</v>
      </c>
      <c r="AP65" s="49" t="s">
        <v>3163</v>
      </c>
      <c r="AQ65" s="74">
        <v>1</v>
      </c>
      <c r="AR65" s="49">
        <v>0</v>
      </c>
      <c r="AS65" s="74">
        <v>1</v>
      </c>
      <c r="AT65" s="74">
        <v>0</v>
      </c>
      <c r="AU65" s="49" t="s">
        <v>100</v>
      </c>
      <c r="AV65" s="49" t="s">
        <v>100</v>
      </c>
      <c r="AW65" s="49" t="s">
        <v>100</v>
      </c>
      <c r="AX65" s="49">
        <v>0</v>
      </c>
      <c r="AY65" s="49">
        <v>0</v>
      </c>
      <c r="AZ65" s="49">
        <v>0</v>
      </c>
      <c r="BA65" s="49">
        <v>0</v>
      </c>
      <c r="BB65" s="49">
        <v>0</v>
      </c>
      <c r="BC65" s="74">
        <v>1</v>
      </c>
      <c r="BD65" s="49">
        <v>0</v>
      </c>
      <c r="BE65" s="49"/>
      <c r="BF65" s="49"/>
      <c r="BG65" s="49"/>
      <c r="BH65" s="49"/>
      <c r="BI65" s="49">
        <v>0</v>
      </c>
      <c r="BJ65" s="74">
        <v>0</v>
      </c>
      <c r="BK65" s="74">
        <v>1</v>
      </c>
      <c r="BL65" s="74">
        <v>1</v>
      </c>
      <c r="BM65" s="49">
        <v>1</v>
      </c>
      <c r="BN65" s="49" t="s">
        <v>3025</v>
      </c>
      <c r="BO65" s="49">
        <v>1</v>
      </c>
      <c r="BP65" s="49">
        <v>0</v>
      </c>
      <c r="BQ65" s="49">
        <v>0</v>
      </c>
      <c r="BR65" s="49">
        <v>0</v>
      </c>
      <c r="BS65" s="49">
        <v>0</v>
      </c>
      <c r="BT65" s="49">
        <v>1</v>
      </c>
      <c r="BU65" s="49">
        <v>1</v>
      </c>
      <c r="BV65" s="49">
        <v>0</v>
      </c>
      <c r="BW65" s="49">
        <v>0</v>
      </c>
      <c r="BX65" s="49">
        <v>0</v>
      </c>
      <c r="BY65" s="74">
        <v>2</v>
      </c>
      <c r="BZ65" s="49">
        <v>0</v>
      </c>
      <c r="CA65" s="49">
        <v>0</v>
      </c>
      <c r="CB65" s="49" t="s">
        <v>100</v>
      </c>
      <c r="CC65" s="49">
        <v>0</v>
      </c>
      <c r="CD65" s="49" t="s">
        <v>100</v>
      </c>
      <c r="CE65" s="49">
        <v>0</v>
      </c>
      <c r="CF65" s="74">
        <v>0</v>
      </c>
      <c r="CG65" s="49">
        <v>0</v>
      </c>
      <c r="CH65" s="74">
        <v>3</v>
      </c>
      <c r="CI65" s="49" t="s">
        <v>833</v>
      </c>
      <c r="CJ65" s="49" t="s">
        <v>100</v>
      </c>
      <c r="CK65" s="49">
        <v>0</v>
      </c>
      <c r="CL65" s="49"/>
      <c r="CM65" s="49"/>
      <c r="CN65" s="49">
        <v>0</v>
      </c>
      <c r="CO65" s="49">
        <v>0</v>
      </c>
      <c r="CP65" s="49">
        <v>0</v>
      </c>
      <c r="CQ65" s="49">
        <v>0</v>
      </c>
      <c r="CR65" s="74">
        <v>1</v>
      </c>
      <c r="CS65" s="49">
        <v>0</v>
      </c>
      <c r="CT65" s="49">
        <v>0</v>
      </c>
      <c r="CU65" s="49">
        <v>0</v>
      </c>
      <c r="CV65" s="49">
        <v>0</v>
      </c>
      <c r="CW65" s="49">
        <v>0</v>
      </c>
      <c r="CX65" s="49">
        <v>0</v>
      </c>
      <c r="CY65" s="49">
        <v>0</v>
      </c>
      <c r="CZ65" s="74">
        <v>0</v>
      </c>
      <c r="DA65" s="49">
        <v>0</v>
      </c>
      <c r="DB65" s="49">
        <v>2</v>
      </c>
      <c r="DC65" s="74">
        <v>1</v>
      </c>
      <c r="DD65" s="49">
        <v>3</v>
      </c>
      <c r="DE65" s="49">
        <v>4</v>
      </c>
      <c r="DF65" s="49">
        <v>0</v>
      </c>
      <c r="DG65" s="49"/>
      <c r="DH65" s="49"/>
      <c r="DI65" s="49"/>
      <c r="DJ65" s="49">
        <v>0</v>
      </c>
      <c r="DK65" s="49">
        <v>0</v>
      </c>
      <c r="DL65" s="49" t="s">
        <v>100</v>
      </c>
      <c r="DM65" s="74">
        <v>0</v>
      </c>
      <c r="DN65" s="49">
        <v>0</v>
      </c>
      <c r="DO65" s="49" t="s">
        <v>100</v>
      </c>
      <c r="DP65" s="74">
        <v>1</v>
      </c>
      <c r="DQ65" s="74">
        <v>0</v>
      </c>
      <c r="DR65" s="49">
        <v>0</v>
      </c>
      <c r="DS65" s="49"/>
      <c r="DT65" s="49">
        <v>1</v>
      </c>
      <c r="DU65" s="74">
        <v>0</v>
      </c>
      <c r="DV65" s="49" t="s">
        <v>100</v>
      </c>
      <c r="DW65" s="74">
        <v>2</v>
      </c>
      <c r="DX65" s="74">
        <v>0</v>
      </c>
      <c r="DY65" s="74">
        <v>0</v>
      </c>
      <c r="DZ65" s="74">
        <v>1</v>
      </c>
    </row>
    <row r="66" spans="1:130">
      <c r="A66" s="50">
        <v>64</v>
      </c>
      <c r="B66" s="50" t="s">
        <v>351</v>
      </c>
      <c r="C66" s="50" t="s">
        <v>352</v>
      </c>
      <c r="D66" s="72">
        <v>35767</v>
      </c>
      <c r="E66" s="49" t="s">
        <v>123</v>
      </c>
      <c r="F66" s="73">
        <v>3</v>
      </c>
      <c r="G66" s="74">
        <v>12</v>
      </c>
      <c r="H66" s="74">
        <v>1997</v>
      </c>
      <c r="I66" s="49" t="s">
        <v>353</v>
      </c>
      <c r="J66" s="49" t="s">
        <v>354</v>
      </c>
      <c r="K66" s="74">
        <v>9</v>
      </c>
      <c r="L66" s="74">
        <v>0</v>
      </c>
      <c r="M66" s="74">
        <v>1</v>
      </c>
      <c r="N66" s="74">
        <v>6</v>
      </c>
      <c r="O66" s="74">
        <v>0</v>
      </c>
      <c r="P66" s="73" t="s">
        <v>100</v>
      </c>
      <c r="Q66" s="49">
        <v>0</v>
      </c>
      <c r="R66" s="49">
        <v>0</v>
      </c>
      <c r="S66" s="74">
        <v>4</v>
      </c>
      <c r="T66" s="74">
        <v>0</v>
      </c>
      <c r="U66" s="74">
        <v>0</v>
      </c>
      <c r="V66" s="74">
        <v>59</v>
      </c>
      <c r="W66" s="74">
        <v>0</v>
      </c>
      <c r="X66" s="74">
        <v>2</v>
      </c>
      <c r="Y66" s="74">
        <v>1</v>
      </c>
      <c r="Z66" s="74">
        <v>0</v>
      </c>
      <c r="AA66" s="74">
        <v>1</v>
      </c>
      <c r="AB66" s="74">
        <v>3</v>
      </c>
      <c r="AC66" s="49"/>
      <c r="AD66" s="49"/>
      <c r="AE66" s="49"/>
      <c r="AF66" s="49"/>
      <c r="AG66" s="49"/>
      <c r="AH66" s="49"/>
      <c r="AI66" s="74">
        <v>2</v>
      </c>
      <c r="AJ66" s="74">
        <v>1</v>
      </c>
      <c r="AK66" s="74">
        <v>1</v>
      </c>
      <c r="AL66" s="74">
        <v>1</v>
      </c>
      <c r="AM66" s="49">
        <v>0</v>
      </c>
      <c r="AN66" s="49" t="s">
        <v>100</v>
      </c>
      <c r="AO66" s="49"/>
      <c r="AP66" s="49"/>
      <c r="AQ66" s="74">
        <v>0</v>
      </c>
      <c r="AR66" s="49">
        <v>0</v>
      </c>
      <c r="AS66" s="74">
        <v>0</v>
      </c>
      <c r="AT66" s="49">
        <v>0</v>
      </c>
      <c r="AU66" s="49" t="s">
        <v>100</v>
      </c>
      <c r="AV66" s="49" t="s">
        <v>100</v>
      </c>
      <c r="AW66" s="49" t="s">
        <v>100</v>
      </c>
      <c r="AX66" s="49">
        <v>0</v>
      </c>
      <c r="AY66" s="49">
        <v>0</v>
      </c>
      <c r="AZ66" s="49">
        <v>0</v>
      </c>
      <c r="BA66" s="49">
        <v>0</v>
      </c>
      <c r="BB66" s="49">
        <v>0</v>
      </c>
      <c r="BC66" s="49">
        <v>0</v>
      </c>
      <c r="BD66" s="49">
        <v>0</v>
      </c>
      <c r="BE66" s="49"/>
      <c r="BF66" s="49"/>
      <c r="BG66" s="49"/>
      <c r="BH66" s="49"/>
      <c r="BI66" s="49">
        <v>0</v>
      </c>
      <c r="BJ66" s="49">
        <v>0</v>
      </c>
      <c r="BK66" s="74">
        <v>1</v>
      </c>
      <c r="BL66" s="74">
        <v>1</v>
      </c>
      <c r="BM66" s="49">
        <v>2</v>
      </c>
      <c r="BN66" s="49" t="s">
        <v>3074</v>
      </c>
      <c r="BO66" s="49">
        <v>1</v>
      </c>
      <c r="BP66" s="49">
        <v>0</v>
      </c>
      <c r="BQ66" s="49">
        <v>0</v>
      </c>
      <c r="BR66" s="49">
        <v>0</v>
      </c>
      <c r="BS66" s="49">
        <v>0</v>
      </c>
      <c r="BT66" s="49">
        <v>1</v>
      </c>
      <c r="BU66" s="49">
        <v>1</v>
      </c>
      <c r="BV66" s="49">
        <v>0</v>
      </c>
      <c r="BW66" s="49">
        <v>0</v>
      </c>
      <c r="BX66" s="49">
        <v>0</v>
      </c>
      <c r="BY66" s="49">
        <v>0</v>
      </c>
      <c r="BZ66" s="49">
        <v>0</v>
      </c>
      <c r="CA66" s="49">
        <v>0</v>
      </c>
      <c r="CB66" s="49" t="s">
        <v>100</v>
      </c>
      <c r="CC66" s="49">
        <v>0</v>
      </c>
      <c r="CD66" s="49" t="s">
        <v>100</v>
      </c>
      <c r="CE66" s="49">
        <v>0</v>
      </c>
      <c r="CF66" s="74">
        <v>0</v>
      </c>
      <c r="CG66" s="49">
        <v>0</v>
      </c>
      <c r="CH66" s="74">
        <v>0</v>
      </c>
      <c r="CI66" s="49">
        <v>0</v>
      </c>
      <c r="CJ66" s="49" t="s">
        <v>100</v>
      </c>
      <c r="CK66" s="49">
        <v>0</v>
      </c>
      <c r="CL66" s="49"/>
      <c r="CM66" s="49"/>
      <c r="CN66" s="49">
        <v>0</v>
      </c>
      <c r="CO66" s="49">
        <v>0</v>
      </c>
      <c r="CP66" s="49">
        <v>0</v>
      </c>
      <c r="CQ66" s="49">
        <v>0</v>
      </c>
      <c r="CR66" s="49">
        <v>1</v>
      </c>
      <c r="CS66" s="49">
        <v>0</v>
      </c>
      <c r="CT66" s="49">
        <v>0</v>
      </c>
      <c r="CU66" s="49">
        <v>0</v>
      </c>
      <c r="CV66" s="49">
        <v>1</v>
      </c>
      <c r="CW66" s="49">
        <v>0</v>
      </c>
      <c r="CX66" s="49">
        <v>0</v>
      </c>
      <c r="CY66" s="49">
        <v>0</v>
      </c>
      <c r="CZ66" s="49">
        <v>0</v>
      </c>
      <c r="DA66" s="49">
        <v>0</v>
      </c>
      <c r="DB66" s="49">
        <v>2</v>
      </c>
      <c r="DC66" s="74">
        <v>1</v>
      </c>
      <c r="DD66" s="49">
        <v>0</v>
      </c>
      <c r="DE66" s="49">
        <v>9</v>
      </c>
      <c r="DF66" s="49">
        <v>0</v>
      </c>
      <c r="DG66" s="49"/>
      <c r="DH66" s="49"/>
      <c r="DI66" s="49"/>
      <c r="DJ66" s="49">
        <v>0</v>
      </c>
      <c r="DK66" s="49">
        <v>0</v>
      </c>
      <c r="DL66" s="49" t="s">
        <v>100</v>
      </c>
      <c r="DM66" s="74">
        <v>0</v>
      </c>
      <c r="DN66" s="49">
        <v>0</v>
      </c>
      <c r="DO66" s="49" t="s">
        <v>100</v>
      </c>
      <c r="DP66" s="74">
        <v>1</v>
      </c>
      <c r="DQ66" s="74">
        <v>0</v>
      </c>
      <c r="DR66" s="49"/>
      <c r="DS66" s="74">
        <v>1</v>
      </c>
      <c r="DT66" s="74">
        <v>2</v>
      </c>
      <c r="DU66" s="74">
        <v>0</v>
      </c>
      <c r="DV66" s="49" t="s">
        <v>100</v>
      </c>
      <c r="DW66" s="74">
        <v>2</v>
      </c>
      <c r="DX66" s="74">
        <v>1</v>
      </c>
      <c r="DY66" s="74">
        <v>0</v>
      </c>
      <c r="DZ66" s="74">
        <v>1</v>
      </c>
    </row>
    <row r="67" spans="1:130">
      <c r="A67" s="50">
        <v>65</v>
      </c>
      <c r="B67" s="50" t="s">
        <v>355</v>
      </c>
      <c r="C67" s="50" t="s">
        <v>356</v>
      </c>
      <c r="D67" s="72">
        <v>35782</v>
      </c>
      <c r="E67" s="49" t="s">
        <v>178</v>
      </c>
      <c r="F67" s="73">
        <v>18</v>
      </c>
      <c r="G67" s="74">
        <v>12</v>
      </c>
      <c r="H67" s="74">
        <v>1997</v>
      </c>
      <c r="I67" s="49" t="s">
        <v>357</v>
      </c>
      <c r="J67" s="49" t="s">
        <v>358</v>
      </c>
      <c r="K67" s="74">
        <v>5</v>
      </c>
      <c r="L67" s="74">
        <v>3</v>
      </c>
      <c r="M67" s="74">
        <v>1</v>
      </c>
      <c r="N67" s="74">
        <v>6</v>
      </c>
      <c r="O67" s="74">
        <v>0</v>
      </c>
      <c r="P67" s="73" t="s">
        <v>100</v>
      </c>
      <c r="Q67" s="49">
        <v>0</v>
      </c>
      <c r="R67" s="49">
        <v>0</v>
      </c>
      <c r="S67" s="74">
        <v>4</v>
      </c>
      <c r="T67" s="73">
        <v>3</v>
      </c>
      <c r="U67" s="74">
        <v>0</v>
      </c>
      <c r="V67" s="74">
        <v>41</v>
      </c>
      <c r="W67" s="74">
        <v>0</v>
      </c>
      <c r="X67" s="74">
        <v>2</v>
      </c>
      <c r="Y67" s="49">
        <v>1</v>
      </c>
      <c r="Z67" s="74">
        <v>0</v>
      </c>
      <c r="AA67" s="49"/>
      <c r="AB67" s="74">
        <v>1</v>
      </c>
      <c r="AC67" s="49"/>
      <c r="AD67" s="49"/>
      <c r="AE67" s="74">
        <v>2</v>
      </c>
      <c r="AF67" s="74">
        <v>5</v>
      </c>
      <c r="AG67" s="74">
        <v>1</v>
      </c>
      <c r="AH67" s="74">
        <v>4</v>
      </c>
      <c r="AI67" s="49">
        <v>2</v>
      </c>
      <c r="AJ67" s="74">
        <v>0</v>
      </c>
      <c r="AK67" s="74">
        <v>0</v>
      </c>
      <c r="AL67" s="74">
        <v>0</v>
      </c>
      <c r="AM67" s="74">
        <v>1</v>
      </c>
      <c r="AN67" s="49">
        <v>0</v>
      </c>
      <c r="AO67" s="74">
        <v>1</v>
      </c>
      <c r="AP67" s="49" t="s">
        <v>3205</v>
      </c>
      <c r="AQ67" s="74">
        <v>0</v>
      </c>
      <c r="AR67" s="49">
        <v>0</v>
      </c>
      <c r="AS67" s="49">
        <v>1</v>
      </c>
      <c r="AT67" s="74">
        <v>0</v>
      </c>
      <c r="AU67" s="49" t="s">
        <v>100</v>
      </c>
      <c r="AV67" s="49" t="s">
        <v>100</v>
      </c>
      <c r="AW67" s="49" t="s">
        <v>100</v>
      </c>
      <c r="AX67" s="49">
        <v>0</v>
      </c>
      <c r="AY67" s="49">
        <v>0</v>
      </c>
      <c r="AZ67" s="49">
        <v>0</v>
      </c>
      <c r="BA67" s="49">
        <v>0</v>
      </c>
      <c r="BB67" s="49">
        <v>0</v>
      </c>
      <c r="BC67" s="49">
        <v>0</v>
      </c>
      <c r="BD67" s="74">
        <v>0</v>
      </c>
      <c r="BE67" s="74">
        <v>0</v>
      </c>
      <c r="BF67" s="74">
        <v>0</v>
      </c>
      <c r="BG67" s="49"/>
      <c r="BH67" s="49">
        <v>0</v>
      </c>
      <c r="BI67" s="49">
        <v>0</v>
      </c>
      <c r="BJ67" s="49">
        <v>0</v>
      </c>
      <c r="BK67" s="74">
        <v>1</v>
      </c>
      <c r="BL67" s="74">
        <v>1</v>
      </c>
      <c r="BM67" s="49">
        <v>2</v>
      </c>
      <c r="BN67" s="49" t="s">
        <v>3026</v>
      </c>
      <c r="BO67" s="49">
        <v>1</v>
      </c>
      <c r="BP67" s="49">
        <v>0</v>
      </c>
      <c r="BQ67" s="49">
        <v>1</v>
      </c>
      <c r="BR67" s="49">
        <v>0</v>
      </c>
      <c r="BS67" s="49">
        <v>0</v>
      </c>
      <c r="BT67" s="49">
        <v>1</v>
      </c>
      <c r="BU67" s="49">
        <v>1</v>
      </c>
      <c r="BV67" s="49">
        <v>0</v>
      </c>
      <c r="BW67" s="49">
        <v>0</v>
      </c>
      <c r="BX67" s="49">
        <v>0</v>
      </c>
      <c r="BY67" s="74">
        <v>2</v>
      </c>
      <c r="BZ67" s="49">
        <v>0</v>
      </c>
      <c r="CA67" s="49">
        <v>0</v>
      </c>
      <c r="CB67" s="49" t="s">
        <v>100</v>
      </c>
      <c r="CC67" s="49">
        <v>0</v>
      </c>
      <c r="CD67" s="49" t="s">
        <v>100</v>
      </c>
      <c r="CE67" s="49">
        <v>0</v>
      </c>
      <c r="CF67" s="49">
        <v>0</v>
      </c>
      <c r="CG67" s="49">
        <v>0</v>
      </c>
      <c r="CH67" s="74">
        <v>0</v>
      </c>
      <c r="CI67" s="49">
        <v>1</v>
      </c>
      <c r="CJ67" s="49" t="s">
        <v>359</v>
      </c>
      <c r="CK67" s="49">
        <v>0</v>
      </c>
      <c r="CL67" s="49"/>
      <c r="CM67" s="49"/>
      <c r="CN67" s="49">
        <v>0</v>
      </c>
      <c r="CO67" s="49">
        <v>0</v>
      </c>
      <c r="CP67" s="49">
        <v>0</v>
      </c>
      <c r="CQ67" s="49">
        <v>0</v>
      </c>
      <c r="CR67" s="49">
        <v>1</v>
      </c>
      <c r="CS67" s="49">
        <v>0</v>
      </c>
      <c r="CT67" s="49">
        <v>1</v>
      </c>
      <c r="CU67" s="49">
        <v>0</v>
      </c>
      <c r="CV67" s="49">
        <v>0</v>
      </c>
      <c r="CW67" s="49">
        <v>0</v>
      </c>
      <c r="CX67" s="49">
        <v>0</v>
      </c>
      <c r="CY67" s="49">
        <v>0</v>
      </c>
      <c r="CZ67" s="74">
        <v>0</v>
      </c>
      <c r="DA67" s="49">
        <v>0</v>
      </c>
      <c r="DB67" s="49">
        <v>2</v>
      </c>
      <c r="DC67" s="74">
        <v>0</v>
      </c>
      <c r="DD67" s="49"/>
      <c r="DE67" s="49"/>
      <c r="DF67" s="49"/>
      <c r="DG67" s="49"/>
      <c r="DH67" s="49"/>
      <c r="DI67" s="49"/>
      <c r="DJ67" s="49">
        <v>0</v>
      </c>
      <c r="DK67" s="49">
        <v>0</v>
      </c>
      <c r="DL67" s="49" t="s">
        <v>100</v>
      </c>
      <c r="DM67" s="74">
        <v>0</v>
      </c>
      <c r="DN67" s="49">
        <v>0</v>
      </c>
      <c r="DO67" s="49" t="s">
        <v>100</v>
      </c>
      <c r="DP67" s="74">
        <v>0</v>
      </c>
      <c r="DQ67" s="74">
        <v>0</v>
      </c>
      <c r="DR67" s="49">
        <v>0</v>
      </c>
      <c r="DS67" s="74">
        <v>3</v>
      </c>
      <c r="DT67" s="49">
        <v>3</v>
      </c>
      <c r="DU67" s="74">
        <v>0</v>
      </c>
      <c r="DV67" s="49" t="s">
        <v>100</v>
      </c>
      <c r="DW67" s="74">
        <v>1</v>
      </c>
      <c r="DX67" s="74">
        <v>0</v>
      </c>
      <c r="DY67" s="49">
        <v>2</v>
      </c>
      <c r="DZ67" s="49">
        <v>0</v>
      </c>
    </row>
    <row r="68" spans="1:130">
      <c r="A68" s="50">
        <v>66</v>
      </c>
      <c r="B68" s="50" t="s">
        <v>360</v>
      </c>
      <c r="C68" s="50" t="s">
        <v>361</v>
      </c>
      <c r="D68" s="72">
        <v>35860</v>
      </c>
      <c r="E68" s="49" t="s">
        <v>157</v>
      </c>
      <c r="F68" s="73">
        <v>6</v>
      </c>
      <c r="G68" s="73">
        <v>3</v>
      </c>
      <c r="H68" s="49">
        <v>1998</v>
      </c>
      <c r="I68" s="49" t="s">
        <v>362</v>
      </c>
      <c r="J68" s="49" t="s">
        <v>363</v>
      </c>
      <c r="K68" s="73">
        <v>7</v>
      </c>
      <c r="L68" s="73">
        <v>2</v>
      </c>
      <c r="M68" s="73">
        <v>1</v>
      </c>
      <c r="N68" s="74">
        <v>6</v>
      </c>
      <c r="O68" s="73">
        <v>0</v>
      </c>
      <c r="P68" s="73" t="s">
        <v>100</v>
      </c>
      <c r="Q68" s="49">
        <v>0</v>
      </c>
      <c r="R68" s="49">
        <v>0</v>
      </c>
      <c r="S68" s="73">
        <v>4</v>
      </c>
      <c r="T68" s="73">
        <v>0</v>
      </c>
      <c r="U68" s="74">
        <v>0</v>
      </c>
      <c r="V68" s="49">
        <v>35</v>
      </c>
      <c r="W68" s="49">
        <v>0</v>
      </c>
      <c r="X68" s="49">
        <v>0</v>
      </c>
      <c r="Y68" s="49">
        <v>0</v>
      </c>
      <c r="Z68" s="74">
        <v>0</v>
      </c>
      <c r="AA68" s="49"/>
      <c r="AB68" s="49">
        <v>3</v>
      </c>
      <c r="AC68" s="74">
        <v>2</v>
      </c>
      <c r="AD68" s="49" t="s">
        <v>3206</v>
      </c>
      <c r="AE68" s="74">
        <v>3</v>
      </c>
      <c r="AF68" s="74">
        <v>3</v>
      </c>
      <c r="AG68" s="74">
        <v>3</v>
      </c>
      <c r="AH68" s="74">
        <v>0</v>
      </c>
      <c r="AI68" s="49">
        <v>0</v>
      </c>
      <c r="AJ68" s="49">
        <v>0</v>
      </c>
      <c r="AK68" s="49">
        <v>1</v>
      </c>
      <c r="AL68" s="49">
        <v>1</v>
      </c>
      <c r="AM68" s="49">
        <v>0</v>
      </c>
      <c r="AN68" s="49" t="s">
        <v>100</v>
      </c>
      <c r="AO68" s="74">
        <v>0</v>
      </c>
      <c r="AP68" s="49"/>
      <c r="AQ68" s="49">
        <v>0</v>
      </c>
      <c r="AR68" s="49">
        <v>0</v>
      </c>
      <c r="AS68" s="49">
        <v>0</v>
      </c>
      <c r="AT68" s="49">
        <v>0</v>
      </c>
      <c r="AU68" s="49" t="s">
        <v>100</v>
      </c>
      <c r="AV68" s="49" t="s">
        <v>100</v>
      </c>
      <c r="AW68" s="49" t="s">
        <v>100</v>
      </c>
      <c r="AX68" s="49">
        <v>0</v>
      </c>
      <c r="AY68" s="49">
        <v>0</v>
      </c>
      <c r="AZ68" s="49">
        <v>0</v>
      </c>
      <c r="BA68" s="49">
        <v>0</v>
      </c>
      <c r="BB68" s="49">
        <v>0</v>
      </c>
      <c r="BC68" s="49">
        <v>0</v>
      </c>
      <c r="BD68" s="49">
        <v>0</v>
      </c>
      <c r="BE68" s="49">
        <v>0</v>
      </c>
      <c r="BF68" s="49">
        <v>0</v>
      </c>
      <c r="BG68" s="49"/>
      <c r="BH68" s="49">
        <v>1</v>
      </c>
      <c r="BI68" s="49">
        <v>0</v>
      </c>
      <c r="BJ68" s="49">
        <v>1</v>
      </c>
      <c r="BK68" s="49">
        <v>1</v>
      </c>
      <c r="BL68" s="74">
        <v>1</v>
      </c>
      <c r="BM68" s="49">
        <v>2</v>
      </c>
      <c r="BN68" s="49" t="s">
        <v>3152</v>
      </c>
      <c r="BO68" s="49">
        <v>1</v>
      </c>
      <c r="BP68" s="49">
        <v>1</v>
      </c>
      <c r="BQ68" s="49">
        <v>1</v>
      </c>
      <c r="BR68" s="49">
        <v>0</v>
      </c>
      <c r="BS68" s="49">
        <v>0</v>
      </c>
      <c r="BT68" s="49">
        <v>1</v>
      </c>
      <c r="BU68" s="49">
        <v>0</v>
      </c>
      <c r="BV68" s="49">
        <v>1</v>
      </c>
      <c r="BW68" s="49">
        <v>0</v>
      </c>
      <c r="BX68" s="49">
        <v>0</v>
      </c>
      <c r="BY68" s="49">
        <v>1</v>
      </c>
      <c r="BZ68" s="49">
        <v>1</v>
      </c>
      <c r="CA68" s="74">
        <v>1</v>
      </c>
      <c r="CB68" s="74">
        <v>0</v>
      </c>
      <c r="CC68" s="49">
        <v>1</v>
      </c>
      <c r="CD68" s="49">
        <v>1</v>
      </c>
      <c r="CE68" s="49">
        <v>1</v>
      </c>
      <c r="CF68" s="74">
        <v>0</v>
      </c>
      <c r="CG68" s="49">
        <v>0</v>
      </c>
      <c r="CH68" s="74">
        <v>5</v>
      </c>
      <c r="CI68" s="74">
        <v>1</v>
      </c>
      <c r="CJ68" s="49" t="s">
        <v>364</v>
      </c>
      <c r="CK68" s="49">
        <v>0</v>
      </c>
      <c r="CL68" s="49"/>
      <c r="CM68" s="49"/>
      <c r="CN68" s="49">
        <v>0</v>
      </c>
      <c r="CO68" s="49">
        <v>0</v>
      </c>
      <c r="CP68" s="49">
        <v>0</v>
      </c>
      <c r="CQ68" s="49">
        <v>0</v>
      </c>
      <c r="CR68" s="74">
        <v>1</v>
      </c>
      <c r="CS68" s="49">
        <v>0</v>
      </c>
      <c r="CT68" s="49">
        <v>0</v>
      </c>
      <c r="CU68" s="49">
        <v>0</v>
      </c>
      <c r="CV68" s="49">
        <v>0</v>
      </c>
      <c r="CW68" s="49">
        <v>0</v>
      </c>
      <c r="CX68" s="49">
        <v>0</v>
      </c>
      <c r="CY68" s="49">
        <v>0</v>
      </c>
      <c r="CZ68" s="74">
        <v>0</v>
      </c>
      <c r="DA68" s="49">
        <v>0</v>
      </c>
      <c r="DB68" s="49">
        <v>2</v>
      </c>
      <c r="DC68" s="49">
        <v>0</v>
      </c>
      <c r="DD68" s="49"/>
      <c r="DE68" s="49"/>
      <c r="DF68" s="49"/>
      <c r="DG68" s="49"/>
      <c r="DH68" s="49"/>
      <c r="DI68" s="49"/>
      <c r="DJ68" s="49">
        <v>0</v>
      </c>
      <c r="DK68" s="49">
        <v>0</v>
      </c>
      <c r="DL68" s="49" t="s">
        <v>100</v>
      </c>
      <c r="DM68" s="74">
        <v>0</v>
      </c>
      <c r="DN68" s="49">
        <v>0</v>
      </c>
      <c r="DO68" s="49" t="s">
        <v>100</v>
      </c>
      <c r="DP68" s="49">
        <v>0</v>
      </c>
      <c r="DQ68" s="74">
        <v>0</v>
      </c>
      <c r="DR68" s="49">
        <v>1</v>
      </c>
      <c r="DS68" s="74">
        <v>2</v>
      </c>
      <c r="DT68" s="49">
        <v>1</v>
      </c>
      <c r="DU68" s="74">
        <v>1</v>
      </c>
      <c r="DV68" s="49" t="s">
        <v>365</v>
      </c>
      <c r="DW68" s="74">
        <v>0</v>
      </c>
      <c r="DX68" s="74">
        <v>0</v>
      </c>
      <c r="DY68" s="49">
        <v>2</v>
      </c>
      <c r="DZ68" s="49">
        <v>0</v>
      </c>
    </row>
    <row r="69" spans="1:130">
      <c r="A69" s="50">
        <v>67</v>
      </c>
      <c r="B69" s="50" t="s">
        <v>366</v>
      </c>
      <c r="C69" s="50" t="s">
        <v>367</v>
      </c>
      <c r="D69" s="72">
        <v>35878</v>
      </c>
      <c r="E69" s="49" t="s">
        <v>203</v>
      </c>
      <c r="F69" s="73">
        <v>24</v>
      </c>
      <c r="G69" s="74">
        <v>3</v>
      </c>
      <c r="H69" s="74">
        <v>1998</v>
      </c>
      <c r="I69" s="49" t="s">
        <v>368</v>
      </c>
      <c r="J69" s="49" t="s">
        <v>3207</v>
      </c>
      <c r="K69" s="74">
        <v>4</v>
      </c>
      <c r="L69" s="73">
        <v>0</v>
      </c>
      <c r="M69" s="74">
        <v>2</v>
      </c>
      <c r="N69" s="74">
        <v>0</v>
      </c>
      <c r="O69" s="74">
        <v>0</v>
      </c>
      <c r="P69" s="73" t="s">
        <v>100</v>
      </c>
      <c r="Q69" s="49">
        <v>0</v>
      </c>
      <c r="R69" s="49">
        <v>0</v>
      </c>
      <c r="S69" s="74">
        <v>5</v>
      </c>
      <c r="T69" s="74">
        <v>10</v>
      </c>
      <c r="U69" s="74">
        <v>0</v>
      </c>
      <c r="V69" s="74">
        <v>11</v>
      </c>
      <c r="W69" s="49">
        <v>0</v>
      </c>
      <c r="X69" s="74">
        <v>0</v>
      </c>
      <c r="Y69" s="74">
        <v>0</v>
      </c>
      <c r="Z69" s="49">
        <v>0</v>
      </c>
      <c r="AA69" s="49"/>
      <c r="AB69" s="74">
        <v>0</v>
      </c>
      <c r="AC69" s="74">
        <v>1</v>
      </c>
      <c r="AD69" s="49" t="s">
        <v>3208</v>
      </c>
      <c r="AE69" s="74">
        <v>3</v>
      </c>
      <c r="AF69" s="74">
        <v>2</v>
      </c>
      <c r="AG69" s="74">
        <v>2</v>
      </c>
      <c r="AH69" s="74">
        <v>0</v>
      </c>
      <c r="AI69" s="49">
        <v>0</v>
      </c>
      <c r="AJ69" s="49">
        <v>0</v>
      </c>
      <c r="AK69" s="74">
        <v>0</v>
      </c>
      <c r="AL69" s="49"/>
      <c r="AM69" s="49">
        <v>0</v>
      </c>
      <c r="AN69" s="49" t="s">
        <v>100</v>
      </c>
      <c r="AO69" s="74">
        <v>1</v>
      </c>
      <c r="AP69" s="49" t="s">
        <v>3209</v>
      </c>
      <c r="AQ69" s="49">
        <v>0</v>
      </c>
      <c r="AR69" s="49">
        <v>0</v>
      </c>
      <c r="AS69" s="49">
        <v>0</v>
      </c>
      <c r="AT69" s="49">
        <v>0</v>
      </c>
      <c r="AU69" s="49" t="s">
        <v>100</v>
      </c>
      <c r="AV69" s="49" t="s">
        <v>100</v>
      </c>
      <c r="AW69" s="49" t="s">
        <v>100</v>
      </c>
      <c r="AX69" s="49">
        <v>0</v>
      </c>
      <c r="AY69" s="49">
        <v>0</v>
      </c>
      <c r="AZ69" s="49">
        <v>0</v>
      </c>
      <c r="BA69" s="49">
        <v>0</v>
      </c>
      <c r="BB69" s="74">
        <v>1</v>
      </c>
      <c r="BC69" s="74">
        <v>1</v>
      </c>
      <c r="BD69" s="49">
        <v>0</v>
      </c>
      <c r="BE69" s="74">
        <v>0</v>
      </c>
      <c r="BF69" s="74">
        <v>0</v>
      </c>
      <c r="BG69" s="49"/>
      <c r="BH69" s="49">
        <v>1</v>
      </c>
      <c r="BI69" s="49"/>
      <c r="BJ69" s="49">
        <v>0</v>
      </c>
      <c r="BK69" s="49">
        <v>0</v>
      </c>
      <c r="BL69" s="49">
        <v>0</v>
      </c>
      <c r="BM69" s="49" t="s">
        <v>100</v>
      </c>
      <c r="BN69" s="49"/>
      <c r="BO69" s="49">
        <v>0</v>
      </c>
      <c r="BP69" s="49">
        <v>0</v>
      </c>
      <c r="BQ69" s="49">
        <v>0</v>
      </c>
      <c r="BR69" s="49">
        <v>0</v>
      </c>
      <c r="BS69" s="49">
        <v>0</v>
      </c>
      <c r="BT69" s="49">
        <v>0</v>
      </c>
      <c r="BU69" s="49">
        <v>0</v>
      </c>
      <c r="BV69" s="49">
        <v>0</v>
      </c>
      <c r="BW69" s="49">
        <v>0</v>
      </c>
      <c r="BX69" s="49">
        <v>0</v>
      </c>
      <c r="BY69" s="49">
        <v>0</v>
      </c>
      <c r="BZ69" s="49">
        <v>0</v>
      </c>
      <c r="CA69" s="49">
        <v>0</v>
      </c>
      <c r="CB69" s="49" t="s">
        <v>100</v>
      </c>
      <c r="CC69" s="49">
        <v>0</v>
      </c>
      <c r="CD69" s="49" t="s">
        <v>100</v>
      </c>
      <c r="CE69" s="49">
        <v>0</v>
      </c>
      <c r="CF69" s="49">
        <v>0</v>
      </c>
      <c r="CG69" s="49">
        <v>0</v>
      </c>
      <c r="CH69" s="74">
        <v>2</v>
      </c>
      <c r="CI69" s="49">
        <v>0</v>
      </c>
      <c r="CJ69" s="49" t="s">
        <v>100</v>
      </c>
      <c r="CK69" s="49">
        <v>0</v>
      </c>
      <c r="CL69" s="49"/>
      <c r="CM69" s="49"/>
      <c r="CN69" s="49">
        <v>0</v>
      </c>
      <c r="CO69" s="49">
        <v>0</v>
      </c>
      <c r="CP69" s="49">
        <v>0</v>
      </c>
      <c r="CQ69" s="49">
        <v>0</v>
      </c>
      <c r="CR69" s="49">
        <v>0</v>
      </c>
      <c r="CS69" s="49">
        <v>0</v>
      </c>
      <c r="CT69" s="49">
        <v>0</v>
      </c>
      <c r="CU69" s="49">
        <v>0</v>
      </c>
      <c r="CV69" s="49">
        <v>0</v>
      </c>
      <c r="CW69" s="49">
        <v>0</v>
      </c>
      <c r="CX69" s="74">
        <v>1</v>
      </c>
      <c r="CY69" s="49">
        <v>0</v>
      </c>
      <c r="CZ69" s="74">
        <v>0</v>
      </c>
      <c r="DA69" s="49">
        <v>0</v>
      </c>
      <c r="DB69" s="49">
        <v>2</v>
      </c>
      <c r="DC69" s="49">
        <v>1</v>
      </c>
      <c r="DD69" s="49">
        <v>0</v>
      </c>
      <c r="DE69" s="49">
        <v>6</v>
      </c>
      <c r="DF69" s="49">
        <v>1</v>
      </c>
      <c r="DG69" s="49"/>
      <c r="DH69" s="49"/>
      <c r="DI69" s="49"/>
      <c r="DJ69" s="49">
        <v>0</v>
      </c>
      <c r="DK69" s="74">
        <v>0</v>
      </c>
      <c r="DL69" s="49" t="s">
        <v>100</v>
      </c>
      <c r="DM69" s="74">
        <v>0</v>
      </c>
      <c r="DN69" s="49">
        <v>0</v>
      </c>
      <c r="DO69" s="49" t="s">
        <v>100</v>
      </c>
      <c r="DP69" s="74">
        <v>1</v>
      </c>
      <c r="DQ69" s="74">
        <v>0</v>
      </c>
      <c r="DR69" s="49">
        <v>1</v>
      </c>
      <c r="DS69" s="74">
        <v>3</v>
      </c>
      <c r="DT69" s="74">
        <v>10</v>
      </c>
      <c r="DU69" s="74">
        <v>1</v>
      </c>
      <c r="DV69" s="49" t="s">
        <v>370</v>
      </c>
      <c r="DW69" s="74">
        <v>2</v>
      </c>
      <c r="DX69" s="74">
        <v>1</v>
      </c>
      <c r="DY69" s="74">
        <v>1</v>
      </c>
      <c r="DZ69" s="74">
        <v>5</v>
      </c>
    </row>
    <row r="70" spans="1:130">
      <c r="A70" s="50">
        <v>68</v>
      </c>
      <c r="B70" s="50" t="s">
        <v>371</v>
      </c>
      <c r="C70" s="50" t="s">
        <v>372</v>
      </c>
      <c r="D70" s="72">
        <v>35878</v>
      </c>
      <c r="E70" s="49" t="s">
        <v>203</v>
      </c>
      <c r="F70" s="73">
        <v>24</v>
      </c>
      <c r="G70" s="74">
        <v>3</v>
      </c>
      <c r="H70" s="74">
        <v>1998</v>
      </c>
      <c r="I70" s="49" t="s">
        <v>368</v>
      </c>
      <c r="J70" s="49" t="s">
        <v>369</v>
      </c>
      <c r="K70" s="74">
        <v>4</v>
      </c>
      <c r="L70" s="74">
        <v>0</v>
      </c>
      <c r="M70" s="73">
        <v>2</v>
      </c>
      <c r="N70" s="74">
        <v>0</v>
      </c>
      <c r="O70" s="73">
        <v>0</v>
      </c>
      <c r="P70" s="73" t="s">
        <v>100</v>
      </c>
      <c r="Q70" s="49">
        <v>0</v>
      </c>
      <c r="R70" s="49">
        <v>0</v>
      </c>
      <c r="S70" s="74">
        <v>5</v>
      </c>
      <c r="T70" s="73">
        <v>10</v>
      </c>
      <c r="U70" s="74">
        <v>0</v>
      </c>
      <c r="V70" s="74">
        <v>13</v>
      </c>
      <c r="W70" s="74">
        <v>0</v>
      </c>
      <c r="X70" s="74">
        <v>0</v>
      </c>
      <c r="Y70" s="49">
        <v>0</v>
      </c>
      <c r="Z70" s="74">
        <v>0</v>
      </c>
      <c r="AA70" s="49">
        <v>1</v>
      </c>
      <c r="AB70" s="74">
        <v>0</v>
      </c>
      <c r="AC70" s="74">
        <v>2</v>
      </c>
      <c r="AD70" s="49" t="s">
        <v>3210</v>
      </c>
      <c r="AE70" s="74">
        <v>1</v>
      </c>
      <c r="AF70" s="74">
        <v>2</v>
      </c>
      <c r="AG70" s="74">
        <v>0</v>
      </c>
      <c r="AH70" s="74">
        <v>2</v>
      </c>
      <c r="AI70" s="74">
        <v>0</v>
      </c>
      <c r="AJ70" s="49">
        <v>0</v>
      </c>
      <c r="AK70" s="49">
        <v>0</v>
      </c>
      <c r="AL70" s="49"/>
      <c r="AM70" s="49">
        <v>0</v>
      </c>
      <c r="AN70" s="49" t="s">
        <v>100</v>
      </c>
      <c r="AO70" s="74">
        <v>2</v>
      </c>
      <c r="AP70" s="49" t="s">
        <v>3211</v>
      </c>
      <c r="AQ70" s="74">
        <v>1</v>
      </c>
      <c r="AR70" s="49">
        <v>0</v>
      </c>
      <c r="AS70" s="74">
        <v>1</v>
      </c>
      <c r="AT70" s="49">
        <v>0</v>
      </c>
      <c r="AU70" s="49" t="s">
        <v>100</v>
      </c>
      <c r="AV70" s="49" t="s">
        <v>100</v>
      </c>
      <c r="AW70" s="49" t="s">
        <v>100</v>
      </c>
      <c r="AX70" s="74">
        <v>1</v>
      </c>
      <c r="AY70" s="49">
        <v>0</v>
      </c>
      <c r="AZ70" s="49">
        <v>0</v>
      </c>
      <c r="BA70" s="49">
        <v>0</v>
      </c>
      <c r="BB70" s="74">
        <v>1</v>
      </c>
      <c r="BC70" s="49">
        <v>1</v>
      </c>
      <c r="BD70" s="49">
        <v>0</v>
      </c>
      <c r="BE70" s="74">
        <v>1</v>
      </c>
      <c r="BF70" s="74">
        <v>0</v>
      </c>
      <c r="BG70" s="74">
        <v>5</v>
      </c>
      <c r="BH70" s="49">
        <v>1</v>
      </c>
      <c r="BI70" s="49"/>
      <c r="BJ70" s="74">
        <v>1</v>
      </c>
      <c r="BK70" s="49">
        <v>0</v>
      </c>
      <c r="BL70" s="74">
        <v>1</v>
      </c>
      <c r="BM70" s="49">
        <v>2</v>
      </c>
      <c r="BN70" s="49" t="s">
        <v>3027</v>
      </c>
      <c r="BO70" s="49">
        <v>1</v>
      </c>
      <c r="BP70" s="49">
        <v>0</v>
      </c>
      <c r="BQ70" s="49">
        <v>1</v>
      </c>
      <c r="BR70" s="49">
        <v>0</v>
      </c>
      <c r="BS70" s="49">
        <v>1</v>
      </c>
      <c r="BT70" s="49">
        <v>1</v>
      </c>
      <c r="BU70" s="49">
        <v>1</v>
      </c>
      <c r="BV70" s="49">
        <v>1</v>
      </c>
      <c r="BW70" s="49">
        <v>0</v>
      </c>
      <c r="BX70" s="49">
        <v>0</v>
      </c>
      <c r="BY70" s="74">
        <v>1</v>
      </c>
      <c r="BZ70" s="49">
        <v>0</v>
      </c>
      <c r="CA70" s="74">
        <v>1</v>
      </c>
      <c r="CB70" s="74">
        <v>1</v>
      </c>
      <c r="CC70" s="49">
        <v>0</v>
      </c>
      <c r="CD70" s="74">
        <v>0</v>
      </c>
      <c r="CE70" s="49">
        <v>0</v>
      </c>
      <c r="CF70" s="49">
        <v>0</v>
      </c>
      <c r="CG70" s="49">
        <v>0</v>
      </c>
      <c r="CH70" s="74">
        <v>2</v>
      </c>
      <c r="CI70" s="49">
        <v>0</v>
      </c>
      <c r="CJ70" s="49" t="s">
        <v>100</v>
      </c>
      <c r="CK70" s="49">
        <v>0</v>
      </c>
      <c r="CL70" s="49"/>
      <c r="CM70" s="49"/>
      <c r="CN70" s="49">
        <v>0</v>
      </c>
      <c r="CO70" s="49">
        <v>0</v>
      </c>
      <c r="CP70" s="49">
        <v>0</v>
      </c>
      <c r="CQ70" s="49">
        <v>0</v>
      </c>
      <c r="CR70" s="49">
        <v>0</v>
      </c>
      <c r="CS70" s="49">
        <v>0</v>
      </c>
      <c r="CT70" s="49">
        <v>0</v>
      </c>
      <c r="CU70" s="49">
        <v>0</v>
      </c>
      <c r="CV70" s="49">
        <v>0</v>
      </c>
      <c r="CW70" s="49">
        <v>0</v>
      </c>
      <c r="CX70" s="74">
        <v>1</v>
      </c>
      <c r="CY70" s="49">
        <v>0</v>
      </c>
      <c r="CZ70" s="74">
        <v>0</v>
      </c>
      <c r="DA70" s="49">
        <v>0</v>
      </c>
      <c r="DB70" s="49">
        <v>2</v>
      </c>
      <c r="DC70" s="49">
        <v>1</v>
      </c>
      <c r="DD70" s="49">
        <v>0</v>
      </c>
      <c r="DE70" s="49">
        <v>6</v>
      </c>
      <c r="DF70" s="49">
        <v>1</v>
      </c>
      <c r="DG70" s="49"/>
      <c r="DH70" s="49"/>
      <c r="DI70" s="49"/>
      <c r="DJ70" s="49">
        <v>0</v>
      </c>
      <c r="DK70" s="49">
        <v>0</v>
      </c>
      <c r="DL70" s="49" t="s">
        <v>100</v>
      </c>
      <c r="DM70" s="74">
        <v>0</v>
      </c>
      <c r="DN70" s="74">
        <v>2</v>
      </c>
      <c r="DO70" s="49" t="s">
        <v>3409</v>
      </c>
      <c r="DP70" s="74">
        <v>1</v>
      </c>
      <c r="DQ70" s="74">
        <v>0</v>
      </c>
      <c r="DR70" s="74">
        <v>1</v>
      </c>
      <c r="DS70" s="74">
        <v>2</v>
      </c>
      <c r="DT70" s="74">
        <v>10</v>
      </c>
      <c r="DU70" s="74">
        <v>1</v>
      </c>
      <c r="DV70" s="49" t="s">
        <v>370</v>
      </c>
      <c r="DW70" s="74">
        <v>2</v>
      </c>
      <c r="DX70" s="74">
        <v>1</v>
      </c>
      <c r="DY70" s="74">
        <v>0</v>
      </c>
      <c r="DZ70" s="74">
        <v>5</v>
      </c>
    </row>
    <row r="71" spans="1:130">
      <c r="A71" s="50">
        <v>69</v>
      </c>
      <c r="B71" s="76" t="s">
        <v>373</v>
      </c>
      <c r="C71" s="76" t="s">
        <v>374</v>
      </c>
      <c r="D71" s="72">
        <v>35935</v>
      </c>
      <c r="E71" s="75" t="s">
        <v>123</v>
      </c>
      <c r="F71" s="73">
        <v>20</v>
      </c>
      <c r="G71" s="74">
        <v>5</v>
      </c>
      <c r="H71" s="74">
        <v>1998</v>
      </c>
      <c r="I71" s="75" t="s">
        <v>375</v>
      </c>
      <c r="J71" s="75" t="s">
        <v>376</v>
      </c>
      <c r="K71" s="74">
        <v>37</v>
      </c>
      <c r="L71" s="73">
        <v>3</v>
      </c>
      <c r="M71" s="74">
        <v>1</v>
      </c>
      <c r="N71" s="74">
        <v>0</v>
      </c>
      <c r="O71" s="73">
        <v>1</v>
      </c>
      <c r="P71" s="74">
        <v>7</v>
      </c>
      <c r="Q71" s="49">
        <v>0</v>
      </c>
      <c r="R71" s="49">
        <v>0</v>
      </c>
      <c r="S71" s="73">
        <v>4</v>
      </c>
      <c r="T71" s="73">
        <v>25</v>
      </c>
      <c r="U71" s="74">
        <v>0</v>
      </c>
      <c r="V71" s="49">
        <v>15</v>
      </c>
      <c r="W71" s="75">
        <v>0</v>
      </c>
      <c r="X71" s="75">
        <v>0</v>
      </c>
      <c r="Y71" s="49">
        <v>0</v>
      </c>
      <c r="Z71" s="74">
        <v>0</v>
      </c>
      <c r="AA71" s="75"/>
      <c r="AB71" s="74">
        <v>0</v>
      </c>
      <c r="AC71" s="74">
        <v>1</v>
      </c>
      <c r="AD71" s="49" t="s">
        <v>3212</v>
      </c>
      <c r="AE71" s="74">
        <v>3</v>
      </c>
      <c r="AF71" s="74">
        <v>1</v>
      </c>
      <c r="AG71" s="74">
        <v>1</v>
      </c>
      <c r="AH71" s="74">
        <v>0</v>
      </c>
      <c r="AI71" s="74">
        <v>0</v>
      </c>
      <c r="AJ71" s="74">
        <v>0</v>
      </c>
      <c r="AK71" s="74">
        <v>0</v>
      </c>
      <c r="AL71" s="75"/>
      <c r="AM71" s="74">
        <v>0</v>
      </c>
      <c r="AN71" s="49" t="s">
        <v>100</v>
      </c>
      <c r="AO71" s="74">
        <v>0</v>
      </c>
      <c r="AP71" s="49"/>
      <c r="AQ71" s="49">
        <v>1</v>
      </c>
      <c r="AR71" s="49">
        <v>0</v>
      </c>
      <c r="AS71" s="74">
        <v>1</v>
      </c>
      <c r="AT71" s="49">
        <v>0</v>
      </c>
      <c r="AU71" s="49" t="s">
        <v>100</v>
      </c>
      <c r="AV71" s="49" t="s">
        <v>100</v>
      </c>
      <c r="AW71" s="49" t="s">
        <v>100</v>
      </c>
      <c r="AX71" s="49">
        <v>0</v>
      </c>
      <c r="AY71" s="74">
        <v>0</v>
      </c>
      <c r="AZ71" s="74">
        <v>0</v>
      </c>
      <c r="BA71" s="74">
        <v>0</v>
      </c>
      <c r="BB71" s="49">
        <v>1</v>
      </c>
      <c r="BC71" s="74">
        <v>1</v>
      </c>
      <c r="BD71" s="74">
        <v>1</v>
      </c>
      <c r="BE71" s="49">
        <v>0</v>
      </c>
      <c r="BF71" s="74">
        <v>0</v>
      </c>
      <c r="BG71" s="74">
        <v>3</v>
      </c>
      <c r="BH71" s="74">
        <v>2</v>
      </c>
      <c r="BI71" s="49"/>
      <c r="BJ71" s="74">
        <v>0</v>
      </c>
      <c r="BK71" s="74">
        <v>0</v>
      </c>
      <c r="BL71" s="74">
        <v>1</v>
      </c>
      <c r="BM71" s="74">
        <v>3</v>
      </c>
      <c r="BN71" s="49" t="s">
        <v>3075</v>
      </c>
      <c r="BO71" s="74">
        <v>1</v>
      </c>
      <c r="BP71" s="74">
        <v>0</v>
      </c>
      <c r="BQ71" s="74">
        <v>1</v>
      </c>
      <c r="BR71" s="74">
        <v>0</v>
      </c>
      <c r="BS71" s="74">
        <v>1</v>
      </c>
      <c r="BT71" s="74">
        <v>1</v>
      </c>
      <c r="BU71" s="74">
        <v>0</v>
      </c>
      <c r="BV71" s="74">
        <v>0</v>
      </c>
      <c r="BW71" s="74">
        <v>1</v>
      </c>
      <c r="BX71" s="74">
        <v>0</v>
      </c>
      <c r="BY71" s="74">
        <v>1</v>
      </c>
      <c r="BZ71" s="74">
        <v>0</v>
      </c>
      <c r="CA71" s="74">
        <v>1</v>
      </c>
      <c r="CB71" s="74">
        <v>0</v>
      </c>
      <c r="CC71" s="74">
        <v>1</v>
      </c>
      <c r="CD71" s="74">
        <v>0</v>
      </c>
      <c r="CE71" s="74">
        <v>4</v>
      </c>
      <c r="CF71" s="74">
        <v>1</v>
      </c>
      <c r="CG71" s="74">
        <v>0</v>
      </c>
      <c r="CH71" s="74">
        <v>0</v>
      </c>
      <c r="CI71" s="49">
        <v>0</v>
      </c>
      <c r="CJ71" s="49" t="s">
        <v>100</v>
      </c>
      <c r="CK71" s="74">
        <v>0</v>
      </c>
      <c r="CL71" s="75"/>
      <c r="CM71" s="75"/>
      <c r="CN71" s="74">
        <v>0</v>
      </c>
      <c r="CO71" s="74">
        <v>0</v>
      </c>
      <c r="CP71" s="74">
        <v>0</v>
      </c>
      <c r="CQ71" s="74">
        <v>0</v>
      </c>
      <c r="CR71" s="74">
        <v>0</v>
      </c>
      <c r="CS71" s="74">
        <v>0</v>
      </c>
      <c r="CT71" s="74">
        <v>1</v>
      </c>
      <c r="CU71" s="74">
        <v>0</v>
      </c>
      <c r="CV71" s="74">
        <v>0</v>
      </c>
      <c r="CW71" s="49">
        <v>0</v>
      </c>
      <c r="CX71" s="74">
        <v>2</v>
      </c>
      <c r="CY71" s="49">
        <v>0</v>
      </c>
      <c r="CZ71" s="74">
        <v>0</v>
      </c>
      <c r="DA71" s="49">
        <v>2</v>
      </c>
      <c r="DB71" s="49">
        <v>2</v>
      </c>
      <c r="DC71" s="74">
        <v>1</v>
      </c>
      <c r="DD71" s="49">
        <v>0</v>
      </c>
      <c r="DE71" s="49">
        <v>6</v>
      </c>
      <c r="DF71" s="49">
        <v>0</v>
      </c>
      <c r="DG71" s="49"/>
      <c r="DH71" s="49"/>
      <c r="DI71" s="49"/>
      <c r="DJ71" s="49">
        <v>1</v>
      </c>
      <c r="DK71" s="74">
        <v>1</v>
      </c>
      <c r="DL71" s="49" t="s">
        <v>3213</v>
      </c>
      <c r="DM71" s="74">
        <v>1</v>
      </c>
      <c r="DN71" s="74">
        <v>0</v>
      </c>
      <c r="DO71" s="75" t="s">
        <v>100</v>
      </c>
      <c r="DP71" s="74">
        <v>0</v>
      </c>
      <c r="DQ71" s="74">
        <v>0</v>
      </c>
      <c r="DR71" s="49">
        <v>1</v>
      </c>
      <c r="DS71" s="74">
        <v>3</v>
      </c>
      <c r="DT71" s="49">
        <v>3</v>
      </c>
      <c r="DU71" s="74">
        <v>1</v>
      </c>
      <c r="DV71" s="75" t="s">
        <v>365</v>
      </c>
      <c r="DW71" s="49">
        <v>2</v>
      </c>
      <c r="DX71" s="74">
        <v>0</v>
      </c>
      <c r="DY71" s="74">
        <v>0</v>
      </c>
      <c r="DZ71" s="74">
        <v>2</v>
      </c>
    </row>
    <row r="72" spans="1:130">
      <c r="A72" s="50">
        <v>70</v>
      </c>
      <c r="B72" s="50" t="s">
        <v>293</v>
      </c>
      <c r="C72" s="50" t="s">
        <v>377</v>
      </c>
      <c r="D72" s="72">
        <v>36229</v>
      </c>
      <c r="E72" s="49" t="s">
        <v>123</v>
      </c>
      <c r="F72" s="73">
        <v>10</v>
      </c>
      <c r="G72" s="74">
        <v>3</v>
      </c>
      <c r="H72" s="74">
        <v>1999</v>
      </c>
      <c r="I72" s="49" t="s">
        <v>378</v>
      </c>
      <c r="J72" s="49" t="s">
        <v>379</v>
      </c>
      <c r="K72" s="74">
        <v>18</v>
      </c>
      <c r="L72" s="73">
        <v>0</v>
      </c>
      <c r="M72" s="74">
        <v>2</v>
      </c>
      <c r="N72" s="74">
        <v>3</v>
      </c>
      <c r="O72" s="73">
        <v>1</v>
      </c>
      <c r="P72" s="74">
        <v>7</v>
      </c>
      <c r="Q72" s="49">
        <v>0</v>
      </c>
      <c r="R72" s="49">
        <v>0</v>
      </c>
      <c r="S72" s="74">
        <v>4</v>
      </c>
      <c r="T72" s="73">
        <v>4</v>
      </c>
      <c r="U72" s="74">
        <v>1</v>
      </c>
      <c r="V72" s="74">
        <v>22</v>
      </c>
      <c r="W72" s="74">
        <v>0</v>
      </c>
      <c r="X72" s="74">
        <v>1</v>
      </c>
      <c r="Y72" s="49">
        <v>0</v>
      </c>
      <c r="Z72" s="74">
        <v>0</v>
      </c>
      <c r="AA72" s="49"/>
      <c r="AB72" s="49"/>
      <c r="AC72" s="49"/>
      <c r="AD72" s="49"/>
      <c r="AE72" s="49"/>
      <c r="AF72" s="74">
        <v>9</v>
      </c>
      <c r="AG72" s="49"/>
      <c r="AH72" s="49"/>
      <c r="AI72" s="74">
        <v>3</v>
      </c>
      <c r="AJ72" s="74">
        <v>1</v>
      </c>
      <c r="AK72" s="74">
        <v>0</v>
      </c>
      <c r="AL72" s="74">
        <v>0</v>
      </c>
      <c r="AM72" s="49">
        <v>0</v>
      </c>
      <c r="AN72" s="49" t="s">
        <v>100</v>
      </c>
      <c r="AO72" s="74">
        <v>0</v>
      </c>
      <c r="AP72" s="49"/>
      <c r="AQ72" s="49">
        <v>1</v>
      </c>
      <c r="AR72" s="49">
        <v>0</v>
      </c>
      <c r="AS72" s="49">
        <v>1</v>
      </c>
      <c r="AT72" s="74">
        <v>1</v>
      </c>
      <c r="AU72" s="49">
        <v>1</v>
      </c>
      <c r="AV72" s="49">
        <v>3</v>
      </c>
      <c r="AW72" s="49"/>
      <c r="AX72" s="49">
        <v>0</v>
      </c>
      <c r="AY72" s="49">
        <v>0</v>
      </c>
      <c r="AZ72" s="49">
        <v>0</v>
      </c>
      <c r="BA72" s="49">
        <v>0</v>
      </c>
      <c r="BB72" s="49">
        <v>0</v>
      </c>
      <c r="BC72" s="49">
        <v>0</v>
      </c>
      <c r="BD72" s="49">
        <v>0</v>
      </c>
      <c r="BE72" s="49">
        <v>1</v>
      </c>
      <c r="BF72" s="74">
        <v>0</v>
      </c>
      <c r="BG72" s="74">
        <v>3</v>
      </c>
      <c r="BH72" s="49">
        <v>0</v>
      </c>
      <c r="BI72" s="49">
        <v>0</v>
      </c>
      <c r="BJ72" s="74">
        <v>1</v>
      </c>
      <c r="BK72" s="74">
        <v>1</v>
      </c>
      <c r="BL72" s="74">
        <v>1</v>
      </c>
      <c r="BM72" s="49">
        <v>3</v>
      </c>
      <c r="BN72" s="49" t="s">
        <v>3053</v>
      </c>
      <c r="BO72" s="49">
        <v>1</v>
      </c>
      <c r="BP72" s="49">
        <v>1</v>
      </c>
      <c r="BQ72" s="49">
        <v>1</v>
      </c>
      <c r="BR72" s="49">
        <v>0</v>
      </c>
      <c r="BS72" s="49">
        <v>1</v>
      </c>
      <c r="BT72" s="49">
        <v>1</v>
      </c>
      <c r="BU72" s="49">
        <v>1</v>
      </c>
      <c r="BV72" s="49">
        <v>0</v>
      </c>
      <c r="BW72" s="49">
        <v>1</v>
      </c>
      <c r="BX72" s="49">
        <v>0</v>
      </c>
      <c r="BY72" s="74">
        <v>1</v>
      </c>
      <c r="BZ72" s="74">
        <v>1</v>
      </c>
      <c r="CA72" s="74">
        <v>1</v>
      </c>
      <c r="CB72" s="74">
        <v>0</v>
      </c>
      <c r="CC72" s="74">
        <v>1</v>
      </c>
      <c r="CD72" s="74">
        <v>1</v>
      </c>
      <c r="CE72" s="74">
        <v>3</v>
      </c>
      <c r="CF72" s="49">
        <v>0</v>
      </c>
      <c r="CG72" s="49">
        <v>0</v>
      </c>
      <c r="CH72" s="74">
        <v>0</v>
      </c>
      <c r="CI72" s="49">
        <v>0</v>
      </c>
      <c r="CJ72" s="49" t="s">
        <v>100</v>
      </c>
      <c r="CK72" s="49">
        <v>0</v>
      </c>
      <c r="CL72" s="49"/>
      <c r="CM72" s="49"/>
      <c r="CN72" s="49">
        <v>0</v>
      </c>
      <c r="CO72" s="49">
        <v>0</v>
      </c>
      <c r="CP72" s="49">
        <v>0</v>
      </c>
      <c r="CQ72" s="49">
        <v>0</v>
      </c>
      <c r="CR72" s="49">
        <v>0</v>
      </c>
      <c r="CS72" s="49">
        <v>0</v>
      </c>
      <c r="CT72" s="49">
        <v>0</v>
      </c>
      <c r="CU72" s="74">
        <v>1</v>
      </c>
      <c r="CV72" s="49">
        <v>0</v>
      </c>
      <c r="CW72" s="49">
        <v>0</v>
      </c>
      <c r="CX72" s="49">
        <v>0</v>
      </c>
      <c r="CY72" s="49">
        <v>0</v>
      </c>
      <c r="CZ72" s="74">
        <v>1</v>
      </c>
      <c r="DA72" s="49">
        <v>0</v>
      </c>
      <c r="DB72" s="49">
        <v>0</v>
      </c>
      <c r="DC72" s="74">
        <v>0</v>
      </c>
      <c r="DD72" s="49"/>
      <c r="DE72" s="49"/>
      <c r="DF72" s="49"/>
      <c r="DG72" s="49"/>
      <c r="DH72" s="49"/>
      <c r="DI72" s="49"/>
      <c r="DJ72" s="49">
        <v>0</v>
      </c>
      <c r="DK72" s="49">
        <v>0</v>
      </c>
      <c r="DL72" s="49" t="s">
        <v>100</v>
      </c>
      <c r="DM72" s="74">
        <v>0</v>
      </c>
      <c r="DN72" s="49">
        <v>0</v>
      </c>
      <c r="DO72" s="49" t="s">
        <v>100</v>
      </c>
      <c r="DP72" s="74">
        <v>0</v>
      </c>
      <c r="DQ72" s="74">
        <v>0</v>
      </c>
      <c r="DR72" s="49">
        <v>0</v>
      </c>
      <c r="DS72" s="74">
        <v>0</v>
      </c>
      <c r="DT72" s="74">
        <v>1</v>
      </c>
      <c r="DU72" s="74">
        <v>0</v>
      </c>
      <c r="DV72" s="49" t="s">
        <v>100</v>
      </c>
      <c r="DW72" s="74">
        <v>2</v>
      </c>
      <c r="DX72" s="74">
        <v>0</v>
      </c>
      <c r="DY72" s="74">
        <v>1</v>
      </c>
      <c r="DZ72" s="74">
        <v>1</v>
      </c>
    </row>
    <row r="73" spans="1:130">
      <c r="A73" s="50">
        <v>71</v>
      </c>
      <c r="B73" s="50" t="s">
        <v>380</v>
      </c>
      <c r="C73" s="50" t="s">
        <v>381</v>
      </c>
      <c r="D73" s="72">
        <v>36270</v>
      </c>
      <c r="E73" s="49" t="s">
        <v>203</v>
      </c>
      <c r="F73" s="73">
        <v>20</v>
      </c>
      <c r="G73" s="74">
        <v>4</v>
      </c>
      <c r="H73" s="74">
        <v>1999</v>
      </c>
      <c r="I73" s="49" t="s">
        <v>382</v>
      </c>
      <c r="J73" s="49" t="s">
        <v>383</v>
      </c>
      <c r="K73" s="74">
        <v>6</v>
      </c>
      <c r="L73" s="73">
        <v>3</v>
      </c>
      <c r="M73" s="73">
        <v>1</v>
      </c>
      <c r="N73" s="74">
        <v>0</v>
      </c>
      <c r="O73" s="74">
        <v>0</v>
      </c>
      <c r="P73" s="73" t="s">
        <v>100</v>
      </c>
      <c r="Q73" s="49">
        <v>0</v>
      </c>
      <c r="R73" s="49">
        <v>0</v>
      </c>
      <c r="S73" s="74">
        <v>13</v>
      </c>
      <c r="T73" s="73">
        <v>23</v>
      </c>
      <c r="U73" s="74">
        <v>0</v>
      </c>
      <c r="V73" s="74">
        <v>17</v>
      </c>
      <c r="W73" s="74">
        <v>0</v>
      </c>
      <c r="X73" s="74">
        <v>0</v>
      </c>
      <c r="Y73" s="74">
        <v>0</v>
      </c>
      <c r="Z73" s="74">
        <v>0</v>
      </c>
      <c r="AA73" s="49">
        <v>1</v>
      </c>
      <c r="AB73" s="74">
        <v>0</v>
      </c>
      <c r="AC73" s="74">
        <v>2</v>
      </c>
      <c r="AD73" s="49" t="s">
        <v>3214</v>
      </c>
      <c r="AE73" s="74">
        <v>3</v>
      </c>
      <c r="AF73" s="74">
        <v>1</v>
      </c>
      <c r="AG73" s="74">
        <v>1</v>
      </c>
      <c r="AH73" s="74">
        <v>0</v>
      </c>
      <c r="AI73" s="74">
        <v>0</v>
      </c>
      <c r="AJ73" s="49">
        <v>0</v>
      </c>
      <c r="AK73" s="74">
        <v>1</v>
      </c>
      <c r="AL73" s="74">
        <v>0</v>
      </c>
      <c r="AM73" s="49">
        <v>0</v>
      </c>
      <c r="AN73" s="49" t="s">
        <v>100</v>
      </c>
      <c r="AO73" s="74">
        <v>1</v>
      </c>
      <c r="AP73" s="49" t="s">
        <v>3215</v>
      </c>
      <c r="AQ73" s="49">
        <v>1</v>
      </c>
      <c r="AR73" s="49">
        <v>0</v>
      </c>
      <c r="AS73" s="49">
        <v>0</v>
      </c>
      <c r="AT73" s="49">
        <v>0</v>
      </c>
      <c r="AU73" s="49" t="s">
        <v>100</v>
      </c>
      <c r="AV73" s="49" t="s">
        <v>100</v>
      </c>
      <c r="AW73" s="49" t="s">
        <v>100</v>
      </c>
      <c r="AX73" s="49">
        <v>0</v>
      </c>
      <c r="AY73" s="49">
        <v>0</v>
      </c>
      <c r="AZ73" s="49">
        <v>0</v>
      </c>
      <c r="BA73" s="49">
        <v>0</v>
      </c>
      <c r="BB73" s="74">
        <v>1</v>
      </c>
      <c r="BC73" s="74">
        <v>1</v>
      </c>
      <c r="BD73" s="49">
        <v>0</v>
      </c>
      <c r="BE73" s="74">
        <v>0</v>
      </c>
      <c r="BF73" s="74">
        <v>0</v>
      </c>
      <c r="BG73" s="74">
        <v>0</v>
      </c>
      <c r="BH73" s="49">
        <v>1</v>
      </c>
      <c r="BI73" s="49"/>
      <c r="BJ73" s="74">
        <v>0</v>
      </c>
      <c r="BK73" s="49">
        <v>0</v>
      </c>
      <c r="BL73" s="74">
        <v>1</v>
      </c>
      <c r="BM73" s="49">
        <v>3</v>
      </c>
      <c r="BN73" s="49" t="s">
        <v>3028</v>
      </c>
      <c r="BO73" s="49">
        <v>0</v>
      </c>
      <c r="BP73" s="49">
        <v>0</v>
      </c>
      <c r="BQ73" s="49">
        <v>1</v>
      </c>
      <c r="BR73" s="49">
        <v>0</v>
      </c>
      <c r="BS73" s="49">
        <v>1</v>
      </c>
      <c r="BT73" s="49">
        <v>1</v>
      </c>
      <c r="BU73" s="49">
        <v>1</v>
      </c>
      <c r="BV73" s="49">
        <v>1</v>
      </c>
      <c r="BW73" s="49">
        <v>0</v>
      </c>
      <c r="BX73" s="49">
        <v>0</v>
      </c>
      <c r="BY73" s="74">
        <v>1</v>
      </c>
      <c r="BZ73" s="49">
        <v>0</v>
      </c>
      <c r="CA73" s="74">
        <v>1</v>
      </c>
      <c r="CB73" s="74">
        <v>1</v>
      </c>
      <c r="CC73" s="49">
        <v>0</v>
      </c>
      <c r="CD73" s="74">
        <v>1</v>
      </c>
      <c r="CE73" s="74">
        <v>1</v>
      </c>
      <c r="CF73" s="49">
        <v>0</v>
      </c>
      <c r="CG73" s="49">
        <v>0</v>
      </c>
      <c r="CH73" s="74">
        <v>5</v>
      </c>
      <c r="CI73" s="49">
        <v>1</v>
      </c>
      <c r="CJ73" s="49" t="s">
        <v>2949</v>
      </c>
      <c r="CK73" s="49">
        <v>1</v>
      </c>
      <c r="CL73" s="49"/>
      <c r="CM73" s="49"/>
      <c r="CN73" s="49">
        <v>0</v>
      </c>
      <c r="CO73" s="49">
        <v>0</v>
      </c>
      <c r="CP73" s="49">
        <v>0</v>
      </c>
      <c r="CQ73" s="49">
        <v>0</v>
      </c>
      <c r="CR73" s="49">
        <v>0</v>
      </c>
      <c r="CS73" s="49">
        <v>0</v>
      </c>
      <c r="CT73" s="49">
        <v>0</v>
      </c>
      <c r="CU73" s="49">
        <v>0</v>
      </c>
      <c r="CV73" s="49">
        <v>0</v>
      </c>
      <c r="CW73" s="74">
        <v>1</v>
      </c>
      <c r="CX73" s="49">
        <v>1</v>
      </c>
      <c r="CY73" s="49">
        <v>0</v>
      </c>
      <c r="CZ73" s="74">
        <v>0</v>
      </c>
      <c r="DA73" s="49">
        <v>0</v>
      </c>
      <c r="DB73" s="74">
        <v>1</v>
      </c>
      <c r="DC73" s="74">
        <v>1</v>
      </c>
      <c r="DD73" s="49">
        <v>2</v>
      </c>
      <c r="DE73" s="49">
        <v>6</v>
      </c>
      <c r="DF73" s="49">
        <v>1</v>
      </c>
      <c r="DG73" s="49"/>
      <c r="DH73" s="49"/>
      <c r="DI73" s="49"/>
      <c r="DJ73" s="49">
        <v>1</v>
      </c>
      <c r="DK73" s="49">
        <v>1</v>
      </c>
      <c r="DL73" s="49" t="s">
        <v>384</v>
      </c>
      <c r="DM73" s="74">
        <v>1</v>
      </c>
      <c r="DN73" s="74">
        <v>1</v>
      </c>
      <c r="DO73" s="49" t="s">
        <v>3379</v>
      </c>
      <c r="DP73" s="49">
        <v>1</v>
      </c>
      <c r="DQ73" s="74">
        <v>1</v>
      </c>
      <c r="DR73" s="74">
        <v>0</v>
      </c>
      <c r="DS73" s="74">
        <v>2</v>
      </c>
      <c r="DT73" s="74">
        <v>4</v>
      </c>
      <c r="DU73" s="49">
        <v>0</v>
      </c>
      <c r="DV73" s="49" t="s">
        <v>385</v>
      </c>
      <c r="DW73" s="49">
        <v>0</v>
      </c>
      <c r="DX73" s="74">
        <v>0</v>
      </c>
      <c r="DY73" s="49">
        <v>2</v>
      </c>
      <c r="DZ73" s="49">
        <v>0</v>
      </c>
    </row>
    <row r="74" spans="1:130">
      <c r="A74" s="50">
        <v>72</v>
      </c>
      <c r="B74" s="50" t="s">
        <v>263</v>
      </c>
      <c r="C74" s="50" t="s">
        <v>114</v>
      </c>
      <c r="D74" s="72">
        <v>36270</v>
      </c>
      <c r="E74" s="49" t="s">
        <v>203</v>
      </c>
      <c r="F74" s="73">
        <v>20</v>
      </c>
      <c r="G74" s="73">
        <v>4</v>
      </c>
      <c r="H74" s="49">
        <v>1999</v>
      </c>
      <c r="I74" s="49" t="s">
        <v>382</v>
      </c>
      <c r="J74" s="49" t="s">
        <v>383</v>
      </c>
      <c r="K74" s="73">
        <v>6</v>
      </c>
      <c r="L74" s="73">
        <v>3</v>
      </c>
      <c r="M74" s="73">
        <v>1</v>
      </c>
      <c r="N74" s="73">
        <v>0</v>
      </c>
      <c r="O74" s="74">
        <v>0</v>
      </c>
      <c r="P74" s="73" t="s">
        <v>100</v>
      </c>
      <c r="Q74" s="49">
        <v>0</v>
      </c>
      <c r="R74" s="49">
        <v>0</v>
      </c>
      <c r="S74" s="73">
        <v>13</v>
      </c>
      <c r="T74" s="73">
        <v>23</v>
      </c>
      <c r="U74" s="74">
        <v>0</v>
      </c>
      <c r="V74" s="49">
        <v>18</v>
      </c>
      <c r="W74" s="49">
        <v>0</v>
      </c>
      <c r="X74" s="49">
        <v>0</v>
      </c>
      <c r="Y74" s="74">
        <v>0</v>
      </c>
      <c r="Z74" s="74">
        <v>0</v>
      </c>
      <c r="AA74" s="49">
        <v>4</v>
      </c>
      <c r="AB74" s="74">
        <v>0</v>
      </c>
      <c r="AC74" s="74">
        <v>2</v>
      </c>
      <c r="AD74" s="49" t="s">
        <v>3214</v>
      </c>
      <c r="AE74" s="74">
        <v>3</v>
      </c>
      <c r="AF74" s="74">
        <v>1</v>
      </c>
      <c r="AG74" s="74">
        <v>1</v>
      </c>
      <c r="AH74" s="74">
        <v>0</v>
      </c>
      <c r="AI74" s="74">
        <v>0</v>
      </c>
      <c r="AJ74" s="49">
        <v>0</v>
      </c>
      <c r="AK74" s="49">
        <v>1</v>
      </c>
      <c r="AL74" s="49">
        <v>0</v>
      </c>
      <c r="AM74" s="74">
        <v>0</v>
      </c>
      <c r="AN74" s="49" t="s">
        <v>100</v>
      </c>
      <c r="AO74" s="74">
        <v>1</v>
      </c>
      <c r="AP74" s="49" t="s">
        <v>3215</v>
      </c>
      <c r="AQ74" s="74">
        <v>1</v>
      </c>
      <c r="AR74" s="49">
        <v>0</v>
      </c>
      <c r="AS74" s="74">
        <v>1</v>
      </c>
      <c r="AT74" s="49">
        <v>0</v>
      </c>
      <c r="AU74" s="49" t="s">
        <v>100</v>
      </c>
      <c r="AV74" s="49" t="s">
        <v>100</v>
      </c>
      <c r="AW74" s="49" t="s">
        <v>100</v>
      </c>
      <c r="AX74" s="49">
        <v>0</v>
      </c>
      <c r="AY74" s="49">
        <v>0</v>
      </c>
      <c r="AZ74" s="49">
        <v>0</v>
      </c>
      <c r="BA74" s="49">
        <v>0</v>
      </c>
      <c r="BB74" s="74">
        <v>1</v>
      </c>
      <c r="BC74" s="74">
        <v>1</v>
      </c>
      <c r="BD74" s="74">
        <v>0</v>
      </c>
      <c r="BE74" s="74">
        <v>0</v>
      </c>
      <c r="BF74" s="74">
        <v>0</v>
      </c>
      <c r="BG74" s="74">
        <v>0</v>
      </c>
      <c r="BH74" s="49">
        <v>1</v>
      </c>
      <c r="BI74" s="49"/>
      <c r="BJ74" s="49">
        <v>0</v>
      </c>
      <c r="BK74" s="49">
        <v>0</v>
      </c>
      <c r="BL74" s="74">
        <v>1</v>
      </c>
      <c r="BM74" s="49">
        <v>3</v>
      </c>
      <c r="BN74" s="49" t="s">
        <v>3029</v>
      </c>
      <c r="BO74" s="49">
        <v>1</v>
      </c>
      <c r="BP74" s="49">
        <v>0</v>
      </c>
      <c r="BQ74" s="49">
        <v>1</v>
      </c>
      <c r="BR74" s="49">
        <v>0</v>
      </c>
      <c r="BS74" s="49">
        <v>1</v>
      </c>
      <c r="BT74" s="49">
        <v>1</v>
      </c>
      <c r="BU74" s="49">
        <v>1</v>
      </c>
      <c r="BV74" s="49">
        <v>0</v>
      </c>
      <c r="BW74" s="49">
        <v>0</v>
      </c>
      <c r="BX74" s="49">
        <v>0</v>
      </c>
      <c r="BY74" s="74">
        <v>2</v>
      </c>
      <c r="BZ74" s="49">
        <v>0</v>
      </c>
      <c r="CA74" s="49">
        <v>1</v>
      </c>
      <c r="CB74" s="74">
        <v>2</v>
      </c>
      <c r="CC74" s="74">
        <v>1</v>
      </c>
      <c r="CD74" s="74">
        <v>1</v>
      </c>
      <c r="CE74" s="74">
        <v>1</v>
      </c>
      <c r="CF74" s="49">
        <v>0</v>
      </c>
      <c r="CG74" s="49">
        <v>0</v>
      </c>
      <c r="CH74" s="49">
        <v>4</v>
      </c>
      <c r="CI74" s="74">
        <v>1</v>
      </c>
      <c r="CJ74" s="49" t="s">
        <v>3216</v>
      </c>
      <c r="CK74" s="49">
        <v>4</v>
      </c>
      <c r="CL74" s="49">
        <v>1</v>
      </c>
      <c r="CM74" s="49">
        <v>3</v>
      </c>
      <c r="CN74" s="49">
        <v>0</v>
      </c>
      <c r="CO74" s="49">
        <v>0</v>
      </c>
      <c r="CP74" s="49">
        <v>0</v>
      </c>
      <c r="CQ74" s="49">
        <v>0</v>
      </c>
      <c r="CR74" s="49">
        <v>0</v>
      </c>
      <c r="CS74" s="49">
        <v>0</v>
      </c>
      <c r="CT74" s="49">
        <v>0</v>
      </c>
      <c r="CU74" s="49">
        <v>0</v>
      </c>
      <c r="CV74" s="49">
        <v>0</v>
      </c>
      <c r="CW74" s="74">
        <v>1</v>
      </c>
      <c r="CX74" s="74">
        <v>2</v>
      </c>
      <c r="CY74" s="49">
        <v>0</v>
      </c>
      <c r="CZ74" s="74">
        <v>0</v>
      </c>
      <c r="DA74" s="49">
        <v>0</v>
      </c>
      <c r="DB74" s="74">
        <v>1</v>
      </c>
      <c r="DC74" s="74">
        <v>1</v>
      </c>
      <c r="DD74" s="49">
        <v>2</v>
      </c>
      <c r="DE74" s="49">
        <v>6</v>
      </c>
      <c r="DF74" s="49">
        <v>1</v>
      </c>
      <c r="DG74" s="49"/>
      <c r="DH74" s="49"/>
      <c r="DI74" s="49"/>
      <c r="DJ74" s="49">
        <v>1</v>
      </c>
      <c r="DK74" s="49">
        <v>1</v>
      </c>
      <c r="DL74" s="49" t="s">
        <v>384</v>
      </c>
      <c r="DM74" s="74">
        <v>1</v>
      </c>
      <c r="DN74" s="74">
        <v>1</v>
      </c>
      <c r="DO74" s="49" t="s">
        <v>3379</v>
      </c>
      <c r="DP74" s="74">
        <v>1</v>
      </c>
      <c r="DQ74" s="74">
        <v>1</v>
      </c>
      <c r="DR74" s="74">
        <v>1</v>
      </c>
      <c r="DS74" s="74">
        <v>2</v>
      </c>
      <c r="DT74" s="49">
        <v>4</v>
      </c>
      <c r="DU74" s="74">
        <v>1</v>
      </c>
      <c r="DV74" s="49" t="s">
        <v>385</v>
      </c>
      <c r="DW74" s="49">
        <v>0</v>
      </c>
      <c r="DX74" s="74">
        <v>0</v>
      </c>
      <c r="DY74" s="49">
        <v>2</v>
      </c>
      <c r="DZ74" s="49">
        <v>0</v>
      </c>
    </row>
    <row r="75" spans="1:130">
      <c r="A75" s="50">
        <v>73</v>
      </c>
      <c r="B75" s="50" t="s">
        <v>386</v>
      </c>
      <c r="C75" s="50" t="s">
        <v>387</v>
      </c>
      <c r="D75" s="72">
        <v>36314</v>
      </c>
      <c r="E75" s="49" t="s">
        <v>178</v>
      </c>
      <c r="F75" s="73">
        <v>3</v>
      </c>
      <c r="G75" s="73">
        <v>6</v>
      </c>
      <c r="H75" s="49">
        <v>1999</v>
      </c>
      <c r="I75" s="49" t="s">
        <v>388</v>
      </c>
      <c r="J75" s="49" t="s">
        <v>389</v>
      </c>
      <c r="K75" s="74">
        <v>28</v>
      </c>
      <c r="L75" s="73">
        <v>3</v>
      </c>
      <c r="M75" s="73">
        <v>0</v>
      </c>
      <c r="N75" s="74">
        <v>4</v>
      </c>
      <c r="O75" s="74">
        <v>0</v>
      </c>
      <c r="P75" s="73" t="s">
        <v>100</v>
      </c>
      <c r="Q75" s="49">
        <v>0</v>
      </c>
      <c r="R75" s="49">
        <v>0</v>
      </c>
      <c r="S75" s="74">
        <v>4</v>
      </c>
      <c r="T75" s="74">
        <v>1</v>
      </c>
      <c r="U75" s="74">
        <v>1</v>
      </c>
      <c r="V75" s="49">
        <v>23</v>
      </c>
      <c r="W75" s="49">
        <v>0</v>
      </c>
      <c r="X75" s="49">
        <v>0</v>
      </c>
      <c r="Y75" s="74">
        <v>0</v>
      </c>
      <c r="Z75" s="74">
        <v>0</v>
      </c>
      <c r="AA75" s="49"/>
      <c r="AB75" s="74">
        <v>2</v>
      </c>
      <c r="AC75" s="49"/>
      <c r="AD75" s="49"/>
      <c r="AE75" s="74">
        <v>0</v>
      </c>
      <c r="AF75" s="74">
        <v>0</v>
      </c>
      <c r="AG75" s="74">
        <v>0</v>
      </c>
      <c r="AH75" s="74">
        <v>0</v>
      </c>
      <c r="AI75" s="49">
        <v>1</v>
      </c>
      <c r="AJ75" s="49">
        <v>0</v>
      </c>
      <c r="AK75" s="49">
        <v>1</v>
      </c>
      <c r="AL75" s="49">
        <v>0</v>
      </c>
      <c r="AM75" s="49">
        <v>1</v>
      </c>
      <c r="AN75" s="49">
        <v>3</v>
      </c>
      <c r="AO75" s="74">
        <v>1</v>
      </c>
      <c r="AP75" s="49" t="s">
        <v>3217</v>
      </c>
      <c r="AQ75" s="74">
        <v>1</v>
      </c>
      <c r="AR75" s="49">
        <v>0</v>
      </c>
      <c r="AS75" s="74">
        <v>1</v>
      </c>
      <c r="AT75" s="49">
        <v>0</v>
      </c>
      <c r="AU75" s="49" t="s">
        <v>100</v>
      </c>
      <c r="AV75" s="49" t="s">
        <v>100</v>
      </c>
      <c r="AW75" s="49" t="s">
        <v>100</v>
      </c>
      <c r="AX75" s="74">
        <v>1</v>
      </c>
      <c r="AY75" s="49">
        <v>0</v>
      </c>
      <c r="AZ75" s="49">
        <v>0</v>
      </c>
      <c r="BA75" s="49">
        <v>0</v>
      </c>
      <c r="BB75" s="74">
        <v>2</v>
      </c>
      <c r="BC75" s="74">
        <v>0</v>
      </c>
      <c r="BD75" s="74">
        <v>0</v>
      </c>
      <c r="BE75" s="74">
        <v>0</v>
      </c>
      <c r="BF75" s="74">
        <v>0</v>
      </c>
      <c r="BG75" s="74">
        <v>3</v>
      </c>
      <c r="BH75" s="49">
        <v>1</v>
      </c>
      <c r="BI75" s="74">
        <v>1</v>
      </c>
      <c r="BJ75" s="74">
        <v>1</v>
      </c>
      <c r="BK75" s="74">
        <v>1</v>
      </c>
      <c r="BL75" s="74">
        <v>1</v>
      </c>
      <c r="BM75" s="49">
        <v>1</v>
      </c>
      <c r="BN75" s="49" t="s">
        <v>3030</v>
      </c>
      <c r="BO75" s="49">
        <v>1</v>
      </c>
      <c r="BP75" s="49">
        <v>1</v>
      </c>
      <c r="BQ75" s="49">
        <v>0</v>
      </c>
      <c r="BR75" s="49">
        <v>0</v>
      </c>
      <c r="BS75" s="49">
        <v>0</v>
      </c>
      <c r="BT75" s="49">
        <v>1</v>
      </c>
      <c r="BU75" s="49">
        <v>0</v>
      </c>
      <c r="BV75" s="49">
        <v>0</v>
      </c>
      <c r="BW75" s="49">
        <v>0</v>
      </c>
      <c r="BX75" s="49">
        <v>0</v>
      </c>
      <c r="BY75" s="74">
        <v>2</v>
      </c>
      <c r="BZ75" s="49">
        <v>0</v>
      </c>
      <c r="CA75" s="49">
        <v>0</v>
      </c>
      <c r="CB75" s="49" t="s">
        <v>100</v>
      </c>
      <c r="CC75" s="74">
        <v>1</v>
      </c>
      <c r="CD75" s="74">
        <v>0</v>
      </c>
      <c r="CE75" s="74">
        <v>3</v>
      </c>
      <c r="CF75" s="49">
        <v>0</v>
      </c>
      <c r="CG75" s="49">
        <v>0</v>
      </c>
      <c r="CH75" s="74">
        <v>4</v>
      </c>
      <c r="CI75" s="49">
        <v>0</v>
      </c>
      <c r="CJ75" s="49" t="s">
        <v>100</v>
      </c>
      <c r="CK75" s="49">
        <v>0</v>
      </c>
      <c r="CL75" s="49"/>
      <c r="CM75" s="49"/>
      <c r="CN75" s="49">
        <v>0</v>
      </c>
      <c r="CO75" s="49">
        <v>0</v>
      </c>
      <c r="CP75" s="49">
        <v>0</v>
      </c>
      <c r="CQ75" s="49">
        <v>0</v>
      </c>
      <c r="CR75" s="49">
        <v>0</v>
      </c>
      <c r="CS75" s="49">
        <v>0</v>
      </c>
      <c r="CT75" s="49">
        <v>0</v>
      </c>
      <c r="CU75" s="49">
        <v>0</v>
      </c>
      <c r="CV75" s="49">
        <v>0</v>
      </c>
      <c r="CW75" s="49">
        <v>0</v>
      </c>
      <c r="CX75" s="49">
        <v>0</v>
      </c>
      <c r="CY75" s="49">
        <v>1</v>
      </c>
      <c r="CZ75" s="74">
        <v>0</v>
      </c>
      <c r="DA75" s="49">
        <v>0</v>
      </c>
      <c r="DB75" s="49">
        <v>0</v>
      </c>
      <c r="DC75" s="74">
        <v>0</v>
      </c>
      <c r="DD75" s="49"/>
      <c r="DE75" s="49"/>
      <c r="DF75" s="49"/>
      <c r="DG75" s="49"/>
      <c r="DH75" s="49"/>
      <c r="DI75" s="49"/>
      <c r="DJ75" s="49">
        <v>0</v>
      </c>
      <c r="DK75" s="49">
        <v>0</v>
      </c>
      <c r="DL75" s="49" t="s">
        <v>100</v>
      </c>
      <c r="DM75" s="74">
        <v>0</v>
      </c>
      <c r="DN75" s="49">
        <v>0</v>
      </c>
      <c r="DO75" s="49" t="s">
        <v>100</v>
      </c>
      <c r="DP75" s="74">
        <v>0</v>
      </c>
      <c r="DQ75" s="74">
        <v>0</v>
      </c>
      <c r="DR75" s="49">
        <v>0</v>
      </c>
      <c r="DS75" s="74">
        <v>3</v>
      </c>
      <c r="DT75" s="74">
        <v>1</v>
      </c>
      <c r="DU75" s="74">
        <v>0</v>
      </c>
      <c r="DV75" s="49" t="s">
        <v>100</v>
      </c>
      <c r="DW75" s="49">
        <v>2</v>
      </c>
      <c r="DX75" s="74">
        <v>0</v>
      </c>
      <c r="DY75" s="74">
        <v>0</v>
      </c>
      <c r="DZ75" s="74">
        <v>1</v>
      </c>
    </row>
    <row r="76" spans="1:130">
      <c r="A76" s="50">
        <v>74</v>
      </c>
      <c r="B76" s="50" t="s">
        <v>390</v>
      </c>
      <c r="C76" s="50" t="s">
        <v>136</v>
      </c>
      <c r="D76" s="72">
        <v>36370</v>
      </c>
      <c r="E76" s="49" t="s">
        <v>178</v>
      </c>
      <c r="F76" s="73">
        <v>29</v>
      </c>
      <c r="G76" s="73">
        <v>7</v>
      </c>
      <c r="H76" s="74">
        <v>1999</v>
      </c>
      <c r="I76" s="49" t="s">
        <v>391</v>
      </c>
      <c r="J76" s="49" t="s">
        <v>392</v>
      </c>
      <c r="K76" s="73">
        <v>10</v>
      </c>
      <c r="L76" s="73">
        <v>0</v>
      </c>
      <c r="M76" s="73">
        <v>0</v>
      </c>
      <c r="N76" s="74">
        <v>6</v>
      </c>
      <c r="O76" s="74">
        <v>1</v>
      </c>
      <c r="P76" s="74">
        <v>7</v>
      </c>
      <c r="Q76" s="49">
        <v>0</v>
      </c>
      <c r="R76" s="49">
        <v>0</v>
      </c>
      <c r="S76" s="73">
        <v>12</v>
      </c>
      <c r="T76" s="73">
        <v>13</v>
      </c>
      <c r="U76" s="74">
        <v>0</v>
      </c>
      <c r="V76" s="74">
        <v>44</v>
      </c>
      <c r="W76" s="49">
        <v>0</v>
      </c>
      <c r="X76" s="49">
        <v>0</v>
      </c>
      <c r="Y76" s="49">
        <v>0</v>
      </c>
      <c r="Z76" s="74">
        <v>0</v>
      </c>
      <c r="AA76" s="49">
        <v>1</v>
      </c>
      <c r="AB76" s="49">
        <v>3</v>
      </c>
      <c r="AC76" s="49">
        <v>2</v>
      </c>
      <c r="AD76" s="49" t="s">
        <v>858</v>
      </c>
      <c r="AE76" s="74">
        <v>0</v>
      </c>
      <c r="AF76" s="74">
        <v>0</v>
      </c>
      <c r="AG76" s="74">
        <v>0</v>
      </c>
      <c r="AH76" s="74">
        <v>0</v>
      </c>
      <c r="AI76" s="74">
        <v>3</v>
      </c>
      <c r="AJ76" s="49">
        <v>1</v>
      </c>
      <c r="AK76" s="74">
        <v>0</v>
      </c>
      <c r="AL76" s="49">
        <v>1</v>
      </c>
      <c r="AM76" s="49">
        <v>0</v>
      </c>
      <c r="AN76" s="49" t="s">
        <v>100</v>
      </c>
      <c r="AO76" s="74">
        <v>1</v>
      </c>
      <c r="AP76" s="49" t="s">
        <v>3218</v>
      </c>
      <c r="AQ76" s="49">
        <v>1</v>
      </c>
      <c r="AR76" s="74">
        <v>1</v>
      </c>
      <c r="AS76" s="74">
        <v>1</v>
      </c>
      <c r="AT76" s="49">
        <v>3</v>
      </c>
      <c r="AU76" s="49">
        <v>1</v>
      </c>
      <c r="AV76" s="49">
        <v>2</v>
      </c>
      <c r="AW76" s="49">
        <v>3</v>
      </c>
      <c r="AX76" s="74">
        <v>1</v>
      </c>
      <c r="AY76" s="49">
        <v>0</v>
      </c>
      <c r="AZ76" s="74">
        <v>0</v>
      </c>
      <c r="BA76" s="49">
        <v>0</v>
      </c>
      <c r="BB76" s="74">
        <v>0</v>
      </c>
      <c r="BC76" s="49">
        <v>1</v>
      </c>
      <c r="BD76" s="49">
        <v>0</v>
      </c>
      <c r="BE76" s="49">
        <v>0</v>
      </c>
      <c r="BF76" s="49">
        <v>0</v>
      </c>
      <c r="BG76" s="49"/>
      <c r="BH76" s="49">
        <v>1</v>
      </c>
      <c r="BI76" s="49">
        <v>0</v>
      </c>
      <c r="BJ76" s="49">
        <v>1</v>
      </c>
      <c r="BK76" s="74">
        <v>1</v>
      </c>
      <c r="BL76" s="49">
        <v>1</v>
      </c>
      <c r="BM76" s="49">
        <v>3</v>
      </c>
      <c r="BN76" s="49" t="s">
        <v>3153</v>
      </c>
      <c r="BO76" s="49">
        <v>1</v>
      </c>
      <c r="BP76" s="49">
        <v>0</v>
      </c>
      <c r="BQ76" s="49">
        <v>1</v>
      </c>
      <c r="BR76" s="49">
        <v>0</v>
      </c>
      <c r="BS76" s="49">
        <v>1</v>
      </c>
      <c r="BT76" s="49">
        <v>1</v>
      </c>
      <c r="BU76" s="49">
        <v>1</v>
      </c>
      <c r="BV76" s="49">
        <v>1</v>
      </c>
      <c r="BW76" s="49">
        <v>0</v>
      </c>
      <c r="BX76" s="49">
        <v>1</v>
      </c>
      <c r="BY76" s="74">
        <v>1</v>
      </c>
      <c r="BZ76" s="49">
        <v>0</v>
      </c>
      <c r="CA76" s="49">
        <v>0</v>
      </c>
      <c r="CB76" s="49" t="s">
        <v>100</v>
      </c>
      <c r="CC76" s="49">
        <v>0</v>
      </c>
      <c r="CD76" s="49" t="s">
        <v>100</v>
      </c>
      <c r="CE76" s="49">
        <v>5</v>
      </c>
      <c r="CF76" s="49">
        <v>0</v>
      </c>
      <c r="CG76" s="49">
        <v>0</v>
      </c>
      <c r="CH76" s="49">
        <v>3</v>
      </c>
      <c r="CI76" s="49">
        <v>0</v>
      </c>
      <c r="CJ76" s="49" t="s">
        <v>100</v>
      </c>
      <c r="CK76" s="49">
        <v>0</v>
      </c>
      <c r="CL76" s="49"/>
      <c r="CM76" s="49"/>
      <c r="CN76" s="49">
        <v>0</v>
      </c>
      <c r="CO76" s="49">
        <v>0</v>
      </c>
      <c r="CP76" s="49">
        <v>0</v>
      </c>
      <c r="CQ76" s="49">
        <v>0</v>
      </c>
      <c r="CR76" s="74">
        <v>1</v>
      </c>
      <c r="CS76" s="74">
        <v>1</v>
      </c>
      <c r="CT76" s="49">
        <v>0</v>
      </c>
      <c r="CU76" s="49">
        <v>1</v>
      </c>
      <c r="CV76" s="49">
        <v>0</v>
      </c>
      <c r="CW76" s="49">
        <v>0</v>
      </c>
      <c r="CX76" s="49">
        <v>0</v>
      </c>
      <c r="CY76" s="49">
        <v>0</v>
      </c>
      <c r="CZ76" s="74">
        <v>1</v>
      </c>
      <c r="DA76" s="49">
        <v>1</v>
      </c>
      <c r="DB76" s="49">
        <v>0</v>
      </c>
      <c r="DC76" s="74">
        <v>1</v>
      </c>
      <c r="DD76" s="49">
        <v>0</v>
      </c>
      <c r="DE76" s="49">
        <v>2</v>
      </c>
      <c r="DF76" s="49">
        <v>0</v>
      </c>
      <c r="DG76" s="49"/>
      <c r="DH76" s="49"/>
      <c r="DI76" s="49"/>
      <c r="DJ76" s="49">
        <v>0</v>
      </c>
      <c r="DK76" s="49">
        <v>0</v>
      </c>
      <c r="DL76" s="49" t="s">
        <v>100</v>
      </c>
      <c r="DM76" s="74">
        <v>1</v>
      </c>
      <c r="DN76" s="49">
        <v>0</v>
      </c>
      <c r="DO76" s="49" t="s">
        <v>100</v>
      </c>
      <c r="DP76" s="74">
        <v>1</v>
      </c>
      <c r="DQ76" s="74">
        <v>0</v>
      </c>
      <c r="DR76" s="49">
        <v>0</v>
      </c>
      <c r="DS76" s="74">
        <v>1</v>
      </c>
      <c r="DT76" s="49">
        <v>4</v>
      </c>
      <c r="DU76" s="74">
        <v>0</v>
      </c>
      <c r="DV76" s="49" t="s">
        <v>100</v>
      </c>
      <c r="DW76" s="74">
        <v>0</v>
      </c>
      <c r="DX76" s="74">
        <v>1</v>
      </c>
      <c r="DY76" s="49">
        <v>2</v>
      </c>
      <c r="DZ76" s="49">
        <v>0</v>
      </c>
    </row>
    <row r="77" spans="1:130">
      <c r="A77" s="50">
        <v>75</v>
      </c>
      <c r="B77" s="50" t="s">
        <v>393</v>
      </c>
      <c r="C77" s="50" t="s">
        <v>394</v>
      </c>
      <c r="D77" s="72">
        <v>36418</v>
      </c>
      <c r="E77" s="49" t="s">
        <v>123</v>
      </c>
      <c r="F77" s="73">
        <v>15</v>
      </c>
      <c r="G77" s="73">
        <v>9</v>
      </c>
      <c r="H77" s="49">
        <v>1999</v>
      </c>
      <c r="I77" s="49" t="s">
        <v>395</v>
      </c>
      <c r="J77" s="49" t="s">
        <v>396</v>
      </c>
      <c r="K77" s="73">
        <v>43</v>
      </c>
      <c r="L77" s="73">
        <v>0</v>
      </c>
      <c r="M77" s="73">
        <v>0</v>
      </c>
      <c r="N77" s="74">
        <v>3</v>
      </c>
      <c r="O77" s="73">
        <v>0</v>
      </c>
      <c r="P77" s="73" t="s">
        <v>100</v>
      </c>
      <c r="Q77" s="49">
        <v>0</v>
      </c>
      <c r="R77" s="49">
        <v>0</v>
      </c>
      <c r="S77" s="73">
        <v>7</v>
      </c>
      <c r="T77" s="73">
        <v>7</v>
      </c>
      <c r="U77" s="74">
        <v>0</v>
      </c>
      <c r="V77" s="49">
        <v>47</v>
      </c>
      <c r="W77" s="49">
        <v>0</v>
      </c>
      <c r="X77" s="49">
        <v>0</v>
      </c>
      <c r="Y77" s="74">
        <v>0</v>
      </c>
      <c r="Z77" s="49">
        <v>0</v>
      </c>
      <c r="AA77" s="49">
        <v>0</v>
      </c>
      <c r="AB77" s="49">
        <v>2</v>
      </c>
      <c r="AC77" s="74">
        <v>0</v>
      </c>
      <c r="AD77" s="49" t="s">
        <v>3219</v>
      </c>
      <c r="AE77" s="74">
        <v>3</v>
      </c>
      <c r="AF77" s="74">
        <v>4</v>
      </c>
      <c r="AG77" s="74">
        <v>4</v>
      </c>
      <c r="AH77" s="74">
        <v>0</v>
      </c>
      <c r="AI77" s="74">
        <v>0</v>
      </c>
      <c r="AJ77" s="74">
        <v>0</v>
      </c>
      <c r="AK77" s="49">
        <v>0</v>
      </c>
      <c r="AL77" s="74">
        <v>2</v>
      </c>
      <c r="AM77" s="49">
        <v>1</v>
      </c>
      <c r="AN77" s="49">
        <v>1</v>
      </c>
      <c r="AO77" s="74">
        <v>0</v>
      </c>
      <c r="AP77" s="49"/>
      <c r="AQ77" s="49">
        <v>1</v>
      </c>
      <c r="AR77" s="49">
        <v>0</v>
      </c>
      <c r="AS77" s="74">
        <v>1</v>
      </c>
      <c r="AT77" s="74">
        <v>2</v>
      </c>
      <c r="AU77" s="49">
        <v>1</v>
      </c>
      <c r="AV77" s="49">
        <v>3</v>
      </c>
      <c r="AW77" s="49"/>
      <c r="AX77" s="74">
        <v>1</v>
      </c>
      <c r="AY77" s="49">
        <v>0</v>
      </c>
      <c r="AZ77" s="49">
        <v>0</v>
      </c>
      <c r="BA77" s="49">
        <v>0</v>
      </c>
      <c r="BB77" s="49">
        <v>0</v>
      </c>
      <c r="BC77" s="74">
        <v>1</v>
      </c>
      <c r="BD77" s="49">
        <v>0</v>
      </c>
      <c r="BE77" s="49">
        <v>0</v>
      </c>
      <c r="BF77" s="74">
        <v>0</v>
      </c>
      <c r="BG77" s="49"/>
      <c r="BH77" s="49">
        <v>1</v>
      </c>
      <c r="BI77" s="49">
        <v>1</v>
      </c>
      <c r="BJ77" s="49">
        <v>0</v>
      </c>
      <c r="BK77" s="74">
        <v>0</v>
      </c>
      <c r="BL77" s="74">
        <v>1</v>
      </c>
      <c r="BM77" s="49">
        <v>2</v>
      </c>
      <c r="BN77" s="49" t="s">
        <v>3054</v>
      </c>
      <c r="BO77" s="49">
        <v>1</v>
      </c>
      <c r="BP77" s="49">
        <v>1</v>
      </c>
      <c r="BQ77" s="49">
        <v>0</v>
      </c>
      <c r="BR77" s="49">
        <v>0</v>
      </c>
      <c r="BS77" s="49">
        <v>0</v>
      </c>
      <c r="BT77" s="49">
        <v>1</v>
      </c>
      <c r="BU77" s="49">
        <v>1</v>
      </c>
      <c r="BV77" s="49">
        <v>1</v>
      </c>
      <c r="BW77" s="49">
        <v>1</v>
      </c>
      <c r="BX77" s="49">
        <v>1</v>
      </c>
      <c r="BY77" s="74">
        <v>1</v>
      </c>
      <c r="BZ77" s="74">
        <v>0</v>
      </c>
      <c r="CA77" s="49">
        <v>0</v>
      </c>
      <c r="CB77" s="49" t="s">
        <v>100</v>
      </c>
      <c r="CC77" s="49">
        <v>0</v>
      </c>
      <c r="CD77" s="49" t="s">
        <v>100</v>
      </c>
      <c r="CE77" s="74">
        <v>2</v>
      </c>
      <c r="CF77" s="74">
        <v>0</v>
      </c>
      <c r="CG77" s="49">
        <v>0</v>
      </c>
      <c r="CH77" s="74">
        <v>3</v>
      </c>
      <c r="CI77" s="49">
        <v>0</v>
      </c>
      <c r="CJ77" s="49" t="s">
        <v>100</v>
      </c>
      <c r="CK77" s="49">
        <v>4</v>
      </c>
      <c r="CL77" s="49"/>
      <c r="CM77" s="49"/>
      <c r="CN77" s="49">
        <v>0</v>
      </c>
      <c r="CO77" s="74">
        <v>3</v>
      </c>
      <c r="CP77" s="49">
        <v>0</v>
      </c>
      <c r="CQ77" s="49">
        <v>0</v>
      </c>
      <c r="CR77" s="49">
        <v>0</v>
      </c>
      <c r="CS77" s="49">
        <v>0</v>
      </c>
      <c r="CT77" s="49">
        <v>0</v>
      </c>
      <c r="CU77" s="49">
        <v>0</v>
      </c>
      <c r="CV77" s="49">
        <v>0</v>
      </c>
      <c r="CW77" s="49">
        <v>0</v>
      </c>
      <c r="CX77" s="49">
        <v>1</v>
      </c>
      <c r="CY77" s="49">
        <v>0</v>
      </c>
      <c r="CZ77" s="74">
        <v>0</v>
      </c>
      <c r="DA77" s="49">
        <v>3</v>
      </c>
      <c r="DB77" s="49">
        <v>0</v>
      </c>
      <c r="DC77" s="49">
        <v>0</v>
      </c>
      <c r="DD77" s="49"/>
      <c r="DE77" s="49"/>
      <c r="DF77" s="49"/>
      <c r="DG77" s="49"/>
      <c r="DH77" s="49"/>
      <c r="DI77" s="49"/>
      <c r="DJ77" s="74">
        <v>1</v>
      </c>
      <c r="DK77" s="49">
        <v>0</v>
      </c>
      <c r="DL77" s="49" t="s">
        <v>100</v>
      </c>
      <c r="DM77" s="74">
        <v>0</v>
      </c>
      <c r="DN77" s="49">
        <v>0</v>
      </c>
      <c r="DO77" s="49" t="s">
        <v>100</v>
      </c>
      <c r="DP77" s="49">
        <v>0</v>
      </c>
      <c r="DQ77" s="74">
        <v>0</v>
      </c>
      <c r="DR77" s="49">
        <v>0</v>
      </c>
      <c r="DS77" s="74">
        <v>3</v>
      </c>
      <c r="DT77" s="49">
        <v>2</v>
      </c>
      <c r="DU77" s="49">
        <v>0</v>
      </c>
      <c r="DV77" s="49" t="s">
        <v>397</v>
      </c>
      <c r="DW77" s="49">
        <v>0</v>
      </c>
      <c r="DX77" s="74">
        <v>0</v>
      </c>
      <c r="DY77" s="49">
        <v>2</v>
      </c>
      <c r="DZ77" s="49">
        <v>0</v>
      </c>
    </row>
    <row r="78" spans="1:130">
      <c r="A78" s="50">
        <v>76</v>
      </c>
      <c r="B78" s="50" t="s">
        <v>398</v>
      </c>
      <c r="C78" s="50" t="s">
        <v>399</v>
      </c>
      <c r="D78" s="72">
        <v>36466</v>
      </c>
      <c r="E78" s="49" t="s">
        <v>203</v>
      </c>
      <c r="F78" s="73">
        <v>2</v>
      </c>
      <c r="G78" s="74">
        <v>11</v>
      </c>
      <c r="H78" s="74">
        <v>1999</v>
      </c>
      <c r="I78" s="49" t="s">
        <v>400</v>
      </c>
      <c r="J78" s="49" t="s">
        <v>401</v>
      </c>
      <c r="K78" s="74">
        <v>11</v>
      </c>
      <c r="L78" s="73">
        <v>3</v>
      </c>
      <c r="M78" s="74">
        <v>0</v>
      </c>
      <c r="N78" s="74">
        <v>6</v>
      </c>
      <c r="O78" s="74">
        <v>0</v>
      </c>
      <c r="P78" s="73" t="s">
        <v>100</v>
      </c>
      <c r="Q78" s="49">
        <v>0</v>
      </c>
      <c r="R78" s="49">
        <v>0</v>
      </c>
      <c r="S78" s="74">
        <v>7</v>
      </c>
      <c r="T78" s="73">
        <v>0</v>
      </c>
      <c r="U78" s="74">
        <v>0</v>
      </c>
      <c r="V78" s="74">
        <v>40</v>
      </c>
      <c r="W78" s="74">
        <v>0</v>
      </c>
      <c r="X78" s="49">
        <v>3</v>
      </c>
      <c r="Y78" s="74">
        <v>0</v>
      </c>
      <c r="Z78" s="49">
        <v>0</v>
      </c>
      <c r="AA78" s="49">
        <v>3</v>
      </c>
      <c r="AB78" s="74">
        <v>2</v>
      </c>
      <c r="AC78" s="49"/>
      <c r="AD78" s="49"/>
      <c r="AE78" s="74">
        <v>3</v>
      </c>
      <c r="AF78" s="74">
        <v>1</v>
      </c>
      <c r="AG78" s="74">
        <v>1</v>
      </c>
      <c r="AH78" s="74">
        <v>0</v>
      </c>
      <c r="AI78" s="74">
        <v>0</v>
      </c>
      <c r="AJ78" s="49">
        <v>0</v>
      </c>
      <c r="AK78" s="74">
        <v>1</v>
      </c>
      <c r="AL78" s="74">
        <v>2</v>
      </c>
      <c r="AM78" s="49">
        <v>0</v>
      </c>
      <c r="AN78" s="49" t="s">
        <v>100</v>
      </c>
      <c r="AO78" s="49">
        <v>0</v>
      </c>
      <c r="AP78" s="49"/>
      <c r="AQ78" s="49">
        <v>1</v>
      </c>
      <c r="AR78" s="49">
        <v>0</v>
      </c>
      <c r="AS78" s="49">
        <v>1</v>
      </c>
      <c r="AT78" s="49">
        <v>0</v>
      </c>
      <c r="AU78" s="49" t="s">
        <v>100</v>
      </c>
      <c r="AV78" s="49" t="s">
        <v>100</v>
      </c>
      <c r="AW78" s="49" t="s">
        <v>100</v>
      </c>
      <c r="AX78" s="49">
        <v>0</v>
      </c>
      <c r="AY78" s="49">
        <v>0</v>
      </c>
      <c r="AZ78" s="49">
        <v>0</v>
      </c>
      <c r="BA78" s="49">
        <v>0</v>
      </c>
      <c r="BB78" s="49">
        <v>0</v>
      </c>
      <c r="BC78" s="74">
        <v>1</v>
      </c>
      <c r="BD78" s="74">
        <v>0</v>
      </c>
      <c r="BE78" s="49">
        <v>0</v>
      </c>
      <c r="BF78" s="49">
        <v>0</v>
      </c>
      <c r="BG78" s="49"/>
      <c r="BH78" s="49">
        <v>1</v>
      </c>
      <c r="BI78" s="74">
        <v>1</v>
      </c>
      <c r="BJ78" s="49">
        <v>0</v>
      </c>
      <c r="BK78" s="74">
        <v>1</v>
      </c>
      <c r="BL78" s="74">
        <v>1</v>
      </c>
      <c r="BM78" s="49">
        <v>3</v>
      </c>
      <c r="BN78" s="49" t="s">
        <v>3031</v>
      </c>
      <c r="BO78" s="49">
        <v>1</v>
      </c>
      <c r="BP78" s="49">
        <v>1</v>
      </c>
      <c r="BQ78" s="49">
        <v>0</v>
      </c>
      <c r="BR78" s="49">
        <v>0</v>
      </c>
      <c r="BS78" s="49">
        <v>0</v>
      </c>
      <c r="BT78" s="49">
        <v>1</v>
      </c>
      <c r="BU78" s="49">
        <v>1</v>
      </c>
      <c r="BV78" s="49">
        <v>1</v>
      </c>
      <c r="BW78" s="49">
        <v>1</v>
      </c>
      <c r="BX78" s="49">
        <v>1</v>
      </c>
      <c r="BY78" s="74">
        <v>0</v>
      </c>
      <c r="BZ78" s="74">
        <v>1</v>
      </c>
      <c r="CA78" s="74">
        <v>1</v>
      </c>
      <c r="CB78" s="74">
        <v>1</v>
      </c>
      <c r="CC78" s="49">
        <v>0</v>
      </c>
      <c r="CD78" s="74">
        <v>0</v>
      </c>
      <c r="CE78" s="74">
        <v>2</v>
      </c>
      <c r="CF78" s="49">
        <v>0</v>
      </c>
      <c r="CG78" s="49">
        <v>0</v>
      </c>
      <c r="CH78" s="49">
        <v>0</v>
      </c>
      <c r="CI78" s="49">
        <v>1</v>
      </c>
      <c r="CJ78" s="49" t="s">
        <v>402</v>
      </c>
      <c r="CK78" s="49">
        <v>0</v>
      </c>
      <c r="CL78" s="49"/>
      <c r="CM78" s="49"/>
      <c r="CN78" s="49">
        <v>0</v>
      </c>
      <c r="CO78" s="49">
        <v>0</v>
      </c>
      <c r="CP78" s="49">
        <v>0</v>
      </c>
      <c r="CQ78" s="49">
        <v>0</v>
      </c>
      <c r="CR78" s="74">
        <v>1</v>
      </c>
      <c r="CS78" s="49">
        <v>0</v>
      </c>
      <c r="CT78" s="49">
        <v>0</v>
      </c>
      <c r="CU78" s="49">
        <v>0</v>
      </c>
      <c r="CV78" s="49">
        <v>0</v>
      </c>
      <c r="CW78" s="49">
        <v>0</v>
      </c>
      <c r="CX78" s="49">
        <v>0</v>
      </c>
      <c r="CY78" s="49">
        <v>0</v>
      </c>
      <c r="CZ78" s="74">
        <v>0</v>
      </c>
      <c r="DA78" s="74">
        <v>2</v>
      </c>
      <c r="DB78" s="49">
        <v>0</v>
      </c>
      <c r="DC78" s="74">
        <v>1</v>
      </c>
      <c r="DD78" s="49">
        <v>0</v>
      </c>
      <c r="DE78" s="49">
        <v>4</v>
      </c>
      <c r="DF78" s="49">
        <v>0</v>
      </c>
      <c r="DG78" s="49"/>
      <c r="DH78" s="49"/>
      <c r="DI78" s="49"/>
      <c r="DJ78" s="49">
        <v>0</v>
      </c>
      <c r="DK78" s="49">
        <v>0</v>
      </c>
      <c r="DL78" s="49" t="s">
        <v>100</v>
      </c>
      <c r="DM78" s="74">
        <v>0</v>
      </c>
      <c r="DN78" s="49">
        <v>0</v>
      </c>
      <c r="DO78" s="49" t="s">
        <v>100</v>
      </c>
      <c r="DP78" s="74">
        <v>0</v>
      </c>
      <c r="DQ78" s="74">
        <v>0</v>
      </c>
      <c r="DR78" s="74">
        <v>1</v>
      </c>
      <c r="DS78" s="74">
        <v>1</v>
      </c>
      <c r="DT78" s="74">
        <v>1</v>
      </c>
      <c r="DU78" s="74">
        <v>0</v>
      </c>
      <c r="DV78" s="49" t="s">
        <v>100</v>
      </c>
      <c r="DW78" s="74">
        <v>2</v>
      </c>
      <c r="DX78" s="74">
        <v>0</v>
      </c>
      <c r="DY78" s="74">
        <v>1</v>
      </c>
      <c r="DZ78" s="74">
        <v>2</v>
      </c>
    </row>
    <row r="79" spans="1:130">
      <c r="A79" s="50">
        <v>77</v>
      </c>
      <c r="B79" s="50" t="s">
        <v>403</v>
      </c>
      <c r="C79" s="50" t="s">
        <v>404</v>
      </c>
      <c r="D79" s="72">
        <v>36524</v>
      </c>
      <c r="E79" s="49" t="s">
        <v>178</v>
      </c>
      <c r="F79" s="73">
        <v>30</v>
      </c>
      <c r="G79" s="74">
        <v>12</v>
      </c>
      <c r="H79" s="74">
        <v>1999</v>
      </c>
      <c r="I79" s="49" t="s">
        <v>405</v>
      </c>
      <c r="J79" s="49" t="s">
        <v>406</v>
      </c>
      <c r="K79" s="74">
        <v>9</v>
      </c>
      <c r="L79" s="73">
        <v>0</v>
      </c>
      <c r="M79" s="73">
        <v>0</v>
      </c>
      <c r="N79" s="74">
        <v>6</v>
      </c>
      <c r="O79" s="74">
        <v>1</v>
      </c>
      <c r="P79" s="74">
        <v>5</v>
      </c>
      <c r="Q79" s="49">
        <v>0</v>
      </c>
      <c r="R79" s="49">
        <v>0</v>
      </c>
      <c r="S79" s="74">
        <v>5</v>
      </c>
      <c r="T79" s="73">
        <v>3</v>
      </c>
      <c r="U79" s="49">
        <v>0</v>
      </c>
      <c r="V79" s="74">
        <v>36</v>
      </c>
      <c r="W79" s="74">
        <v>0</v>
      </c>
      <c r="X79" s="74">
        <v>2</v>
      </c>
      <c r="Y79" s="49">
        <v>1</v>
      </c>
      <c r="Z79" s="49">
        <v>0</v>
      </c>
      <c r="AA79" s="74">
        <v>5</v>
      </c>
      <c r="AB79" s="49" t="s">
        <v>818</v>
      </c>
      <c r="AC79" s="49"/>
      <c r="AD79" s="49"/>
      <c r="AE79" s="49"/>
      <c r="AF79" s="49"/>
      <c r="AG79" s="49"/>
      <c r="AH79" s="49"/>
      <c r="AI79" s="49">
        <v>0</v>
      </c>
      <c r="AJ79" s="74">
        <v>1</v>
      </c>
      <c r="AK79" s="74">
        <v>1</v>
      </c>
      <c r="AL79" s="74">
        <v>0</v>
      </c>
      <c r="AM79" s="49">
        <v>0</v>
      </c>
      <c r="AN79" s="49" t="s">
        <v>100</v>
      </c>
      <c r="AO79" s="49"/>
      <c r="AP79" s="49"/>
      <c r="AQ79" s="49">
        <v>0</v>
      </c>
      <c r="AR79" s="49">
        <v>0</v>
      </c>
      <c r="AS79" s="74">
        <v>1</v>
      </c>
      <c r="AT79" s="49">
        <v>0</v>
      </c>
      <c r="AU79" s="49" t="s">
        <v>100</v>
      </c>
      <c r="AV79" s="49" t="s">
        <v>100</v>
      </c>
      <c r="AW79" s="49" t="s">
        <v>100</v>
      </c>
      <c r="AX79" s="49">
        <v>0</v>
      </c>
      <c r="AY79" s="49">
        <v>0</v>
      </c>
      <c r="AZ79" s="49">
        <v>0</v>
      </c>
      <c r="BA79" s="49">
        <v>0</v>
      </c>
      <c r="BB79" s="49">
        <v>0</v>
      </c>
      <c r="BC79" s="49">
        <v>0</v>
      </c>
      <c r="BD79" s="49">
        <v>0</v>
      </c>
      <c r="BE79" s="49"/>
      <c r="BF79" s="49"/>
      <c r="BG79" s="49"/>
      <c r="BH79" s="49"/>
      <c r="BI79" s="49">
        <v>0</v>
      </c>
      <c r="BJ79" s="49">
        <v>0</v>
      </c>
      <c r="BK79" s="74">
        <v>1</v>
      </c>
      <c r="BL79" s="49">
        <v>0</v>
      </c>
      <c r="BM79" s="49" t="s">
        <v>100</v>
      </c>
      <c r="BN79" s="49"/>
      <c r="BO79" s="49">
        <v>0</v>
      </c>
      <c r="BP79" s="49">
        <v>0</v>
      </c>
      <c r="BQ79" s="49">
        <v>0</v>
      </c>
      <c r="BR79" s="49">
        <v>0</v>
      </c>
      <c r="BS79" s="49">
        <v>0</v>
      </c>
      <c r="BT79" s="49">
        <v>0</v>
      </c>
      <c r="BU79" s="49">
        <v>0</v>
      </c>
      <c r="BV79" s="49">
        <v>0</v>
      </c>
      <c r="BW79" s="49">
        <v>0</v>
      </c>
      <c r="BX79" s="49">
        <v>0</v>
      </c>
      <c r="BY79" s="49">
        <v>0</v>
      </c>
      <c r="BZ79" s="49">
        <v>0</v>
      </c>
      <c r="CA79" s="49">
        <v>0</v>
      </c>
      <c r="CB79" s="49" t="s">
        <v>100</v>
      </c>
      <c r="CC79" s="49">
        <v>0</v>
      </c>
      <c r="CD79" s="49" t="s">
        <v>100</v>
      </c>
      <c r="CE79" s="74">
        <v>1</v>
      </c>
      <c r="CF79" s="49">
        <v>0</v>
      </c>
      <c r="CG79" s="49">
        <v>0</v>
      </c>
      <c r="CH79" s="74">
        <v>4</v>
      </c>
      <c r="CI79" s="49">
        <v>0</v>
      </c>
      <c r="CJ79" s="49" t="s">
        <v>100</v>
      </c>
      <c r="CK79" s="49">
        <v>0</v>
      </c>
      <c r="CL79" s="49"/>
      <c r="CM79" s="49"/>
      <c r="CN79" s="49">
        <v>0</v>
      </c>
      <c r="CO79" s="49">
        <v>0</v>
      </c>
      <c r="CP79" s="49">
        <v>0</v>
      </c>
      <c r="CQ79" s="49">
        <v>0</v>
      </c>
      <c r="CR79" s="49">
        <v>0</v>
      </c>
      <c r="CS79" s="49">
        <v>0</v>
      </c>
      <c r="CT79" s="49">
        <v>0</v>
      </c>
      <c r="CU79" s="49">
        <v>0</v>
      </c>
      <c r="CV79" s="49">
        <v>0</v>
      </c>
      <c r="CW79" s="49">
        <v>0</v>
      </c>
      <c r="CX79" s="49">
        <v>0</v>
      </c>
      <c r="CY79" s="74">
        <v>1</v>
      </c>
      <c r="CZ79" s="74">
        <v>0</v>
      </c>
      <c r="DA79" s="49">
        <v>0</v>
      </c>
      <c r="DB79" s="49">
        <v>0</v>
      </c>
      <c r="DC79" s="74">
        <v>0</v>
      </c>
      <c r="DD79" s="49"/>
      <c r="DE79" s="49"/>
      <c r="DF79" s="49"/>
      <c r="DG79" s="49"/>
      <c r="DH79" s="49"/>
      <c r="DI79" s="49"/>
      <c r="DJ79" s="49">
        <v>0</v>
      </c>
      <c r="DK79" s="49">
        <v>0</v>
      </c>
      <c r="DL79" s="49" t="s">
        <v>100</v>
      </c>
      <c r="DM79" s="74">
        <v>0</v>
      </c>
      <c r="DN79" s="49">
        <v>0</v>
      </c>
      <c r="DO79" s="49" t="s">
        <v>100</v>
      </c>
      <c r="DP79" s="74">
        <v>0</v>
      </c>
      <c r="DQ79" s="74">
        <v>0</v>
      </c>
      <c r="DR79" s="49">
        <v>0</v>
      </c>
      <c r="DS79" s="74">
        <v>1</v>
      </c>
      <c r="DT79" s="49">
        <v>2</v>
      </c>
      <c r="DU79" s="49">
        <v>0</v>
      </c>
      <c r="DV79" s="49" t="s">
        <v>100</v>
      </c>
      <c r="DW79" s="74">
        <v>2</v>
      </c>
      <c r="DX79" s="49">
        <v>1</v>
      </c>
      <c r="DY79" s="74">
        <v>1</v>
      </c>
      <c r="DZ79" s="74">
        <v>2</v>
      </c>
    </row>
    <row r="80" spans="1:130">
      <c r="A80" s="50">
        <v>78</v>
      </c>
      <c r="B80" s="50" t="s">
        <v>263</v>
      </c>
      <c r="C80" s="50" t="s">
        <v>102</v>
      </c>
      <c r="D80" s="72">
        <v>36605</v>
      </c>
      <c r="E80" s="49" t="s">
        <v>95</v>
      </c>
      <c r="F80" s="73">
        <v>20</v>
      </c>
      <c r="G80" s="74">
        <v>3</v>
      </c>
      <c r="H80" s="74">
        <v>2000</v>
      </c>
      <c r="I80" s="49" t="s">
        <v>407</v>
      </c>
      <c r="J80" s="49" t="s">
        <v>408</v>
      </c>
      <c r="K80" s="74">
        <v>43</v>
      </c>
      <c r="L80" s="74">
        <v>0</v>
      </c>
      <c r="M80" s="74">
        <v>0</v>
      </c>
      <c r="N80" s="74">
        <v>6</v>
      </c>
      <c r="O80" s="73">
        <v>0</v>
      </c>
      <c r="P80" s="73" t="s">
        <v>100</v>
      </c>
      <c r="Q80" s="49">
        <v>0</v>
      </c>
      <c r="R80" s="49">
        <v>0</v>
      </c>
      <c r="S80" s="74">
        <v>5</v>
      </c>
      <c r="T80" s="73">
        <v>1</v>
      </c>
      <c r="U80" s="74">
        <v>0</v>
      </c>
      <c r="V80" s="74">
        <v>28</v>
      </c>
      <c r="W80" s="74">
        <v>0</v>
      </c>
      <c r="X80" s="74">
        <v>1</v>
      </c>
      <c r="Y80" s="74">
        <v>0</v>
      </c>
      <c r="Z80" s="74">
        <v>0</v>
      </c>
      <c r="AA80" s="74">
        <v>1</v>
      </c>
      <c r="AB80" s="49">
        <v>0</v>
      </c>
      <c r="AC80" s="74">
        <v>1</v>
      </c>
      <c r="AD80" s="49" t="s">
        <v>3220</v>
      </c>
      <c r="AE80" s="74">
        <v>3</v>
      </c>
      <c r="AF80" s="74">
        <v>1</v>
      </c>
      <c r="AG80" s="74">
        <v>1</v>
      </c>
      <c r="AH80" s="74">
        <v>0</v>
      </c>
      <c r="AI80" s="49">
        <v>0</v>
      </c>
      <c r="AJ80" s="49">
        <v>0</v>
      </c>
      <c r="AK80" s="74">
        <v>0</v>
      </c>
      <c r="AL80" s="74">
        <v>0</v>
      </c>
      <c r="AM80" s="49">
        <v>0</v>
      </c>
      <c r="AN80" s="49" t="s">
        <v>100</v>
      </c>
      <c r="AO80" s="49">
        <v>0</v>
      </c>
      <c r="AP80" s="49"/>
      <c r="AQ80" s="49">
        <v>1</v>
      </c>
      <c r="AR80" s="74">
        <v>1</v>
      </c>
      <c r="AS80" s="74">
        <v>1</v>
      </c>
      <c r="AT80" s="49">
        <v>0</v>
      </c>
      <c r="AU80" s="49" t="s">
        <v>100</v>
      </c>
      <c r="AV80" s="49" t="s">
        <v>100</v>
      </c>
      <c r="AW80" s="49" t="s">
        <v>100</v>
      </c>
      <c r="AX80" s="74">
        <v>1</v>
      </c>
      <c r="AY80" s="49">
        <v>0</v>
      </c>
      <c r="AZ80" s="49">
        <v>0</v>
      </c>
      <c r="BA80" s="49">
        <v>0</v>
      </c>
      <c r="BB80" s="49">
        <v>0</v>
      </c>
      <c r="BC80" s="49">
        <v>0</v>
      </c>
      <c r="BD80" s="49">
        <v>0</v>
      </c>
      <c r="BE80" s="74">
        <v>1</v>
      </c>
      <c r="BF80" s="49">
        <v>0</v>
      </c>
      <c r="BG80" s="74">
        <v>3</v>
      </c>
      <c r="BH80" s="49"/>
      <c r="BI80" s="49">
        <v>0</v>
      </c>
      <c r="BJ80" s="49">
        <v>0</v>
      </c>
      <c r="BK80" s="74">
        <v>1</v>
      </c>
      <c r="BL80" s="49">
        <v>0</v>
      </c>
      <c r="BM80" s="49" t="s">
        <v>100</v>
      </c>
      <c r="BN80" s="49"/>
      <c r="BO80" s="49">
        <v>0</v>
      </c>
      <c r="BP80" s="49">
        <v>0</v>
      </c>
      <c r="BQ80" s="49">
        <v>0</v>
      </c>
      <c r="BR80" s="49">
        <v>0</v>
      </c>
      <c r="BS80" s="49">
        <v>0</v>
      </c>
      <c r="BT80" s="49">
        <v>0</v>
      </c>
      <c r="BU80" s="49">
        <v>0</v>
      </c>
      <c r="BV80" s="49">
        <v>0</v>
      </c>
      <c r="BW80" s="49">
        <v>0</v>
      </c>
      <c r="BX80" s="49">
        <v>0</v>
      </c>
      <c r="BY80" s="49">
        <v>0</v>
      </c>
      <c r="BZ80" s="49">
        <v>0</v>
      </c>
      <c r="CA80" s="49">
        <v>0</v>
      </c>
      <c r="CB80" s="49" t="s">
        <v>100</v>
      </c>
      <c r="CC80" s="49">
        <v>0</v>
      </c>
      <c r="CD80" s="49" t="s">
        <v>100</v>
      </c>
      <c r="CE80" s="74">
        <v>1</v>
      </c>
      <c r="CF80" s="49">
        <v>0</v>
      </c>
      <c r="CG80" s="49">
        <v>0</v>
      </c>
      <c r="CH80" s="74">
        <v>1</v>
      </c>
      <c r="CI80" s="49">
        <v>0</v>
      </c>
      <c r="CJ80" s="49" t="s">
        <v>100</v>
      </c>
      <c r="CK80" s="49">
        <v>0</v>
      </c>
      <c r="CL80" s="49"/>
      <c r="CM80" s="49"/>
      <c r="CN80" s="49">
        <v>0</v>
      </c>
      <c r="CO80" s="49">
        <v>0</v>
      </c>
      <c r="CP80" s="49">
        <v>0</v>
      </c>
      <c r="CQ80" s="49">
        <v>0</v>
      </c>
      <c r="CR80" s="74">
        <v>1</v>
      </c>
      <c r="CS80" s="49">
        <v>0</v>
      </c>
      <c r="CT80" s="49">
        <v>0</v>
      </c>
      <c r="CU80" s="49">
        <v>0</v>
      </c>
      <c r="CV80" s="49">
        <v>0</v>
      </c>
      <c r="CW80" s="49">
        <v>0</v>
      </c>
      <c r="CX80" s="49">
        <v>0</v>
      </c>
      <c r="CY80" s="49">
        <v>0</v>
      </c>
      <c r="CZ80" s="74">
        <v>0</v>
      </c>
      <c r="DA80" s="49">
        <v>0</v>
      </c>
      <c r="DB80" s="49">
        <v>0</v>
      </c>
      <c r="DC80" s="74">
        <v>1</v>
      </c>
      <c r="DD80" s="49">
        <v>0</v>
      </c>
      <c r="DE80" s="49">
        <v>5</v>
      </c>
      <c r="DF80" s="49">
        <v>0</v>
      </c>
      <c r="DG80" s="49"/>
      <c r="DH80" s="49"/>
      <c r="DI80" s="49"/>
      <c r="DJ80" s="49">
        <v>0</v>
      </c>
      <c r="DK80" s="49">
        <v>0</v>
      </c>
      <c r="DL80" s="49" t="s">
        <v>100</v>
      </c>
      <c r="DM80" s="74">
        <v>0</v>
      </c>
      <c r="DN80" s="49">
        <v>0</v>
      </c>
      <c r="DO80" s="49" t="s">
        <v>100</v>
      </c>
      <c r="DP80" s="74">
        <v>0</v>
      </c>
      <c r="DQ80" s="74">
        <v>0</v>
      </c>
      <c r="DR80" s="49">
        <v>0</v>
      </c>
      <c r="DS80" s="49"/>
      <c r="DT80" s="74">
        <v>1</v>
      </c>
      <c r="DU80" s="74">
        <v>1</v>
      </c>
      <c r="DV80" s="49" t="s">
        <v>365</v>
      </c>
      <c r="DW80" s="74">
        <v>2</v>
      </c>
      <c r="DX80" s="74">
        <v>1</v>
      </c>
      <c r="DY80" s="74">
        <v>0</v>
      </c>
      <c r="DZ80" s="49">
        <v>0</v>
      </c>
    </row>
    <row r="81" spans="1:130">
      <c r="A81" s="50">
        <v>79</v>
      </c>
      <c r="B81" s="50" t="s">
        <v>409</v>
      </c>
      <c r="C81" s="50" t="s">
        <v>241</v>
      </c>
      <c r="D81" s="72">
        <v>36644</v>
      </c>
      <c r="E81" s="49" t="s">
        <v>157</v>
      </c>
      <c r="F81" s="73">
        <v>28</v>
      </c>
      <c r="G81" s="74">
        <v>4</v>
      </c>
      <c r="H81" s="74">
        <v>2000</v>
      </c>
      <c r="I81" s="49" t="s">
        <v>410</v>
      </c>
      <c r="J81" s="49" t="s">
        <v>411</v>
      </c>
      <c r="K81" s="74">
        <v>38</v>
      </c>
      <c r="L81" s="74">
        <v>2</v>
      </c>
      <c r="M81" s="73">
        <v>1</v>
      </c>
      <c r="N81" s="74">
        <v>7</v>
      </c>
      <c r="O81" s="73">
        <v>1</v>
      </c>
      <c r="P81" s="74">
        <v>4</v>
      </c>
      <c r="Q81" s="49">
        <v>0</v>
      </c>
      <c r="R81" s="49">
        <v>0</v>
      </c>
      <c r="S81" s="74">
        <v>5</v>
      </c>
      <c r="T81" s="73">
        <v>1</v>
      </c>
      <c r="U81" s="74">
        <v>0</v>
      </c>
      <c r="V81" s="74">
        <v>34</v>
      </c>
      <c r="W81" s="74">
        <v>0</v>
      </c>
      <c r="X81" s="74">
        <v>0</v>
      </c>
      <c r="Y81" s="49">
        <v>0</v>
      </c>
      <c r="Z81" s="49">
        <v>0</v>
      </c>
      <c r="AA81" s="49"/>
      <c r="AB81" s="49">
        <v>4</v>
      </c>
      <c r="AC81" s="74">
        <v>2</v>
      </c>
      <c r="AD81" s="49" t="s">
        <v>3221</v>
      </c>
      <c r="AE81" s="74">
        <v>3</v>
      </c>
      <c r="AF81" s="74">
        <v>1</v>
      </c>
      <c r="AG81" s="74">
        <v>1</v>
      </c>
      <c r="AH81" s="74">
        <v>0</v>
      </c>
      <c r="AI81" s="74">
        <v>0</v>
      </c>
      <c r="AJ81" s="49">
        <v>0</v>
      </c>
      <c r="AK81" s="74">
        <v>0</v>
      </c>
      <c r="AL81" s="74">
        <v>1</v>
      </c>
      <c r="AM81" s="49">
        <v>0</v>
      </c>
      <c r="AN81" s="49" t="s">
        <v>100</v>
      </c>
      <c r="AO81" s="74">
        <v>0</v>
      </c>
      <c r="AP81" s="49"/>
      <c r="AQ81" s="49">
        <v>0</v>
      </c>
      <c r="AR81" s="49">
        <v>0</v>
      </c>
      <c r="AS81" s="49">
        <v>0</v>
      </c>
      <c r="AT81" s="49">
        <v>0</v>
      </c>
      <c r="AU81" s="49" t="s">
        <v>100</v>
      </c>
      <c r="AV81" s="49" t="s">
        <v>100</v>
      </c>
      <c r="AW81" s="49" t="s">
        <v>100</v>
      </c>
      <c r="AX81" s="49">
        <v>0</v>
      </c>
      <c r="AY81" s="49">
        <v>0</v>
      </c>
      <c r="AZ81" s="49">
        <v>0</v>
      </c>
      <c r="BA81" s="49">
        <v>1</v>
      </c>
      <c r="BB81" s="49">
        <v>0</v>
      </c>
      <c r="BC81" s="49">
        <v>0</v>
      </c>
      <c r="BD81" s="49">
        <v>0</v>
      </c>
      <c r="BE81" s="74">
        <v>0</v>
      </c>
      <c r="BF81" s="74">
        <v>0</v>
      </c>
      <c r="BG81" s="49"/>
      <c r="BH81" s="49">
        <v>2</v>
      </c>
      <c r="BI81" s="49">
        <v>0</v>
      </c>
      <c r="BJ81" s="49">
        <v>0</v>
      </c>
      <c r="BK81" s="49">
        <v>1</v>
      </c>
      <c r="BL81" s="49">
        <v>1</v>
      </c>
      <c r="BM81" s="49">
        <v>3</v>
      </c>
      <c r="BN81" s="49" t="s">
        <v>3032</v>
      </c>
      <c r="BO81" s="49">
        <v>0</v>
      </c>
      <c r="BP81" s="49">
        <v>1</v>
      </c>
      <c r="BQ81" s="49">
        <v>0</v>
      </c>
      <c r="BR81" s="49">
        <v>0</v>
      </c>
      <c r="BS81" s="49">
        <v>0</v>
      </c>
      <c r="BT81" s="49">
        <v>1</v>
      </c>
      <c r="BU81" s="49">
        <v>0</v>
      </c>
      <c r="BV81" s="49">
        <v>1</v>
      </c>
      <c r="BW81" s="49">
        <v>1</v>
      </c>
      <c r="BX81" s="49">
        <v>1</v>
      </c>
      <c r="BY81" s="49">
        <v>1</v>
      </c>
      <c r="BZ81" s="74">
        <v>1</v>
      </c>
      <c r="CA81" s="74">
        <v>1</v>
      </c>
      <c r="CB81" s="74">
        <v>0</v>
      </c>
      <c r="CC81" s="74">
        <v>1</v>
      </c>
      <c r="CD81" s="74">
        <v>1</v>
      </c>
      <c r="CE81" s="74">
        <v>2</v>
      </c>
      <c r="CF81" s="49">
        <v>0</v>
      </c>
      <c r="CG81" s="49">
        <v>0</v>
      </c>
      <c r="CH81" s="49">
        <v>0</v>
      </c>
      <c r="CI81" s="49">
        <v>0</v>
      </c>
      <c r="CJ81" s="49" t="s">
        <v>100</v>
      </c>
      <c r="CK81" s="49">
        <v>4</v>
      </c>
      <c r="CL81" s="49">
        <v>1</v>
      </c>
      <c r="CM81" s="49"/>
      <c r="CN81" s="74">
        <v>1</v>
      </c>
      <c r="CO81" s="74">
        <v>1</v>
      </c>
      <c r="CP81" s="49">
        <v>0</v>
      </c>
      <c r="CQ81" s="49">
        <v>0</v>
      </c>
      <c r="CR81" s="49">
        <v>0</v>
      </c>
      <c r="CS81" s="49">
        <v>0</v>
      </c>
      <c r="CT81" s="49">
        <v>0</v>
      </c>
      <c r="CU81" s="49">
        <v>0</v>
      </c>
      <c r="CV81" s="49">
        <v>0</v>
      </c>
      <c r="CW81" s="49">
        <v>0</v>
      </c>
      <c r="CX81" s="49">
        <v>0</v>
      </c>
      <c r="CY81" s="49">
        <v>0</v>
      </c>
      <c r="CZ81" s="74">
        <v>0</v>
      </c>
      <c r="DA81" s="74">
        <v>2</v>
      </c>
      <c r="DB81" s="74">
        <v>1</v>
      </c>
      <c r="DC81" s="49">
        <v>0</v>
      </c>
      <c r="DD81" s="49"/>
      <c r="DE81" s="49"/>
      <c r="DF81" s="49"/>
      <c r="DG81" s="49"/>
      <c r="DH81" s="49"/>
      <c r="DI81" s="49"/>
      <c r="DJ81" s="74">
        <v>1</v>
      </c>
      <c r="DK81" s="49">
        <v>0</v>
      </c>
      <c r="DL81" s="49" t="s">
        <v>100</v>
      </c>
      <c r="DM81" s="74">
        <v>0</v>
      </c>
      <c r="DN81" s="49">
        <v>0</v>
      </c>
      <c r="DO81" s="49" t="s">
        <v>100</v>
      </c>
      <c r="DP81" s="74">
        <v>0</v>
      </c>
      <c r="DQ81" s="74">
        <v>0</v>
      </c>
      <c r="DR81" s="49">
        <v>0</v>
      </c>
      <c r="DS81" s="49">
        <v>2</v>
      </c>
      <c r="DT81" s="74">
        <v>1</v>
      </c>
      <c r="DU81" s="74">
        <v>1</v>
      </c>
      <c r="DV81" s="49" t="s">
        <v>412</v>
      </c>
      <c r="DW81" s="74">
        <v>2</v>
      </c>
      <c r="DX81" s="74">
        <v>0</v>
      </c>
      <c r="DY81" s="74">
        <v>1</v>
      </c>
      <c r="DZ81" s="74">
        <v>1</v>
      </c>
    </row>
    <row r="82" spans="1:130">
      <c r="A82" s="50">
        <v>80</v>
      </c>
      <c r="B82" s="50" t="s">
        <v>413</v>
      </c>
      <c r="C82" s="50" t="s">
        <v>212</v>
      </c>
      <c r="D82" s="72">
        <v>36886</v>
      </c>
      <c r="E82" s="49" t="s">
        <v>203</v>
      </c>
      <c r="F82" s="73">
        <v>26</v>
      </c>
      <c r="G82" s="73">
        <v>12</v>
      </c>
      <c r="H82" s="49">
        <v>2000</v>
      </c>
      <c r="I82" s="49" t="s">
        <v>414</v>
      </c>
      <c r="J82" s="49" t="s">
        <v>415</v>
      </c>
      <c r="K82" s="74">
        <v>21</v>
      </c>
      <c r="L82" s="73">
        <v>2</v>
      </c>
      <c r="M82" s="74">
        <v>1</v>
      </c>
      <c r="N82" s="74">
        <v>6</v>
      </c>
      <c r="O82" s="73">
        <v>0</v>
      </c>
      <c r="P82" s="73" t="s">
        <v>100</v>
      </c>
      <c r="Q82" s="49">
        <v>0</v>
      </c>
      <c r="R82" s="49">
        <v>0</v>
      </c>
      <c r="S82" s="73">
        <v>7</v>
      </c>
      <c r="T82" s="73">
        <v>0</v>
      </c>
      <c r="U82" s="74">
        <v>0</v>
      </c>
      <c r="V82" s="49">
        <v>42</v>
      </c>
      <c r="W82" s="49">
        <v>0</v>
      </c>
      <c r="X82" s="49">
        <v>2</v>
      </c>
      <c r="Y82" s="49">
        <v>0</v>
      </c>
      <c r="Z82" s="74">
        <v>0</v>
      </c>
      <c r="AA82" s="74">
        <v>0</v>
      </c>
      <c r="AB82" s="74">
        <v>2</v>
      </c>
      <c r="AC82" s="74">
        <v>0</v>
      </c>
      <c r="AD82" s="49" t="s">
        <v>3222</v>
      </c>
      <c r="AE82" s="74">
        <v>2</v>
      </c>
      <c r="AF82" s="74">
        <v>3</v>
      </c>
      <c r="AG82" s="74">
        <v>1</v>
      </c>
      <c r="AH82" s="74">
        <v>2</v>
      </c>
      <c r="AI82" s="49">
        <v>1</v>
      </c>
      <c r="AJ82" s="49">
        <v>0</v>
      </c>
      <c r="AK82" s="49">
        <v>1</v>
      </c>
      <c r="AL82" s="74">
        <v>2</v>
      </c>
      <c r="AM82" s="49">
        <v>1</v>
      </c>
      <c r="AN82" s="49">
        <v>1</v>
      </c>
      <c r="AO82" s="74">
        <v>0</v>
      </c>
      <c r="AP82" s="49"/>
      <c r="AQ82" s="74">
        <v>1</v>
      </c>
      <c r="AR82" s="49">
        <v>0</v>
      </c>
      <c r="AS82" s="49">
        <v>0</v>
      </c>
      <c r="AT82" s="49">
        <v>0</v>
      </c>
      <c r="AU82" s="49" t="s">
        <v>100</v>
      </c>
      <c r="AV82" s="49" t="s">
        <v>100</v>
      </c>
      <c r="AW82" s="49" t="s">
        <v>100</v>
      </c>
      <c r="AX82" s="49">
        <v>0</v>
      </c>
      <c r="AY82" s="49">
        <v>0</v>
      </c>
      <c r="AZ82" s="49">
        <v>0</v>
      </c>
      <c r="BA82" s="49">
        <v>0</v>
      </c>
      <c r="BB82" s="74">
        <v>2</v>
      </c>
      <c r="BC82" s="74">
        <v>0</v>
      </c>
      <c r="BD82" s="74">
        <v>0</v>
      </c>
      <c r="BE82" s="74">
        <v>0</v>
      </c>
      <c r="BF82" s="74">
        <v>0</v>
      </c>
      <c r="BG82" s="74">
        <v>5</v>
      </c>
      <c r="BH82" s="49">
        <v>1</v>
      </c>
      <c r="BI82" s="74">
        <v>0</v>
      </c>
      <c r="BJ82" s="49">
        <v>0</v>
      </c>
      <c r="BK82" s="74">
        <v>1</v>
      </c>
      <c r="BL82" s="74">
        <v>1</v>
      </c>
      <c r="BM82" s="49">
        <v>1</v>
      </c>
      <c r="BN82" s="49" t="s">
        <v>3033</v>
      </c>
      <c r="BO82" s="49">
        <v>1</v>
      </c>
      <c r="BP82" s="49">
        <v>0</v>
      </c>
      <c r="BQ82" s="49">
        <v>0</v>
      </c>
      <c r="BR82" s="49">
        <v>0</v>
      </c>
      <c r="BS82" s="49">
        <v>0</v>
      </c>
      <c r="BT82" s="49">
        <v>1</v>
      </c>
      <c r="BU82" s="49">
        <v>0</v>
      </c>
      <c r="BV82" s="49">
        <v>0</v>
      </c>
      <c r="BW82" s="49">
        <v>1</v>
      </c>
      <c r="BX82" s="49">
        <v>0</v>
      </c>
      <c r="BY82" s="74">
        <v>1</v>
      </c>
      <c r="BZ82" s="49">
        <v>1</v>
      </c>
      <c r="CA82" s="49">
        <v>1</v>
      </c>
      <c r="CB82" s="74">
        <v>0</v>
      </c>
      <c r="CC82" s="74">
        <v>1</v>
      </c>
      <c r="CD82" s="74">
        <v>1</v>
      </c>
      <c r="CE82" s="74">
        <v>4</v>
      </c>
      <c r="CF82" s="74">
        <v>2</v>
      </c>
      <c r="CG82" s="49">
        <v>0</v>
      </c>
      <c r="CH82" s="74">
        <v>3</v>
      </c>
      <c r="CI82" s="74">
        <v>1</v>
      </c>
      <c r="CJ82" s="49" t="s">
        <v>3223</v>
      </c>
      <c r="CK82" s="49">
        <v>0</v>
      </c>
      <c r="CL82" s="49"/>
      <c r="CM82" s="49"/>
      <c r="CN82" s="49">
        <v>0</v>
      </c>
      <c r="CO82" s="49">
        <v>0</v>
      </c>
      <c r="CP82" s="49">
        <v>0</v>
      </c>
      <c r="CQ82" s="49">
        <v>0</v>
      </c>
      <c r="CR82" s="74">
        <v>1</v>
      </c>
      <c r="CS82" s="74">
        <v>1</v>
      </c>
      <c r="CT82" s="49">
        <v>0</v>
      </c>
      <c r="CU82" s="49">
        <v>0</v>
      </c>
      <c r="CV82" s="49">
        <v>0</v>
      </c>
      <c r="CW82" s="49">
        <v>0</v>
      </c>
      <c r="CX82" s="49">
        <v>0</v>
      </c>
      <c r="CY82" s="49">
        <v>0</v>
      </c>
      <c r="CZ82" s="74">
        <v>0</v>
      </c>
      <c r="DA82" s="49">
        <v>1</v>
      </c>
      <c r="DB82" s="49">
        <v>1</v>
      </c>
      <c r="DC82" s="49">
        <v>0</v>
      </c>
      <c r="DD82" s="49"/>
      <c r="DE82" s="49"/>
      <c r="DF82" s="49"/>
      <c r="DG82" s="49"/>
      <c r="DH82" s="49"/>
      <c r="DI82" s="49"/>
      <c r="DJ82" s="49">
        <v>0</v>
      </c>
      <c r="DK82" s="49">
        <v>0</v>
      </c>
      <c r="DL82" s="49" t="s">
        <v>100</v>
      </c>
      <c r="DM82" s="74">
        <v>0</v>
      </c>
      <c r="DN82" s="49">
        <v>0</v>
      </c>
      <c r="DO82" s="49" t="s">
        <v>100</v>
      </c>
      <c r="DP82" s="74">
        <v>1</v>
      </c>
      <c r="DQ82" s="74">
        <v>0</v>
      </c>
      <c r="DR82" s="49">
        <v>1</v>
      </c>
      <c r="DS82" s="74">
        <v>3</v>
      </c>
      <c r="DT82" s="49">
        <v>4</v>
      </c>
      <c r="DU82" s="74">
        <v>1</v>
      </c>
      <c r="DV82" s="49" t="s">
        <v>416</v>
      </c>
      <c r="DW82" s="49">
        <v>2</v>
      </c>
      <c r="DX82" s="74">
        <v>0</v>
      </c>
      <c r="DY82" s="74">
        <v>1</v>
      </c>
      <c r="DZ82" s="74">
        <v>2</v>
      </c>
    </row>
    <row r="83" spans="1:130">
      <c r="A83" s="50">
        <v>81</v>
      </c>
      <c r="B83" s="50" t="s">
        <v>417</v>
      </c>
      <c r="C83" s="50" t="s">
        <v>3034</v>
      </c>
      <c r="D83" s="72">
        <v>36900</v>
      </c>
      <c r="E83" s="49" t="s">
        <v>203</v>
      </c>
      <c r="F83" s="73">
        <v>9</v>
      </c>
      <c r="G83" s="74">
        <v>1</v>
      </c>
      <c r="H83" s="74">
        <v>2001</v>
      </c>
      <c r="I83" s="49" t="s">
        <v>418</v>
      </c>
      <c r="J83" s="49" t="s">
        <v>288</v>
      </c>
      <c r="K83" s="74">
        <v>43</v>
      </c>
      <c r="L83" s="74">
        <v>0</v>
      </c>
      <c r="M83" s="73">
        <v>0</v>
      </c>
      <c r="N83" s="74">
        <v>4</v>
      </c>
      <c r="O83" s="74">
        <v>1</v>
      </c>
      <c r="P83" s="74">
        <v>6</v>
      </c>
      <c r="Q83" s="49">
        <v>0</v>
      </c>
      <c r="R83" s="49">
        <v>0</v>
      </c>
      <c r="S83" s="74">
        <v>4</v>
      </c>
      <c r="T83" s="74">
        <v>0</v>
      </c>
      <c r="U83" s="74">
        <v>0</v>
      </c>
      <c r="V83" s="74">
        <v>54</v>
      </c>
      <c r="W83" s="74">
        <v>0</v>
      </c>
      <c r="X83" s="74">
        <v>3</v>
      </c>
      <c r="Y83" s="49"/>
      <c r="Z83" s="74">
        <v>0</v>
      </c>
      <c r="AA83" s="49"/>
      <c r="AB83" s="49"/>
      <c r="AC83" s="49"/>
      <c r="AD83" s="49"/>
      <c r="AE83" s="49"/>
      <c r="AF83" s="49"/>
      <c r="AG83" s="49"/>
      <c r="AH83" s="49"/>
      <c r="AI83" s="74">
        <v>2</v>
      </c>
      <c r="AJ83" s="74">
        <v>1</v>
      </c>
      <c r="AK83" s="74">
        <v>1</v>
      </c>
      <c r="AL83" s="74">
        <v>0</v>
      </c>
      <c r="AM83" s="49">
        <v>0</v>
      </c>
      <c r="AN83" s="49" t="s">
        <v>100</v>
      </c>
      <c r="AO83" s="49">
        <v>0</v>
      </c>
      <c r="AP83" s="49"/>
      <c r="AQ83" s="74">
        <v>1</v>
      </c>
      <c r="AR83" s="49">
        <v>0</v>
      </c>
      <c r="AS83" s="74">
        <v>1</v>
      </c>
      <c r="AT83" s="74">
        <v>1</v>
      </c>
      <c r="AU83" s="49">
        <v>1</v>
      </c>
      <c r="AV83" s="49"/>
      <c r="AW83" s="49"/>
      <c r="AX83" s="49">
        <v>0</v>
      </c>
      <c r="AY83" s="49">
        <v>0</v>
      </c>
      <c r="AZ83" s="49">
        <v>0</v>
      </c>
      <c r="BA83" s="49">
        <v>0</v>
      </c>
      <c r="BB83" s="49">
        <v>0</v>
      </c>
      <c r="BC83" s="49">
        <v>0</v>
      </c>
      <c r="BD83" s="49">
        <v>0</v>
      </c>
      <c r="BE83" s="49"/>
      <c r="BF83" s="49"/>
      <c r="BG83" s="49"/>
      <c r="BH83" s="49"/>
      <c r="BI83" s="49">
        <v>0</v>
      </c>
      <c r="BJ83" s="74">
        <v>1</v>
      </c>
      <c r="BK83" s="74">
        <v>1</v>
      </c>
      <c r="BL83" s="74">
        <v>1</v>
      </c>
      <c r="BM83" s="49">
        <v>1</v>
      </c>
      <c r="BN83" s="49" t="s">
        <v>3035</v>
      </c>
      <c r="BO83" s="49">
        <v>1</v>
      </c>
      <c r="BP83" s="49">
        <v>0</v>
      </c>
      <c r="BQ83" s="49">
        <v>0</v>
      </c>
      <c r="BR83" s="49">
        <v>0</v>
      </c>
      <c r="BS83" s="49">
        <v>1</v>
      </c>
      <c r="BT83" s="49">
        <v>1</v>
      </c>
      <c r="BU83" s="49">
        <v>0</v>
      </c>
      <c r="BV83" s="49">
        <v>0</v>
      </c>
      <c r="BW83" s="49">
        <v>0</v>
      </c>
      <c r="BX83" s="49">
        <v>1</v>
      </c>
      <c r="BY83" s="74">
        <v>2</v>
      </c>
      <c r="BZ83" s="49">
        <v>0</v>
      </c>
      <c r="CA83" s="49">
        <v>0</v>
      </c>
      <c r="CB83" s="49" t="s">
        <v>100</v>
      </c>
      <c r="CC83" s="49">
        <v>0</v>
      </c>
      <c r="CD83" s="49" t="s">
        <v>100</v>
      </c>
      <c r="CE83" s="74">
        <v>2</v>
      </c>
      <c r="CF83" s="49">
        <v>0</v>
      </c>
      <c r="CG83" s="49">
        <v>0</v>
      </c>
      <c r="CH83" s="49">
        <v>0</v>
      </c>
      <c r="CI83" s="49">
        <v>0</v>
      </c>
      <c r="CJ83" s="49" t="s">
        <v>100</v>
      </c>
      <c r="CK83" s="49">
        <v>0</v>
      </c>
      <c r="CL83" s="49"/>
      <c r="CM83" s="49"/>
      <c r="CN83" s="49">
        <v>0</v>
      </c>
      <c r="CO83" s="49">
        <v>0</v>
      </c>
      <c r="CP83" s="49">
        <v>0</v>
      </c>
      <c r="CQ83" s="49">
        <v>0</v>
      </c>
      <c r="CR83" s="49">
        <v>0</v>
      </c>
      <c r="CS83" s="49">
        <v>1</v>
      </c>
      <c r="CT83" s="49">
        <v>0</v>
      </c>
      <c r="CU83" s="49">
        <v>1</v>
      </c>
      <c r="CV83" s="49">
        <v>1</v>
      </c>
      <c r="CW83" s="49">
        <v>0</v>
      </c>
      <c r="CX83" s="49">
        <v>0</v>
      </c>
      <c r="CY83" s="49">
        <v>0</v>
      </c>
      <c r="CZ83" s="74">
        <v>1</v>
      </c>
      <c r="DA83" s="49">
        <v>2</v>
      </c>
      <c r="DB83" s="49">
        <v>0</v>
      </c>
      <c r="DC83" s="49">
        <v>0</v>
      </c>
      <c r="DD83" s="49"/>
      <c r="DE83" s="49"/>
      <c r="DF83" s="49"/>
      <c r="DG83" s="49"/>
      <c r="DH83" s="49"/>
      <c r="DI83" s="49"/>
      <c r="DJ83" s="49">
        <v>0</v>
      </c>
      <c r="DK83" s="49">
        <v>0</v>
      </c>
      <c r="DL83" s="49" t="s">
        <v>100</v>
      </c>
      <c r="DM83" s="74">
        <v>0</v>
      </c>
      <c r="DN83" s="49">
        <v>0</v>
      </c>
      <c r="DO83" s="49" t="s">
        <v>100</v>
      </c>
      <c r="DP83" s="49">
        <v>0</v>
      </c>
      <c r="DQ83" s="74">
        <v>0</v>
      </c>
      <c r="DR83" s="49">
        <v>0</v>
      </c>
      <c r="DS83" s="49"/>
      <c r="DT83" s="74">
        <v>2</v>
      </c>
      <c r="DU83" s="74">
        <v>0</v>
      </c>
      <c r="DV83" s="49" t="s">
        <v>100</v>
      </c>
      <c r="DW83" s="74">
        <v>0</v>
      </c>
      <c r="DX83" s="74">
        <v>0</v>
      </c>
      <c r="DY83" s="49">
        <v>2</v>
      </c>
      <c r="DZ83" s="49">
        <v>0</v>
      </c>
    </row>
    <row r="84" spans="1:130">
      <c r="A84" s="50">
        <v>82</v>
      </c>
      <c r="B84" s="50" t="s">
        <v>419</v>
      </c>
      <c r="C84" s="50" t="s">
        <v>182</v>
      </c>
      <c r="D84" s="72">
        <v>36927</v>
      </c>
      <c r="E84" s="49" t="s">
        <v>95</v>
      </c>
      <c r="F84" s="73">
        <v>5</v>
      </c>
      <c r="G84" s="74">
        <v>2</v>
      </c>
      <c r="H84" s="74">
        <v>2001</v>
      </c>
      <c r="I84" s="49" t="s">
        <v>420</v>
      </c>
      <c r="J84" s="49" t="s">
        <v>421</v>
      </c>
      <c r="K84" s="73">
        <v>13</v>
      </c>
      <c r="L84" s="73">
        <v>1</v>
      </c>
      <c r="M84" s="73">
        <v>1</v>
      </c>
      <c r="N84" s="73">
        <v>6</v>
      </c>
      <c r="O84" s="73">
        <v>0</v>
      </c>
      <c r="P84" s="73" t="s">
        <v>100</v>
      </c>
      <c r="Q84" s="49">
        <v>0</v>
      </c>
      <c r="R84" s="49">
        <v>0</v>
      </c>
      <c r="S84" s="73">
        <v>4</v>
      </c>
      <c r="T84" s="73">
        <v>4</v>
      </c>
      <c r="U84" s="74">
        <v>0</v>
      </c>
      <c r="V84" s="49">
        <v>66</v>
      </c>
      <c r="W84" s="49">
        <v>0</v>
      </c>
      <c r="X84" s="49">
        <v>1</v>
      </c>
      <c r="Y84" s="49">
        <v>0</v>
      </c>
      <c r="Z84" s="74">
        <v>0</v>
      </c>
      <c r="AA84" s="49"/>
      <c r="AB84" s="74">
        <v>1</v>
      </c>
      <c r="AC84" s="49"/>
      <c r="AD84" s="49"/>
      <c r="AE84" s="49"/>
      <c r="AF84" s="49"/>
      <c r="AG84" s="49"/>
      <c r="AH84" s="49"/>
      <c r="AI84" s="49">
        <v>3</v>
      </c>
      <c r="AJ84" s="49">
        <v>1</v>
      </c>
      <c r="AK84" s="49">
        <v>0</v>
      </c>
      <c r="AL84" s="49">
        <v>0</v>
      </c>
      <c r="AM84" s="49">
        <v>0</v>
      </c>
      <c r="AN84" s="49" t="s">
        <v>100</v>
      </c>
      <c r="AO84" s="74">
        <v>0</v>
      </c>
      <c r="AP84" s="49"/>
      <c r="AQ84" s="74">
        <v>1</v>
      </c>
      <c r="AR84" s="49">
        <v>0</v>
      </c>
      <c r="AS84" s="74">
        <v>1</v>
      </c>
      <c r="AT84" s="74">
        <v>2</v>
      </c>
      <c r="AU84" s="49">
        <v>2</v>
      </c>
      <c r="AV84" s="49"/>
      <c r="AW84" s="49"/>
      <c r="AX84" s="74">
        <v>1</v>
      </c>
      <c r="AY84" s="49">
        <v>0</v>
      </c>
      <c r="AZ84" s="49">
        <v>0</v>
      </c>
      <c r="BA84" s="49">
        <v>0</v>
      </c>
      <c r="BB84" s="49">
        <v>0</v>
      </c>
      <c r="BC84" s="74">
        <v>1</v>
      </c>
      <c r="BD84" s="49">
        <v>0</v>
      </c>
      <c r="BE84" s="49"/>
      <c r="BF84" s="49"/>
      <c r="BG84" s="49"/>
      <c r="BH84" s="49"/>
      <c r="BI84" s="49">
        <v>0</v>
      </c>
      <c r="BJ84" s="74">
        <v>1</v>
      </c>
      <c r="BK84" s="49">
        <v>0</v>
      </c>
      <c r="BL84" s="49">
        <v>0</v>
      </c>
      <c r="BM84" s="49" t="s">
        <v>100</v>
      </c>
      <c r="BN84" s="49"/>
      <c r="BO84" s="49">
        <v>0</v>
      </c>
      <c r="BP84" s="49">
        <v>0</v>
      </c>
      <c r="BQ84" s="49">
        <v>0</v>
      </c>
      <c r="BR84" s="49">
        <v>0</v>
      </c>
      <c r="BS84" s="49">
        <v>0</v>
      </c>
      <c r="BT84" s="49">
        <v>0</v>
      </c>
      <c r="BU84" s="49">
        <v>0</v>
      </c>
      <c r="BV84" s="49">
        <v>0</v>
      </c>
      <c r="BW84" s="49">
        <v>0</v>
      </c>
      <c r="BX84" s="49">
        <v>0</v>
      </c>
      <c r="BY84" s="74">
        <v>2</v>
      </c>
      <c r="BZ84" s="49">
        <v>0</v>
      </c>
      <c r="CA84" s="74">
        <v>1</v>
      </c>
      <c r="CB84" s="74">
        <v>1</v>
      </c>
      <c r="CC84" s="49">
        <v>0</v>
      </c>
      <c r="CD84" s="74">
        <v>0</v>
      </c>
      <c r="CE84" s="49">
        <v>0</v>
      </c>
      <c r="CF84" s="49">
        <v>0</v>
      </c>
      <c r="CG84" s="49">
        <v>0</v>
      </c>
      <c r="CH84" s="49">
        <v>0</v>
      </c>
      <c r="CI84" s="49">
        <v>0</v>
      </c>
      <c r="CJ84" s="49" t="s">
        <v>100</v>
      </c>
      <c r="CK84" s="49">
        <v>0</v>
      </c>
      <c r="CL84" s="49"/>
      <c r="CM84" s="49"/>
      <c r="CN84" s="49">
        <v>0</v>
      </c>
      <c r="CO84" s="49">
        <v>0</v>
      </c>
      <c r="CP84" s="49">
        <v>0</v>
      </c>
      <c r="CQ84" s="49">
        <v>0</v>
      </c>
      <c r="CR84" s="74">
        <v>1</v>
      </c>
      <c r="CS84" s="49">
        <v>0</v>
      </c>
      <c r="CT84" s="74">
        <v>1</v>
      </c>
      <c r="CU84" s="49">
        <v>0</v>
      </c>
      <c r="CV84" s="49">
        <v>0</v>
      </c>
      <c r="CW84" s="49">
        <v>0</v>
      </c>
      <c r="CX84" s="49">
        <v>0</v>
      </c>
      <c r="CY84" s="49">
        <v>0</v>
      </c>
      <c r="CZ84" s="74">
        <v>0</v>
      </c>
      <c r="DA84" s="49">
        <v>0</v>
      </c>
      <c r="DB84" s="49">
        <v>0</v>
      </c>
      <c r="DC84" s="49">
        <v>0</v>
      </c>
      <c r="DD84" s="49"/>
      <c r="DE84" s="49"/>
      <c r="DF84" s="49"/>
      <c r="DG84" s="49"/>
      <c r="DH84" s="49"/>
      <c r="DI84" s="49"/>
      <c r="DJ84" s="49">
        <v>0</v>
      </c>
      <c r="DK84" s="49">
        <v>0</v>
      </c>
      <c r="DL84" s="49" t="s">
        <v>100</v>
      </c>
      <c r="DM84" s="74">
        <v>0</v>
      </c>
      <c r="DN84" s="49">
        <v>0</v>
      </c>
      <c r="DO84" s="49" t="s">
        <v>100</v>
      </c>
      <c r="DP84" s="49">
        <v>0</v>
      </c>
      <c r="DQ84" s="74">
        <v>0</v>
      </c>
      <c r="DR84" s="49">
        <v>0</v>
      </c>
      <c r="DS84" s="74">
        <v>2</v>
      </c>
      <c r="DT84" s="49">
        <v>4</v>
      </c>
      <c r="DU84" s="74">
        <v>0</v>
      </c>
      <c r="DV84" s="49" t="s">
        <v>100</v>
      </c>
      <c r="DW84" s="74">
        <v>0</v>
      </c>
      <c r="DX84" s="74">
        <v>0</v>
      </c>
      <c r="DY84" s="49">
        <v>2</v>
      </c>
      <c r="DZ84" s="49">
        <v>0</v>
      </c>
    </row>
    <row r="85" spans="1:130">
      <c r="A85" s="50">
        <v>83</v>
      </c>
      <c r="B85" s="50" t="s">
        <v>422</v>
      </c>
      <c r="C85" s="50" t="s">
        <v>423</v>
      </c>
      <c r="D85" s="72">
        <v>37075</v>
      </c>
      <c r="E85" s="49" t="s">
        <v>203</v>
      </c>
      <c r="F85" s="73">
        <v>3</v>
      </c>
      <c r="G85" s="74">
        <v>7</v>
      </c>
      <c r="H85" s="74">
        <v>2001</v>
      </c>
      <c r="I85" s="49" t="s">
        <v>424</v>
      </c>
      <c r="J85" s="49" t="s">
        <v>425</v>
      </c>
      <c r="K85" s="74">
        <v>6</v>
      </c>
      <c r="L85" s="73">
        <v>3</v>
      </c>
      <c r="M85" s="73">
        <v>2</v>
      </c>
      <c r="N85" s="74">
        <v>4</v>
      </c>
      <c r="O85" s="74">
        <v>0</v>
      </c>
      <c r="P85" s="73" t="s">
        <v>100</v>
      </c>
      <c r="Q85" s="49">
        <v>0</v>
      </c>
      <c r="R85" s="49">
        <v>0</v>
      </c>
      <c r="S85" s="74">
        <v>4</v>
      </c>
      <c r="T85" s="73">
        <v>3</v>
      </c>
      <c r="U85" s="74">
        <v>0</v>
      </c>
      <c r="V85" s="74">
        <v>42</v>
      </c>
      <c r="W85" s="74">
        <v>0</v>
      </c>
      <c r="X85" s="49">
        <v>0</v>
      </c>
      <c r="Y85" s="49">
        <v>0</v>
      </c>
      <c r="Z85" s="49">
        <v>0</v>
      </c>
      <c r="AA85" s="74">
        <v>1</v>
      </c>
      <c r="AB85" s="74">
        <v>1</v>
      </c>
      <c r="AC85" s="49"/>
      <c r="AD85" s="49"/>
      <c r="AE85" s="49"/>
      <c r="AF85" s="49"/>
      <c r="AG85" s="49"/>
      <c r="AH85" s="49"/>
      <c r="AI85" s="49">
        <v>0</v>
      </c>
      <c r="AJ85" s="49">
        <v>0</v>
      </c>
      <c r="AK85" s="49">
        <v>0</v>
      </c>
      <c r="AL85" s="49"/>
      <c r="AM85" s="74">
        <v>1</v>
      </c>
      <c r="AN85" s="74">
        <v>0</v>
      </c>
      <c r="AO85" s="74">
        <v>0</v>
      </c>
      <c r="AP85" s="49"/>
      <c r="AQ85" s="74">
        <v>1</v>
      </c>
      <c r="AR85" s="49">
        <v>0</v>
      </c>
      <c r="AS85" s="49">
        <v>1</v>
      </c>
      <c r="AT85" s="49">
        <v>0</v>
      </c>
      <c r="AU85" s="49" t="s">
        <v>100</v>
      </c>
      <c r="AV85" s="49" t="s">
        <v>100</v>
      </c>
      <c r="AW85" s="49" t="s">
        <v>100</v>
      </c>
      <c r="AX85" s="49">
        <v>0</v>
      </c>
      <c r="AY85" s="49">
        <v>0</v>
      </c>
      <c r="AZ85" s="49">
        <v>0</v>
      </c>
      <c r="BA85" s="49">
        <v>0</v>
      </c>
      <c r="BB85" s="49">
        <v>0</v>
      </c>
      <c r="BC85" s="49">
        <v>0</v>
      </c>
      <c r="BD85" s="49">
        <v>0</v>
      </c>
      <c r="BE85" s="49"/>
      <c r="BF85" s="49"/>
      <c r="BG85" s="49"/>
      <c r="BH85" s="49"/>
      <c r="BI85" s="49">
        <v>0</v>
      </c>
      <c r="BJ85" s="49">
        <v>0</v>
      </c>
      <c r="BK85" s="49">
        <v>0</v>
      </c>
      <c r="BL85" s="74">
        <v>1</v>
      </c>
      <c r="BM85" s="49">
        <v>3</v>
      </c>
      <c r="BN85" s="49" t="s">
        <v>3076</v>
      </c>
      <c r="BO85" s="49">
        <v>1</v>
      </c>
      <c r="BP85" s="49">
        <v>1</v>
      </c>
      <c r="BQ85" s="49">
        <v>0</v>
      </c>
      <c r="BR85" s="49">
        <v>0</v>
      </c>
      <c r="BS85" s="49">
        <v>0</v>
      </c>
      <c r="BT85" s="49">
        <v>0</v>
      </c>
      <c r="BU85" s="49">
        <v>0</v>
      </c>
      <c r="BV85" s="49">
        <v>0</v>
      </c>
      <c r="BW85" s="49">
        <v>1</v>
      </c>
      <c r="BX85" s="49">
        <v>1</v>
      </c>
      <c r="BY85" s="49">
        <v>0</v>
      </c>
      <c r="BZ85" s="74">
        <v>1</v>
      </c>
      <c r="CA85" s="74">
        <v>1</v>
      </c>
      <c r="CB85" s="74">
        <v>0</v>
      </c>
      <c r="CC85" s="74">
        <v>1</v>
      </c>
      <c r="CD85" s="74">
        <v>1</v>
      </c>
      <c r="CE85" s="74">
        <v>4</v>
      </c>
      <c r="CF85" s="49">
        <v>0</v>
      </c>
      <c r="CG85" s="49">
        <v>0</v>
      </c>
      <c r="CH85" s="49">
        <v>4</v>
      </c>
      <c r="CI85" s="49">
        <v>0</v>
      </c>
      <c r="CJ85" s="49" t="s">
        <v>100</v>
      </c>
      <c r="CK85" s="49">
        <v>1</v>
      </c>
      <c r="CL85" s="49"/>
      <c r="CM85" s="49"/>
      <c r="CN85" s="49">
        <v>0</v>
      </c>
      <c r="CO85" s="49">
        <v>0</v>
      </c>
      <c r="CP85" s="49">
        <v>0</v>
      </c>
      <c r="CQ85" s="49">
        <v>0</v>
      </c>
      <c r="CR85" s="49">
        <v>0</v>
      </c>
      <c r="CS85" s="49">
        <v>0</v>
      </c>
      <c r="CT85" s="49">
        <v>0</v>
      </c>
      <c r="CU85" s="49">
        <v>0</v>
      </c>
      <c r="CV85" s="49">
        <v>0</v>
      </c>
      <c r="CW85" s="49">
        <v>0</v>
      </c>
      <c r="CX85" s="49">
        <v>1</v>
      </c>
      <c r="CY85" s="49">
        <v>0</v>
      </c>
      <c r="CZ85" s="74">
        <v>0</v>
      </c>
      <c r="DA85" s="74">
        <v>3</v>
      </c>
      <c r="DB85" s="49">
        <v>0</v>
      </c>
      <c r="DC85" s="74">
        <v>1</v>
      </c>
      <c r="DD85" s="49">
        <v>0</v>
      </c>
      <c r="DE85" s="49">
        <v>8</v>
      </c>
      <c r="DF85" s="49">
        <v>0</v>
      </c>
      <c r="DG85" s="49"/>
      <c r="DH85" s="49"/>
      <c r="DI85" s="49"/>
      <c r="DJ85" s="49">
        <v>0</v>
      </c>
      <c r="DK85" s="49">
        <v>0</v>
      </c>
      <c r="DL85" s="49" t="s">
        <v>100</v>
      </c>
      <c r="DM85" s="74">
        <v>0</v>
      </c>
      <c r="DN85" s="49">
        <v>0</v>
      </c>
      <c r="DO85" s="49" t="s">
        <v>100</v>
      </c>
      <c r="DP85" s="74">
        <v>0</v>
      </c>
      <c r="DQ85" s="74">
        <v>0</v>
      </c>
      <c r="DR85" s="49">
        <v>0</v>
      </c>
      <c r="DS85" s="74">
        <v>3</v>
      </c>
      <c r="DT85" s="74">
        <v>1</v>
      </c>
      <c r="DU85" s="74">
        <v>0</v>
      </c>
      <c r="DV85" s="49" t="s">
        <v>100</v>
      </c>
      <c r="DW85" s="74">
        <v>2</v>
      </c>
      <c r="DX85" s="74">
        <v>0</v>
      </c>
      <c r="DY85" s="74">
        <v>1</v>
      </c>
      <c r="DZ85" s="74">
        <v>4</v>
      </c>
    </row>
    <row r="86" spans="1:130">
      <c r="A86" s="50">
        <v>84</v>
      </c>
      <c r="B86" s="50" t="s">
        <v>315</v>
      </c>
      <c r="C86" s="50" t="s">
        <v>122</v>
      </c>
      <c r="D86" s="72">
        <v>37142</v>
      </c>
      <c r="E86" s="49" t="s">
        <v>103</v>
      </c>
      <c r="F86" s="73">
        <v>8</v>
      </c>
      <c r="G86" s="73">
        <v>9</v>
      </c>
      <c r="H86" s="49">
        <v>2001</v>
      </c>
      <c r="I86" s="49" t="s">
        <v>426</v>
      </c>
      <c r="J86" s="49" t="s">
        <v>427</v>
      </c>
      <c r="K86" s="73">
        <v>5</v>
      </c>
      <c r="L86" s="74">
        <v>3</v>
      </c>
      <c r="M86" s="73">
        <v>0</v>
      </c>
      <c r="N86" s="74">
        <v>6</v>
      </c>
      <c r="O86" s="74">
        <v>1</v>
      </c>
      <c r="P86" s="74">
        <v>6</v>
      </c>
      <c r="Q86" s="49">
        <v>0</v>
      </c>
      <c r="R86" s="49">
        <v>0</v>
      </c>
      <c r="S86" s="73">
        <v>5</v>
      </c>
      <c r="T86" s="74">
        <v>2</v>
      </c>
      <c r="U86" s="74">
        <v>1</v>
      </c>
      <c r="V86" s="49">
        <v>20</v>
      </c>
      <c r="W86" s="49">
        <v>0</v>
      </c>
      <c r="X86" s="74">
        <v>0</v>
      </c>
      <c r="Y86" s="49">
        <v>0</v>
      </c>
      <c r="Z86" s="74">
        <v>0</v>
      </c>
      <c r="AA86" s="49"/>
      <c r="AB86" s="49">
        <v>1</v>
      </c>
      <c r="AC86" s="74">
        <v>2</v>
      </c>
      <c r="AD86" s="49" t="s">
        <v>3224</v>
      </c>
      <c r="AE86" s="74">
        <v>1</v>
      </c>
      <c r="AF86" s="74">
        <v>2</v>
      </c>
      <c r="AG86" s="74">
        <v>0</v>
      </c>
      <c r="AH86" s="74">
        <v>2</v>
      </c>
      <c r="AI86" s="49">
        <v>0</v>
      </c>
      <c r="AJ86" s="49">
        <v>0</v>
      </c>
      <c r="AK86" s="49">
        <v>1</v>
      </c>
      <c r="AL86" s="49">
        <v>0</v>
      </c>
      <c r="AM86" s="49">
        <v>0</v>
      </c>
      <c r="AN86" s="49" t="s">
        <v>100</v>
      </c>
      <c r="AO86" s="74">
        <v>0</v>
      </c>
      <c r="AP86" s="49"/>
      <c r="AQ86" s="49">
        <v>0</v>
      </c>
      <c r="AR86" s="49">
        <v>0</v>
      </c>
      <c r="AS86" s="49">
        <v>1</v>
      </c>
      <c r="AT86" s="74">
        <v>1</v>
      </c>
      <c r="AU86" s="49">
        <v>3</v>
      </c>
      <c r="AV86" s="49">
        <v>4</v>
      </c>
      <c r="AW86" s="49"/>
      <c r="AX86" s="49">
        <v>0</v>
      </c>
      <c r="AY86" s="49">
        <v>0</v>
      </c>
      <c r="AZ86" s="49">
        <v>0</v>
      </c>
      <c r="BA86" s="74">
        <v>3</v>
      </c>
      <c r="BB86" s="49">
        <v>0</v>
      </c>
      <c r="BC86" s="49">
        <v>0</v>
      </c>
      <c r="BD86" s="49">
        <v>0</v>
      </c>
      <c r="BE86" s="74">
        <v>0</v>
      </c>
      <c r="BF86" s="74">
        <v>0</v>
      </c>
      <c r="BG86" s="74">
        <v>2</v>
      </c>
      <c r="BH86" s="49">
        <v>1</v>
      </c>
      <c r="BI86" s="49">
        <v>0</v>
      </c>
      <c r="BJ86" s="49">
        <v>1</v>
      </c>
      <c r="BK86" s="49">
        <v>1</v>
      </c>
      <c r="BL86" s="74">
        <v>1</v>
      </c>
      <c r="BM86" s="49">
        <v>0</v>
      </c>
      <c r="BN86" s="49" t="s">
        <v>3055</v>
      </c>
      <c r="BO86" s="49">
        <v>1</v>
      </c>
      <c r="BP86" s="49">
        <v>0</v>
      </c>
      <c r="BQ86" s="49">
        <v>0</v>
      </c>
      <c r="BR86" s="49">
        <v>0</v>
      </c>
      <c r="BS86" s="49">
        <v>1</v>
      </c>
      <c r="BT86" s="49">
        <v>1</v>
      </c>
      <c r="BU86" s="49">
        <v>1</v>
      </c>
      <c r="BV86" s="49">
        <v>0</v>
      </c>
      <c r="BW86" s="49">
        <v>0</v>
      </c>
      <c r="BX86" s="49">
        <v>0</v>
      </c>
      <c r="BY86" s="74">
        <v>2</v>
      </c>
      <c r="BZ86" s="49">
        <v>0</v>
      </c>
      <c r="CA86" s="74">
        <v>1</v>
      </c>
      <c r="CB86" s="74">
        <v>0</v>
      </c>
      <c r="CC86" s="49">
        <v>0</v>
      </c>
      <c r="CD86" s="74">
        <v>0</v>
      </c>
      <c r="CE86" s="49">
        <v>0</v>
      </c>
      <c r="CF86" s="49">
        <v>0</v>
      </c>
      <c r="CG86" s="49">
        <v>0</v>
      </c>
      <c r="CH86" s="49">
        <v>0</v>
      </c>
      <c r="CI86" s="49">
        <v>0</v>
      </c>
      <c r="CJ86" s="49" t="s">
        <v>100</v>
      </c>
      <c r="CK86" s="49">
        <v>1</v>
      </c>
      <c r="CL86" s="49"/>
      <c r="CM86" s="49"/>
      <c r="CN86" s="49">
        <v>0</v>
      </c>
      <c r="CO86" s="49">
        <v>0</v>
      </c>
      <c r="CP86" s="49">
        <v>0</v>
      </c>
      <c r="CQ86" s="49">
        <v>0</v>
      </c>
      <c r="CR86" s="74">
        <v>1</v>
      </c>
      <c r="CS86" s="49">
        <v>0</v>
      </c>
      <c r="CT86" s="49">
        <v>0</v>
      </c>
      <c r="CU86" s="74">
        <v>1</v>
      </c>
      <c r="CV86" s="49">
        <v>0</v>
      </c>
      <c r="CW86" s="49">
        <v>0</v>
      </c>
      <c r="CX86" s="49">
        <v>0</v>
      </c>
      <c r="CY86" s="49">
        <v>0</v>
      </c>
      <c r="CZ86" s="74">
        <v>1</v>
      </c>
      <c r="DA86" s="49">
        <v>0</v>
      </c>
      <c r="DB86" s="49">
        <v>0</v>
      </c>
      <c r="DC86" s="74">
        <v>1</v>
      </c>
      <c r="DD86" s="49">
        <v>5</v>
      </c>
      <c r="DE86" s="49">
        <v>4</v>
      </c>
      <c r="DF86" s="49">
        <v>0</v>
      </c>
      <c r="DG86" s="49"/>
      <c r="DH86" s="49"/>
      <c r="DI86" s="49"/>
      <c r="DJ86" s="49">
        <v>1</v>
      </c>
      <c r="DK86" s="74">
        <v>1</v>
      </c>
      <c r="DL86" s="49" t="s">
        <v>428</v>
      </c>
      <c r="DM86" s="74">
        <v>1</v>
      </c>
      <c r="DN86" s="49">
        <v>0</v>
      </c>
      <c r="DO86" s="49" t="s">
        <v>100</v>
      </c>
      <c r="DP86" s="49">
        <v>0</v>
      </c>
      <c r="DQ86" s="74">
        <v>1</v>
      </c>
      <c r="DR86" s="49">
        <v>0</v>
      </c>
      <c r="DS86" s="74">
        <v>2</v>
      </c>
      <c r="DT86" s="74">
        <v>5</v>
      </c>
      <c r="DU86" s="74">
        <v>1</v>
      </c>
      <c r="DV86" s="49" t="s">
        <v>385</v>
      </c>
      <c r="DW86" s="49">
        <v>0</v>
      </c>
      <c r="DX86" s="74">
        <v>0</v>
      </c>
      <c r="DY86" s="49">
        <v>2</v>
      </c>
      <c r="DZ86" s="49">
        <v>0</v>
      </c>
    </row>
    <row r="87" spans="1:130">
      <c r="A87" s="50">
        <v>85</v>
      </c>
      <c r="B87" s="50" t="s">
        <v>429</v>
      </c>
      <c r="C87" s="50" t="s">
        <v>182</v>
      </c>
      <c r="D87" s="72">
        <v>37337</v>
      </c>
      <c r="E87" s="49" t="s">
        <v>157</v>
      </c>
      <c r="F87" s="73">
        <v>22</v>
      </c>
      <c r="G87" s="73">
        <v>3</v>
      </c>
      <c r="H87" s="49">
        <v>2002</v>
      </c>
      <c r="I87" s="49" t="s">
        <v>430</v>
      </c>
      <c r="J87" s="49" t="s">
        <v>431</v>
      </c>
      <c r="K87" s="74">
        <v>14</v>
      </c>
      <c r="L87" s="73">
        <v>1</v>
      </c>
      <c r="M87" s="73">
        <v>0</v>
      </c>
      <c r="N87" s="74">
        <v>6</v>
      </c>
      <c r="O87" s="74">
        <v>1</v>
      </c>
      <c r="P87" s="74">
        <v>8</v>
      </c>
      <c r="Q87" s="49">
        <v>0</v>
      </c>
      <c r="R87" s="49">
        <v>0</v>
      </c>
      <c r="S87" s="74">
        <v>4</v>
      </c>
      <c r="T87" s="74">
        <v>5</v>
      </c>
      <c r="U87" s="74">
        <v>0</v>
      </c>
      <c r="V87" s="49">
        <v>54</v>
      </c>
      <c r="W87" s="49">
        <v>0</v>
      </c>
      <c r="X87" s="49"/>
      <c r="Y87" s="49">
        <v>0</v>
      </c>
      <c r="Z87" s="74">
        <v>0</v>
      </c>
      <c r="AA87" s="74">
        <v>1</v>
      </c>
      <c r="AB87" s="49"/>
      <c r="AC87" s="49"/>
      <c r="AD87" s="49"/>
      <c r="AE87" s="49"/>
      <c r="AF87" s="49"/>
      <c r="AG87" s="49"/>
      <c r="AH87" s="49"/>
      <c r="AI87" s="49">
        <v>2</v>
      </c>
      <c r="AJ87" s="49">
        <v>1</v>
      </c>
      <c r="AK87" s="49">
        <v>1</v>
      </c>
      <c r="AL87" s="74">
        <v>0</v>
      </c>
      <c r="AM87" s="49">
        <v>0</v>
      </c>
      <c r="AN87" s="49" t="s">
        <v>100</v>
      </c>
      <c r="AO87" s="74">
        <v>0</v>
      </c>
      <c r="AP87" s="49"/>
      <c r="AQ87" s="74">
        <v>1</v>
      </c>
      <c r="AR87" s="49">
        <v>0</v>
      </c>
      <c r="AS87" s="74">
        <v>1</v>
      </c>
      <c r="AT87" s="74">
        <v>3</v>
      </c>
      <c r="AU87" s="49">
        <v>3</v>
      </c>
      <c r="AV87" s="49">
        <v>4</v>
      </c>
      <c r="AW87" s="49"/>
      <c r="AX87" s="49">
        <v>0</v>
      </c>
      <c r="AY87" s="49">
        <v>0</v>
      </c>
      <c r="AZ87" s="49">
        <v>0</v>
      </c>
      <c r="BA87" s="49">
        <v>0</v>
      </c>
      <c r="BB87" s="49">
        <v>0</v>
      </c>
      <c r="BC87" s="74">
        <v>0</v>
      </c>
      <c r="BD87" s="74">
        <v>0</v>
      </c>
      <c r="BE87" s="49"/>
      <c r="BF87" s="49"/>
      <c r="BG87" s="49"/>
      <c r="BH87" s="49"/>
      <c r="BI87" s="49">
        <v>0</v>
      </c>
      <c r="BJ87" s="74">
        <v>0</v>
      </c>
      <c r="BK87" s="74">
        <v>1</v>
      </c>
      <c r="BL87" s="74">
        <v>1</v>
      </c>
      <c r="BM87" s="49">
        <v>3</v>
      </c>
      <c r="BN87" s="49" t="s">
        <v>3077</v>
      </c>
      <c r="BO87" s="49">
        <v>1</v>
      </c>
      <c r="BP87" s="49">
        <v>0</v>
      </c>
      <c r="BQ87" s="49">
        <v>0</v>
      </c>
      <c r="BR87" s="49">
        <v>0</v>
      </c>
      <c r="BS87" s="49">
        <v>1</v>
      </c>
      <c r="BT87" s="49">
        <v>1</v>
      </c>
      <c r="BU87" s="49">
        <v>1</v>
      </c>
      <c r="BV87" s="49">
        <v>0</v>
      </c>
      <c r="BW87" s="49">
        <v>0</v>
      </c>
      <c r="BX87" s="49">
        <v>0</v>
      </c>
      <c r="BY87" s="74">
        <v>2</v>
      </c>
      <c r="BZ87" s="74">
        <v>1</v>
      </c>
      <c r="CA87" s="49">
        <v>0</v>
      </c>
      <c r="CB87" s="49" t="s">
        <v>100</v>
      </c>
      <c r="CC87" s="49">
        <v>0</v>
      </c>
      <c r="CD87" s="74">
        <v>0</v>
      </c>
      <c r="CE87" s="74">
        <v>5</v>
      </c>
      <c r="CF87" s="49">
        <v>0</v>
      </c>
      <c r="CG87" s="49">
        <v>0</v>
      </c>
      <c r="CH87" s="49">
        <v>0</v>
      </c>
      <c r="CI87" s="49">
        <v>0</v>
      </c>
      <c r="CJ87" s="49" t="s">
        <v>100</v>
      </c>
      <c r="CK87" s="49">
        <v>0</v>
      </c>
      <c r="CL87" s="49"/>
      <c r="CM87" s="49"/>
      <c r="CN87" s="49">
        <v>0</v>
      </c>
      <c r="CO87" s="49">
        <v>0</v>
      </c>
      <c r="CP87" s="49">
        <v>0</v>
      </c>
      <c r="CQ87" s="49">
        <v>0</v>
      </c>
      <c r="CR87" s="49">
        <v>1</v>
      </c>
      <c r="CS87" s="49">
        <v>0</v>
      </c>
      <c r="CT87" s="49">
        <v>0</v>
      </c>
      <c r="CU87" s="49">
        <v>0</v>
      </c>
      <c r="CV87" s="74">
        <v>1</v>
      </c>
      <c r="CW87" s="49">
        <v>0</v>
      </c>
      <c r="CX87" s="49">
        <v>0</v>
      </c>
      <c r="CY87" s="49">
        <v>0</v>
      </c>
      <c r="CZ87" s="74">
        <v>0</v>
      </c>
      <c r="DA87" s="49">
        <v>0</v>
      </c>
      <c r="DB87" s="49">
        <v>0</v>
      </c>
      <c r="DC87" s="49">
        <v>0</v>
      </c>
      <c r="DD87" s="49"/>
      <c r="DE87" s="49"/>
      <c r="DF87" s="49"/>
      <c r="DG87" s="49"/>
      <c r="DH87" s="49"/>
      <c r="DI87" s="49"/>
      <c r="DJ87" s="49">
        <v>1</v>
      </c>
      <c r="DK87" s="49">
        <v>0</v>
      </c>
      <c r="DL87" s="49" t="s">
        <v>100</v>
      </c>
      <c r="DM87" s="74">
        <v>0</v>
      </c>
      <c r="DN87" s="49">
        <v>0</v>
      </c>
      <c r="DO87" s="49" t="s">
        <v>100</v>
      </c>
      <c r="DP87" s="49">
        <v>0</v>
      </c>
      <c r="DQ87" s="74">
        <v>0</v>
      </c>
      <c r="DR87" s="74">
        <v>0</v>
      </c>
      <c r="DS87" s="74">
        <v>1</v>
      </c>
      <c r="DT87" s="74">
        <v>2</v>
      </c>
      <c r="DU87" s="74">
        <v>0</v>
      </c>
      <c r="DV87" s="49" t="s">
        <v>100</v>
      </c>
      <c r="DW87" s="49">
        <v>0</v>
      </c>
      <c r="DX87" s="74">
        <v>0</v>
      </c>
      <c r="DY87" s="49">
        <v>2</v>
      </c>
      <c r="DZ87" s="49">
        <v>0</v>
      </c>
    </row>
    <row r="88" spans="1:130">
      <c r="A88" s="50">
        <v>86</v>
      </c>
      <c r="B88" s="50" t="s">
        <v>432</v>
      </c>
      <c r="C88" s="50" t="s">
        <v>433</v>
      </c>
      <c r="D88" s="72">
        <v>37677</v>
      </c>
      <c r="E88" s="49" t="s">
        <v>203</v>
      </c>
      <c r="F88" s="73">
        <v>25</v>
      </c>
      <c r="G88" s="74">
        <v>2</v>
      </c>
      <c r="H88" s="74">
        <v>2003</v>
      </c>
      <c r="I88" s="49" t="s">
        <v>434</v>
      </c>
      <c r="J88" s="49" t="s">
        <v>435</v>
      </c>
      <c r="K88" s="74">
        <v>1</v>
      </c>
      <c r="L88" s="73">
        <v>0</v>
      </c>
      <c r="M88" s="73">
        <v>0</v>
      </c>
      <c r="N88" s="74">
        <v>6</v>
      </c>
      <c r="O88" s="73">
        <v>0</v>
      </c>
      <c r="P88" s="73" t="s">
        <v>100</v>
      </c>
      <c r="Q88" s="49">
        <v>0</v>
      </c>
      <c r="R88" s="49">
        <v>0</v>
      </c>
      <c r="S88" s="74">
        <v>4</v>
      </c>
      <c r="T88" s="74">
        <v>1</v>
      </c>
      <c r="U88" s="74">
        <v>0</v>
      </c>
      <c r="V88" s="74">
        <v>23</v>
      </c>
      <c r="W88" s="74">
        <v>0</v>
      </c>
      <c r="X88" s="49">
        <v>1</v>
      </c>
      <c r="Y88" s="49">
        <v>0</v>
      </c>
      <c r="Z88" s="49">
        <v>0</v>
      </c>
      <c r="AA88" s="49"/>
      <c r="AB88" s="49" t="s">
        <v>818</v>
      </c>
      <c r="AC88" s="49"/>
      <c r="AD88" s="49"/>
      <c r="AE88" s="49"/>
      <c r="AF88" s="49"/>
      <c r="AG88" s="49"/>
      <c r="AH88" s="49"/>
      <c r="AI88" s="49"/>
      <c r="AJ88" s="49">
        <v>0</v>
      </c>
      <c r="AK88" s="74">
        <v>0</v>
      </c>
      <c r="AL88" s="74">
        <v>0</v>
      </c>
      <c r="AM88" s="49">
        <v>0</v>
      </c>
      <c r="AN88" s="49" t="s">
        <v>100</v>
      </c>
      <c r="AO88" s="49"/>
      <c r="AP88" s="49"/>
      <c r="AQ88" s="74">
        <v>1</v>
      </c>
      <c r="AR88" s="49">
        <v>0</v>
      </c>
      <c r="AS88" s="49"/>
      <c r="AT88" s="49">
        <v>0</v>
      </c>
      <c r="AU88" s="49" t="s">
        <v>100</v>
      </c>
      <c r="AV88" s="49" t="s">
        <v>100</v>
      </c>
      <c r="AW88" s="49" t="s">
        <v>100</v>
      </c>
      <c r="AX88" s="49">
        <v>0</v>
      </c>
      <c r="AY88" s="49">
        <v>0</v>
      </c>
      <c r="AZ88" s="49">
        <v>0</v>
      </c>
      <c r="BA88" s="49">
        <v>0</v>
      </c>
      <c r="BB88" s="49">
        <v>0</v>
      </c>
      <c r="BC88" s="49">
        <v>0</v>
      </c>
      <c r="BD88" s="49">
        <v>0</v>
      </c>
      <c r="BE88" s="49"/>
      <c r="BF88" s="49"/>
      <c r="BG88" s="49"/>
      <c r="BH88" s="49"/>
      <c r="BI88" s="49">
        <v>0</v>
      </c>
      <c r="BJ88" s="49">
        <v>0</v>
      </c>
      <c r="BK88" s="49">
        <v>0</v>
      </c>
      <c r="BL88" s="74">
        <v>1</v>
      </c>
      <c r="BM88" s="49">
        <v>3</v>
      </c>
      <c r="BN88" s="49" t="s">
        <v>3078</v>
      </c>
      <c r="BO88" s="49">
        <v>1</v>
      </c>
      <c r="BP88" s="49">
        <v>0</v>
      </c>
      <c r="BQ88" s="49">
        <v>0</v>
      </c>
      <c r="BR88" s="49">
        <v>0</v>
      </c>
      <c r="BS88" s="49">
        <v>1</v>
      </c>
      <c r="BT88" s="49">
        <v>1</v>
      </c>
      <c r="BU88" s="49">
        <v>1</v>
      </c>
      <c r="BV88" s="49">
        <v>0</v>
      </c>
      <c r="BW88" s="49">
        <v>0</v>
      </c>
      <c r="BX88" s="49">
        <v>0</v>
      </c>
      <c r="BY88" s="49"/>
      <c r="BZ88" s="74">
        <v>1</v>
      </c>
      <c r="CA88" s="49">
        <v>0</v>
      </c>
      <c r="CB88" s="49" t="s">
        <v>100</v>
      </c>
      <c r="CC88" s="49">
        <v>0</v>
      </c>
      <c r="CD88" s="74">
        <v>0</v>
      </c>
      <c r="CE88" s="74">
        <v>5</v>
      </c>
      <c r="CF88" s="49">
        <v>0</v>
      </c>
      <c r="CG88" s="49">
        <v>0</v>
      </c>
      <c r="CH88" s="49"/>
      <c r="CI88" s="49">
        <v>0</v>
      </c>
      <c r="CJ88" s="49" t="s">
        <v>100</v>
      </c>
      <c r="CK88" s="49">
        <v>0</v>
      </c>
      <c r="CL88" s="49"/>
      <c r="CM88" s="49"/>
      <c r="CN88" s="49">
        <v>0</v>
      </c>
      <c r="CO88" s="49">
        <v>0</v>
      </c>
      <c r="CP88" s="49">
        <v>0</v>
      </c>
      <c r="CQ88" s="49">
        <v>0</v>
      </c>
      <c r="CR88" s="49">
        <v>0</v>
      </c>
      <c r="CS88" s="49">
        <v>0</v>
      </c>
      <c r="CT88" s="49">
        <v>0</v>
      </c>
      <c r="CU88" s="49">
        <v>0</v>
      </c>
      <c r="CV88" s="49">
        <v>1</v>
      </c>
      <c r="CW88" s="49">
        <v>0</v>
      </c>
      <c r="CX88" s="49">
        <v>0</v>
      </c>
      <c r="CY88" s="49">
        <v>0</v>
      </c>
      <c r="CZ88" s="74">
        <v>0</v>
      </c>
      <c r="DA88" s="49">
        <v>0</v>
      </c>
      <c r="DB88" s="49">
        <v>0</v>
      </c>
      <c r="DC88" s="49">
        <v>0</v>
      </c>
      <c r="DD88" s="49"/>
      <c r="DE88" s="49"/>
      <c r="DF88" s="49"/>
      <c r="DG88" s="49"/>
      <c r="DH88" s="49"/>
      <c r="DI88" s="49"/>
      <c r="DJ88" s="49">
        <v>0</v>
      </c>
      <c r="DK88" s="49">
        <v>0</v>
      </c>
      <c r="DL88" s="49" t="s">
        <v>100</v>
      </c>
      <c r="DM88" s="74">
        <v>0</v>
      </c>
      <c r="DN88" s="49">
        <v>0</v>
      </c>
      <c r="DO88" s="49" t="s">
        <v>100</v>
      </c>
      <c r="DP88" s="74">
        <v>0</v>
      </c>
      <c r="DQ88" s="74">
        <v>0</v>
      </c>
      <c r="DR88" s="49">
        <v>0</v>
      </c>
      <c r="DS88" s="74">
        <v>1</v>
      </c>
      <c r="DT88" s="74">
        <v>1</v>
      </c>
      <c r="DU88" s="74">
        <v>0</v>
      </c>
      <c r="DV88" s="49" t="s">
        <v>100</v>
      </c>
      <c r="DW88" s="74">
        <v>2</v>
      </c>
      <c r="DX88" s="74">
        <v>1</v>
      </c>
      <c r="DY88" s="49"/>
      <c r="DZ88" s="74">
        <v>1</v>
      </c>
    </row>
    <row r="89" spans="1:130">
      <c r="A89" s="50">
        <v>87</v>
      </c>
      <c r="B89" s="50" t="s">
        <v>436</v>
      </c>
      <c r="C89" s="50" t="s">
        <v>437</v>
      </c>
      <c r="D89" s="72">
        <v>37810</v>
      </c>
      <c r="E89" s="49" t="s">
        <v>203</v>
      </c>
      <c r="F89" s="73">
        <v>8</v>
      </c>
      <c r="G89" s="74">
        <v>7</v>
      </c>
      <c r="H89" s="74">
        <v>2003</v>
      </c>
      <c r="I89" s="49" t="s">
        <v>438</v>
      </c>
      <c r="J89" s="49" t="s">
        <v>3225</v>
      </c>
      <c r="K89" s="74">
        <v>24</v>
      </c>
      <c r="L89" s="73">
        <v>0</v>
      </c>
      <c r="M89" s="73">
        <v>0</v>
      </c>
      <c r="N89" s="74">
        <v>6</v>
      </c>
      <c r="O89" s="74">
        <v>0</v>
      </c>
      <c r="P89" s="73" t="s">
        <v>100</v>
      </c>
      <c r="Q89" s="49">
        <v>0</v>
      </c>
      <c r="R89" s="49">
        <v>0</v>
      </c>
      <c r="S89" s="74">
        <v>6</v>
      </c>
      <c r="T89" s="74">
        <v>8</v>
      </c>
      <c r="U89" s="74">
        <v>0</v>
      </c>
      <c r="V89" s="74">
        <v>48</v>
      </c>
      <c r="W89" s="74">
        <v>0</v>
      </c>
      <c r="X89" s="74">
        <v>0</v>
      </c>
      <c r="Y89" s="49">
        <v>0</v>
      </c>
      <c r="Z89" s="74">
        <v>0</v>
      </c>
      <c r="AA89" s="74">
        <v>1</v>
      </c>
      <c r="AB89" s="49" t="s">
        <v>818</v>
      </c>
      <c r="AC89" s="49"/>
      <c r="AD89" s="49"/>
      <c r="AE89" s="49"/>
      <c r="AF89" s="49"/>
      <c r="AG89" s="49"/>
      <c r="AH89" s="49"/>
      <c r="AI89" s="49">
        <v>1</v>
      </c>
      <c r="AJ89" s="74">
        <v>1</v>
      </c>
      <c r="AK89" s="74">
        <v>1</v>
      </c>
      <c r="AL89" s="74">
        <v>0</v>
      </c>
      <c r="AM89" s="49">
        <v>0</v>
      </c>
      <c r="AN89" s="49" t="s">
        <v>100</v>
      </c>
      <c r="AO89" s="49"/>
      <c r="AP89" s="49"/>
      <c r="AQ89" s="49">
        <v>0</v>
      </c>
      <c r="AR89" s="49">
        <v>0</v>
      </c>
      <c r="AS89" s="74">
        <v>1</v>
      </c>
      <c r="AT89" s="49">
        <v>0</v>
      </c>
      <c r="AU89" s="49" t="s">
        <v>100</v>
      </c>
      <c r="AV89" s="49" t="s">
        <v>100</v>
      </c>
      <c r="AW89" s="49" t="s">
        <v>100</v>
      </c>
      <c r="AX89" s="49">
        <v>0</v>
      </c>
      <c r="AY89" s="49">
        <v>0</v>
      </c>
      <c r="AZ89" s="49">
        <v>0</v>
      </c>
      <c r="BA89" s="49">
        <v>0</v>
      </c>
      <c r="BB89" s="49">
        <v>0</v>
      </c>
      <c r="BC89" s="74">
        <v>1</v>
      </c>
      <c r="BD89" s="49">
        <v>0</v>
      </c>
      <c r="BE89" s="49"/>
      <c r="BF89" s="49"/>
      <c r="BG89" s="49"/>
      <c r="BH89" s="49"/>
      <c r="BI89" s="49">
        <v>0</v>
      </c>
      <c r="BJ89" s="49">
        <v>0</v>
      </c>
      <c r="BK89" s="74">
        <v>0</v>
      </c>
      <c r="BL89" s="74">
        <v>1</v>
      </c>
      <c r="BM89" s="49">
        <v>3</v>
      </c>
      <c r="BN89" s="49" t="s">
        <v>3079</v>
      </c>
      <c r="BO89" s="49">
        <v>0</v>
      </c>
      <c r="BP89" s="49">
        <v>0</v>
      </c>
      <c r="BQ89" s="49">
        <v>1</v>
      </c>
      <c r="BR89" s="49">
        <v>0</v>
      </c>
      <c r="BS89" s="49">
        <v>0</v>
      </c>
      <c r="BT89" s="49">
        <v>1</v>
      </c>
      <c r="BU89" s="49">
        <v>1</v>
      </c>
      <c r="BV89" s="49">
        <v>0</v>
      </c>
      <c r="BW89" s="49">
        <v>0</v>
      </c>
      <c r="BX89" s="49">
        <v>1</v>
      </c>
      <c r="BY89" s="74">
        <v>1</v>
      </c>
      <c r="BZ89" s="49">
        <v>0</v>
      </c>
      <c r="CA89" s="74">
        <v>1</v>
      </c>
      <c r="CB89" s="74">
        <v>1</v>
      </c>
      <c r="CC89" s="74">
        <v>1</v>
      </c>
      <c r="CD89" s="74">
        <v>1</v>
      </c>
      <c r="CE89" s="74">
        <v>1</v>
      </c>
      <c r="CF89" s="49">
        <v>0</v>
      </c>
      <c r="CG89" s="49">
        <v>0</v>
      </c>
      <c r="CH89" s="49">
        <v>0</v>
      </c>
      <c r="CI89" s="49">
        <v>1</v>
      </c>
      <c r="CJ89" s="49" t="s">
        <v>439</v>
      </c>
      <c r="CK89" s="49">
        <v>1</v>
      </c>
      <c r="CL89" s="49"/>
      <c r="CM89" s="49"/>
      <c r="CN89" s="74">
        <v>1</v>
      </c>
      <c r="CO89" s="49">
        <v>0</v>
      </c>
      <c r="CP89" s="49">
        <v>0</v>
      </c>
      <c r="CQ89" s="49">
        <v>0</v>
      </c>
      <c r="CR89" s="49">
        <v>1</v>
      </c>
      <c r="CS89" s="49">
        <v>0</v>
      </c>
      <c r="CT89" s="49">
        <v>0</v>
      </c>
      <c r="CU89" s="49">
        <v>0</v>
      </c>
      <c r="CV89" s="49">
        <v>0</v>
      </c>
      <c r="CW89" s="49">
        <v>0</v>
      </c>
      <c r="CX89" s="49">
        <v>0</v>
      </c>
      <c r="CY89" s="49">
        <v>0</v>
      </c>
      <c r="CZ89" s="74">
        <v>0</v>
      </c>
      <c r="DA89" s="49">
        <v>0</v>
      </c>
      <c r="DB89" s="49">
        <v>0</v>
      </c>
      <c r="DC89" s="74">
        <v>1</v>
      </c>
      <c r="DD89" s="49">
        <v>0</v>
      </c>
      <c r="DE89" s="49">
        <v>4</v>
      </c>
      <c r="DF89" s="49">
        <v>0</v>
      </c>
      <c r="DG89" s="49"/>
      <c r="DH89" s="49"/>
      <c r="DI89" s="49"/>
      <c r="DJ89" s="49">
        <v>0</v>
      </c>
      <c r="DK89" s="49">
        <v>0</v>
      </c>
      <c r="DL89" s="49" t="s">
        <v>100</v>
      </c>
      <c r="DM89" s="74">
        <v>0</v>
      </c>
      <c r="DN89" s="49">
        <v>0</v>
      </c>
      <c r="DO89" s="49" t="s">
        <v>100</v>
      </c>
      <c r="DP89" s="49">
        <v>0</v>
      </c>
      <c r="DQ89" s="74">
        <v>0</v>
      </c>
      <c r="DR89" s="49">
        <v>0</v>
      </c>
      <c r="DS89" s="74">
        <v>1</v>
      </c>
      <c r="DT89" s="49">
        <v>5</v>
      </c>
      <c r="DU89" s="74">
        <v>1</v>
      </c>
      <c r="DV89" s="49" t="s">
        <v>440</v>
      </c>
      <c r="DW89" s="74">
        <v>0</v>
      </c>
      <c r="DX89" s="74">
        <v>0</v>
      </c>
      <c r="DY89" s="49">
        <v>2</v>
      </c>
      <c r="DZ89" s="49">
        <v>0</v>
      </c>
    </row>
    <row r="90" spans="1:130">
      <c r="A90" s="50">
        <v>88</v>
      </c>
      <c r="B90" s="50" t="s">
        <v>441</v>
      </c>
      <c r="C90" s="50" t="s">
        <v>442</v>
      </c>
      <c r="D90" s="72">
        <v>37860</v>
      </c>
      <c r="E90" s="49" t="s">
        <v>123</v>
      </c>
      <c r="F90" s="73">
        <v>27</v>
      </c>
      <c r="G90" s="74">
        <v>8</v>
      </c>
      <c r="H90" s="74">
        <v>2003</v>
      </c>
      <c r="I90" s="49" t="s">
        <v>443</v>
      </c>
      <c r="J90" s="49" t="s">
        <v>250</v>
      </c>
      <c r="K90" s="74">
        <v>13</v>
      </c>
      <c r="L90" s="73">
        <v>1</v>
      </c>
      <c r="M90" s="73">
        <v>0</v>
      </c>
      <c r="N90" s="74">
        <v>6</v>
      </c>
      <c r="O90" s="74">
        <v>0</v>
      </c>
      <c r="P90" s="73" t="s">
        <v>100</v>
      </c>
      <c r="Q90" s="49">
        <v>0</v>
      </c>
      <c r="R90" s="49">
        <v>0</v>
      </c>
      <c r="S90" s="74">
        <v>6</v>
      </c>
      <c r="T90" s="74">
        <v>0</v>
      </c>
      <c r="U90" s="74">
        <v>0</v>
      </c>
      <c r="V90" s="74">
        <v>36</v>
      </c>
      <c r="W90" s="74">
        <v>0</v>
      </c>
      <c r="X90" s="74">
        <v>2</v>
      </c>
      <c r="Y90" s="49">
        <v>1</v>
      </c>
      <c r="Z90" s="74">
        <v>0</v>
      </c>
      <c r="AA90" s="49"/>
      <c r="AB90" s="49" t="s">
        <v>818</v>
      </c>
      <c r="AC90" s="49"/>
      <c r="AD90" s="49"/>
      <c r="AE90" s="49"/>
      <c r="AF90" s="74">
        <v>5</v>
      </c>
      <c r="AG90" s="49"/>
      <c r="AH90" s="49"/>
      <c r="AI90" s="74">
        <v>1</v>
      </c>
      <c r="AJ90" s="49">
        <v>0</v>
      </c>
      <c r="AK90" s="74">
        <v>0</v>
      </c>
      <c r="AL90" s="49">
        <v>0</v>
      </c>
      <c r="AM90" s="49">
        <v>0</v>
      </c>
      <c r="AN90" s="49" t="s">
        <v>100</v>
      </c>
      <c r="AO90" s="49"/>
      <c r="AP90" s="49"/>
      <c r="AQ90" s="74">
        <v>1</v>
      </c>
      <c r="AR90" s="49">
        <v>0</v>
      </c>
      <c r="AS90" s="74">
        <v>1</v>
      </c>
      <c r="AT90" s="74">
        <v>3</v>
      </c>
      <c r="AU90" s="49">
        <v>1</v>
      </c>
      <c r="AV90" s="49">
        <v>4</v>
      </c>
      <c r="AW90" s="49">
        <v>3</v>
      </c>
      <c r="AX90" s="49">
        <v>0</v>
      </c>
      <c r="AY90" s="49">
        <v>0</v>
      </c>
      <c r="AZ90" s="49">
        <v>0</v>
      </c>
      <c r="BA90" s="49">
        <v>0</v>
      </c>
      <c r="BB90" s="49">
        <v>0</v>
      </c>
      <c r="BC90" s="74">
        <v>1</v>
      </c>
      <c r="BD90" s="49">
        <v>0</v>
      </c>
      <c r="BE90" s="49"/>
      <c r="BF90" s="49"/>
      <c r="BG90" s="49"/>
      <c r="BH90" s="49"/>
      <c r="BI90" s="49">
        <v>0</v>
      </c>
      <c r="BJ90" s="49">
        <v>0</v>
      </c>
      <c r="BK90" s="74">
        <v>1</v>
      </c>
      <c r="BL90" s="74">
        <v>1</v>
      </c>
      <c r="BM90" s="49">
        <v>3</v>
      </c>
      <c r="BN90" s="49" t="s">
        <v>3036</v>
      </c>
      <c r="BO90" s="49">
        <v>1</v>
      </c>
      <c r="BP90" s="49">
        <v>1</v>
      </c>
      <c r="BQ90" s="49">
        <v>0</v>
      </c>
      <c r="BR90" s="49">
        <v>0</v>
      </c>
      <c r="BS90" s="49">
        <v>0</v>
      </c>
      <c r="BT90" s="49">
        <v>1</v>
      </c>
      <c r="BU90" s="49">
        <v>1</v>
      </c>
      <c r="BV90" s="49">
        <v>0</v>
      </c>
      <c r="BW90" s="49">
        <v>0</v>
      </c>
      <c r="BX90" s="49">
        <v>0</v>
      </c>
      <c r="BY90" s="74">
        <v>2</v>
      </c>
      <c r="BZ90" s="49">
        <v>0</v>
      </c>
      <c r="CA90" s="49">
        <v>0</v>
      </c>
      <c r="CB90" s="49" t="s">
        <v>100</v>
      </c>
      <c r="CC90" s="49">
        <v>0</v>
      </c>
      <c r="CD90" s="49" t="s">
        <v>100</v>
      </c>
      <c r="CE90" s="49">
        <v>0</v>
      </c>
      <c r="CF90" s="49">
        <v>0</v>
      </c>
      <c r="CG90" s="49">
        <v>0</v>
      </c>
      <c r="CH90" s="74">
        <v>5</v>
      </c>
      <c r="CI90" s="49">
        <v>0</v>
      </c>
      <c r="CJ90" s="49" t="s">
        <v>100</v>
      </c>
      <c r="CK90" s="49">
        <v>0</v>
      </c>
      <c r="CL90" s="49"/>
      <c r="CM90" s="49"/>
      <c r="CN90" s="49">
        <v>0</v>
      </c>
      <c r="CO90" s="49">
        <v>0</v>
      </c>
      <c r="CP90" s="49">
        <v>0</v>
      </c>
      <c r="CQ90" s="49">
        <v>0</v>
      </c>
      <c r="CR90" s="74">
        <v>1</v>
      </c>
      <c r="CS90" s="49">
        <v>0</v>
      </c>
      <c r="CT90" s="49">
        <v>0</v>
      </c>
      <c r="CU90" s="49">
        <v>0</v>
      </c>
      <c r="CV90" s="49">
        <v>0</v>
      </c>
      <c r="CW90" s="49">
        <v>0</v>
      </c>
      <c r="CX90" s="49">
        <v>0</v>
      </c>
      <c r="CY90" s="49">
        <v>0</v>
      </c>
      <c r="CZ90" s="74">
        <v>0</v>
      </c>
      <c r="DA90" s="49">
        <v>0</v>
      </c>
      <c r="DB90" s="49">
        <v>0</v>
      </c>
      <c r="DC90" s="74">
        <v>1</v>
      </c>
      <c r="DD90" s="49">
        <v>3</v>
      </c>
      <c r="DE90" s="49">
        <v>4</v>
      </c>
      <c r="DF90" s="49">
        <v>0</v>
      </c>
      <c r="DG90" s="49"/>
      <c r="DH90" s="49"/>
      <c r="DI90" s="49"/>
      <c r="DJ90" s="49">
        <v>0</v>
      </c>
      <c r="DK90" s="49">
        <v>0</v>
      </c>
      <c r="DL90" s="49" t="s">
        <v>100</v>
      </c>
      <c r="DM90" s="74">
        <v>1</v>
      </c>
      <c r="DN90" s="49">
        <v>0</v>
      </c>
      <c r="DO90" s="49" t="s">
        <v>100</v>
      </c>
      <c r="DP90" s="49">
        <v>0</v>
      </c>
      <c r="DQ90" s="74">
        <v>0</v>
      </c>
      <c r="DR90" s="49">
        <v>1</v>
      </c>
      <c r="DS90" s="74">
        <v>1</v>
      </c>
      <c r="DT90" s="74">
        <v>1</v>
      </c>
      <c r="DU90" s="74">
        <v>0</v>
      </c>
      <c r="DV90" s="49" t="s">
        <v>100</v>
      </c>
      <c r="DW90" s="74">
        <v>1</v>
      </c>
      <c r="DX90" s="74">
        <v>0</v>
      </c>
      <c r="DY90" s="49">
        <v>2</v>
      </c>
      <c r="DZ90" s="49">
        <v>0</v>
      </c>
    </row>
    <row r="91" spans="1:130">
      <c r="A91" s="50">
        <v>89</v>
      </c>
      <c r="B91" s="50" t="s">
        <v>444</v>
      </c>
      <c r="C91" s="50" t="s">
        <v>445</v>
      </c>
      <c r="D91" s="72">
        <v>37918</v>
      </c>
      <c r="E91" s="49" t="s">
        <v>203</v>
      </c>
      <c r="F91" s="73">
        <v>24</v>
      </c>
      <c r="G91" s="73">
        <v>10</v>
      </c>
      <c r="H91" s="74">
        <v>2003</v>
      </c>
      <c r="I91" s="49" t="s">
        <v>446</v>
      </c>
      <c r="J91" s="49" t="s">
        <v>447</v>
      </c>
      <c r="K91" s="74">
        <v>12</v>
      </c>
      <c r="L91" s="74">
        <v>3</v>
      </c>
      <c r="M91" s="74">
        <v>2</v>
      </c>
      <c r="N91" s="74">
        <v>5</v>
      </c>
      <c r="O91" s="73">
        <v>0</v>
      </c>
      <c r="P91" s="73" t="s">
        <v>100</v>
      </c>
      <c r="Q91" s="49">
        <v>0</v>
      </c>
      <c r="R91" s="49">
        <v>0</v>
      </c>
      <c r="S91" s="74">
        <v>4</v>
      </c>
      <c r="T91" s="73">
        <v>0</v>
      </c>
      <c r="U91" s="74">
        <v>0</v>
      </c>
      <c r="V91" s="74">
        <v>53</v>
      </c>
      <c r="W91" s="74">
        <v>0</v>
      </c>
      <c r="X91" s="74">
        <v>0</v>
      </c>
      <c r="Y91" s="49">
        <v>0</v>
      </c>
      <c r="Z91" s="74">
        <v>0</v>
      </c>
      <c r="AA91" s="49"/>
      <c r="AB91" s="49" t="s">
        <v>818</v>
      </c>
      <c r="AC91" s="49"/>
      <c r="AD91" s="49"/>
      <c r="AE91" s="49"/>
      <c r="AF91" s="49"/>
      <c r="AG91" s="49"/>
      <c r="AH91" s="49"/>
      <c r="AI91" s="74">
        <v>3</v>
      </c>
      <c r="AJ91" s="49">
        <v>1</v>
      </c>
      <c r="AK91" s="74">
        <v>0</v>
      </c>
      <c r="AL91" s="49"/>
      <c r="AM91" s="49">
        <v>0</v>
      </c>
      <c r="AN91" s="49" t="s">
        <v>100</v>
      </c>
      <c r="AO91" s="74">
        <v>1</v>
      </c>
      <c r="AP91" s="49" t="s">
        <v>3226</v>
      </c>
      <c r="AQ91" s="49">
        <v>0</v>
      </c>
      <c r="AR91" s="49">
        <v>0</v>
      </c>
      <c r="AS91" s="49">
        <v>0</v>
      </c>
      <c r="AT91" s="49">
        <v>0</v>
      </c>
      <c r="AU91" s="49" t="s">
        <v>100</v>
      </c>
      <c r="AV91" s="49" t="s">
        <v>100</v>
      </c>
      <c r="AW91" s="49" t="s">
        <v>100</v>
      </c>
      <c r="AX91" s="49">
        <v>0</v>
      </c>
      <c r="AY91" s="49">
        <v>0</v>
      </c>
      <c r="AZ91" s="49">
        <v>0</v>
      </c>
      <c r="BA91" s="49">
        <v>0</v>
      </c>
      <c r="BB91" s="49">
        <v>0</v>
      </c>
      <c r="BC91" s="49">
        <v>0</v>
      </c>
      <c r="BD91" s="49">
        <v>0</v>
      </c>
      <c r="BE91" s="49"/>
      <c r="BF91" s="49"/>
      <c r="BG91" s="49"/>
      <c r="BH91" s="49"/>
      <c r="BI91" s="49">
        <v>0</v>
      </c>
      <c r="BJ91" s="74">
        <v>1</v>
      </c>
      <c r="BK91" s="74">
        <v>1</v>
      </c>
      <c r="BL91" s="74">
        <v>1</v>
      </c>
      <c r="BM91" s="49">
        <v>1</v>
      </c>
      <c r="BN91" s="49" t="s">
        <v>3037</v>
      </c>
      <c r="BO91" s="49">
        <v>1</v>
      </c>
      <c r="BP91" s="49">
        <v>1</v>
      </c>
      <c r="BQ91" s="49">
        <v>1</v>
      </c>
      <c r="BR91" s="49">
        <v>0</v>
      </c>
      <c r="BS91" s="49">
        <v>0</v>
      </c>
      <c r="BT91" s="49">
        <v>1</v>
      </c>
      <c r="BU91" s="49">
        <v>0</v>
      </c>
      <c r="BV91" s="49">
        <v>1</v>
      </c>
      <c r="BW91" s="49">
        <v>0</v>
      </c>
      <c r="BX91" s="49">
        <v>0</v>
      </c>
      <c r="BY91" s="74">
        <v>1</v>
      </c>
      <c r="BZ91" s="49">
        <v>0</v>
      </c>
      <c r="CA91" s="49">
        <v>0</v>
      </c>
      <c r="CB91" s="49" t="s">
        <v>100</v>
      </c>
      <c r="CC91" s="49">
        <v>0</v>
      </c>
      <c r="CD91" s="49" t="s">
        <v>100</v>
      </c>
      <c r="CE91" s="74">
        <v>1</v>
      </c>
      <c r="CF91" s="49">
        <v>0</v>
      </c>
      <c r="CG91" s="49">
        <v>0</v>
      </c>
      <c r="CH91" s="74">
        <v>5</v>
      </c>
      <c r="CI91" s="49">
        <v>0</v>
      </c>
      <c r="CJ91" s="49" t="s">
        <v>100</v>
      </c>
      <c r="CK91" s="49">
        <v>0</v>
      </c>
      <c r="CL91" s="49"/>
      <c r="CM91" s="49"/>
      <c r="CN91" s="49">
        <v>0</v>
      </c>
      <c r="CO91" s="49">
        <v>0</v>
      </c>
      <c r="CP91" s="49">
        <v>0</v>
      </c>
      <c r="CQ91" s="49">
        <v>0</v>
      </c>
      <c r="CR91" s="49">
        <v>0</v>
      </c>
      <c r="CS91" s="49">
        <v>0</v>
      </c>
      <c r="CT91" s="49">
        <v>0</v>
      </c>
      <c r="CU91" s="49">
        <v>1</v>
      </c>
      <c r="CV91" s="49">
        <v>0</v>
      </c>
      <c r="CW91" s="49">
        <v>0</v>
      </c>
      <c r="CX91" s="49">
        <v>0</v>
      </c>
      <c r="CY91" s="49">
        <v>0</v>
      </c>
      <c r="CZ91" s="74">
        <v>1</v>
      </c>
      <c r="DA91" s="49">
        <v>0</v>
      </c>
      <c r="DB91" s="49">
        <v>0</v>
      </c>
      <c r="DC91" s="74">
        <v>0</v>
      </c>
      <c r="DD91" s="49"/>
      <c r="DE91" s="49"/>
      <c r="DF91" s="49"/>
      <c r="DG91" s="49"/>
      <c r="DH91" s="49"/>
      <c r="DI91" s="49"/>
      <c r="DJ91" s="49">
        <v>0</v>
      </c>
      <c r="DK91" s="49">
        <v>0</v>
      </c>
      <c r="DL91" s="49" t="s">
        <v>100</v>
      </c>
      <c r="DM91" s="74">
        <v>0</v>
      </c>
      <c r="DN91" s="49">
        <v>0</v>
      </c>
      <c r="DO91" s="49" t="s">
        <v>100</v>
      </c>
      <c r="DP91" s="74">
        <v>0</v>
      </c>
      <c r="DQ91" s="74">
        <v>0</v>
      </c>
      <c r="DR91" s="49">
        <v>0</v>
      </c>
      <c r="DS91" s="49"/>
      <c r="DT91" s="74">
        <v>1</v>
      </c>
      <c r="DU91" s="74">
        <v>0</v>
      </c>
      <c r="DV91" s="49" t="s">
        <v>100</v>
      </c>
      <c r="DW91" s="74">
        <v>0</v>
      </c>
      <c r="DX91" s="74">
        <v>0</v>
      </c>
      <c r="DY91" s="49">
        <v>2</v>
      </c>
      <c r="DZ91" s="49">
        <v>0</v>
      </c>
    </row>
    <row r="92" spans="1:130">
      <c r="A92" s="50">
        <v>90</v>
      </c>
      <c r="B92" s="50" t="s">
        <v>193</v>
      </c>
      <c r="C92" s="50" t="s">
        <v>448</v>
      </c>
      <c r="D92" s="72">
        <v>38170</v>
      </c>
      <c r="E92" s="49" t="s">
        <v>157</v>
      </c>
      <c r="F92" s="73">
        <v>2</v>
      </c>
      <c r="G92" s="74">
        <v>7</v>
      </c>
      <c r="H92" s="74">
        <v>2004</v>
      </c>
      <c r="I92" s="49" t="s">
        <v>449</v>
      </c>
      <c r="J92" s="49" t="s">
        <v>3227</v>
      </c>
      <c r="K92" s="74">
        <v>16</v>
      </c>
      <c r="L92" s="73">
        <v>1</v>
      </c>
      <c r="M92" s="73">
        <v>0</v>
      </c>
      <c r="N92" s="74">
        <v>6</v>
      </c>
      <c r="O92" s="74">
        <v>0</v>
      </c>
      <c r="P92" s="73" t="s">
        <v>100</v>
      </c>
      <c r="Q92" s="49">
        <v>0</v>
      </c>
      <c r="R92" s="49">
        <v>0</v>
      </c>
      <c r="S92" s="74">
        <v>5</v>
      </c>
      <c r="T92" s="74">
        <v>2</v>
      </c>
      <c r="U92" s="74">
        <v>0</v>
      </c>
      <c r="V92" s="74">
        <v>21</v>
      </c>
      <c r="W92" s="74">
        <v>0</v>
      </c>
      <c r="X92" s="49"/>
      <c r="Y92" s="49">
        <v>0</v>
      </c>
      <c r="Z92" s="49">
        <v>0</v>
      </c>
      <c r="AA92" s="49"/>
      <c r="AB92" s="74">
        <v>2</v>
      </c>
      <c r="AC92" s="74">
        <v>2</v>
      </c>
      <c r="AD92" s="49" t="s">
        <v>867</v>
      </c>
      <c r="AE92" s="49"/>
      <c r="AF92" s="49"/>
      <c r="AG92" s="49"/>
      <c r="AH92" s="49"/>
      <c r="AI92" s="49">
        <v>0</v>
      </c>
      <c r="AJ92" s="49">
        <v>0</v>
      </c>
      <c r="AK92" s="74">
        <v>1</v>
      </c>
      <c r="AL92" s="74">
        <v>0</v>
      </c>
      <c r="AM92" s="49">
        <v>0</v>
      </c>
      <c r="AN92" s="49" t="s">
        <v>100</v>
      </c>
      <c r="AO92" s="74">
        <v>1</v>
      </c>
      <c r="AP92" s="49" t="s">
        <v>3228</v>
      </c>
      <c r="AQ92" s="49">
        <v>0</v>
      </c>
      <c r="AR92" s="49">
        <v>0</v>
      </c>
      <c r="AS92" s="49">
        <v>0</v>
      </c>
      <c r="AT92" s="49">
        <v>0</v>
      </c>
      <c r="AU92" s="49" t="s">
        <v>100</v>
      </c>
      <c r="AV92" s="49" t="s">
        <v>100</v>
      </c>
      <c r="AW92" s="49" t="s">
        <v>100</v>
      </c>
      <c r="AX92" s="49">
        <v>0</v>
      </c>
      <c r="AY92" s="49">
        <v>0</v>
      </c>
      <c r="AZ92" s="49">
        <v>0</v>
      </c>
      <c r="BA92" s="49">
        <v>0</v>
      </c>
      <c r="BB92" s="49">
        <v>0</v>
      </c>
      <c r="BC92" s="49">
        <v>0</v>
      </c>
      <c r="BD92" s="49">
        <v>0</v>
      </c>
      <c r="BE92" s="49"/>
      <c r="BF92" s="49"/>
      <c r="BG92" s="49"/>
      <c r="BH92" s="49"/>
      <c r="BI92" s="49">
        <v>0</v>
      </c>
      <c r="BJ92" s="49">
        <v>0</v>
      </c>
      <c r="BK92" s="74">
        <v>1</v>
      </c>
      <c r="BL92" s="74">
        <v>0</v>
      </c>
      <c r="BM92" s="49" t="s">
        <v>100</v>
      </c>
      <c r="BN92" s="49"/>
      <c r="BO92" s="49">
        <v>0</v>
      </c>
      <c r="BP92" s="49">
        <v>0</v>
      </c>
      <c r="BQ92" s="49">
        <v>0</v>
      </c>
      <c r="BR92" s="49">
        <v>0</v>
      </c>
      <c r="BS92" s="49">
        <v>0</v>
      </c>
      <c r="BT92" s="49">
        <v>0</v>
      </c>
      <c r="BU92" s="49">
        <v>0</v>
      </c>
      <c r="BV92" s="49">
        <v>0</v>
      </c>
      <c r="BW92" s="49">
        <v>0</v>
      </c>
      <c r="BX92" s="49">
        <v>0</v>
      </c>
      <c r="BY92" s="74">
        <v>2</v>
      </c>
      <c r="BZ92" s="49">
        <v>0</v>
      </c>
      <c r="CA92" s="49">
        <v>0</v>
      </c>
      <c r="CB92" s="49" t="s">
        <v>100</v>
      </c>
      <c r="CC92" s="49">
        <v>0</v>
      </c>
      <c r="CD92" s="49" t="s">
        <v>100</v>
      </c>
      <c r="CE92" s="49">
        <v>0</v>
      </c>
      <c r="CF92" s="49">
        <v>0</v>
      </c>
      <c r="CG92" s="49">
        <v>0</v>
      </c>
      <c r="CH92" s="49">
        <v>0</v>
      </c>
      <c r="CI92" s="49">
        <v>0</v>
      </c>
      <c r="CJ92" s="49" t="s">
        <v>100</v>
      </c>
      <c r="CK92" s="49">
        <v>0</v>
      </c>
      <c r="CL92" s="49"/>
      <c r="CM92" s="49"/>
      <c r="CN92" s="49">
        <v>0</v>
      </c>
      <c r="CO92" s="49">
        <v>0</v>
      </c>
      <c r="CP92" s="49">
        <v>0</v>
      </c>
      <c r="CQ92" s="49">
        <v>0</v>
      </c>
      <c r="CR92" s="49">
        <v>1</v>
      </c>
      <c r="CS92" s="49">
        <v>0</v>
      </c>
      <c r="CT92" s="49">
        <v>0</v>
      </c>
      <c r="CU92" s="49">
        <v>0</v>
      </c>
      <c r="CV92" s="74">
        <v>1</v>
      </c>
      <c r="CW92" s="49">
        <v>0</v>
      </c>
      <c r="CX92" s="49">
        <v>0</v>
      </c>
      <c r="CY92" s="49">
        <v>0</v>
      </c>
      <c r="CZ92" s="74">
        <v>0</v>
      </c>
      <c r="DA92" s="49">
        <v>0</v>
      </c>
      <c r="DB92" s="49">
        <v>0</v>
      </c>
      <c r="DC92" s="49">
        <v>0</v>
      </c>
      <c r="DD92" s="49"/>
      <c r="DE92" s="49"/>
      <c r="DF92" s="49"/>
      <c r="DG92" s="49"/>
      <c r="DH92" s="49"/>
      <c r="DI92" s="49"/>
      <c r="DJ92" s="49">
        <v>0</v>
      </c>
      <c r="DK92" s="49">
        <v>0</v>
      </c>
      <c r="DL92" s="49" t="s">
        <v>100</v>
      </c>
      <c r="DM92" s="74">
        <v>0</v>
      </c>
      <c r="DN92" s="49">
        <v>0</v>
      </c>
      <c r="DO92" s="49" t="s">
        <v>100</v>
      </c>
      <c r="DP92" s="49">
        <v>0</v>
      </c>
      <c r="DQ92" s="74">
        <v>0</v>
      </c>
      <c r="DR92" s="49">
        <v>0</v>
      </c>
      <c r="DS92" s="49"/>
      <c r="DT92" s="74">
        <v>2</v>
      </c>
      <c r="DU92" s="74">
        <v>0</v>
      </c>
      <c r="DV92" s="49" t="s">
        <v>100</v>
      </c>
      <c r="DW92" s="74">
        <v>0</v>
      </c>
      <c r="DX92" s="74">
        <v>0</v>
      </c>
      <c r="DY92" s="49">
        <v>2</v>
      </c>
      <c r="DZ92" s="49">
        <v>0</v>
      </c>
    </row>
    <row r="93" spans="1:130">
      <c r="A93" s="50">
        <v>91</v>
      </c>
      <c r="B93" s="50" t="s">
        <v>450</v>
      </c>
      <c r="C93" s="50" t="s">
        <v>451</v>
      </c>
      <c r="D93" s="72">
        <v>38312</v>
      </c>
      <c r="E93" s="49" t="s">
        <v>137</v>
      </c>
      <c r="F93" s="73">
        <v>21</v>
      </c>
      <c r="G93" s="74">
        <v>11</v>
      </c>
      <c r="H93" s="49">
        <v>2004</v>
      </c>
      <c r="I93" s="49" t="s">
        <v>452</v>
      </c>
      <c r="J93" s="49" t="s">
        <v>453</v>
      </c>
      <c r="K93" s="74">
        <v>49</v>
      </c>
      <c r="L93" s="73">
        <v>1</v>
      </c>
      <c r="M93" s="74">
        <v>2</v>
      </c>
      <c r="N93" s="74">
        <v>8</v>
      </c>
      <c r="O93" s="74">
        <v>0</v>
      </c>
      <c r="P93" s="73" t="s">
        <v>100</v>
      </c>
      <c r="Q93" s="49">
        <v>1</v>
      </c>
      <c r="R93" s="49">
        <v>2</v>
      </c>
      <c r="S93" s="74">
        <v>6</v>
      </c>
      <c r="T93" s="73">
        <v>2</v>
      </c>
      <c r="U93" s="74">
        <v>0</v>
      </c>
      <c r="V93" s="74">
        <v>36</v>
      </c>
      <c r="W93" s="74">
        <v>0</v>
      </c>
      <c r="X93" s="49">
        <v>3</v>
      </c>
      <c r="Y93" s="49">
        <v>1</v>
      </c>
      <c r="Z93" s="74">
        <v>0</v>
      </c>
      <c r="AA93" s="74">
        <v>5</v>
      </c>
      <c r="AB93" s="49">
        <v>1</v>
      </c>
      <c r="AC93" s="74">
        <v>1</v>
      </c>
      <c r="AD93" s="49" t="s">
        <v>3229</v>
      </c>
      <c r="AE93" s="74">
        <v>2</v>
      </c>
      <c r="AF93" s="74">
        <v>5</v>
      </c>
      <c r="AG93" s="74">
        <v>1</v>
      </c>
      <c r="AH93" s="74">
        <v>4</v>
      </c>
      <c r="AI93" s="49">
        <v>2</v>
      </c>
      <c r="AJ93" s="74">
        <v>1</v>
      </c>
      <c r="AK93" s="74">
        <v>1</v>
      </c>
      <c r="AL93" s="74">
        <v>0</v>
      </c>
      <c r="AM93" s="74">
        <v>1</v>
      </c>
      <c r="AN93" s="74">
        <v>5</v>
      </c>
      <c r="AO93" s="74">
        <v>2</v>
      </c>
      <c r="AP93" s="49" t="s">
        <v>3230</v>
      </c>
      <c r="AQ93" s="49">
        <v>1</v>
      </c>
      <c r="AR93" s="49">
        <v>0</v>
      </c>
      <c r="AS93" s="49">
        <v>1</v>
      </c>
      <c r="AT93" s="74">
        <v>1</v>
      </c>
      <c r="AU93" s="49">
        <v>4</v>
      </c>
      <c r="AV93" s="49">
        <v>3</v>
      </c>
      <c r="AW93" s="49"/>
      <c r="AX93" s="49">
        <v>0</v>
      </c>
      <c r="AY93" s="49">
        <v>0</v>
      </c>
      <c r="AZ93" s="49">
        <v>0</v>
      </c>
      <c r="BA93" s="49">
        <v>0</v>
      </c>
      <c r="BB93" s="49">
        <v>0</v>
      </c>
      <c r="BC93" s="74">
        <v>0</v>
      </c>
      <c r="BD93" s="49">
        <v>1</v>
      </c>
      <c r="BE93" s="74">
        <v>0</v>
      </c>
      <c r="BF93" s="49">
        <v>0</v>
      </c>
      <c r="BG93" s="74">
        <v>3</v>
      </c>
      <c r="BH93" s="49">
        <v>0</v>
      </c>
      <c r="BI93" s="49">
        <v>0</v>
      </c>
      <c r="BJ93" s="74">
        <v>0</v>
      </c>
      <c r="BK93" s="74">
        <v>1</v>
      </c>
      <c r="BL93" s="74">
        <v>1</v>
      </c>
      <c r="BM93" s="49">
        <v>2</v>
      </c>
      <c r="BN93" s="49" t="s">
        <v>3038</v>
      </c>
      <c r="BO93" s="49">
        <v>1</v>
      </c>
      <c r="BP93" s="49">
        <v>0</v>
      </c>
      <c r="BQ93" s="49">
        <v>1</v>
      </c>
      <c r="BR93" s="49">
        <v>0</v>
      </c>
      <c r="BS93" s="49">
        <v>0</v>
      </c>
      <c r="BT93" s="49">
        <v>0</v>
      </c>
      <c r="BU93" s="49">
        <v>0</v>
      </c>
      <c r="BV93" s="49">
        <v>0</v>
      </c>
      <c r="BW93" s="49">
        <v>0</v>
      </c>
      <c r="BX93" s="49">
        <v>0</v>
      </c>
      <c r="BY93" s="49">
        <v>0</v>
      </c>
      <c r="BZ93" s="49">
        <v>0</v>
      </c>
      <c r="CA93" s="49">
        <v>0</v>
      </c>
      <c r="CB93" s="49" t="s">
        <v>100</v>
      </c>
      <c r="CC93" s="49">
        <v>0</v>
      </c>
      <c r="CD93" s="49" t="s">
        <v>100</v>
      </c>
      <c r="CE93" s="49">
        <v>0</v>
      </c>
      <c r="CF93" s="74">
        <v>0</v>
      </c>
      <c r="CG93" s="49">
        <v>0</v>
      </c>
      <c r="CH93" s="49">
        <v>0</v>
      </c>
      <c r="CI93" s="49">
        <v>0</v>
      </c>
      <c r="CJ93" s="49" t="s">
        <v>100</v>
      </c>
      <c r="CK93" s="49">
        <v>0</v>
      </c>
      <c r="CL93" s="49"/>
      <c r="CM93" s="49"/>
      <c r="CN93" s="49">
        <v>0</v>
      </c>
      <c r="CO93" s="49">
        <v>0</v>
      </c>
      <c r="CP93" s="49">
        <v>0</v>
      </c>
      <c r="CQ93" s="49">
        <v>0</v>
      </c>
      <c r="CR93" s="49">
        <v>0</v>
      </c>
      <c r="CS93" s="49">
        <v>0</v>
      </c>
      <c r="CT93" s="49">
        <v>0</v>
      </c>
      <c r="CU93" s="49">
        <v>0</v>
      </c>
      <c r="CV93" s="74">
        <v>1</v>
      </c>
      <c r="CW93" s="49">
        <v>0</v>
      </c>
      <c r="CX93" s="49">
        <v>0</v>
      </c>
      <c r="CY93" s="49">
        <v>0</v>
      </c>
      <c r="CZ93" s="74">
        <v>0</v>
      </c>
      <c r="DA93" s="49">
        <v>0</v>
      </c>
      <c r="DB93" s="49">
        <v>0</v>
      </c>
      <c r="DC93" s="74">
        <v>0</v>
      </c>
      <c r="DD93" s="49"/>
      <c r="DE93" s="49"/>
      <c r="DF93" s="49"/>
      <c r="DG93" s="49"/>
      <c r="DH93" s="49"/>
      <c r="DI93" s="49"/>
      <c r="DJ93" s="49">
        <v>0</v>
      </c>
      <c r="DK93" s="49">
        <v>0</v>
      </c>
      <c r="DL93" s="49" t="s">
        <v>100</v>
      </c>
      <c r="DM93" s="74">
        <v>0</v>
      </c>
      <c r="DN93" s="49">
        <v>0</v>
      </c>
      <c r="DO93" s="49" t="s">
        <v>100</v>
      </c>
      <c r="DP93" s="74">
        <v>0</v>
      </c>
      <c r="DQ93" s="74">
        <v>0</v>
      </c>
      <c r="DR93" s="49">
        <v>0</v>
      </c>
      <c r="DS93" s="74">
        <v>3</v>
      </c>
      <c r="DT93" s="74">
        <v>1</v>
      </c>
      <c r="DU93" s="74">
        <v>0</v>
      </c>
      <c r="DV93" s="49" t="s">
        <v>100</v>
      </c>
      <c r="DW93" s="74">
        <v>2</v>
      </c>
      <c r="DX93" s="74">
        <v>1</v>
      </c>
      <c r="DY93" s="74">
        <v>0</v>
      </c>
      <c r="DZ93" s="74">
        <v>2</v>
      </c>
    </row>
    <row r="94" spans="1:130">
      <c r="A94" s="50">
        <v>92</v>
      </c>
      <c r="B94" s="50" t="s">
        <v>454</v>
      </c>
      <c r="C94" s="50" t="s">
        <v>319</v>
      </c>
      <c r="D94" s="72">
        <v>38329</v>
      </c>
      <c r="E94" s="49" t="s">
        <v>123</v>
      </c>
      <c r="F94" s="73">
        <v>8</v>
      </c>
      <c r="G94" s="74">
        <v>12</v>
      </c>
      <c r="H94" s="74">
        <v>2004</v>
      </c>
      <c r="I94" s="49" t="s">
        <v>455</v>
      </c>
      <c r="J94" s="49" t="s">
        <v>456</v>
      </c>
      <c r="K94" s="74">
        <v>35</v>
      </c>
      <c r="L94" s="74">
        <v>1</v>
      </c>
      <c r="M94" s="73">
        <v>0</v>
      </c>
      <c r="N94" s="74">
        <v>5</v>
      </c>
      <c r="O94" s="74">
        <v>0</v>
      </c>
      <c r="P94" s="73" t="s">
        <v>100</v>
      </c>
      <c r="Q94" s="49">
        <v>0</v>
      </c>
      <c r="R94" s="49">
        <v>0</v>
      </c>
      <c r="S94" s="74">
        <v>4</v>
      </c>
      <c r="T94" s="73">
        <v>2</v>
      </c>
      <c r="U94" s="74">
        <v>1</v>
      </c>
      <c r="V94" s="74">
        <v>25</v>
      </c>
      <c r="W94" s="74">
        <v>0</v>
      </c>
      <c r="X94" s="49">
        <v>0</v>
      </c>
      <c r="Y94" s="49">
        <v>0</v>
      </c>
      <c r="Z94" s="74">
        <v>0</v>
      </c>
      <c r="AA94" s="49"/>
      <c r="AB94" s="49">
        <v>2</v>
      </c>
      <c r="AC94" s="74">
        <v>0</v>
      </c>
      <c r="AD94" s="49" t="s">
        <v>3231</v>
      </c>
      <c r="AE94" s="74">
        <v>3</v>
      </c>
      <c r="AF94" s="74">
        <v>2</v>
      </c>
      <c r="AG94" s="74">
        <v>2</v>
      </c>
      <c r="AH94" s="74">
        <v>0</v>
      </c>
      <c r="AI94" s="49">
        <v>0</v>
      </c>
      <c r="AJ94" s="49">
        <v>0</v>
      </c>
      <c r="AK94" s="49">
        <v>0</v>
      </c>
      <c r="AL94" s="74">
        <v>0</v>
      </c>
      <c r="AM94" s="74">
        <v>1</v>
      </c>
      <c r="AN94" s="74">
        <v>3</v>
      </c>
      <c r="AO94" s="74">
        <v>1</v>
      </c>
      <c r="AP94" s="49" t="s">
        <v>3232</v>
      </c>
      <c r="AQ94" s="49">
        <v>1</v>
      </c>
      <c r="AR94" s="49">
        <v>0</v>
      </c>
      <c r="AS94" s="74">
        <v>1</v>
      </c>
      <c r="AT94" s="49">
        <v>0</v>
      </c>
      <c r="AU94" s="49" t="s">
        <v>100</v>
      </c>
      <c r="AV94" s="49" t="s">
        <v>100</v>
      </c>
      <c r="AW94" s="49" t="s">
        <v>100</v>
      </c>
      <c r="AX94" s="49">
        <v>0</v>
      </c>
      <c r="AY94" s="49">
        <v>0</v>
      </c>
      <c r="AZ94" s="49">
        <v>0</v>
      </c>
      <c r="BA94" s="49">
        <v>0</v>
      </c>
      <c r="BB94" s="74">
        <v>2</v>
      </c>
      <c r="BC94" s="74">
        <v>0</v>
      </c>
      <c r="BD94" s="49">
        <v>0</v>
      </c>
      <c r="BE94" s="49"/>
      <c r="BF94" s="49">
        <v>0</v>
      </c>
      <c r="BG94" s="49"/>
      <c r="BH94" s="49">
        <v>1</v>
      </c>
      <c r="BI94" s="49">
        <v>0</v>
      </c>
      <c r="BJ94" s="49">
        <v>0</v>
      </c>
      <c r="BK94" s="74">
        <v>1</v>
      </c>
      <c r="BL94" s="49">
        <v>1</v>
      </c>
      <c r="BM94" s="49">
        <v>2</v>
      </c>
      <c r="BN94" s="49" t="s">
        <v>3039</v>
      </c>
      <c r="BO94" s="49">
        <v>0</v>
      </c>
      <c r="BP94" s="49">
        <v>1</v>
      </c>
      <c r="BQ94" s="49">
        <v>0</v>
      </c>
      <c r="BR94" s="49">
        <v>0</v>
      </c>
      <c r="BS94" s="49">
        <v>1</v>
      </c>
      <c r="BT94" s="49">
        <v>1</v>
      </c>
      <c r="BU94" s="49">
        <v>1</v>
      </c>
      <c r="BV94" s="49">
        <v>1</v>
      </c>
      <c r="BW94" s="49">
        <v>1</v>
      </c>
      <c r="BX94" s="49">
        <v>1</v>
      </c>
      <c r="BY94" s="49">
        <v>0</v>
      </c>
      <c r="BZ94" s="49">
        <v>0</v>
      </c>
      <c r="CA94" s="49">
        <v>0</v>
      </c>
      <c r="CB94" s="49" t="s">
        <v>100</v>
      </c>
      <c r="CC94" s="74">
        <v>1</v>
      </c>
      <c r="CD94" s="74">
        <v>1</v>
      </c>
      <c r="CE94" s="74">
        <v>2</v>
      </c>
      <c r="CF94" s="49">
        <v>0</v>
      </c>
      <c r="CG94" s="49">
        <v>0</v>
      </c>
      <c r="CH94" s="74">
        <v>3</v>
      </c>
      <c r="CI94" s="49">
        <v>0</v>
      </c>
      <c r="CJ94" s="49" t="s">
        <v>100</v>
      </c>
      <c r="CK94" s="49">
        <v>0</v>
      </c>
      <c r="CL94" s="49"/>
      <c r="CM94" s="49"/>
      <c r="CN94" s="49">
        <v>0</v>
      </c>
      <c r="CO94" s="49">
        <v>0</v>
      </c>
      <c r="CP94" s="49">
        <v>0</v>
      </c>
      <c r="CQ94" s="49">
        <v>0</v>
      </c>
      <c r="CR94" s="49">
        <v>0</v>
      </c>
      <c r="CS94" s="49">
        <v>0</v>
      </c>
      <c r="CT94" s="49">
        <v>0</v>
      </c>
      <c r="CU94" s="49">
        <v>0</v>
      </c>
      <c r="CV94" s="49">
        <v>0</v>
      </c>
      <c r="CW94" s="49">
        <v>0</v>
      </c>
      <c r="CX94" s="74">
        <v>1</v>
      </c>
      <c r="CY94" s="49">
        <v>0</v>
      </c>
      <c r="CZ94" s="74">
        <v>0</v>
      </c>
      <c r="DA94" s="49">
        <v>3</v>
      </c>
      <c r="DB94" s="49">
        <v>0</v>
      </c>
      <c r="DC94" s="49">
        <v>0</v>
      </c>
      <c r="DD94" s="49"/>
      <c r="DE94" s="49"/>
      <c r="DF94" s="49"/>
      <c r="DG94" s="49"/>
      <c r="DH94" s="49"/>
      <c r="DI94" s="49"/>
      <c r="DJ94" s="49">
        <v>0</v>
      </c>
      <c r="DK94" s="49">
        <v>0</v>
      </c>
      <c r="DL94" s="49" t="s">
        <v>100</v>
      </c>
      <c r="DM94" s="74">
        <v>0</v>
      </c>
      <c r="DN94" s="74">
        <v>2</v>
      </c>
      <c r="DO94" s="49" t="s">
        <v>3233</v>
      </c>
      <c r="DP94" s="49">
        <v>0</v>
      </c>
      <c r="DQ94" s="74">
        <v>0</v>
      </c>
      <c r="DR94" s="49">
        <v>0</v>
      </c>
      <c r="DS94" s="74">
        <v>3</v>
      </c>
      <c r="DT94" s="74">
        <v>1</v>
      </c>
      <c r="DU94" s="74">
        <v>0</v>
      </c>
      <c r="DV94" s="49" t="s">
        <v>100</v>
      </c>
      <c r="DW94" s="74">
        <v>1</v>
      </c>
      <c r="DX94" s="74">
        <v>0</v>
      </c>
      <c r="DY94" s="49">
        <v>2</v>
      </c>
      <c r="DZ94" s="49">
        <v>0</v>
      </c>
    </row>
    <row r="95" spans="1:130">
      <c r="A95" s="50">
        <v>93</v>
      </c>
      <c r="B95" s="50" t="s">
        <v>457</v>
      </c>
      <c r="C95" s="50" t="s">
        <v>458</v>
      </c>
      <c r="D95" s="72">
        <v>38422</v>
      </c>
      <c r="E95" s="49" t="s">
        <v>157</v>
      </c>
      <c r="F95" s="73">
        <v>11</v>
      </c>
      <c r="G95" s="74">
        <v>3</v>
      </c>
      <c r="H95" s="74">
        <v>2005</v>
      </c>
      <c r="I95" s="49" t="s">
        <v>459</v>
      </c>
      <c r="J95" s="49" t="s">
        <v>392</v>
      </c>
      <c r="K95" s="74">
        <v>10</v>
      </c>
      <c r="L95" s="73">
        <v>0</v>
      </c>
      <c r="M95" s="74">
        <v>0</v>
      </c>
      <c r="N95" s="74">
        <v>2</v>
      </c>
      <c r="O95" s="73">
        <v>1</v>
      </c>
      <c r="P95" s="74">
        <v>8</v>
      </c>
      <c r="Q95" s="49">
        <v>1</v>
      </c>
      <c r="R95" s="49">
        <v>1</v>
      </c>
      <c r="S95" s="74">
        <v>4</v>
      </c>
      <c r="T95" s="74">
        <v>3</v>
      </c>
      <c r="U95" s="74">
        <v>1</v>
      </c>
      <c r="V95" s="74">
        <v>33</v>
      </c>
      <c r="W95" s="74">
        <v>0</v>
      </c>
      <c r="X95" s="74">
        <v>1</v>
      </c>
      <c r="Y95" s="74">
        <v>0</v>
      </c>
      <c r="Z95" s="74">
        <v>0</v>
      </c>
      <c r="AA95" s="49">
        <v>1</v>
      </c>
      <c r="AB95" s="74">
        <v>2</v>
      </c>
      <c r="AC95" s="74">
        <v>1</v>
      </c>
      <c r="AD95" s="49" t="s">
        <v>3234</v>
      </c>
      <c r="AE95" s="74">
        <v>3</v>
      </c>
      <c r="AF95" s="74">
        <v>1</v>
      </c>
      <c r="AG95" s="74">
        <v>1</v>
      </c>
      <c r="AH95" s="74">
        <v>0</v>
      </c>
      <c r="AI95" s="74">
        <v>1</v>
      </c>
      <c r="AJ95" s="74">
        <v>1</v>
      </c>
      <c r="AK95" s="49">
        <v>0</v>
      </c>
      <c r="AL95" s="74">
        <v>2</v>
      </c>
      <c r="AM95" s="74">
        <v>0</v>
      </c>
      <c r="AN95" s="49" t="s">
        <v>100</v>
      </c>
      <c r="AO95" s="49">
        <v>0</v>
      </c>
      <c r="AP95" s="49"/>
      <c r="AQ95" s="49">
        <v>1</v>
      </c>
      <c r="AR95" s="49">
        <v>0</v>
      </c>
      <c r="AS95" s="49">
        <v>1</v>
      </c>
      <c r="AT95" s="49">
        <v>1</v>
      </c>
      <c r="AU95" s="49">
        <v>2</v>
      </c>
      <c r="AV95" s="49">
        <v>4</v>
      </c>
      <c r="AW95" s="49"/>
      <c r="AX95" s="49">
        <v>1</v>
      </c>
      <c r="AY95" s="74">
        <v>0</v>
      </c>
      <c r="AZ95" s="49">
        <v>0</v>
      </c>
      <c r="BA95" s="49">
        <v>0</v>
      </c>
      <c r="BB95" s="49">
        <v>0</v>
      </c>
      <c r="BC95" s="49">
        <v>0</v>
      </c>
      <c r="BD95" s="49">
        <v>1</v>
      </c>
      <c r="BE95" s="49">
        <v>0</v>
      </c>
      <c r="BF95" s="74">
        <v>0</v>
      </c>
      <c r="BG95" s="74">
        <v>4</v>
      </c>
      <c r="BH95" s="49">
        <v>1</v>
      </c>
      <c r="BI95" s="49">
        <v>0</v>
      </c>
      <c r="BJ95" s="49">
        <v>0</v>
      </c>
      <c r="BK95" s="74">
        <v>1</v>
      </c>
      <c r="BL95" s="49">
        <v>0</v>
      </c>
      <c r="BM95" s="49" t="s">
        <v>100</v>
      </c>
      <c r="BN95" s="49"/>
      <c r="BO95" s="49">
        <v>0</v>
      </c>
      <c r="BP95" s="49">
        <v>0</v>
      </c>
      <c r="BQ95" s="49">
        <v>0</v>
      </c>
      <c r="BR95" s="49">
        <v>0</v>
      </c>
      <c r="BS95" s="49">
        <v>0</v>
      </c>
      <c r="BT95" s="49">
        <v>0</v>
      </c>
      <c r="BU95" s="49">
        <v>0</v>
      </c>
      <c r="BV95" s="49">
        <v>0</v>
      </c>
      <c r="BW95" s="49">
        <v>0</v>
      </c>
      <c r="BX95" s="49">
        <v>0</v>
      </c>
      <c r="BY95" s="74">
        <v>1</v>
      </c>
      <c r="BZ95" s="49">
        <v>0</v>
      </c>
      <c r="CA95" s="49">
        <v>0</v>
      </c>
      <c r="CB95" s="49" t="s">
        <v>100</v>
      </c>
      <c r="CC95" s="49">
        <v>0</v>
      </c>
      <c r="CD95" s="49" t="s">
        <v>100</v>
      </c>
      <c r="CE95" s="74">
        <v>5</v>
      </c>
      <c r="CF95" s="74">
        <v>0</v>
      </c>
      <c r="CG95" s="49">
        <v>0</v>
      </c>
      <c r="CH95" s="74">
        <v>2</v>
      </c>
      <c r="CI95" s="49">
        <v>0</v>
      </c>
      <c r="CJ95" s="49" t="s">
        <v>100</v>
      </c>
      <c r="CK95" s="49">
        <v>0</v>
      </c>
      <c r="CL95" s="49"/>
      <c r="CM95" s="49"/>
      <c r="CN95" s="49">
        <v>0</v>
      </c>
      <c r="CO95" s="49">
        <v>0</v>
      </c>
      <c r="CP95" s="49">
        <v>0</v>
      </c>
      <c r="CQ95" s="49">
        <v>0</v>
      </c>
      <c r="CR95" s="49">
        <v>0</v>
      </c>
      <c r="CS95" s="49">
        <v>0</v>
      </c>
      <c r="CT95" s="74">
        <v>1</v>
      </c>
      <c r="CU95" s="49">
        <v>0</v>
      </c>
      <c r="CV95" s="49">
        <v>0</v>
      </c>
      <c r="CW95" s="49">
        <v>0</v>
      </c>
      <c r="CX95" s="49">
        <v>0</v>
      </c>
      <c r="CY95" s="49">
        <v>0</v>
      </c>
      <c r="CZ95" s="74">
        <v>0</v>
      </c>
      <c r="DA95" s="49">
        <v>1</v>
      </c>
      <c r="DB95" s="49">
        <v>0</v>
      </c>
      <c r="DC95" s="74">
        <v>0</v>
      </c>
      <c r="DD95" s="49"/>
      <c r="DE95" s="49"/>
      <c r="DF95" s="49"/>
      <c r="DG95" s="49"/>
      <c r="DH95" s="49"/>
      <c r="DI95" s="49"/>
      <c r="DJ95" s="49">
        <v>0</v>
      </c>
      <c r="DK95" s="49">
        <v>0</v>
      </c>
      <c r="DL95" s="49" t="s">
        <v>100</v>
      </c>
      <c r="DM95" s="74">
        <v>0</v>
      </c>
      <c r="DN95" s="49">
        <v>0</v>
      </c>
      <c r="DO95" s="49" t="s">
        <v>100</v>
      </c>
      <c r="DP95" s="74">
        <v>0</v>
      </c>
      <c r="DQ95" s="74">
        <v>0</v>
      </c>
      <c r="DR95" s="49">
        <v>0</v>
      </c>
      <c r="DS95" s="49">
        <v>0</v>
      </c>
      <c r="DT95" s="74">
        <v>1</v>
      </c>
      <c r="DU95" s="74">
        <v>0</v>
      </c>
      <c r="DV95" s="49" t="s">
        <v>100</v>
      </c>
      <c r="DW95" s="74">
        <v>2</v>
      </c>
      <c r="DX95" s="74">
        <v>1</v>
      </c>
      <c r="DY95" s="74">
        <v>1</v>
      </c>
      <c r="DZ95" s="74">
        <v>3</v>
      </c>
    </row>
    <row r="96" spans="1:130">
      <c r="A96" s="50">
        <v>94</v>
      </c>
      <c r="B96" s="50" t="s">
        <v>460</v>
      </c>
      <c r="C96" s="50" t="s">
        <v>461</v>
      </c>
      <c r="D96" s="72">
        <v>38423</v>
      </c>
      <c r="E96" s="49" t="s">
        <v>103</v>
      </c>
      <c r="F96" s="73">
        <v>12</v>
      </c>
      <c r="G96" s="73">
        <v>3</v>
      </c>
      <c r="H96" s="49">
        <v>2005</v>
      </c>
      <c r="I96" s="49" t="s">
        <v>462</v>
      </c>
      <c r="J96" s="49" t="s">
        <v>463</v>
      </c>
      <c r="K96" s="73">
        <v>49</v>
      </c>
      <c r="L96" s="73">
        <v>1</v>
      </c>
      <c r="M96" s="73">
        <v>1</v>
      </c>
      <c r="N96" s="74">
        <v>3</v>
      </c>
      <c r="O96" s="74">
        <v>0</v>
      </c>
      <c r="P96" s="73" t="s">
        <v>100</v>
      </c>
      <c r="Q96" s="49">
        <v>0</v>
      </c>
      <c r="R96" s="49">
        <v>0</v>
      </c>
      <c r="S96" s="73">
        <v>7</v>
      </c>
      <c r="T96" s="73">
        <v>4</v>
      </c>
      <c r="U96" s="74">
        <v>0</v>
      </c>
      <c r="V96" s="49">
        <v>44</v>
      </c>
      <c r="W96" s="49">
        <v>0</v>
      </c>
      <c r="X96" s="74">
        <v>0</v>
      </c>
      <c r="Y96" s="49">
        <v>0</v>
      </c>
      <c r="Z96" s="74">
        <v>0</v>
      </c>
      <c r="AA96" s="74">
        <v>1</v>
      </c>
      <c r="AB96" s="74">
        <v>1</v>
      </c>
      <c r="AC96" s="74">
        <v>1</v>
      </c>
      <c r="AD96" s="49" t="s">
        <v>3235</v>
      </c>
      <c r="AE96" s="49">
        <v>1</v>
      </c>
      <c r="AF96" s="74">
        <v>3</v>
      </c>
      <c r="AG96" s="49">
        <v>0</v>
      </c>
      <c r="AH96" s="74">
        <v>3</v>
      </c>
      <c r="AI96" s="49">
        <v>0</v>
      </c>
      <c r="AJ96" s="49">
        <v>0</v>
      </c>
      <c r="AK96" s="49">
        <v>1</v>
      </c>
      <c r="AL96" s="74">
        <v>2</v>
      </c>
      <c r="AM96" s="49">
        <v>1</v>
      </c>
      <c r="AN96" s="49">
        <v>4</v>
      </c>
      <c r="AO96" s="74">
        <v>1</v>
      </c>
      <c r="AP96" s="49" t="s">
        <v>3163</v>
      </c>
      <c r="AQ96" s="49">
        <v>0</v>
      </c>
      <c r="AR96" s="49">
        <v>0</v>
      </c>
      <c r="AS96" s="49">
        <v>0</v>
      </c>
      <c r="AT96" s="49">
        <v>0</v>
      </c>
      <c r="AU96" s="49" t="s">
        <v>100</v>
      </c>
      <c r="AV96" s="49" t="s">
        <v>100</v>
      </c>
      <c r="AW96" s="49" t="s">
        <v>100</v>
      </c>
      <c r="AX96" s="49">
        <v>0</v>
      </c>
      <c r="AY96" s="49">
        <v>0</v>
      </c>
      <c r="AZ96" s="49">
        <v>0</v>
      </c>
      <c r="BA96" s="49">
        <v>0</v>
      </c>
      <c r="BB96" s="49">
        <v>0</v>
      </c>
      <c r="BC96" s="74">
        <v>0</v>
      </c>
      <c r="BD96" s="74">
        <v>1</v>
      </c>
      <c r="BE96" s="49">
        <v>1</v>
      </c>
      <c r="BF96" s="49"/>
      <c r="BG96" s="74">
        <v>1</v>
      </c>
      <c r="BH96" s="49">
        <v>1</v>
      </c>
      <c r="BI96" s="49">
        <v>0</v>
      </c>
      <c r="BJ96" s="49">
        <v>0</v>
      </c>
      <c r="BK96" s="49">
        <v>1</v>
      </c>
      <c r="BL96" s="49">
        <v>1</v>
      </c>
      <c r="BM96" s="49">
        <v>1</v>
      </c>
      <c r="BN96" s="49" t="s">
        <v>3040</v>
      </c>
      <c r="BO96" s="49">
        <v>1</v>
      </c>
      <c r="BP96" s="49">
        <v>0</v>
      </c>
      <c r="BQ96" s="49">
        <v>1</v>
      </c>
      <c r="BR96" s="49">
        <v>0</v>
      </c>
      <c r="BS96" s="49">
        <v>1</v>
      </c>
      <c r="BT96" s="49">
        <v>1</v>
      </c>
      <c r="BU96" s="49">
        <v>0</v>
      </c>
      <c r="BV96" s="49">
        <v>1</v>
      </c>
      <c r="BW96" s="49">
        <v>0</v>
      </c>
      <c r="BX96" s="49">
        <v>0</v>
      </c>
      <c r="BY96" s="74">
        <v>2</v>
      </c>
      <c r="BZ96" s="49">
        <v>0</v>
      </c>
      <c r="CA96" s="49">
        <v>0</v>
      </c>
      <c r="CB96" s="49" t="s">
        <v>100</v>
      </c>
      <c r="CC96" s="49">
        <v>0</v>
      </c>
      <c r="CD96" s="49" t="s">
        <v>100</v>
      </c>
      <c r="CE96" s="74">
        <v>1</v>
      </c>
      <c r="CF96" s="49">
        <v>0</v>
      </c>
      <c r="CG96" s="49">
        <v>0</v>
      </c>
      <c r="CH96" s="74">
        <v>5</v>
      </c>
      <c r="CI96" s="49">
        <v>1</v>
      </c>
      <c r="CJ96" s="49" t="s">
        <v>3106</v>
      </c>
      <c r="CK96" s="49">
        <v>0</v>
      </c>
      <c r="CL96" s="49"/>
      <c r="CM96" s="49"/>
      <c r="CN96" s="49">
        <v>0</v>
      </c>
      <c r="CO96" s="49">
        <v>3</v>
      </c>
      <c r="CP96" s="49">
        <v>0</v>
      </c>
      <c r="CQ96" s="49">
        <v>0</v>
      </c>
      <c r="CR96" s="49">
        <v>1</v>
      </c>
      <c r="CS96" s="49">
        <v>1</v>
      </c>
      <c r="CT96" s="49">
        <v>0</v>
      </c>
      <c r="CU96" s="49">
        <v>0</v>
      </c>
      <c r="CV96" s="49">
        <v>0</v>
      </c>
      <c r="CW96" s="49">
        <v>0</v>
      </c>
      <c r="CX96" s="49">
        <v>0</v>
      </c>
      <c r="CY96" s="49">
        <v>0</v>
      </c>
      <c r="CZ96" s="74">
        <v>0</v>
      </c>
      <c r="DA96" s="49">
        <v>0</v>
      </c>
      <c r="DB96" s="74">
        <v>1</v>
      </c>
      <c r="DC96" s="74">
        <v>0</v>
      </c>
      <c r="DD96" s="49"/>
      <c r="DE96" s="49"/>
      <c r="DF96" s="49"/>
      <c r="DG96" s="49"/>
      <c r="DH96" s="49"/>
      <c r="DI96" s="49"/>
      <c r="DJ96" s="49">
        <v>0</v>
      </c>
      <c r="DK96" s="49">
        <v>0</v>
      </c>
      <c r="DL96" s="49" t="s">
        <v>100</v>
      </c>
      <c r="DM96" s="74">
        <v>0</v>
      </c>
      <c r="DN96" s="49">
        <v>0</v>
      </c>
      <c r="DO96" s="49" t="s">
        <v>100</v>
      </c>
      <c r="DP96" s="74">
        <v>0</v>
      </c>
      <c r="DQ96" s="74">
        <v>0</v>
      </c>
      <c r="DR96" s="74">
        <v>0</v>
      </c>
      <c r="DS96" s="74">
        <v>3</v>
      </c>
      <c r="DT96" s="49">
        <v>1</v>
      </c>
      <c r="DU96" s="74">
        <v>0</v>
      </c>
      <c r="DV96" s="49" t="s">
        <v>100</v>
      </c>
      <c r="DW96" s="49">
        <v>0</v>
      </c>
      <c r="DX96" s="74">
        <v>0</v>
      </c>
      <c r="DY96" s="49">
        <v>2</v>
      </c>
      <c r="DZ96" s="49">
        <v>0</v>
      </c>
    </row>
    <row r="97" spans="1:130">
      <c r="A97" s="50">
        <v>95</v>
      </c>
      <c r="B97" s="50" t="s">
        <v>464</v>
      </c>
      <c r="C97" s="50" t="s">
        <v>465</v>
      </c>
      <c r="D97" s="72">
        <v>38432</v>
      </c>
      <c r="E97" s="49" t="s">
        <v>95</v>
      </c>
      <c r="F97" s="73">
        <v>21</v>
      </c>
      <c r="G97" s="73">
        <v>3</v>
      </c>
      <c r="H97" s="49">
        <v>2005</v>
      </c>
      <c r="I97" s="49" t="s">
        <v>466</v>
      </c>
      <c r="J97" s="49" t="s">
        <v>467</v>
      </c>
      <c r="K97" s="73">
        <v>23</v>
      </c>
      <c r="L97" s="73">
        <v>1</v>
      </c>
      <c r="M97" s="73">
        <v>2</v>
      </c>
      <c r="N97" s="73">
        <v>0</v>
      </c>
      <c r="O97" s="74">
        <v>1</v>
      </c>
      <c r="P97" s="74">
        <v>7</v>
      </c>
      <c r="Q97" s="49">
        <v>0</v>
      </c>
      <c r="R97" s="49">
        <v>0</v>
      </c>
      <c r="S97" s="74">
        <v>9</v>
      </c>
      <c r="T97" s="73">
        <v>7</v>
      </c>
      <c r="U97" s="74">
        <v>0</v>
      </c>
      <c r="V97" s="74">
        <v>16</v>
      </c>
      <c r="W97" s="49">
        <v>0</v>
      </c>
      <c r="X97" s="49">
        <v>5</v>
      </c>
      <c r="Y97" s="74">
        <v>0</v>
      </c>
      <c r="Z97" s="49">
        <v>0</v>
      </c>
      <c r="AA97" s="49"/>
      <c r="AB97" s="49">
        <v>0</v>
      </c>
      <c r="AC97" s="74">
        <v>0</v>
      </c>
      <c r="AD97" s="49" t="s">
        <v>3236</v>
      </c>
      <c r="AE97" s="74">
        <v>1</v>
      </c>
      <c r="AF97" s="74">
        <v>2</v>
      </c>
      <c r="AG97" s="74">
        <v>0</v>
      </c>
      <c r="AH97" s="74">
        <v>2</v>
      </c>
      <c r="AI97" s="49">
        <v>0</v>
      </c>
      <c r="AJ97" s="49">
        <v>0</v>
      </c>
      <c r="AK97" s="49">
        <v>0</v>
      </c>
      <c r="AL97" s="49"/>
      <c r="AM97" s="49">
        <v>0</v>
      </c>
      <c r="AN97" s="49" t="s">
        <v>100</v>
      </c>
      <c r="AO97" s="74">
        <v>0</v>
      </c>
      <c r="AP97" s="49"/>
      <c r="AQ97" s="49">
        <v>0</v>
      </c>
      <c r="AR97" s="49">
        <v>0</v>
      </c>
      <c r="AS97" s="74">
        <v>0</v>
      </c>
      <c r="AT97" s="49">
        <v>0</v>
      </c>
      <c r="AU97" s="49" t="s">
        <v>100</v>
      </c>
      <c r="AV97" s="49" t="s">
        <v>100</v>
      </c>
      <c r="AW97" s="49" t="s">
        <v>100</v>
      </c>
      <c r="AX97" s="49">
        <v>0</v>
      </c>
      <c r="AY97" s="49">
        <v>0</v>
      </c>
      <c r="AZ97" s="49">
        <v>0</v>
      </c>
      <c r="BA97" s="74">
        <v>1</v>
      </c>
      <c r="BB97" s="49">
        <v>0</v>
      </c>
      <c r="BC97" s="49">
        <v>0</v>
      </c>
      <c r="BD97" s="49">
        <v>1</v>
      </c>
      <c r="BE97" s="74">
        <v>1</v>
      </c>
      <c r="BF97" s="74">
        <v>1</v>
      </c>
      <c r="BG97" s="74">
        <v>2</v>
      </c>
      <c r="BH97" s="49">
        <v>0</v>
      </c>
      <c r="BI97" s="49"/>
      <c r="BJ97" s="49">
        <v>0</v>
      </c>
      <c r="BK97" s="49">
        <v>0</v>
      </c>
      <c r="BL97" s="49">
        <v>1</v>
      </c>
      <c r="BM97" s="49">
        <v>3</v>
      </c>
      <c r="BN97" s="49" t="s">
        <v>3041</v>
      </c>
      <c r="BO97" s="49">
        <v>1</v>
      </c>
      <c r="BP97" s="49">
        <v>1</v>
      </c>
      <c r="BQ97" s="49">
        <v>1</v>
      </c>
      <c r="BR97" s="49">
        <v>0</v>
      </c>
      <c r="BS97" s="49">
        <v>0</v>
      </c>
      <c r="BT97" s="49">
        <v>1</v>
      </c>
      <c r="BU97" s="49">
        <v>1</v>
      </c>
      <c r="BV97" s="49">
        <v>1</v>
      </c>
      <c r="BW97" s="49">
        <v>0</v>
      </c>
      <c r="BX97" s="49">
        <v>0</v>
      </c>
      <c r="BY97" s="74">
        <v>1</v>
      </c>
      <c r="BZ97" s="49">
        <v>1</v>
      </c>
      <c r="CA97" s="49">
        <v>1</v>
      </c>
      <c r="CB97" s="74">
        <v>0</v>
      </c>
      <c r="CC97" s="49">
        <v>1</v>
      </c>
      <c r="CD97" s="74">
        <v>1</v>
      </c>
      <c r="CE97" s="74">
        <v>1</v>
      </c>
      <c r="CF97" s="74">
        <v>1</v>
      </c>
      <c r="CG97" s="49">
        <v>0</v>
      </c>
      <c r="CH97" s="74">
        <v>2</v>
      </c>
      <c r="CI97" s="49">
        <v>0</v>
      </c>
      <c r="CJ97" s="49" t="s">
        <v>100</v>
      </c>
      <c r="CK97" s="49">
        <v>1</v>
      </c>
      <c r="CL97" s="49"/>
      <c r="CM97" s="49"/>
      <c r="CN97" s="49">
        <v>0</v>
      </c>
      <c r="CO97" s="49">
        <v>0</v>
      </c>
      <c r="CP97" s="49">
        <v>0</v>
      </c>
      <c r="CQ97" s="49">
        <v>0</v>
      </c>
      <c r="CR97" s="49">
        <v>0</v>
      </c>
      <c r="CS97" s="49">
        <v>0</v>
      </c>
      <c r="CT97" s="49">
        <v>0</v>
      </c>
      <c r="CU97" s="49">
        <v>0</v>
      </c>
      <c r="CV97" s="49">
        <v>0</v>
      </c>
      <c r="CW97" s="49">
        <v>0</v>
      </c>
      <c r="CX97" s="49">
        <v>0</v>
      </c>
      <c r="CY97" s="74">
        <v>1</v>
      </c>
      <c r="CZ97" s="74">
        <v>0</v>
      </c>
      <c r="DA97" s="49">
        <v>0</v>
      </c>
      <c r="DB97" s="74">
        <v>1</v>
      </c>
      <c r="DC97" s="49">
        <v>1</v>
      </c>
      <c r="DD97" s="49">
        <v>4</v>
      </c>
      <c r="DE97" s="49">
        <v>6</v>
      </c>
      <c r="DF97" s="49">
        <v>0</v>
      </c>
      <c r="DG97" s="49"/>
      <c r="DH97" s="49"/>
      <c r="DI97" s="49"/>
      <c r="DJ97" s="74">
        <v>1</v>
      </c>
      <c r="DK97" s="49" t="s">
        <v>833</v>
      </c>
      <c r="DL97" s="49" t="s">
        <v>100</v>
      </c>
      <c r="DM97" s="74">
        <v>0</v>
      </c>
      <c r="DN97" s="74">
        <v>2</v>
      </c>
      <c r="DO97" s="49" t="s">
        <v>3237</v>
      </c>
      <c r="DP97" s="49">
        <v>0</v>
      </c>
      <c r="DQ97" s="74">
        <v>0</v>
      </c>
      <c r="DR97" s="74">
        <v>1</v>
      </c>
      <c r="DS97" s="49"/>
      <c r="DT97" s="74">
        <v>3</v>
      </c>
      <c r="DU97" s="74">
        <v>1</v>
      </c>
      <c r="DV97" s="49" t="s">
        <v>468</v>
      </c>
      <c r="DW97" s="74">
        <v>0</v>
      </c>
      <c r="DX97" s="74">
        <v>0</v>
      </c>
      <c r="DY97" s="49">
        <v>2</v>
      </c>
      <c r="DZ97" s="49">
        <v>0</v>
      </c>
    </row>
    <row r="98" spans="1:130">
      <c r="A98" s="50">
        <v>96</v>
      </c>
      <c r="B98" s="50" t="s">
        <v>469</v>
      </c>
      <c r="C98" s="50" t="s">
        <v>470</v>
      </c>
      <c r="D98" s="72">
        <v>38592</v>
      </c>
      <c r="E98" s="49" t="s">
        <v>137</v>
      </c>
      <c r="F98" s="73">
        <v>28</v>
      </c>
      <c r="G98" s="73">
        <v>8</v>
      </c>
      <c r="H98" s="49">
        <v>2005</v>
      </c>
      <c r="I98" s="49" t="s">
        <v>471</v>
      </c>
      <c r="J98" s="49" t="s">
        <v>864</v>
      </c>
      <c r="K98" s="74">
        <v>43</v>
      </c>
      <c r="L98" s="73">
        <v>0</v>
      </c>
      <c r="M98" s="74">
        <v>2</v>
      </c>
      <c r="N98" s="74">
        <v>3</v>
      </c>
      <c r="O98" s="74">
        <v>1</v>
      </c>
      <c r="P98" s="74">
        <v>8</v>
      </c>
      <c r="Q98" s="49">
        <v>0</v>
      </c>
      <c r="R98" s="49">
        <v>0</v>
      </c>
      <c r="S98" s="73">
        <v>4</v>
      </c>
      <c r="T98" s="74">
        <v>0</v>
      </c>
      <c r="U98" s="74">
        <v>0</v>
      </c>
      <c r="V98" s="49">
        <v>54</v>
      </c>
      <c r="W98" s="49">
        <v>0</v>
      </c>
      <c r="X98" s="49"/>
      <c r="Y98" s="49">
        <v>0</v>
      </c>
      <c r="Z98" s="49">
        <v>0</v>
      </c>
      <c r="AA98" s="49"/>
      <c r="AB98" s="49" t="s">
        <v>818</v>
      </c>
      <c r="AC98" s="49"/>
      <c r="AD98" s="49"/>
      <c r="AE98" s="49"/>
      <c r="AF98" s="49"/>
      <c r="AG98" s="49"/>
      <c r="AH98" s="49"/>
      <c r="AI98" s="49">
        <v>0</v>
      </c>
      <c r="AJ98" s="49">
        <v>0</v>
      </c>
      <c r="AK98" s="49">
        <v>0</v>
      </c>
      <c r="AL98" s="49">
        <v>0</v>
      </c>
      <c r="AM98" s="49">
        <v>0</v>
      </c>
      <c r="AN98" s="49" t="s">
        <v>100</v>
      </c>
      <c r="AO98" s="74">
        <v>0</v>
      </c>
      <c r="AP98" s="49"/>
      <c r="AQ98" s="74">
        <v>1</v>
      </c>
      <c r="AR98" s="49">
        <v>0</v>
      </c>
      <c r="AS98" s="49">
        <v>1</v>
      </c>
      <c r="AT98" s="49">
        <v>0</v>
      </c>
      <c r="AU98" s="49" t="s">
        <v>100</v>
      </c>
      <c r="AV98" s="49" t="s">
        <v>100</v>
      </c>
      <c r="AW98" s="49" t="s">
        <v>100</v>
      </c>
      <c r="AX98" s="49">
        <v>0</v>
      </c>
      <c r="AY98" s="49">
        <v>0</v>
      </c>
      <c r="AZ98" s="49">
        <v>0</v>
      </c>
      <c r="BA98" s="49">
        <v>0</v>
      </c>
      <c r="BB98" s="49">
        <v>0</v>
      </c>
      <c r="BC98" s="74">
        <v>1</v>
      </c>
      <c r="BD98" s="49">
        <v>0</v>
      </c>
      <c r="BE98" s="49"/>
      <c r="BF98" s="49"/>
      <c r="BG98" s="49"/>
      <c r="BH98" s="49"/>
      <c r="BI98" s="49">
        <v>0</v>
      </c>
      <c r="BJ98" s="49">
        <v>0</v>
      </c>
      <c r="BK98" s="49">
        <v>0</v>
      </c>
      <c r="BL98" s="74">
        <v>1</v>
      </c>
      <c r="BM98" s="49">
        <v>2</v>
      </c>
      <c r="BN98" s="49" t="s">
        <v>3042</v>
      </c>
      <c r="BO98" s="49">
        <v>0</v>
      </c>
      <c r="BP98" s="49">
        <v>0</v>
      </c>
      <c r="BQ98" s="49">
        <v>0</v>
      </c>
      <c r="BR98" s="49">
        <v>0</v>
      </c>
      <c r="BS98" s="49">
        <v>0</v>
      </c>
      <c r="BT98" s="49">
        <v>0</v>
      </c>
      <c r="BU98" s="49">
        <v>1</v>
      </c>
      <c r="BV98" s="49">
        <v>1</v>
      </c>
      <c r="BW98" s="49">
        <v>0</v>
      </c>
      <c r="BX98" s="49">
        <v>0</v>
      </c>
      <c r="BY98" s="49">
        <v>0</v>
      </c>
      <c r="BZ98" s="49">
        <v>0</v>
      </c>
      <c r="CA98" s="49">
        <v>0</v>
      </c>
      <c r="CB98" s="49" t="s">
        <v>100</v>
      </c>
      <c r="CC98" s="49">
        <v>0</v>
      </c>
      <c r="CD98" s="49" t="s">
        <v>100</v>
      </c>
      <c r="CE98" s="74">
        <v>5</v>
      </c>
      <c r="CF98" s="49">
        <v>0</v>
      </c>
      <c r="CG98" s="49">
        <v>0</v>
      </c>
      <c r="CH98" s="49"/>
      <c r="CI98" s="49">
        <v>1</v>
      </c>
      <c r="CJ98" s="49" t="s">
        <v>3107</v>
      </c>
      <c r="CK98" s="49">
        <v>0</v>
      </c>
      <c r="CL98" s="49"/>
      <c r="CM98" s="49"/>
      <c r="CN98" s="49">
        <v>0</v>
      </c>
      <c r="CO98" s="49">
        <v>0</v>
      </c>
      <c r="CP98" s="49">
        <v>0</v>
      </c>
      <c r="CQ98" s="49">
        <v>0</v>
      </c>
      <c r="CR98" s="49">
        <v>0</v>
      </c>
      <c r="CS98" s="49">
        <v>0</v>
      </c>
      <c r="CT98" s="49">
        <v>0</v>
      </c>
      <c r="CU98" s="49">
        <v>0</v>
      </c>
      <c r="CV98" s="49">
        <v>1</v>
      </c>
      <c r="CW98" s="49">
        <v>0</v>
      </c>
      <c r="CX98" s="49">
        <v>0</v>
      </c>
      <c r="CY98" s="49">
        <v>0</v>
      </c>
      <c r="CZ98" s="74">
        <v>0</v>
      </c>
      <c r="DA98" s="74">
        <v>1</v>
      </c>
      <c r="DB98" s="49">
        <v>0</v>
      </c>
      <c r="DC98" s="74">
        <v>0</v>
      </c>
      <c r="DD98" s="49"/>
      <c r="DE98" s="49"/>
      <c r="DF98" s="49"/>
      <c r="DG98" s="49"/>
      <c r="DH98" s="49"/>
      <c r="DI98" s="49"/>
      <c r="DJ98" s="49">
        <v>0</v>
      </c>
      <c r="DK98" s="49">
        <v>0</v>
      </c>
      <c r="DL98" s="49" t="s">
        <v>100</v>
      </c>
      <c r="DM98" s="74">
        <v>0</v>
      </c>
      <c r="DN98" s="49">
        <v>0</v>
      </c>
      <c r="DO98" s="49" t="s">
        <v>100</v>
      </c>
      <c r="DP98" s="74">
        <v>0</v>
      </c>
      <c r="DQ98" s="74">
        <v>0</v>
      </c>
      <c r="DR98" s="49">
        <v>0</v>
      </c>
      <c r="DS98" s="74">
        <v>1</v>
      </c>
      <c r="DT98" s="74">
        <v>2</v>
      </c>
      <c r="DU98" s="74">
        <v>0</v>
      </c>
      <c r="DV98" s="49" t="s">
        <v>100</v>
      </c>
      <c r="DW98" s="49">
        <v>0</v>
      </c>
      <c r="DX98" s="74">
        <v>0</v>
      </c>
      <c r="DY98" s="49">
        <v>2</v>
      </c>
      <c r="DZ98" s="49">
        <v>0</v>
      </c>
    </row>
    <row r="99" spans="1:130">
      <c r="A99" s="50">
        <v>97</v>
      </c>
      <c r="B99" s="50" t="s">
        <v>472</v>
      </c>
      <c r="C99" s="50" t="s">
        <v>473</v>
      </c>
      <c r="D99" s="72">
        <v>38747</v>
      </c>
      <c r="E99" s="49" t="s">
        <v>95</v>
      </c>
      <c r="F99" s="73">
        <v>30</v>
      </c>
      <c r="G99" s="73">
        <v>1</v>
      </c>
      <c r="H99" s="49">
        <v>2006</v>
      </c>
      <c r="I99" s="49" t="s">
        <v>474</v>
      </c>
      <c r="J99" s="49" t="s">
        <v>475</v>
      </c>
      <c r="K99" s="73">
        <v>5</v>
      </c>
      <c r="L99" s="73">
        <v>3</v>
      </c>
      <c r="M99" s="74">
        <v>1</v>
      </c>
      <c r="N99" s="74">
        <v>6</v>
      </c>
      <c r="O99" s="74">
        <v>1</v>
      </c>
      <c r="P99" s="74">
        <v>7</v>
      </c>
      <c r="Q99" s="49">
        <v>0</v>
      </c>
      <c r="R99" s="49">
        <v>0</v>
      </c>
      <c r="S99" s="73">
        <v>7</v>
      </c>
      <c r="T99" s="74">
        <v>0</v>
      </c>
      <c r="U99" s="74">
        <v>0</v>
      </c>
      <c r="V99" s="49">
        <v>44</v>
      </c>
      <c r="W99" s="49">
        <v>1</v>
      </c>
      <c r="X99" s="74">
        <v>0</v>
      </c>
      <c r="Y99" s="49">
        <v>0</v>
      </c>
      <c r="Z99" s="49">
        <v>0</v>
      </c>
      <c r="AA99" s="74">
        <v>1</v>
      </c>
      <c r="AB99" s="75" t="s">
        <v>818</v>
      </c>
      <c r="AC99" s="49"/>
      <c r="AD99" s="49"/>
      <c r="AE99" s="49"/>
      <c r="AF99" s="74">
        <v>2</v>
      </c>
      <c r="AG99" s="49"/>
      <c r="AH99" s="49"/>
      <c r="AI99" s="49">
        <v>0</v>
      </c>
      <c r="AJ99" s="74">
        <v>0</v>
      </c>
      <c r="AK99" s="49">
        <v>0</v>
      </c>
      <c r="AL99" s="49">
        <v>0</v>
      </c>
      <c r="AM99" s="49">
        <v>0</v>
      </c>
      <c r="AN99" s="49" t="s">
        <v>100</v>
      </c>
      <c r="AO99" s="74">
        <v>0</v>
      </c>
      <c r="AP99" s="49"/>
      <c r="AQ99" s="74">
        <v>1</v>
      </c>
      <c r="AR99" s="49">
        <v>0</v>
      </c>
      <c r="AS99" s="74">
        <v>0</v>
      </c>
      <c r="AT99" s="49">
        <v>0</v>
      </c>
      <c r="AU99" s="49" t="s">
        <v>100</v>
      </c>
      <c r="AV99" s="49" t="s">
        <v>100</v>
      </c>
      <c r="AW99" s="49" t="s">
        <v>100</v>
      </c>
      <c r="AX99" s="49">
        <v>0</v>
      </c>
      <c r="AY99" s="49">
        <v>0</v>
      </c>
      <c r="AZ99" s="49">
        <v>0</v>
      </c>
      <c r="BA99" s="74">
        <v>0</v>
      </c>
      <c r="BB99" s="49">
        <v>0</v>
      </c>
      <c r="BC99" s="74">
        <v>0</v>
      </c>
      <c r="BD99" s="74">
        <v>0</v>
      </c>
      <c r="BE99" s="75"/>
      <c r="BF99" s="75"/>
      <c r="BG99" s="75"/>
      <c r="BH99" s="75"/>
      <c r="BI99" s="74">
        <v>0</v>
      </c>
      <c r="BJ99" s="49">
        <v>0</v>
      </c>
      <c r="BK99" s="49">
        <v>0</v>
      </c>
      <c r="BL99" s="74">
        <v>1</v>
      </c>
      <c r="BM99" s="49">
        <v>3</v>
      </c>
      <c r="BN99" s="49" t="s">
        <v>3080</v>
      </c>
      <c r="BO99" s="49">
        <v>0</v>
      </c>
      <c r="BP99" s="49">
        <v>1</v>
      </c>
      <c r="BQ99" s="49">
        <v>0</v>
      </c>
      <c r="BR99" s="49">
        <v>0</v>
      </c>
      <c r="BS99" s="49">
        <v>1</v>
      </c>
      <c r="BT99" s="49">
        <v>1</v>
      </c>
      <c r="BU99" s="49">
        <v>0</v>
      </c>
      <c r="BV99" s="49">
        <v>0</v>
      </c>
      <c r="BW99" s="49">
        <v>1</v>
      </c>
      <c r="BX99" s="49">
        <v>0</v>
      </c>
      <c r="BY99" s="74">
        <v>2</v>
      </c>
      <c r="BZ99" s="74">
        <v>1</v>
      </c>
      <c r="CA99" s="49">
        <v>0</v>
      </c>
      <c r="CB99" s="49" t="s">
        <v>100</v>
      </c>
      <c r="CC99" s="49">
        <v>0</v>
      </c>
      <c r="CD99" s="74">
        <v>0</v>
      </c>
      <c r="CE99" s="74">
        <v>5</v>
      </c>
      <c r="CF99" s="49">
        <v>0</v>
      </c>
      <c r="CG99" s="49">
        <v>0</v>
      </c>
      <c r="CH99" s="49">
        <v>0</v>
      </c>
      <c r="CI99" s="49">
        <v>0</v>
      </c>
      <c r="CJ99" s="49" t="s">
        <v>100</v>
      </c>
      <c r="CK99" s="49">
        <v>1</v>
      </c>
      <c r="CL99" s="49"/>
      <c r="CM99" s="49"/>
      <c r="CN99" s="74">
        <v>1</v>
      </c>
      <c r="CO99" s="49">
        <v>0</v>
      </c>
      <c r="CP99" s="49">
        <v>0</v>
      </c>
      <c r="CQ99" s="49">
        <v>0</v>
      </c>
      <c r="CR99" s="49">
        <v>0</v>
      </c>
      <c r="CS99" s="49">
        <v>0</v>
      </c>
      <c r="CT99" s="49">
        <v>0</v>
      </c>
      <c r="CU99" s="49">
        <v>0</v>
      </c>
      <c r="CV99" s="49">
        <v>1</v>
      </c>
      <c r="CW99" s="49">
        <v>0</v>
      </c>
      <c r="CX99" s="49">
        <v>0</v>
      </c>
      <c r="CY99" s="49">
        <v>0</v>
      </c>
      <c r="CZ99" s="74">
        <v>0</v>
      </c>
      <c r="DA99" s="74">
        <v>2</v>
      </c>
      <c r="DB99" s="49">
        <v>0</v>
      </c>
      <c r="DC99" s="74">
        <v>0</v>
      </c>
      <c r="DD99" s="75"/>
      <c r="DE99" s="75"/>
      <c r="DF99" s="75"/>
      <c r="DG99" s="75"/>
      <c r="DH99" s="75"/>
      <c r="DI99" s="75"/>
      <c r="DJ99" s="74">
        <v>0</v>
      </c>
      <c r="DK99" s="49">
        <v>0</v>
      </c>
      <c r="DL99" s="49" t="s">
        <v>100</v>
      </c>
      <c r="DM99" s="74">
        <v>1</v>
      </c>
      <c r="DN99" s="49">
        <v>0</v>
      </c>
      <c r="DO99" s="49" t="s">
        <v>100</v>
      </c>
      <c r="DP99" s="74">
        <v>0</v>
      </c>
      <c r="DQ99" s="74">
        <v>0</v>
      </c>
      <c r="DR99" s="74">
        <v>0</v>
      </c>
      <c r="DS99" s="74">
        <v>0</v>
      </c>
      <c r="DT99" s="49">
        <v>1</v>
      </c>
      <c r="DU99" s="74">
        <v>0</v>
      </c>
      <c r="DV99" s="49" t="s">
        <v>100</v>
      </c>
      <c r="DW99" s="74">
        <v>0</v>
      </c>
      <c r="DX99" s="74">
        <v>0</v>
      </c>
      <c r="DY99" s="49">
        <v>2</v>
      </c>
      <c r="DZ99" s="49">
        <v>0</v>
      </c>
    </row>
    <row r="100" spans="1:130">
      <c r="A100" s="50">
        <v>98</v>
      </c>
      <c r="B100" s="50" t="s">
        <v>476</v>
      </c>
      <c r="C100" s="50" t="s">
        <v>477</v>
      </c>
      <c r="D100" s="72">
        <v>38801</v>
      </c>
      <c r="E100" s="49" t="s">
        <v>103</v>
      </c>
      <c r="F100" s="73">
        <v>25</v>
      </c>
      <c r="G100" s="74">
        <v>3</v>
      </c>
      <c r="H100" s="74">
        <v>2006</v>
      </c>
      <c r="I100" s="49" t="s">
        <v>478</v>
      </c>
      <c r="J100" s="49" t="s">
        <v>479</v>
      </c>
      <c r="K100" s="73">
        <v>47</v>
      </c>
      <c r="L100" s="73">
        <v>3</v>
      </c>
      <c r="M100" s="73">
        <v>0</v>
      </c>
      <c r="N100" s="74">
        <v>7</v>
      </c>
      <c r="O100" s="73">
        <v>0</v>
      </c>
      <c r="P100" s="73" t="s">
        <v>100</v>
      </c>
      <c r="Q100" s="49">
        <v>0</v>
      </c>
      <c r="R100" s="49">
        <v>0</v>
      </c>
      <c r="S100" s="73">
        <v>6</v>
      </c>
      <c r="T100" s="74">
        <v>2</v>
      </c>
      <c r="U100" s="74">
        <v>0</v>
      </c>
      <c r="V100" s="49">
        <v>28</v>
      </c>
      <c r="W100" s="74">
        <v>0</v>
      </c>
      <c r="X100" s="74">
        <v>0</v>
      </c>
      <c r="Y100" s="49">
        <v>0</v>
      </c>
      <c r="Z100" s="74">
        <v>0</v>
      </c>
      <c r="AA100" s="49"/>
      <c r="AB100" s="49">
        <v>2</v>
      </c>
      <c r="AC100" s="74">
        <v>2</v>
      </c>
      <c r="AD100" s="49" t="s">
        <v>3238</v>
      </c>
      <c r="AE100" s="74">
        <v>4</v>
      </c>
      <c r="AF100" s="74">
        <v>1</v>
      </c>
      <c r="AG100" s="49"/>
      <c r="AH100" s="49"/>
      <c r="AI100" s="74">
        <v>0</v>
      </c>
      <c r="AJ100" s="49">
        <v>0</v>
      </c>
      <c r="AK100" s="74">
        <v>0</v>
      </c>
      <c r="AL100" s="49">
        <v>0</v>
      </c>
      <c r="AM100" s="74">
        <v>0</v>
      </c>
      <c r="AN100" s="49" t="s">
        <v>100</v>
      </c>
      <c r="AO100" s="74">
        <v>0</v>
      </c>
      <c r="AP100" s="49"/>
      <c r="AQ100" s="49">
        <v>1</v>
      </c>
      <c r="AR100" s="49">
        <v>0</v>
      </c>
      <c r="AS100" s="49">
        <v>1</v>
      </c>
      <c r="AT100" s="74">
        <v>0</v>
      </c>
      <c r="AU100" s="49" t="s">
        <v>100</v>
      </c>
      <c r="AV100" s="49" t="s">
        <v>100</v>
      </c>
      <c r="AW100" s="49" t="s">
        <v>100</v>
      </c>
      <c r="AX100" s="49">
        <v>0</v>
      </c>
      <c r="AY100" s="49">
        <v>0</v>
      </c>
      <c r="AZ100" s="49">
        <v>0</v>
      </c>
      <c r="BA100" s="49">
        <v>0</v>
      </c>
      <c r="BB100" s="74">
        <v>1</v>
      </c>
      <c r="BC100" s="49">
        <v>0</v>
      </c>
      <c r="BD100" s="49">
        <v>1</v>
      </c>
      <c r="BE100" s="74">
        <v>0</v>
      </c>
      <c r="BF100" s="74">
        <v>0</v>
      </c>
      <c r="BG100" s="49"/>
      <c r="BH100" s="49">
        <v>1</v>
      </c>
      <c r="BI100" s="49">
        <v>0</v>
      </c>
      <c r="BJ100" s="74">
        <v>0</v>
      </c>
      <c r="BK100" s="49">
        <v>0</v>
      </c>
      <c r="BL100" s="49">
        <v>1</v>
      </c>
      <c r="BM100" s="49">
        <v>2</v>
      </c>
      <c r="BN100" s="49" t="s">
        <v>3043</v>
      </c>
      <c r="BO100" s="49">
        <v>1</v>
      </c>
      <c r="BP100" s="49">
        <v>0</v>
      </c>
      <c r="BQ100" s="49">
        <v>0</v>
      </c>
      <c r="BR100" s="49">
        <v>0</v>
      </c>
      <c r="BS100" s="49">
        <v>0</v>
      </c>
      <c r="BT100" s="49">
        <v>0</v>
      </c>
      <c r="BU100" s="49">
        <v>0</v>
      </c>
      <c r="BV100" s="49">
        <v>1</v>
      </c>
      <c r="BW100" s="49">
        <v>1</v>
      </c>
      <c r="BX100" s="49">
        <v>0</v>
      </c>
      <c r="BY100" s="74">
        <v>2</v>
      </c>
      <c r="BZ100" s="74">
        <v>0</v>
      </c>
      <c r="CA100" s="74">
        <v>0</v>
      </c>
      <c r="CB100" s="49" t="s">
        <v>100</v>
      </c>
      <c r="CC100" s="74">
        <v>0</v>
      </c>
      <c r="CD100" s="49" t="s">
        <v>100</v>
      </c>
      <c r="CE100" s="74">
        <v>4</v>
      </c>
      <c r="CF100" s="74">
        <v>1</v>
      </c>
      <c r="CG100" s="49">
        <v>0</v>
      </c>
      <c r="CH100" s="49">
        <v>4</v>
      </c>
      <c r="CI100" s="49">
        <v>0</v>
      </c>
      <c r="CJ100" s="49" t="s">
        <v>100</v>
      </c>
      <c r="CK100" s="49">
        <v>0</v>
      </c>
      <c r="CL100" s="49"/>
      <c r="CM100" s="49"/>
      <c r="CN100" s="75">
        <v>0</v>
      </c>
      <c r="CO100" s="49">
        <v>0</v>
      </c>
      <c r="CP100" s="49">
        <v>0</v>
      </c>
      <c r="CQ100" s="49">
        <v>0</v>
      </c>
      <c r="CR100" s="49">
        <v>0</v>
      </c>
      <c r="CS100" s="49">
        <v>0</v>
      </c>
      <c r="CT100" s="49">
        <v>0</v>
      </c>
      <c r="CU100" s="49">
        <v>0</v>
      </c>
      <c r="CV100" s="49">
        <v>0</v>
      </c>
      <c r="CW100" s="49">
        <v>0</v>
      </c>
      <c r="CX100" s="49">
        <v>1</v>
      </c>
      <c r="CY100" s="49">
        <v>0</v>
      </c>
      <c r="CZ100" s="74">
        <v>0</v>
      </c>
      <c r="DA100" s="74">
        <v>2</v>
      </c>
      <c r="DB100" s="74">
        <v>1</v>
      </c>
      <c r="DC100" s="74">
        <v>0</v>
      </c>
      <c r="DD100" s="49"/>
      <c r="DE100" s="49"/>
      <c r="DF100" s="49"/>
      <c r="DG100" s="49"/>
      <c r="DH100" s="49"/>
      <c r="DI100" s="49"/>
      <c r="DJ100" s="49">
        <v>1</v>
      </c>
      <c r="DK100" s="49">
        <v>0</v>
      </c>
      <c r="DL100" s="49" t="s">
        <v>100</v>
      </c>
      <c r="DM100" s="74">
        <v>1</v>
      </c>
      <c r="DN100" s="74">
        <v>1</v>
      </c>
      <c r="DO100" s="49" t="s">
        <v>3380</v>
      </c>
      <c r="DP100" s="74">
        <v>1</v>
      </c>
      <c r="DQ100" s="74">
        <v>1</v>
      </c>
      <c r="DR100" s="49">
        <v>1</v>
      </c>
      <c r="DS100" s="74">
        <v>3</v>
      </c>
      <c r="DT100" s="49">
        <v>3</v>
      </c>
      <c r="DU100" s="74">
        <v>1</v>
      </c>
      <c r="DV100" s="49" t="s">
        <v>440</v>
      </c>
      <c r="DW100" s="49">
        <v>0</v>
      </c>
      <c r="DX100" s="74">
        <v>0</v>
      </c>
      <c r="DY100" s="49">
        <v>2</v>
      </c>
      <c r="DZ100" s="49">
        <v>0</v>
      </c>
    </row>
    <row r="101" spans="1:130">
      <c r="A101" s="50">
        <v>99</v>
      </c>
      <c r="B101" s="50" t="s">
        <v>480</v>
      </c>
      <c r="C101" s="50" t="s">
        <v>481</v>
      </c>
      <c r="D101" s="72">
        <v>38858</v>
      </c>
      <c r="E101" s="49" t="s">
        <v>137</v>
      </c>
      <c r="F101" s="73">
        <v>21</v>
      </c>
      <c r="G101" s="74">
        <v>5</v>
      </c>
      <c r="H101" s="74">
        <v>2006</v>
      </c>
      <c r="I101" s="49" t="s">
        <v>482</v>
      </c>
      <c r="J101" s="49" t="s">
        <v>483</v>
      </c>
      <c r="K101" s="74">
        <v>18</v>
      </c>
      <c r="L101" s="74">
        <v>0</v>
      </c>
      <c r="M101" s="74">
        <v>0</v>
      </c>
      <c r="N101" s="74">
        <v>3</v>
      </c>
      <c r="O101" s="74">
        <v>1</v>
      </c>
      <c r="P101" s="74">
        <v>8</v>
      </c>
      <c r="Q101" s="49">
        <v>0</v>
      </c>
      <c r="R101" s="49">
        <v>0</v>
      </c>
      <c r="S101" s="74">
        <v>5</v>
      </c>
      <c r="T101" s="74">
        <v>1</v>
      </c>
      <c r="U101" s="74">
        <v>1</v>
      </c>
      <c r="V101" s="74">
        <v>25</v>
      </c>
      <c r="W101" s="74">
        <v>0</v>
      </c>
      <c r="X101" s="74">
        <v>1</v>
      </c>
      <c r="Y101" s="49">
        <v>0</v>
      </c>
      <c r="Z101" s="74">
        <v>0</v>
      </c>
      <c r="AA101" s="49">
        <v>0</v>
      </c>
      <c r="AB101" s="74">
        <v>0</v>
      </c>
      <c r="AC101" s="74">
        <v>0</v>
      </c>
      <c r="AD101" s="49" t="s">
        <v>3239</v>
      </c>
      <c r="AE101" s="49"/>
      <c r="AF101" s="74">
        <v>1</v>
      </c>
      <c r="AG101" s="49"/>
      <c r="AH101" s="49"/>
      <c r="AI101" s="74">
        <v>2</v>
      </c>
      <c r="AJ101" s="74">
        <v>1</v>
      </c>
      <c r="AK101" s="74">
        <v>1</v>
      </c>
      <c r="AL101" s="74">
        <v>0</v>
      </c>
      <c r="AM101" s="74">
        <v>0</v>
      </c>
      <c r="AN101" s="49" t="s">
        <v>100</v>
      </c>
      <c r="AO101" s="74">
        <v>0</v>
      </c>
      <c r="AP101" s="49"/>
      <c r="AQ101" s="74">
        <v>1</v>
      </c>
      <c r="AR101" s="49">
        <v>0</v>
      </c>
      <c r="AS101" s="49">
        <v>1</v>
      </c>
      <c r="AT101" s="74">
        <v>1</v>
      </c>
      <c r="AU101" s="49">
        <v>1</v>
      </c>
      <c r="AV101" s="49">
        <v>3</v>
      </c>
      <c r="AW101" s="49"/>
      <c r="AX101" s="49">
        <v>0</v>
      </c>
      <c r="AY101" s="74">
        <v>0</v>
      </c>
      <c r="AZ101" s="74">
        <v>0</v>
      </c>
      <c r="BA101" s="49">
        <v>0</v>
      </c>
      <c r="BB101" s="49">
        <v>0</v>
      </c>
      <c r="BC101" s="49">
        <v>0</v>
      </c>
      <c r="BD101" s="49">
        <v>0</v>
      </c>
      <c r="BE101" s="49"/>
      <c r="BF101" s="49">
        <v>0</v>
      </c>
      <c r="BG101" s="49"/>
      <c r="BH101" s="49">
        <v>0</v>
      </c>
      <c r="BI101" s="74">
        <v>0</v>
      </c>
      <c r="BJ101" s="74">
        <v>1</v>
      </c>
      <c r="BK101" s="74">
        <v>1</v>
      </c>
      <c r="BL101" s="74">
        <v>1</v>
      </c>
      <c r="BM101" s="49">
        <v>3</v>
      </c>
      <c r="BN101" s="49" t="s">
        <v>3081</v>
      </c>
      <c r="BO101" s="49">
        <v>1</v>
      </c>
      <c r="BP101" s="49">
        <v>0</v>
      </c>
      <c r="BQ101" s="49">
        <v>1</v>
      </c>
      <c r="BR101" s="49">
        <v>0</v>
      </c>
      <c r="BS101" s="49">
        <v>0</v>
      </c>
      <c r="BT101" s="49">
        <v>1</v>
      </c>
      <c r="BU101" s="49">
        <v>1</v>
      </c>
      <c r="BV101" s="49">
        <v>1</v>
      </c>
      <c r="BW101" s="49">
        <v>0</v>
      </c>
      <c r="BX101" s="49">
        <v>0</v>
      </c>
      <c r="BY101" s="74">
        <v>0</v>
      </c>
      <c r="BZ101" s="74">
        <v>0</v>
      </c>
      <c r="CA101" s="74">
        <v>0</v>
      </c>
      <c r="CB101" s="49" t="s">
        <v>100</v>
      </c>
      <c r="CC101" s="74">
        <v>0</v>
      </c>
      <c r="CD101" s="49" t="s">
        <v>100</v>
      </c>
      <c r="CE101" s="74">
        <v>1</v>
      </c>
      <c r="CF101" s="49">
        <v>0</v>
      </c>
      <c r="CG101" s="49">
        <v>0</v>
      </c>
      <c r="CH101" s="74">
        <v>2</v>
      </c>
      <c r="CI101" s="74">
        <v>1</v>
      </c>
      <c r="CJ101" s="49" t="s">
        <v>291</v>
      </c>
      <c r="CK101" s="49">
        <v>0</v>
      </c>
      <c r="CL101" s="49"/>
      <c r="CM101" s="49"/>
      <c r="CN101" s="49">
        <v>0</v>
      </c>
      <c r="CO101" s="49">
        <v>0</v>
      </c>
      <c r="CP101" s="49">
        <v>0</v>
      </c>
      <c r="CQ101" s="49">
        <v>0</v>
      </c>
      <c r="CR101" s="49">
        <v>0</v>
      </c>
      <c r="CS101" s="49">
        <v>0</v>
      </c>
      <c r="CT101" s="49">
        <v>0</v>
      </c>
      <c r="CU101" s="74">
        <v>1</v>
      </c>
      <c r="CV101" s="49">
        <v>0</v>
      </c>
      <c r="CW101" s="49">
        <v>0</v>
      </c>
      <c r="CX101" s="49">
        <v>0</v>
      </c>
      <c r="CY101" s="49">
        <v>0</v>
      </c>
      <c r="CZ101" s="74">
        <v>1</v>
      </c>
      <c r="DA101" s="49">
        <v>0</v>
      </c>
      <c r="DB101" s="49">
        <v>0</v>
      </c>
      <c r="DC101" s="74">
        <v>1</v>
      </c>
      <c r="DD101" s="49"/>
      <c r="DE101" s="49">
        <v>2</v>
      </c>
      <c r="DF101" s="49">
        <v>1</v>
      </c>
      <c r="DG101" s="49"/>
      <c r="DH101" s="49"/>
      <c r="DI101" s="49"/>
      <c r="DJ101" s="49">
        <v>0</v>
      </c>
      <c r="DK101" s="49">
        <v>0</v>
      </c>
      <c r="DL101" s="49" t="s">
        <v>100</v>
      </c>
      <c r="DM101" s="74">
        <v>0</v>
      </c>
      <c r="DN101" s="49">
        <v>0</v>
      </c>
      <c r="DO101" s="49" t="s">
        <v>100</v>
      </c>
      <c r="DP101" s="74">
        <v>0</v>
      </c>
      <c r="DQ101" s="74">
        <v>0</v>
      </c>
      <c r="DR101" s="49">
        <v>0</v>
      </c>
      <c r="DS101" s="49"/>
      <c r="DT101" s="74">
        <v>1</v>
      </c>
      <c r="DU101" s="74">
        <v>0</v>
      </c>
      <c r="DV101" s="49" t="s">
        <v>100</v>
      </c>
      <c r="DW101" s="74">
        <v>2</v>
      </c>
      <c r="DX101" s="74">
        <v>1</v>
      </c>
      <c r="DY101" s="74">
        <v>0</v>
      </c>
      <c r="DZ101" s="74">
        <v>1</v>
      </c>
    </row>
    <row r="102" spans="1:130">
      <c r="A102" s="50">
        <v>100</v>
      </c>
      <c r="B102" s="50" t="s">
        <v>484</v>
      </c>
      <c r="C102" s="50" t="s">
        <v>94</v>
      </c>
      <c r="D102" s="72">
        <v>38992</v>
      </c>
      <c r="E102" s="49" t="s">
        <v>95</v>
      </c>
      <c r="F102" s="73">
        <v>2</v>
      </c>
      <c r="G102" s="74">
        <v>10</v>
      </c>
      <c r="H102" s="74">
        <v>2006</v>
      </c>
      <c r="I102" s="49" t="s">
        <v>485</v>
      </c>
      <c r="J102" s="49" t="s">
        <v>486</v>
      </c>
      <c r="K102" s="74">
        <v>38</v>
      </c>
      <c r="L102" s="73">
        <v>2</v>
      </c>
      <c r="M102" s="74">
        <v>2</v>
      </c>
      <c r="N102" s="73">
        <v>0</v>
      </c>
      <c r="O102" s="74">
        <v>0</v>
      </c>
      <c r="P102" s="73" t="s">
        <v>100</v>
      </c>
      <c r="Q102" s="49">
        <v>0</v>
      </c>
      <c r="R102" s="49">
        <v>0</v>
      </c>
      <c r="S102" s="74">
        <v>5</v>
      </c>
      <c r="T102" s="73">
        <v>5</v>
      </c>
      <c r="U102" s="74">
        <v>1</v>
      </c>
      <c r="V102" s="74">
        <v>32</v>
      </c>
      <c r="W102" s="74">
        <v>0</v>
      </c>
      <c r="X102" s="74">
        <v>0</v>
      </c>
      <c r="Y102" s="49">
        <v>0</v>
      </c>
      <c r="Z102" s="74">
        <v>0</v>
      </c>
      <c r="AA102" s="74">
        <v>1</v>
      </c>
      <c r="AB102" s="49">
        <v>1</v>
      </c>
      <c r="AC102" s="49"/>
      <c r="AD102" s="49"/>
      <c r="AE102" s="74">
        <v>1</v>
      </c>
      <c r="AF102" s="74">
        <v>3</v>
      </c>
      <c r="AG102" s="74">
        <v>0</v>
      </c>
      <c r="AH102" s="74">
        <v>3</v>
      </c>
      <c r="AI102" s="74">
        <v>2</v>
      </c>
      <c r="AJ102" s="74">
        <v>1</v>
      </c>
      <c r="AK102" s="74">
        <v>1</v>
      </c>
      <c r="AL102" s="49">
        <v>0</v>
      </c>
      <c r="AM102" s="49">
        <v>0</v>
      </c>
      <c r="AN102" s="49" t="s">
        <v>100</v>
      </c>
      <c r="AO102" s="74">
        <v>2</v>
      </c>
      <c r="AP102" s="49" t="s">
        <v>3240</v>
      </c>
      <c r="AQ102" s="49">
        <v>0</v>
      </c>
      <c r="AR102" s="49">
        <v>0</v>
      </c>
      <c r="AS102" s="49">
        <v>0</v>
      </c>
      <c r="AT102" s="74">
        <v>2</v>
      </c>
      <c r="AU102" s="49">
        <v>2</v>
      </c>
      <c r="AV102" s="49"/>
      <c r="AW102" s="49"/>
      <c r="AX102" s="74">
        <v>1</v>
      </c>
      <c r="AY102" s="49">
        <v>0</v>
      </c>
      <c r="AZ102" s="49">
        <v>0</v>
      </c>
      <c r="BA102" s="49">
        <v>0</v>
      </c>
      <c r="BB102" s="49">
        <v>0</v>
      </c>
      <c r="BC102" s="74">
        <v>0</v>
      </c>
      <c r="BD102" s="74">
        <v>0</v>
      </c>
      <c r="BE102" s="74">
        <v>0</v>
      </c>
      <c r="BF102" s="74">
        <v>0</v>
      </c>
      <c r="BG102" s="49"/>
      <c r="BH102" s="49">
        <v>1</v>
      </c>
      <c r="BI102" s="49">
        <v>1</v>
      </c>
      <c r="BJ102" s="74">
        <v>0</v>
      </c>
      <c r="BK102" s="49">
        <v>0</v>
      </c>
      <c r="BL102" s="74">
        <v>1</v>
      </c>
      <c r="BM102" s="49">
        <v>3</v>
      </c>
      <c r="BN102" s="49" t="s">
        <v>3082</v>
      </c>
      <c r="BO102" s="49">
        <v>1</v>
      </c>
      <c r="BP102" s="49">
        <v>0</v>
      </c>
      <c r="BQ102" s="49">
        <v>1</v>
      </c>
      <c r="BR102" s="49">
        <v>1</v>
      </c>
      <c r="BS102" s="49">
        <v>0</v>
      </c>
      <c r="BT102" s="49">
        <v>0</v>
      </c>
      <c r="BU102" s="49">
        <v>0</v>
      </c>
      <c r="BV102" s="49">
        <v>0</v>
      </c>
      <c r="BW102" s="49">
        <v>0</v>
      </c>
      <c r="BX102" s="49">
        <v>0</v>
      </c>
      <c r="BY102" s="74">
        <v>2</v>
      </c>
      <c r="BZ102" s="49">
        <v>0</v>
      </c>
      <c r="CA102" s="49">
        <v>0</v>
      </c>
      <c r="CB102" s="49" t="s">
        <v>100</v>
      </c>
      <c r="CC102" s="49">
        <v>0</v>
      </c>
      <c r="CD102" s="49" t="s">
        <v>100</v>
      </c>
      <c r="CE102" s="49">
        <v>1</v>
      </c>
      <c r="CF102" s="49">
        <v>0</v>
      </c>
      <c r="CG102" s="49">
        <v>0</v>
      </c>
      <c r="CH102" s="49">
        <v>0</v>
      </c>
      <c r="CI102" s="49">
        <v>0</v>
      </c>
      <c r="CJ102" s="49" t="s">
        <v>100</v>
      </c>
      <c r="CK102" s="49">
        <v>0</v>
      </c>
      <c r="CL102" s="49"/>
      <c r="CM102" s="49"/>
      <c r="CN102" s="49">
        <v>0</v>
      </c>
      <c r="CO102" s="74">
        <v>3</v>
      </c>
      <c r="CP102" s="49">
        <v>0</v>
      </c>
      <c r="CQ102" s="49">
        <v>0</v>
      </c>
      <c r="CR102" s="49">
        <v>0</v>
      </c>
      <c r="CS102" s="49">
        <v>0</v>
      </c>
      <c r="CT102" s="49">
        <v>0</v>
      </c>
      <c r="CU102" s="49">
        <v>0</v>
      </c>
      <c r="CV102" s="49">
        <v>0</v>
      </c>
      <c r="CW102" s="49">
        <v>0</v>
      </c>
      <c r="CX102" s="49">
        <v>0</v>
      </c>
      <c r="CY102" s="49">
        <v>0</v>
      </c>
      <c r="CZ102" s="74">
        <v>0</v>
      </c>
      <c r="DA102" s="74">
        <v>1</v>
      </c>
      <c r="DB102" s="49">
        <v>0</v>
      </c>
      <c r="DC102" s="74">
        <v>0</v>
      </c>
      <c r="DD102" s="49"/>
      <c r="DE102" s="49"/>
      <c r="DF102" s="49"/>
      <c r="DG102" s="49"/>
      <c r="DH102" s="49"/>
      <c r="DI102" s="49"/>
      <c r="DJ102" s="49">
        <v>0</v>
      </c>
      <c r="DK102" s="49">
        <v>0</v>
      </c>
      <c r="DL102" s="49" t="s">
        <v>100</v>
      </c>
      <c r="DM102" s="74">
        <v>1</v>
      </c>
      <c r="DN102" s="49">
        <v>0</v>
      </c>
      <c r="DO102" s="49" t="s">
        <v>100</v>
      </c>
      <c r="DP102" s="74">
        <v>1</v>
      </c>
      <c r="DQ102" s="74">
        <v>0</v>
      </c>
      <c r="DR102" s="49">
        <v>0</v>
      </c>
      <c r="DS102" s="74">
        <v>1</v>
      </c>
      <c r="DT102" s="74">
        <v>3</v>
      </c>
      <c r="DU102" s="74">
        <v>1</v>
      </c>
      <c r="DV102" s="49" t="s">
        <v>487</v>
      </c>
      <c r="DW102" s="74">
        <v>0</v>
      </c>
      <c r="DX102" s="74">
        <v>0</v>
      </c>
      <c r="DY102" s="49">
        <v>2</v>
      </c>
      <c r="DZ102" s="49">
        <v>0</v>
      </c>
    </row>
    <row r="103" spans="1:130">
      <c r="A103" s="50">
        <v>101</v>
      </c>
      <c r="B103" s="50" t="s">
        <v>488</v>
      </c>
      <c r="C103" s="50" t="s">
        <v>489</v>
      </c>
      <c r="D103" s="72">
        <v>39125</v>
      </c>
      <c r="E103" s="49" t="s">
        <v>95</v>
      </c>
      <c r="F103" s="73">
        <v>12</v>
      </c>
      <c r="G103" s="74">
        <v>2</v>
      </c>
      <c r="H103" s="74">
        <v>2007</v>
      </c>
      <c r="I103" s="49" t="s">
        <v>490</v>
      </c>
      <c r="J103" s="49" t="s">
        <v>491</v>
      </c>
      <c r="K103" s="73">
        <v>44</v>
      </c>
      <c r="L103" s="73">
        <v>3</v>
      </c>
      <c r="M103" s="74">
        <v>0</v>
      </c>
      <c r="N103" s="74">
        <v>4</v>
      </c>
      <c r="O103" s="74">
        <v>0</v>
      </c>
      <c r="P103" s="73" t="s">
        <v>100</v>
      </c>
      <c r="Q103" s="49">
        <v>1</v>
      </c>
      <c r="R103" s="49">
        <v>1</v>
      </c>
      <c r="S103" s="74">
        <v>5</v>
      </c>
      <c r="T103" s="73">
        <v>4</v>
      </c>
      <c r="U103" s="74">
        <v>0</v>
      </c>
      <c r="V103" s="74">
        <v>18</v>
      </c>
      <c r="W103" s="74">
        <v>0</v>
      </c>
      <c r="X103" s="74">
        <v>6</v>
      </c>
      <c r="Y103" s="49">
        <v>1</v>
      </c>
      <c r="Z103" s="74">
        <v>0</v>
      </c>
      <c r="AA103" s="74">
        <v>2</v>
      </c>
      <c r="AB103" s="74">
        <v>0</v>
      </c>
      <c r="AC103" s="74">
        <v>0</v>
      </c>
      <c r="AD103" s="49" t="s">
        <v>3241</v>
      </c>
      <c r="AE103" s="74">
        <v>1</v>
      </c>
      <c r="AF103" s="74">
        <v>5</v>
      </c>
      <c r="AG103" s="74">
        <v>0</v>
      </c>
      <c r="AH103" s="74">
        <v>5</v>
      </c>
      <c r="AI103" s="74">
        <v>1</v>
      </c>
      <c r="AJ103" s="49">
        <v>0</v>
      </c>
      <c r="AK103" s="74">
        <v>1</v>
      </c>
      <c r="AL103" s="74">
        <v>0</v>
      </c>
      <c r="AM103" s="49">
        <v>0</v>
      </c>
      <c r="AN103" s="49" t="s">
        <v>100</v>
      </c>
      <c r="AO103" s="74">
        <v>1</v>
      </c>
      <c r="AP103" s="49" t="s">
        <v>3242</v>
      </c>
      <c r="AQ103" s="74">
        <v>1</v>
      </c>
      <c r="AR103" s="49">
        <v>0</v>
      </c>
      <c r="AS103" s="74">
        <v>1</v>
      </c>
      <c r="AT103" s="74">
        <v>0</v>
      </c>
      <c r="AU103" s="49" t="s">
        <v>100</v>
      </c>
      <c r="AV103" s="49" t="s">
        <v>100</v>
      </c>
      <c r="AW103" s="49" t="s">
        <v>100</v>
      </c>
      <c r="AX103" s="49">
        <v>0</v>
      </c>
      <c r="AY103" s="49">
        <v>0</v>
      </c>
      <c r="AZ103" s="74">
        <v>0</v>
      </c>
      <c r="BA103" s="49">
        <v>0</v>
      </c>
      <c r="BB103" s="74">
        <v>0</v>
      </c>
      <c r="BC103" s="49">
        <v>0</v>
      </c>
      <c r="BD103" s="74">
        <v>1</v>
      </c>
      <c r="BE103" s="49">
        <v>0</v>
      </c>
      <c r="BF103" s="74">
        <v>0</v>
      </c>
      <c r="BG103" s="74">
        <v>3</v>
      </c>
      <c r="BH103" s="49">
        <v>0</v>
      </c>
      <c r="BI103" s="49">
        <v>0</v>
      </c>
      <c r="BJ103" s="74">
        <v>0</v>
      </c>
      <c r="BK103" s="49">
        <v>0</v>
      </c>
      <c r="BL103" s="74">
        <v>0</v>
      </c>
      <c r="BM103" s="49" t="s">
        <v>100</v>
      </c>
      <c r="BN103" s="49"/>
      <c r="BO103" s="49">
        <v>0</v>
      </c>
      <c r="BP103" s="49">
        <v>0</v>
      </c>
      <c r="BQ103" s="49">
        <v>0</v>
      </c>
      <c r="BR103" s="49">
        <v>0</v>
      </c>
      <c r="BS103" s="49">
        <v>0</v>
      </c>
      <c r="BT103" s="49">
        <v>0</v>
      </c>
      <c r="BU103" s="49">
        <v>0</v>
      </c>
      <c r="BV103" s="49">
        <v>0</v>
      </c>
      <c r="BW103" s="49">
        <v>0</v>
      </c>
      <c r="BX103" s="49">
        <v>0</v>
      </c>
      <c r="BY103" s="74">
        <v>2</v>
      </c>
      <c r="BZ103" s="49">
        <v>0</v>
      </c>
      <c r="CA103" s="74">
        <v>1</v>
      </c>
      <c r="CB103" s="74">
        <v>0</v>
      </c>
      <c r="CC103" s="49">
        <v>0</v>
      </c>
      <c r="CD103" s="74">
        <v>0</v>
      </c>
      <c r="CE103" s="74">
        <v>3</v>
      </c>
      <c r="CF103" s="49">
        <v>0</v>
      </c>
      <c r="CG103" s="49">
        <v>0</v>
      </c>
      <c r="CH103" s="74">
        <v>0</v>
      </c>
      <c r="CI103" s="49">
        <v>0</v>
      </c>
      <c r="CJ103" s="49" t="s">
        <v>100</v>
      </c>
      <c r="CK103" s="49">
        <v>1</v>
      </c>
      <c r="CL103" s="49"/>
      <c r="CM103" s="49"/>
      <c r="CN103" s="49">
        <v>0</v>
      </c>
      <c r="CO103" s="49">
        <v>0</v>
      </c>
      <c r="CP103" s="49">
        <v>0</v>
      </c>
      <c r="CQ103" s="49">
        <v>0</v>
      </c>
      <c r="CR103" s="49">
        <v>0</v>
      </c>
      <c r="CS103" s="49">
        <v>0</v>
      </c>
      <c r="CT103" s="49">
        <v>0</v>
      </c>
      <c r="CU103" s="49">
        <v>0</v>
      </c>
      <c r="CV103" s="49">
        <v>0</v>
      </c>
      <c r="CW103" s="49">
        <v>0</v>
      </c>
      <c r="CX103" s="49">
        <v>0</v>
      </c>
      <c r="CY103" s="74">
        <v>1</v>
      </c>
      <c r="CZ103" s="49">
        <v>0</v>
      </c>
      <c r="DA103" s="49">
        <v>0</v>
      </c>
      <c r="DB103" s="49">
        <v>0</v>
      </c>
      <c r="DC103" s="74">
        <v>1</v>
      </c>
      <c r="DD103" s="49">
        <v>0</v>
      </c>
      <c r="DE103" s="49">
        <v>2</v>
      </c>
      <c r="DF103" s="49">
        <v>0</v>
      </c>
      <c r="DG103" s="49"/>
      <c r="DH103" s="49"/>
      <c r="DI103" s="49"/>
      <c r="DJ103" s="49">
        <v>0</v>
      </c>
      <c r="DK103" s="49">
        <v>0</v>
      </c>
      <c r="DL103" s="49" t="s">
        <v>100</v>
      </c>
      <c r="DM103" s="74">
        <v>0</v>
      </c>
      <c r="DN103" s="49">
        <v>0</v>
      </c>
      <c r="DO103" s="49" t="s">
        <v>100</v>
      </c>
      <c r="DP103" s="49">
        <v>0</v>
      </c>
      <c r="DQ103" s="49">
        <v>0</v>
      </c>
      <c r="DR103" s="74">
        <v>0</v>
      </c>
      <c r="DS103" s="74">
        <v>1</v>
      </c>
      <c r="DT103" s="74">
        <v>2</v>
      </c>
      <c r="DU103" s="74">
        <v>0</v>
      </c>
      <c r="DV103" s="49" t="s">
        <v>100</v>
      </c>
      <c r="DW103" s="74">
        <v>1</v>
      </c>
      <c r="DX103" s="74">
        <v>0</v>
      </c>
      <c r="DY103" s="49">
        <v>2</v>
      </c>
      <c r="DZ103" s="49">
        <v>0</v>
      </c>
    </row>
    <row r="104" spans="1:130">
      <c r="A104" s="50">
        <v>102</v>
      </c>
      <c r="B104" s="50" t="s">
        <v>492</v>
      </c>
      <c r="C104" s="50" t="s">
        <v>493</v>
      </c>
      <c r="D104" s="72">
        <v>39188</v>
      </c>
      <c r="E104" s="49" t="s">
        <v>95</v>
      </c>
      <c r="F104" s="73">
        <v>16</v>
      </c>
      <c r="G104" s="74">
        <v>4</v>
      </c>
      <c r="H104" s="74">
        <v>2007</v>
      </c>
      <c r="I104" s="49" t="s">
        <v>494</v>
      </c>
      <c r="J104" s="49" t="s">
        <v>495</v>
      </c>
      <c r="K104" s="74">
        <v>46</v>
      </c>
      <c r="L104" s="73">
        <v>0</v>
      </c>
      <c r="M104" s="74">
        <v>2</v>
      </c>
      <c r="N104" s="73">
        <v>1</v>
      </c>
      <c r="O104" s="73">
        <v>1</v>
      </c>
      <c r="P104" s="73">
        <v>1</v>
      </c>
      <c r="Q104" s="49">
        <v>0</v>
      </c>
      <c r="R104" s="49">
        <v>0</v>
      </c>
      <c r="S104" s="74">
        <v>32</v>
      </c>
      <c r="T104" s="73">
        <v>26</v>
      </c>
      <c r="U104" s="74">
        <v>0</v>
      </c>
      <c r="V104" s="74">
        <v>23</v>
      </c>
      <c r="W104" s="74">
        <v>0</v>
      </c>
      <c r="X104" s="74">
        <v>3</v>
      </c>
      <c r="Y104" s="49">
        <v>1</v>
      </c>
      <c r="Z104" s="74">
        <v>0</v>
      </c>
      <c r="AA104" s="74">
        <v>0</v>
      </c>
      <c r="AB104" s="74">
        <v>2</v>
      </c>
      <c r="AC104" s="74">
        <v>1</v>
      </c>
      <c r="AD104" s="49" t="s">
        <v>3243</v>
      </c>
      <c r="AE104" s="74">
        <v>3</v>
      </c>
      <c r="AF104" s="74">
        <v>1</v>
      </c>
      <c r="AG104" s="74">
        <v>1</v>
      </c>
      <c r="AH104" s="74">
        <v>0</v>
      </c>
      <c r="AI104" s="74">
        <v>0</v>
      </c>
      <c r="AJ104" s="49">
        <v>0</v>
      </c>
      <c r="AK104" s="49">
        <v>0</v>
      </c>
      <c r="AL104" s="49"/>
      <c r="AM104" s="49">
        <v>0</v>
      </c>
      <c r="AN104" s="49" t="s">
        <v>100</v>
      </c>
      <c r="AO104" s="74">
        <v>0</v>
      </c>
      <c r="AP104" s="49"/>
      <c r="AQ104" s="74">
        <v>1</v>
      </c>
      <c r="AR104" s="49">
        <v>0</v>
      </c>
      <c r="AS104" s="74">
        <v>1</v>
      </c>
      <c r="AT104" s="49">
        <v>0</v>
      </c>
      <c r="AU104" s="49" t="s">
        <v>100</v>
      </c>
      <c r="AV104" s="49" t="s">
        <v>100</v>
      </c>
      <c r="AW104" s="49" t="s">
        <v>100</v>
      </c>
      <c r="AX104" s="74">
        <v>1</v>
      </c>
      <c r="AY104" s="49">
        <v>0</v>
      </c>
      <c r="AZ104" s="49">
        <v>0</v>
      </c>
      <c r="BA104" s="49">
        <v>0</v>
      </c>
      <c r="BB104" s="74">
        <v>0</v>
      </c>
      <c r="BC104" s="74">
        <v>0</v>
      </c>
      <c r="BD104" s="74">
        <v>1</v>
      </c>
      <c r="BE104" s="74">
        <v>0</v>
      </c>
      <c r="BF104" s="74">
        <v>0</v>
      </c>
      <c r="BG104" s="74">
        <v>3</v>
      </c>
      <c r="BH104" s="49">
        <v>0</v>
      </c>
      <c r="BI104" s="49">
        <v>0</v>
      </c>
      <c r="BJ104" s="74">
        <v>0</v>
      </c>
      <c r="BK104" s="49">
        <v>0</v>
      </c>
      <c r="BL104" s="49">
        <v>1</v>
      </c>
      <c r="BM104" s="49">
        <v>3</v>
      </c>
      <c r="BN104" s="49" t="s">
        <v>3056</v>
      </c>
      <c r="BO104" s="49">
        <v>0</v>
      </c>
      <c r="BP104" s="49">
        <v>1</v>
      </c>
      <c r="BQ104" s="49">
        <v>1</v>
      </c>
      <c r="BR104" s="49">
        <v>0</v>
      </c>
      <c r="BS104" s="49">
        <v>0</v>
      </c>
      <c r="BT104" s="49">
        <v>1</v>
      </c>
      <c r="BU104" s="49">
        <v>1</v>
      </c>
      <c r="BV104" s="49">
        <v>1</v>
      </c>
      <c r="BW104" s="49">
        <v>1</v>
      </c>
      <c r="BX104" s="49">
        <v>0</v>
      </c>
      <c r="BY104" s="74">
        <v>1</v>
      </c>
      <c r="BZ104" s="74">
        <v>1</v>
      </c>
      <c r="CA104" s="74">
        <v>1</v>
      </c>
      <c r="CB104" s="74">
        <v>2</v>
      </c>
      <c r="CC104" s="74">
        <v>1</v>
      </c>
      <c r="CD104" s="74">
        <v>0</v>
      </c>
      <c r="CE104" s="74">
        <v>4</v>
      </c>
      <c r="CF104" s="74">
        <v>2</v>
      </c>
      <c r="CG104" s="74">
        <v>1</v>
      </c>
      <c r="CH104" s="74">
        <v>1</v>
      </c>
      <c r="CI104" s="74">
        <v>1</v>
      </c>
      <c r="CJ104" s="49" t="s">
        <v>496</v>
      </c>
      <c r="CK104" s="49">
        <v>2</v>
      </c>
      <c r="CL104" s="49"/>
      <c r="CM104" s="49"/>
      <c r="CN104" s="49">
        <v>0</v>
      </c>
      <c r="CO104" s="49">
        <v>0</v>
      </c>
      <c r="CP104" s="49">
        <v>0</v>
      </c>
      <c r="CQ104" s="49">
        <v>0</v>
      </c>
      <c r="CR104" s="49">
        <v>0</v>
      </c>
      <c r="CS104" s="49">
        <v>0</v>
      </c>
      <c r="CT104" s="49">
        <v>0</v>
      </c>
      <c r="CU104" s="49">
        <v>0</v>
      </c>
      <c r="CV104" s="49">
        <v>0</v>
      </c>
      <c r="CW104" s="49">
        <v>0</v>
      </c>
      <c r="CX104" s="74">
        <v>2</v>
      </c>
      <c r="CY104" s="49">
        <v>0</v>
      </c>
      <c r="CZ104" s="74">
        <v>0</v>
      </c>
      <c r="DA104" s="49">
        <v>2</v>
      </c>
      <c r="DB104" s="74">
        <v>1</v>
      </c>
      <c r="DC104" s="74">
        <v>1</v>
      </c>
      <c r="DD104" s="49">
        <v>2</v>
      </c>
      <c r="DE104" s="49">
        <v>7</v>
      </c>
      <c r="DF104" s="49">
        <v>0</v>
      </c>
      <c r="DG104" s="49"/>
      <c r="DH104" s="49"/>
      <c r="DI104" s="49"/>
      <c r="DJ104" s="74">
        <v>1</v>
      </c>
      <c r="DK104" s="74">
        <v>1</v>
      </c>
      <c r="DL104" s="49" t="s">
        <v>3244</v>
      </c>
      <c r="DM104" s="74">
        <v>1</v>
      </c>
      <c r="DN104" s="74">
        <v>1</v>
      </c>
      <c r="DO104" s="49" t="s">
        <v>3381</v>
      </c>
      <c r="DP104" s="74">
        <v>1</v>
      </c>
      <c r="DQ104" s="74">
        <v>1</v>
      </c>
      <c r="DR104" s="49">
        <v>0</v>
      </c>
      <c r="DS104" s="74">
        <v>1</v>
      </c>
      <c r="DT104" s="74">
        <v>2</v>
      </c>
      <c r="DU104" s="74">
        <v>1</v>
      </c>
      <c r="DV104" s="49" t="s">
        <v>497</v>
      </c>
      <c r="DW104" s="74">
        <v>0</v>
      </c>
      <c r="DX104" s="74">
        <v>0</v>
      </c>
      <c r="DY104" s="49">
        <v>2</v>
      </c>
      <c r="DZ104" s="49">
        <v>0</v>
      </c>
    </row>
    <row r="105" spans="1:130">
      <c r="A105" s="50">
        <v>103</v>
      </c>
      <c r="B105" s="50" t="s">
        <v>498</v>
      </c>
      <c r="C105" s="50" t="s">
        <v>102</v>
      </c>
      <c r="D105" s="72">
        <v>39421</v>
      </c>
      <c r="E105" s="49" t="s">
        <v>123</v>
      </c>
      <c r="F105" s="73">
        <v>5</v>
      </c>
      <c r="G105" s="74">
        <v>12</v>
      </c>
      <c r="H105" s="74">
        <v>2007</v>
      </c>
      <c r="I105" s="49" t="s">
        <v>499</v>
      </c>
      <c r="J105" s="49" t="s">
        <v>500</v>
      </c>
      <c r="K105" s="74">
        <v>27</v>
      </c>
      <c r="L105" s="74">
        <v>1</v>
      </c>
      <c r="M105" s="73">
        <v>0</v>
      </c>
      <c r="N105" s="74">
        <v>4</v>
      </c>
      <c r="O105" s="74">
        <v>0</v>
      </c>
      <c r="P105" s="73" t="s">
        <v>100</v>
      </c>
      <c r="Q105" s="49">
        <v>0</v>
      </c>
      <c r="R105" s="49">
        <v>0</v>
      </c>
      <c r="S105" s="74">
        <v>8</v>
      </c>
      <c r="T105" s="74">
        <v>5</v>
      </c>
      <c r="U105" s="74">
        <v>0</v>
      </c>
      <c r="V105" s="74">
        <v>19</v>
      </c>
      <c r="W105" s="74">
        <v>0</v>
      </c>
      <c r="X105" s="74">
        <v>0</v>
      </c>
      <c r="Y105" s="49">
        <v>0</v>
      </c>
      <c r="Z105" s="74">
        <v>0</v>
      </c>
      <c r="AA105" s="49"/>
      <c r="AB105" s="74">
        <v>1</v>
      </c>
      <c r="AC105" s="74">
        <v>0</v>
      </c>
      <c r="AD105" s="49" t="s">
        <v>3180</v>
      </c>
      <c r="AE105" s="74">
        <v>2</v>
      </c>
      <c r="AF105" s="74">
        <v>3</v>
      </c>
      <c r="AG105" s="74">
        <v>1</v>
      </c>
      <c r="AH105" s="74">
        <v>2</v>
      </c>
      <c r="AI105" s="74">
        <v>0</v>
      </c>
      <c r="AJ105" s="49">
        <v>0</v>
      </c>
      <c r="AK105" s="74">
        <v>0</v>
      </c>
      <c r="AL105" s="74">
        <v>0</v>
      </c>
      <c r="AM105" s="49">
        <v>0</v>
      </c>
      <c r="AN105" s="49" t="s">
        <v>100</v>
      </c>
      <c r="AO105" s="74">
        <v>0</v>
      </c>
      <c r="AP105" s="49"/>
      <c r="AQ105" s="74">
        <v>1</v>
      </c>
      <c r="AR105" s="49">
        <v>0</v>
      </c>
      <c r="AS105" s="74">
        <v>1</v>
      </c>
      <c r="AT105" s="74">
        <v>2</v>
      </c>
      <c r="AU105" s="49">
        <v>3</v>
      </c>
      <c r="AV105" s="49"/>
      <c r="AW105" s="49"/>
      <c r="AX105" s="49">
        <v>0</v>
      </c>
      <c r="AY105" s="49">
        <v>0</v>
      </c>
      <c r="AZ105" s="49">
        <v>0</v>
      </c>
      <c r="BA105" s="49">
        <v>0</v>
      </c>
      <c r="BB105" s="74">
        <v>2</v>
      </c>
      <c r="BC105" s="74">
        <v>1</v>
      </c>
      <c r="BD105" s="49">
        <v>0</v>
      </c>
      <c r="BE105" s="49">
        <v>1</v>
      </c>
      <c r="BF105" s="74">
        <v>0</v>
      </c>
      <c r="BG105" s="74">
        <v>5</v>
      </c>
      <c r="BH105" s="49">
        <v>1</v>
      </c>
      <c r="BI105" s="49">
        <v>0</v>
      </c>
      <c r="BJ105" s="74">
        <v>1</v>
      </c>
      <c r="BK105" s="74">
        <v>1</v>
      </c>
      <c r="BL105" s="74">
        <v>1</v>
      </c>
      <c r="BM105" s="49">
        <v>3</v>
      </c>
      <c r="BN105" s="49" t="s">
        <v>3083</v>
      </c>
      <c r="BO105" s="49">
        <v>1</v>
      </c>
      <c r="BP105" s="49">
        <v>1</v>
      </c>
      <c r="BQ105" s="49">
        <v>1</v>
      </c>
      <c r="BR105" s="49">
        <v>0</v>
      </c>
      <c r="BS105" s="49">
        <v>1</v>
      </c>
      <c r="BT105" s="49">
        <v>1</v>
      </c>
      <c r="BU105" s="49">
        <v>1</v>
      </c>
      <c r="BV105" s="49">
        <v>1</v>
      </c>
      <c r="BW105" s="49">
        <v>0</v>
      </c>
      <c r="BX105" s="49">
        <v>0</v>
      </c>
      <c r="BY105" s="74">
        <v>1</v>
      </c>
      <c r="BZ105" s="74">
        <v>1</v>
      </c>
      <c r="CA105" s="74">
        <v>1</v>
      </c>
      <c r="CB105" s="74">
        <v>1</v>
      </c>
      <c r="CC105" s="74">
        <v>1</v>
      </c>
      <c r="CD105" s="74">
        <v>1</v>
      </c>
      <c r="CE105" s="74">
        <v>4</v>
      </c>
      <c r="CF105" s="49">
        <v>0</v>
      </c>
      <c r="CG105" s="49">
        <v>0</v>
      </c>
      <c r="CH105" s="74">
        <v>4</v>
      </c>
      <c r="CI105" s="49">
        <v>0</v>
      </c>
      <c r="CJ105" s="49" t="s">
        <v>100</v>
      </c>
      <c r="CK105" s="49">
        <v>1</v>
      </c>
      <c r="CL105" s="49"/>
      <c r="CM105" s="49"/>
      <c r="CN105" s="49">
        <v>0</v>
      </c>
      <c r="CO105" s="49">
        <v>0</v>
      </c>
      <c r="CP105" s="49">
        <v>0</v>
      </c>
      <c r="CQ105" s="49">
        <v>0</v>
      </c>
      <c r="CR105" s="49">
        <v>0</v>
      </c>
      <c r="CS105" s="49">
        <v>0</v>
      </c>
      <c r="CT105" s="49">
        <v>0</v>
      </c>
      <c r="CU105" s="49">
        <v>0</v>
      </c>
      <c r="CV105" s="49">
        <v>0</v>
      </c>
      <c r="CW105" s="74">
        <v>1</v>
      </c>
      <c r="CX105" s="49">
        <v>1</v>
      </c>
      <c r="CY105" s="49">
        <v>0</v>
      </c>
      <c r="CZ105" s="74">
        <v>0</v>
      </c>
      <c r="DA105" s="49">
        <v>0</v>
      </c>
      <c r="DB105" s="49">
        <v>0</v>
      </c>
      <c r="DC105" s="74">
        <v>1</v>
      </c>
      <c r="DD105" s="49">
        <v>0</v>
      </c>
      <c r="DE105" s="49">
        <v>9</v>
      </c>
      <c r="DF105" s="49">
        <v>0</v>
      </c>
      <c r="DG105" s="49"/>
      <c r="DH105" s="49"/>
      <c r="DI105" s="49"/>
      <c r="DJ105" s="49">
        <v>0</v>
      </c>
      <c r="DK105" s="74">
        <v>1</v>
      </c>
      <c r="DL105" s="49" t="s">
        <v>501</v>
      </c>
      <c r="DM105" s="74">
        <v>1</v>
      </c>
      <c r="DN105" s="49">
        <v>0</v>
      </c>
      <c r="DO105" s="49" t="s">
        <v>100</v>
      </c>
      <c r="DP105" s="49">
        <v>0</v>
      </c>
      <c r="DQ105" s="74">
        <v>1</v>
      </c>
      <c r="DR105" s="49">
        <v>0</v>
      </c>
      <c r="DS105" s="74">
        <v>1</v>
      </c>
      <c r="DT105" s="74">
        <v>1</v>
      </c>
      <c r="DU105" s="74">
        <v>0</v>
      </c>
      <c r="DV105" s="49" t="s">
        <v>100</v>
      </c>
      <c r="DW105" s="74">
        <v>0</v>
      </c>
      <c r="DX105" s="74">
        <v>0</v>
      </c>
      <c r="DY105" s="49">
        <v>2</v>
      </c>
      <c r="DZ105" s="49">
        <v>0</v>
      </c>
    </row>
    <row r="106" spans="1:130">
      <c r="A106" s="50">
        <v>104</v>
      </c>
      <c r="B106" s="50" t="s">
        <v>502</v>
      </c>
      <c r="C106" s="50" t="s">
        <v>361</v>
      </c>
      <c r="D106" s="72">
        <v>39425</v>
      </c>
      <c r="E106" s="49" t="s">
        <v>137</v>
      </c>
      <c r="F106" s="73">
        <v>9</v>
      </c>
      <c r="G106" s="73">
        <v>12</v>
      </c>
      <c r="H106" s="49">
        <v>2007</v>
      </c>
      <c r="I106" s="49" t="s">
        <v>503</v>
      </c>
      <c r="J106" s="49" t="s">
        <v>504</v>
      </c>
      <c r="K106" s="73">
        <v>6</v>
      </c>
      <c r="L106" s="73">
        <v>3</v>
      </c>
      <c r="M106" s="74">
        <v>1</v>
      </c>
      <c r="N106" s="74">
        <v>3</v>
      </c>
      <c r="O106" s="74">
        <v>1</v>
      </c>
      <c r="P106" s="74">
        <v>3</v>
      </c>
      <c r="Q106" s="49">
        <v>1</v>
      </c>
      <c r="R106" s="49">
        <v>1</v>
      </c>
      <c r="S106" s="74">
        <v>4</v>
      </c>
      <c r="T106" s="74">
        <v>5</v>
      </c>
      <c r="U106" s="74">
        <v>0</v>
      </c>
      <c r="V106" s="49">
        <v>24</v>
      </c>
      <c r="W106" s="49">
        <v>0</v>
      </c>
      <c r="X106" s="74">
        <v>0</v>
      </c>
      <c r="Y106" s="49">
        <v>0</v>
      </c>
      <c r="Z106" s="49">
        <v>0</v>
      </c>
      <c r="AA106" s="74">
        <v>0</v>
      </c>
      <c r="AB106" s="74">
        <v>2</v>
      </c>
      <c r="AC106" s="49"/>
      <c r="AD106" s="49"/>
      <c r="AE106" s="74">
        <v>1</v>
      </c>
      <c r="AF106" s="74">
        <v>1</v>
      </c>
      <c r="AG106" s="74">
        <v>0</v>
      </c>
      <c r="AH106" s="74">
        <v>1</v>
      </c>
      <c r="AI106" s="49">
        <v>0</v>
      </c>
      <c r="AJ106" s="49">
        <v>0</v>
      </c>
      <c r="AK106" s="49">
        <v>0</v>
      </c>
      <c r="AL106" s="49">
        <v>0</v>
      </c>
      <c r="AM106" s="49">
        <v>0</v>
      </c>
      <c r="AN106" s="49" t="s">
        <v>100</v>
      </c>
      <c r="AO106" s="49">
        <v>0</v>
      </c>
      <c r="AP106" s="49"/>
      <c r="AQ106" s="49">
        <v>0</v>
      </c>
      <c r="AR106" s="49">
        <v>0</v>
      </c>
      <c r="AS106" s="74">
        <v>1</v>
      </c>
      <c r="AT106" s="49">
        <v>0</v>
      </c>
      <c r="AU106" s="49" t="s">
        <v>100</v>
      </c>
      <c r="AV106" s="49" t="s">
        <v>100</v>
      </c>
      <c r="AW106" s="49" t="s">
        <v>100</v>
      </c>
      <c r="AX106" s="74">
        <v>1</v>
      </c>
      <c r="AY106" s="49">
        <v>0</v>
      </c>
      <c r="AZ106" s="49">
        <v>0</v>
      </c>
      <c r="BA106" s="49">
        <v>0</v>
      </c>
      <c r="BB106" s="74">
        <v>2</v>
      </c>
      <c r="BC106" s="49">
        <v>0</v>
      </c>
      <c r="BD106" s="74">
        <v>0</v>
      </c>
      <c r="BE106" s="74">
        <v>0</v>
      </c>
      <c r="BF106" s="74">
        <v>0</v>
      </c>
      <c r="BG106" s="49">
        <v>6</v>
      </c>
      <c r="BH106" s="49">
        <v>2</v>
      </c>
      <c r="BI106" s="49">
        <v>0</v>
      </c>
      <c r="BJ106" s="49">
        <v>0</v>
      </c>
      <c r="BK106" s="49">
        <v>1</v>
      </c>
      <c r="BL106" s="49">
        <v>1</v>
      </c>
      <c r="BM106" s="49">
        <v>1</v>
      </c>
      <c r="BN106" s="49" t="s">
        <v>3045</v>
      </c>
      <c r="BO106" s="49">
        <v>1</v>
      </c>
      <c r="BP106" s="49">
        <v>0</v>
      </c>
      <c r="BQ106" s="49">
        <v>0</v>
      </c>
      <c r="BR106" s="49">
        <v>0</v>
      </c>
      <c r="BS106" s="49">
        <v>0</v>
      </c>
      <c r="BT106" s="49">
        <v>1</v>
      </c>
      <c r="BU106" s="49">
        <v>1</v>
      </c>
      <c r="BV106" s="49">
        <v>0</v>
      </c>
      <c r="BW106" s="49">
        <v>0</v>
      </c>
      <c r="BX106" s="49">
        <v>0</v>
      </c>
      <c r="BY106" s="49">
        <v>1</v>
      </c>
      <c r="BZ106" s="49">
        <v>0</v>
      </c>
      <c r="CA106" s="74">
        <v>1</v>
      </c>
      <c r="CB106" s="74">
        <v>0</v>
      </c>
      <c r="CC106" s="49">
        <v>1</v>
      </c>
      <c r="CD106" s="74">
        <v>1</v>
      </c>
      <c r="CE106" s="74">
        <v>1</v>
      </c>
      <c r="CF106" s="49">
        <v>0</v>
      </c>
      <c r="CG106" s="49">
        <v>0</v>
      </c>
      <c r="CH106" s="49">
        <v>0</v>
      </c>
      <c r="CI106" s="49">
        <v>0</v>
      </c>
      <c r="CJ106" s="49" t="s">
        <v>100</v>
      </c>
      <c r="CK106" s="49">
        <v>3</v>
      </c>
      <c r="CL106" s="49"/>
      <c r="CM106" s="49"/>
      <c r="CN106" s="49">
        <v>0</v>
      </c>
      <c r="CO106" s="74">
        <v>3</v>
      </c>
      <c r="CP106" s="49">
        <v>0</v>
      </c>
      <c r="CQ106" s="49">
        <v>0</v>
      </c>
      <c r="CR106" s="49">
        <v>0</v>
      </c>
      <c r="CS106" s="49">
        <v>0</v>
      </c>
      <c r="CT106" s="49">
        <v>0</v>
      </c>
      <c r="CU106" s="49">
        <v>0</v>
      </c>
      <c r="CV106" s="49">
        <v>0</v>
      </c>
      <c r="CW106" s="49">
        <v>0</v>
      </c>
      <c r="CX106" s="49">
        <v>0</v>
      </c>
      <c r="CY106" s="49">
        <v>0</v>
      </c>
      <c r="CZ106" s="74">
        <v>0</v>
      </c>
      <c r="DA106" s="49">
        <v>0</v>
      </c>
      <c r="DB106" s="74">
        <v>1</v>
      </c>
      <c r="DC106" s="74">
        <v>1</v>
      </c>
      <c r="DD106" s="49">
        <v>1</v>
      </c>
      <c r="DE106" s="49">
        <v>9</v>
      </c>
      <c r="DF106" s="49">
        <v>0</v>
      </c>
      <c r="DG106" s="49"/>
      <c r="DH106" s="49"/>
      <c r="DI106" s="49"/>
      <c r="DJ106" s="49">
        <v>1</v>
      </c>
      <c r="DK106" s="49">
        <v>1</v>
      </c>
      <c r="DL106" s="49" t="s">
        <v>505</v>
      </c>
      <c r="DM106" s="74">
        <v>1</v>
      </c>
      <c r="DN106" s="74">
        <v>2</v>
      </c>
      <c r="DO106" s="49" t="s">
        <v>3382</v>
      </c>
      <c r="DP106" s="49">
        <v>1</v>
      </c>
      <c r="DQ106" s="74">
        <v>0</v>
      </c>
      <c r="DR106" s="49">
        <v>1</v>
      </c>
      <c r="DS106" s="74">
        <v>2</v>
      </c>
      <c r="DT106" s="49">
        <v>4</v>
      </c>
      <c r="DU106" s="74">
        <v>1</v>
      </c>
      <c r="DV106" s="49" t="s">
        <v>506</v>
      </c>
      <c r="DW106" s="74">
        <v>0</v>
      </c>
      <c r="DX106" s="74">
        <v>0</v>
      </c>
      <c r="DY106" s="49">
        <v>2</v>
      </c>
      <c r="DZ106" s="49">
        <v>0</v>
      </c>
    </row>
    <row r="107" spans="1:130">
      <c r="A107" s="50">
        <v>105</v>
      </c>
      <c r="B107" s="50" t="s">
        <v>507</v>
      </c>
      <c r="C107" s="50" t="s">
        <v>94</v>
      </c>
      <c r="D107" s="72">
        <v>39485</v>
      </c>
      <c r="E107" s="49" t="s">
        <v>178</v>
      </c>
      <c r="F107" s="73">
        <v>7</v>
      </c>
      <c r="G107" s="74">
        <v>2</v>
      </c>
      <c r="H107" s="74">
        <v>2008</v>
      </c>
      <c r="I107" s="49" t="s">
        <v>508</v>
      </c>
      <c r="J107" s="49" t="s">
        <v>509</v>
      </c>
      <c r="K107" s="74">
        <v>25</v>
      </c>
      <c r="L107" s="73">
        <v>1</v>
      </c>
      <c r="M107" s="73">
        <v>1</v>
      </c>
      <c r="N107" s="73">
        <v>2</v>
      </c>
      <c r="O107" s="74">
        <v>0</v>
      </c>
      <c r="P107" s="73" t="s">
        <v>100</v>
      </c>
      <c r="Q107" s="49">
        <v>1</v>
      </c>
      <c r="R107" s="49">
        <v>1</v>
      </c>
      <c r="S107" s="73">
        <v>6</v>
      </c>
      <c r="T107" s="73">
        <v>1</v>
      </c>
      <c r="U107" s="74">
        <v>0</v>
      </c>
      <c r="V107" s="74">
        <v>52</v>
      </c>
      <c r="W107" s="74">
        <v>0</v>
      </c>
      <c r="X107" s="49">
        <v>1</v>
      </c>
      <c r="Y107" s="49">
        <v>0</v>
      </c>
      <c r="Z107" s="74">
        <v>0</v>
      </c>
      <c r="AA107" s="74">
        <v>1</v>
      </c>
      <c r="AB107" s="74">
        <v>3</v>
      </c>
      <c r="AC107" s="74">
        <v>1</v>
      </c>
      <c r="AD107" s="49" t="s">
        <v>3245</v>
      </c>
      <c r="AE107" s="74">
        <v>2</v>
      </c>
      <c r="AF107" s="74">
        <v>8</v>
      </c>
      <c r="AG107" s="49"/>
      <c r="AH107" s="49"/>
      <c r="AI107" s="74">
        <v>2</v>
      </c>
      <c r="AJ107" s="74">
        <v>1</v>
      </c>
      <c r="AK107" s="74">
        <v>1</v>
      </c>
      <c r="AL107" s="49">
        <v>2</v>
      </c>
      <c r="AM107" s="49">
        <v>0</v>
      </c>
      <c r="AN107" s="49" t="s">
        <v>100</v>
      </c>
      <c r="AO107" s="74">
        <v>3</v>
      </c>
      <c r="AP107" s="49" t="s">
        <v>3246</v>
      </c>
      <c r="AQ107" s="74">
        <v>1</v>
      </c>
      <c r="AR107" s="49">
        <v>0</v>
      </c>
      <c r="AS107" s="74">
        <v>1</v>
      </c>
      <c r="AT107" s="74">
        <v>0</v>
      </c>
      <c r="AU107" s="49" t="s">
        <v>100</v>
      </c>
      <c r="AV107" s="49" t="s">
        <v>100</v>
      </c>
      <c r="AW107" s="49" t="s">
        <v>100</v>
      </c>
      <c r="AX107" s="49">
        <v>0</v>
      </c>
      <c r="AY107" s="49">
        <v>0</v>
      </c>
      <c r="AZ107" s="49">
        <v>0</v>
      </c>
      <c r="BA107" s="49">
        <v>0</v>
      </c>
      <c r="BB107" s="49">
        <v>0</v>
      </c>
      <c r="BC107" s="74">
        <v>0</v>
      </c>
      <c r="BD107" s="49">
        <v>0</v>
      </c>
      <c r="BE107" s="49">
        <v>0</v>
      </c>
      <c r="BF107" s="74">
        <v>0</v>
      </c>
      <c r="BG107" s="49"/>
      <c r="BH107" s="49">
        <v>1</v>
      </c>
      <c r="BI107" s="49">
        <v>0</v>
      </c>
      <c r="BJ107" s="74">
        <v>0</v>
      </c>
      <c r="BK107" s="74">
        <v>1</v>
      </c>
      <c r="BL107" s="74">
        <v>1</v>
      </c>
      <c r="BM107" s="49">
        <v>3</v>
      </c>
      <c r="BN107" s="49" t="s">
        <v>3084</v>
      </c>
      <c r="BO107" s="49">
        <v>1</v>
      </c>
      <c r="BP107" s="49">
        <v>0</v>
      </c>
      <c r="BQ107" s="49">
        <v>1</v>
      </c>
      <c r="BR107" s="49">
        <v>0</v>
      </c>
      <c r="BS107" s="49">
        <v>1</v>
      </c>
      <c r="BT107" s="49">
        <v>1</v>
      </c>
      <c r="BU107" s="49">
        <v>1</v>
      </c>
      <c r="BV107" s="49">
        <v>0</v>
      </c>
      <c r="BW107" s="49">
        <v>1</v>
      </c>
      <c r="BX107" s="49">
        <v>0</v>
      </c>
      <c r="BY107" s="49">
        <v>2</v>
      </c>
      <c r="BZ107" s="49">
        <v>0</v>
      </c>
      <c r="CA107" s="49">
        <v>0</v>
      </c>
      <c r="CB107" s="49" t="s">
        <v>100</v>
      </c>
      <c r="CC107" s="49">
        <v>0</v>
      </c>
      <c r="CD107" s="49" t="s">
        <v>100</v>
      </c>
      <c r="CE107" s="49">
        <v>0</v>
      </c>
      <c r="CF107" s="49">
        <v>0</v>
      </c>
      <c r="CG107" s="49">
        <v>0</v>
      </c>
      <c r="CH107" s="49">
        <v>0</v>
      </c>
      <c r="CI107" s="74">
        <v>0</v>
      </c>
      <c r="CJ107" s="49" t="s">
        <v>100</v>
      </c>
      <c r="CK107" s="49">
        <v>0</v>
      </c>
      <c r="CL107" s="49"/>
      <c r="CM107" s="49"/>
      <c r="CN107" s="49">
        <v>0</v>
      </c>
      <c r="CO107" s="49">
        <v>0</v>
      </c>
      <c r="CP107" s="49">
        <v>0</v>
      </c>
      <c r="CQ107" s="49">
        <v>0</v>
      </c>
      <c r="CR107" s="49">
        <v>0</v>
      </c>
      <c r="CS107" s="49">
        <v>1</v>
      </c>
      <c r="CT107" s="74">
        <v>1</v>
      </c>
      <c r="CU107" s="49">
        <v>0</v>
      </c>
      <c r="CV107" s="74">
        <v>1</v>
      </c>
      <c r="CW107" s="49">
        <v>0</v>
      </c>
      <c r="CX107" s="49">
        <v>0</v>
      </c>
      <c r="CY107" s="49">
        <v>0</v>
      </c>
      <c r="CZ107" s="74">
        <v>0</v>
      </c>
      <c r="DA107" s="49">
        <v>0</v>
      </c>
      <c r="DB107" s="49">
        <v>0</v>
      </c>
      <c r="DC107" s="74">
        <v>1</v>
      </c>
      <c r="DD107" s="49">
        <v>0</v>
      </c>
      <c r="DE107" s="49">
        <v>9</v>
      </c>
      <c r="DF107" s="49">
        <v>0</v>
      </c>
      <c r="DG107" s="49"/>
      <c r="DH107" s="49"/>
      <c r="DI107" s="49"/>
      <c r="DJ107" s="49">
        <v>0</v>
      </c>
      <c r="DK107" s="49">
        <v>0</v>
      </c>
      <c r="DL107" s="49" t="s">
        <v>100</v>
      </c>
      <c r="DM107" s="74">
        <v>1</v>
      </c>
      <c r="DN107" s="49">
        <v>0</v>
      </c>
      <c r="DO107" s="49" t="s">
        <v>100</v>
      </c>
      <c r="DP107" s="49">
        <v>0</v>
      </c>
      <c r="DQ107" s="74">
        <v>0</v>
      </c>
      <c r="DR107" s="49">
        <v>0</v>
      </c>
      <c r="DS107" s="74">
        <v>0</v>
      </c>
      <c r="DT107" s="74">
        <v>1</v>
      </c>
      <c r="DU107" s="74">
        <v>0</v>
      </c>
      <c r="DV107" s="49" t="s">
        <v>100</v>
      </c>
      <c r="DW107" s="74">
        <v>1</v>
      </c>
      <c r="DX107" s="74">
        <v>0</v>
      </c>
      <c r="DY107" s="49">
        <v>2</v>
      </c>
      <c r="DZ107" s="49">
        <v>0</v>
      </c>
    </row>
    <row r="108" spans="1:130">
      <c r="A108" s="50">
        <v>106</v>
      </c>
      <c r="B108" s="50" t="s">
        <v>510</v>
      </c>
      <c r="C108" s="50" t="s">
        <v>423</v>
      </c>
      <c r="D108" s="72">
        <v>39492</v>
      </c>
      <c r="E108" s="49" t="s">
        <v>178</v>
      </c>
      <c r="F108" s="73">
        <v>14</v>
      </c>
      <c r="G108" s="74">
        <v>2</v>
      </c>
      <c r="H108" s="74">
        <v>2008</v>
      </c>
      <c r="I108" s="49" t="s">
        <v>511</v>
      </c>
      <c r="J108" s="49" t="s">
        <v>3247</v>
      </c>
      <c r="K108" s="74">
        <v>13</v>
      </c>
      <c r="L108" s="73">
        <v>1</v>
      </c>
      <c r="M108" s="74">
        <v>0</v>
      </c>
      <c r="N108" s="74">
        <v>1</v>
      </c>
      <c r="O108" s="74">
        <v>0</v>
      </c>
      <c r="P108" s="73" t="s">
        <v>100</v>
      </c>
      <c r="Q108" s="49">
        <v>0</v>
      </c>
      <c r="R108" s="49">
        <v>0</v>
      </c>
      <c r="S108" s="74">
        <v>5</v>
      </c>
      <c r="T108" s="74">
        <v>16</v>
      </c>
      <c r="U108" s="74">
        <v>0</v>
      </c>
      <c r="V108" s="74">
        <v>27</v>
      </c>
      <c r="W108" s="74">
        <v>0</v>
      </c>
      <c r="X108" s="74">
        <v>0</v>
      </c>
      <c r="Y108" s="74">
        <v>0</v>
      </c>
      <c r="Z108" s="49">
        <v>1</v>
      </c>
      <c r="AA108" s="74">
        <v>0</v>
      </c>
      <c r="AB108" s="74">
        <v>4</v>
      </c>
      <c r="AC108" s="74">
        <v>2</v>
      </c>
      <c r="AD108" s="49" t="s">
        <v>3248</v>
      </c>
      <c r="AE108" s="74">
        <v>3</v>
      </c>
      <c r="AF108" s="74">
        <v>1</v>
      </c>
      <c r="AG108" s="74">
        <v>1</v>
      </c>
      <c r="AH108" s="74">
        <v>0</v>
      </c>
      <c r="AI108" s="74">
        <v>1</v>
      </c>
      <c r="AJ108" s="49">
        <v>0</v>
      </c>
      <c r="AK108" s="74">
        <v>0</v>
      </c>
      <c r="AL108" s="74">
        <v>0</v>
      </c>
      <c r="AM108" s="74">
        <v>2</v>
      </c>
      <c r="AN108" s="74">
        <v>0</v>
      </c>
      <c r="AO108" s="74">
        <v>3</v>
      </c>
      <c r="AP108" s="49" t="s">
        <v>3249</v>
      </c>
      <c r="AQ108" s="74">
        <v>1</v>
      </c>
      <c r="AR108" s="49">
        <v>0</v>
      </c>
      <c r="AS108" s="49">
        <v>1</v>
      </c>
      <c r="AT108" s="74">
        <v>2</v>
      </c>
      <c r="AU108" s="49">
        <v>3</v>
      </c>
      <c r="AV108" s="49">
        <v>4</v>
      </c>
      <c r="AW108" s="49"/>
      <c r="AX108" s="49">
        <v>0</v>
      </c>
      <c r="AY108" s="49">
        <v>0</v>
      </c>
      <c r="AZ108" s="49">
        <v>0</v>
      </c>
      <c r="BA108" s="49">
        <v>0</v>
      </c>
      <c r="BB108" s="74">
        <v>1</v>
      </c>
      <c r="BC108" s="74">
        <v>1</v>
      </c>
      <c r="BD108" s="74">
        <v>1</v>
      </c>
      <c r="BE108" s="74">
        <v>1</v>
      </c>
      <c r="BF108" s="74">
        <v>0</v>
      </c>
      <c r="BG108" s="49"/>
      <c r="BH108" s="49">
        <v>1</v>
      </c>
      <c r="BI108" s="74">
        <v>1</v>
      </c>
      <c r="BJ108" s="74">
        <v>0</v>
      </c>
      <c r="BK108" s="74">
        <v>1</v>
      </c>
      <c r="BL108" s="74">
        <v>1</v>
      </c>
      <c r="BM108" s="49">
        <v>3</v>
      </c>
      <c r="BN108" s="49" t="s">
        <v>3154</v>
      </c>
      <c r="BO108" s="49">
        <v>1</v>
      </c>
      <c r="BP108" s="49">
        <v>1</v>
      </c>
      <c r="BQ108" s="49">
        <v>1</v>
      </c>
      <c r="BR108" s="49">
        <v>0</v>
      </c>
      <c r="BS108" s="49">
        <v>0</v>
      </c>
      <c r="BT108" s="49">
        <v>1</v>
      </c>
      <c r="BU108" s="49">
        <v>1</v>
      </c>
      <c r="BV108" s="49">
        <v>1</v>
      </c>
      <c r="BW108" s="49">
        <v>0</v>
      </c>
      <c r="BX108" s="49">
        <v>0</v>
      </c>
      <c r="BY108" s="74">
        <v>1</v>
      </c>
      <c r="BZ108" s="74">
        <v>1</v>
      </c>
      <c r="CA108" s="74">
        <v>1</v>
      </c>
      <c r="CB108" s="74">
        <v>0</v>
      </c>
      <c r="CC108" s="74">
        <v>1</v>
      </c>
      <c r="CD108" s="74">
        <v>1</v>
      </c>
      <c r="CE108" s="74">
        <v>4</v>
      </c>
      <c r="CF108" s="74">
        <v>1</v>
      </c>
      <c r="CG108" s="49">
        <v>0</v>
      </c>
      <c r="CH108" s="49">
        <v>3</v>
      </c>
      <c r="CI108" s="49">
        <v>0</v>
      </c>
      <c r="CJ108" s="49" t="s">
        <v>100</v>
      </c>
      <c r="CK108" s="49">
        <v>1</v>
      </c>
      <c r="CL108" s="49"/>
      <c r="CM108" s="49"/>
      <c r="CN108" s="49">
        <v>0</v>
      </c>
      <c r="CO108" s="49">
        <v>0</v>
      </c>
      <c r="CP108" s="49">
        <v>0</v>
      </c>
      <c r="CQ108" s="49">
        <v>0</v>
      </c>
      <c r="CR108" s="49">
        <v>0</v>
      </c>
      <c r="CS108" s="49">
        <v>0</v>
      </c>
      <c r="CT108" s="49">
        <v>0</v>
      </c>
      <c r="CU108" s="49">
        <v>0</v>
      </c>
      <c r="CV108" s="49">
        <v>0</v>
      </c>
      <c r="CW108" s="49">
        <v>0</v>
      </c>
      <c r="CX108" s="74">
        <v>1</v>
      </c>
      <c r="CY108" s="49">
        <v>0</v>
      </c>
      <c r="CZ108" s="74">
        <v>0</v>
      </c>
      <c r="DA108" s="49">
        <v>1</v>
      </c>
      <c r="DB108" s="74">
        <v>1</v>
      </c>
      <c r="DC108" s="74">
        <v>1</v>
      </c>
      <c r="DD108" s="49">
        <v>3</v>
      </c>
      <c r="DE108" s="49">
        <v>2</v>
      </c>
      <c r="DF108" s="49">
        <v>0</v>
      </c>
      <c r="DG108" s="49"/>
      <c r="DH108" s="49"/>
      <c r="DI108" s="49"/>
      <c r="DJ108" s="74">
        <v>1</v>
      </c>
      <c r="DK108" s="49">
        <v>0</v>
      </c>
      <c r="DL108" s="49" t="s">
        <v>100</v>
      </c>
      <c r="DM108" s="74">
        <v>1</v>
      </c>
      <c r="DN108" s="74">
        <v>2</v>
      </c>
      <c r="DO108" s="49" t="s">
        <v>3250</v>
      </c>
      <c r="DP108" s="49">
        <v>1</v>
      </c>
      <c r="DQ108" s="74">
        <v>0</v>
      </c>
      <c r="DR108" s="74">
        <v>0</v>
      </c>
      <c r="DS108" s="74">
        <v>2</v>
      </c>
      <c r="DT108" s="74">
        <v>4</v>
      </c>
      <c r="DU108" s="74">
        <v>1</v>
      </c>
      <c r="DV108" s="49" t="s">
        <v>512</v>
      </c>
      <c r="DW108" s="74">
        <v>0</v>
      </c>
      <c r="DX108" s="74">
        <v>0</v>
      </c>
      <c r="DY108" s="49">
        <v>2</v>
      </c>
      <c r="DZ108" s="49">
        <v>0</v>
      </c>
    </row>
    <row r="109" spans="1:130">
      <c r="A109" s="50">
        <v>107</v>
      </c>
      <c r="B109" s="76" t="s">
        <v>513</v>
      </c>
      <c r="C109" s="76" t="s">
        <v>514</v>
      </c>
      <c r="D109" s="72">
        <v>39525</v>
      </c>
      <c r="E109" s="75" t="s">
        <v>203</v>
      </c>
      <c r="F109" s="73">
        <v>18</v>
      </c>
      <c r="G109" s="74">
        <v>3</v>
      </c>
      <c r="H109" s="74">
        <v>2008</v>
      </c>
      <c r="I109" s="75" t="s">
        <v>515</v>
      </c>
      <c r="J109" s="75" t="s">
        <v>516</v>
      </c>
      <c r="K109" s="73">
        <v>5</v>
      </c>
      <c r="L109" s="73">
        <v>3</v>
      </c>
      <c r="M109" s="73">
        <v>0</v>
      </c>
      <c r="N109" s="74">
        <v>6</v>
      </c>
      <c r="O109" s="73">
        <v>0</v>
      </c>
      <c r="P109" s="73" t="s">
        <v>100</v>
      </c>
      <c r="Q109" s="49">
        <v>0</v>
      </c>
      <c r="R109" s="49">
        <v>0</v>
      </c>
      <c r="S109" s="73">
        <v>4</v>
      </c>
      <c r="T109" s="73">
        <v>0</v>
      </c>
      <c r="U109" s="74">
        <v>0</v>
      </c>
      <c r="V109" s="49">
        <v>31</v>
      </c>
      <c r="W109" s="75">
        <v>0</v>
      </c>
      <c r="X109" s="75">
        <v>0</v>
      </c>
      <c r="Y109" s="49">
        <v>0</v>
      </c>
      <c r="Z109" s="75">
        <v>0</v>
      </c>
      <c r="AA109" s="75"/>
      <c r="AB109" s="75">
        <v>1</v>
      </c>
      <c r="AC109" s="49">
        <v>2</v>
      </c>
      <c r="AD109" s="49" t="s">
        <v>867</v>
      </c>
      <c r="AE109" s="75"/>
      <c r="AF109" s="74">
        <v>3</v>
      </c>
      <c r="AG109" s="75"/>
      <c r="AH109" s="75"/>
      <c r="AI109" s="74">
        <v>0</v>
      </c>
      <c r="AJ109" s="74">
        <v>0</v>
      </c>
      <c r="AK109" s="74">
        <v>0</v>
      </c>
      <c r="AL109" s="74">
        <v>0</v>
      </c>
      <c r="AM109" s="74">
        <v>0</v>
      </c>
      <c r="AN109" s="49" t="s">
        <v>100</v>
      </c>
      <c r="AO109" s="74">
        <v>0</v>
      </c>
      <c r="AP109" s="49"/>
      <c r="AQ109" s="49">
        <v>1</v>
      </c>
      <c r="AR109" s="49">
        <v>0</v>
      </c>
      <c r="AS109" s="49">
        <v>1</v>
      </c>
      <c r="AT109" s="49">
        <v>0</v>
      </c>
      <c r="AU109" s="49" t="s">
        <v>100</v>
      </c>
      <c r="AV109" s="49" t="s">
        <v>100</v>
      </c>
      <c r="AW109" s="49" t="s">
        <v>100</v>
      </c>
      <c r="AX109" s="49">
        <v>0</v>
      </c>
      <c r="AY109" s="74">
        <v>0</v>
      </c>
      <c r="AZ109" s="74">
        <v>0</v>
      </c>
      <c r="BA109" s="74">
        <v>0</v>
      </c>
      <c r="BB109" s="49">
        <v>0</v>
      </c>
      <c r="BC109" s="74">
        <v>0</v>
      </c>
      <c r="BD109" s="74">
        <v>0</v>
      </c>
      <c r="BE109" s="74">
        <v>1</v>
      </c>
      <c r="BF109" s="74">
        <v>0</v>
      </c>
      <c r="BG109" s="75"/>
      <c r="BH109" s="74">
        <v>1</v>
      </c>
      <c r="BI109" s="74">
        <v>1</v>
      </c>
      <c r="BJ109" s="74">
        <v>0</v>
      </c>
      <c r="BK109" s="74">
        <v>1</v>
      </c>
      <c r="BL109" s="74">
        <v>1</v>
      </c>
      <c r="BM109" s="74">
        <v>3</v>
      </c>
      <c r="BN109" s="49" t="s">
        <v>3085</v>
      </c>
      <c r="BO109" s="74">
        <v>1</v>
      </c>
      <c r="BP109" s="74">
        <v>0</v>
      </c>
      <c r="BQ109" s="74">
        <v>0</v>
      </c>
      <c r="BR109" s="74">
        <v>0</v>
      </c>
      <c r="BS109" s="74">
        <v>0</v>
      </c>
      <c r="BT109" s="74">
        <v>1</v>
      </c>
      <c r="BU109" s="74">
        <v>0</v>
      </c>
      <c r="BV109" s="74">
        <v>0</v>
      </c>
      <c r="BW109" s="74">
        <v>1</v>
      </c>
      <c r="BX109" s="74">
        <v>1</v>
      </c>
      <c r="BY109" s="74">
        <v>0</v>
      </c>
      <c r="BZ109" s="74">
        <v>0</v>
      </c>
      <c r="CA109" s="74">
        <v>1</v>
      </c>
      <c r="CB109" s="74">
        <v>0</v>
      </c>
      <c r="CC109" s="74">
        <v>1</v>
      </c>
      <c r="CD109" s="74">
        <v>1</v>
      </c>
      <c r="CE109" s="74">
        <v>2</v>
      </c>
      <c r="CF109" s="74">
        <v>1</v>
      </c>
      <c r="CG109" s="74">
        <v>0</v>
      </c>
      <c r="CH109" s="74">
        <v>0</v>
      </c>
      <c r="CI109" s="74">
        <v>0</v>
      </c>
      <c r="CJ109" s="49" t="s">
        <v>100</v>
      </c>
      <c r="CK109" s="74">
        <v>0</v>
      </c>
      <c r="CL109" s="75"/>
      <c r="CM109" s="75"/>
      <c r="CN109" s="74">
        <v>0</v>
      </c>
      <c r="CO109" s="74">
        <v>0</v>
      </c>
      <c r="CP109" s="74">
        <v>0</v>
      </c>
      <c r="CQ109" s="74">
        <v>0</v>
      </c>
      <c r="CR109" s="74">
        <v>0</v>
      </c>
      <c r="CS109" s="74">
        <v>0</v>
      </c>
      <c r="CT109" s="74">
        <v>0</v>
      </c>
      <c r="CU109" s="74">
        <v>0</v>
      </c>
      <c r="CV109" s="74">
        <v>1</v>
      </c>
      <c r="CW109" s="49">
        <v>0</v>
      </c>
      <c r="CX109" s="49">
        <v>1</v>
      </c>
      <c r="CY109" s="49">
        <v>0</v>
      </c>
      <c r="CZ109" s="74">
        <v>0</v>
      </c>
      <c r="DA109" s="74">
        <v>3</v>
      </c>
      <c r="DB109" s="49">
        <v>0</v>
      </c>
      <c r="DC109" s="74">
        <v>1</v>
      </c>
      <c r="DD109" s="74">
        <v>3</v>
      </c>
      <c r="DE109" s="74">
        <v>9</v>
      </c>
      <c r="DF109" s="74">
        <v>0</v>
      </c>
      <c r="DG109" s="49">
        <v>3</v>
      </c>
      <c r="DH109" s="49">
        <v>4</v>
      </c>
      <c r="DI109" s="49">
        <v>1</v>
      </c>
      <c r="DJ109" s="74">
        <v>0</v>
      </c>
      <c r="DK109" s="74">
        <v>0</v>
      </c>
      <c r="DL109" s="49" t="s">
        <v>100</v>
      </c>
      <c r="DM109" s="74">
        <v>0</v>
      </c>
      <c r="DN109" s="74">
        <v>0</v>
      </c>
      <c r="DO109" s="75" t="s">
        <v>100</v>
      </c>
      <c r="DP109" s="74">
        <v>0</v>
      </c>
      <c r="DQ109" s="74">
        <v>0</v>
      </c>
      <c r="DR109" s="49">
        <v>0</v>
      </c>
      <c r="DS109" s="74">
        <v>0</v>
      </c>
      <c r="DT109" s="49">
        <v>1</v>
      </c>
      <c r="DU109" s="74">
        <v>0</v>
      </c>
      <c r="DV109" s="49" t="s">
        <v>100</v>
      </c>
      <c r="DW109" s="74">
        <v>2</v>
      </c>
      <c r="DX109" s="74">
        <v>1</v>
      </c>
      <c r="DY109" s="74">
        <v>1</v>
      </c>
      <c r="DZ109" s="74">
        <v>3</v>
      </c>
    </row>
    <row r="110" spans="1:130">
      <c r="A110" s="50">
        <v>108</v>
      </c>
      <c r="B110" s="50" t="s">
        <v>517</v>
      </c>
      <c r="C110" s="50" t="s">
        <v>518</v>
      </c>
      <c r="D110" s="72">
        <v>39624</v>
      </c>
      <c r="E110" s="49" t="s">
        <v>123</v>
      </c>
      <c r="F110" s="73">
        <v>25</v>
      </c>
      <c r="G110" s="73">
        <v>6</v>
      </c>
      <c r="H110" s="49">
        <v>2008</v>
      </c>
      <c r="I110" s="49" t="s">
        <v>519</v>
      </c>
      <c r="J110" s="49" t="s">
        <v>247</v>
      </c>
      <c r="K110" s="73">
        <v>17</v>
      </c>
      <c r="L110" s="73">
        <v>0</v>
      </c>
      <c r="M110" s="74">
        <v>2</v>
      </c>
      <c r="N110" s="74">
        <v>6</v>
      </c>
      <c r="O110" s="74">
        <v>0</v>
      </c>
      <c r="P110" s="73" t="s">
        <v>100</v>
      </c>
      <c r="Q110" s="49">
        <v>0</v>
      </c>
      <c r="R110" s="49">
        <v>0</v>
      </c>
      <c r="S110" s="74">
        <v>5</v>
      </c>
      <c r="T110" s="73">
        <v>1</v>
      </c>
      <c r="U110" s="74">
        <v>0</v>
      </c>
      <c r="V110" s="49">
        <v>25</v>
      </c>
      <c r="W110" s="49">
        <v>0</v>
      </c>
      <c r="X110" s="74">
        <v>0</v>
      </c>
      <c r="Y110" s="49">
        <v>0</v>
      </c>
      <c r="Z110" s="74">
        <v>0</v>
      </c>
      <c r="AA110" s="49"/>
      <c r="AB110" s="49">
        <v>1</v>
      </c>
      <c r="AC110" s="49"/>
      <c r="AD110" s="49"/>
      <c r="AE110" s="49"/>
      <c r="AF110" s="49"/>
      <c r="AG110" s="49"/>
      <c r="AH110" s="49"/>
      <c r="AI110" s="49">
        <v>1</v>
      </c>
      <c r="AJ110" s="74">
        <v>1</v>
      </c>
      <c r="AK110" s="74">
        <v>1</v>
      </c>
      <c r="AL110" s="74">
        <v>0</v>
      </c>
      <c r="AM110" s="49">
        <v>0</v>
      </c>
      <c r="AN110" s="49" t="s">
        <v>100</v>
      </c>
      <c r="AO110" s="49">
        <v>0</v>
      </c>
      <c r="AP110" s="49"/>
      <c r="AQ110" s="49">
        <v>1</v>
      </c>
      <c r="AR110" s="49">
        <v>0</v>
      </c>
      <c r="AS110" s="74">
        <v>0</v>
      </c>
      <c r="AT110" s="49">
        <v>0</v>
      </c>
      <c r="AU110" s="49" t="s">
        <v>100</v>
      </c>
      <c r="AV110" s="49" t="s">
        <v>100</v>
      </c>
      <c r="AW110" s="49" t="s">
        <v>100</v>
      </c>
      <c r="AX110" s="49">
        <v>0</v>
      </c>
      <c r="AY110" s="49">
        <v>0</v>
      </c>
      <c r="AZ110" s="49">
        <v>0</v>
      </c>
      <c r="BA110" s="49">
        <v>0</v>
      </c>
      <c r="BB110" s="49">
        <v>0</v>
      </c>
      <c r="BC110" s="49">
        <v>0</v>
      </c>
      <c r="BD110" s="49">
        <v>0</v>
      </c>
      <c r="BE110" s="49"/>
      <c r="BF110" s="49"/>
      <c r="BG110" s="49"/>
      <c r="BH110" s="49"/>
      <c r="BI110" s="49">
        <v>0</v>
      </c>
      <c r="BJ110" s="49">
        <v>0</v>
      </c>
      <c r="BK110" s="74">
        <v>1</v>
      </c>
      <c r="BL110" s="74">
        <v>1</v>
      </c>
      <c r="BM110" s="49">
        <v>0</v>
      </c>
      <c r="BN110" s="49" t="s">
        <v>3019</v>
      </c>
      <c r="BO110" s="49">
        <v>1</v>
      </c>
      <c r="BP110" s="49">
        <v>0</v>
      </c>
      <c r="BQ110" s="49">
        <v>0</v>
      </c>
      <c r="BR110" s="49">
        <v>0</v>
      </c>
      <c r="BS110" s="49">
        <v>1</v>
      </c>
      <c r="BT110" s="49">
        <v>1</v>
      </c>
      <c r="BU110" s="49">
        <v>1</v>
      </c>
      <c r="BV110" s="49">
        <v>0</v>
      </c>
      <c r="BW110" s="49">
        <v>0</v>
      </c>
      <c r="BX110" s="49">
        <v>0</v>
      </c>
      <c r="BY110" s="74">
        <v>1</v>
      </c>
      <c r="BZ110" s="49">
        <v>0</v>
      </c>
      <c r="CA110" s="49">
        <v>0</v>
      </c>
      <c r="CB110" s="49" t="s">
        <v>100</v>
      </c>
      <c r="CC110" s="49">
        <v>0</v>
      </c>
      <c r="CD110" s="49" t="s">
        <v>100</v>
      </c>
      <c r="CE110" s="49">
        <v>0</v>
      </c>
      <c r="CF110" s="49">
        <v>0</v>
      </c>
      <c r="CG110" s="49">
        <v>0</v>
      </c>
      <c r="CH110" s="74">
        <v>4</v>
      </c>
      <c r="CI110" s="49">
        <v>0</v>
      </c>
      <c r="CJ110" s="49" t="s">
        <v>100</v>
      </c>
      <c r="CK110" s="49">
        <v>0</v>
      </c>
      <c r="CL110" s="49"/>
      <c r="CM110" s="49"/>
      <c r="CN110" s="49">
        <v>0</v>
      </c>
      <c r="CO110" s="49">
        <v>0</v>
      </c>
      <c r="CP110" s="49">
        <v>0</v>
      </c>
      <c r="CQ110" s="49">
        <v>0</v>
      </c>
      <c r="CR110" s="74">
        <v>1</v>
      </c>
      <c r="CS110" s="49">
        <v>0</v>
      </c>
      <c r="CT110" s="49">
        <v>0</v>
      </c>
      <c r="CU110" s="49">
        <v>0</v>
      </c>
      <c r="CV110" s="49">
        <v>1</v>
      </c>
      <c r="CW110" s="49">
        <v>0</v>
      </c>
      <c r="CX110" s="49">
        <v>0</v>
      </c>
      <c r="CY110" s="49">
        <v>0</v>
      </c>
      <c r="CZ110" s="74">
        <v>0</v>
      </c>
      <c r="DA110" s="49">
        <v>0</v>
      </c>
      <c r="DB110" s="74">
        <v>1</v>
      </c>
      <c r="DC110" s="49">
        <v>1</v>
      </c>
      <c r="DD110" s="49">
        <v>3</v>
      </c>
      <c r="DE110" s="49">
        <v>2</v>
      </c>
      <c r="DF110" s="49">
        <v>1</v>
      </c>
      <c r="DG110" s="49"/>
      <c r="DH110" s="49"/>
      <c r="DI110" s="49"/>
      <c r="DJ110" s="74">
        <v>1</v>
      </c>
      <c r="DK110" s="49">
        <v>0</v>
      </c>
      <c r="DL110" s="49" t="s">
        <v>100</v>
      </c>
      <c r="DM110" s="74">
        <v>0</v>
      </c>
      <c r="DN110" s="49">
        <v>0</v>
      </c>
      <c r="DO110" s="49" t="s">
        <v>100</v>
      </c>
      <c r="DP110" s="49">
        <v>0</v>
      </c>
      <c r="DQ110" s="74">
        <v>0</v>
      </c>
      <c r="DR110" s="49">
        <v>0</v>
      </c>
      <c r="DS110" s="74">
        <v>1</v>
      </c>
      <c r="DT110" s="49">
        <v>1</v>
      </c>
      <c r="DU110" s="74">
        <v>0</v>
      </c>
      <c r="DV110" s="49" t="s">
        <v>100</v>
      </c>
      <c r="DW110" s="49">
        <v>0</v>
      </c>
      <c r="DX110" s="74">
        <v>0</v>
      </c>
      <c r="DY110" s="49">
        <v>2</v>
      </c>
      <c r="DZ110" s="49">
        <v>0</v>
      </c>
    </row>
    <row r="111" spans="1:130">
      <c r="A111" s="50">
        <v>109</v>
      </c>
      <c r="B111" s="50" t="s">
        <v>520</v>
      </c>
      <c r="C111" s="50" t="s">
        <v>521</v>
      </c>
      <c r="D111" s="72">
        <v>39693</v>
      </c>
      <c r="E111" s="49" t="s">
        <v>203</v>
      </c>
      <c r="F111" s="73">
        <v>2</v>
      </c>
      <c r="G111" s="73">
        <v>9</v>
      </c>
      <c r="H111" s="49">
        <v>2008</v>
      </c>
      <c r="I111" s="49" t="s">
        <v>522</v>
      </c>
      <c r="J111" s="49" t="s">
        <v>523</v>
      </c>
      <c r="K111" s="73">
        <v>47</v>
      </c>
      <c r="L111" s="73">
        <v>3</v>
      </c>
      <c r="M111" s="74">
        <v>2</v>
      </c>
      <c r="N111" s="74">
        <v>7</v>
      </c>
      <c r="O111" s="74">
        <v>1</v>
      </c>
      <c r="P111" s="74">
        <v>8</v>
      </c>
      <c r="Q111" s="49">
        <v>0</v>
      </c>
      <c r="R111" s="49">
        <v>0</v>
      </c>
      <c r="S111" s="73">
        <v>6</v>
      </c>
      <c r="T111" s="73">
        <v>4</v>
      </c>
      <c r="U111" s="74">
        <v>0</v>
      </c>
      <c r="V111" s="49">
        <v>28</v>
      </c>
      <c r="W111" s="49">
        <v>0</v>
      </c>
      <c r="X111" s="49">
        <v>2</v>
      </c>
      <c r="Y111" s="49">
        <v>0</v>
      </c>
      <c r="Z111" s="74">
        <v>0</v>
      </c>
      <c r="AA111" s="49">
        <v>1</v>
      </c>
      <c r="AB111" s="49"/>
      <c r="AC111" s="49"/>
      <c r="AD111" s="49"/>
      <c r="AE111" s="74">
        <v>3</v>
      </c>
      <c r="AF111" s="74">
        <v>1</v>
      </c>
      <c r="AG111" s="74">
        <v>1</v>
      </c>
      <c r="AH111" s="74">
        <v>0</v>
      </c>
      <c r="AI111" s="49">
        <v>0</v>
      </c>
      <c r="AJ111" s="49">
        <v>0</v>
      </c>
      <c r="AK111" s="74">
        <v>0</v>
      </c>
      <c r="AL111" s="74">
        <v>0</v>
      </c>
      <c r="AM111" s="49">
        <v>0</v>
      </c>
      <c r="AN111" s="49" t="s">
        <v>100</v>
      </c>
      <c r="AO111" s="74">
        <v>0</v>
      </c>
      <c r="AP111" s="49"/>
      <c r="AQ111" s="74">
        <v>1</v>
      </c>
      <c r="AR111" s="49">
        <v>0</v>
      </c>
      <c r="AS111" s="74">
        <v>1</v>
      </c>
      <c r="AT111" s="49">
        <v>0</v>
      </c>
      <c r="AU111" s="49" t="s">
        <v>100</v>
      </c>
      <c r="AV111" s="49" t="s">
        <v>100</v>
      </c>
      <c r="AW111" s="49" t="s">
        <v>100</v>
      </c>
      <c r="AX111" s="49">
        <v>0</v>
      </c>
      <c r="AY111" s="49">
        <v>0</v>
      </c>
      <c r="AZ111" s="49">
        <v>0</v>
      </c>
      <c r="BA111" s="49">
        <v>0</v>
      </c>
      <c r="BB111" s="49">
        <v>0</v>
      </c>
      <c r="BC111" s="49">
        <v>0</v>
      </c>
      <c r="BD111" s="49">
        <v>0</v>
      </c>
      <c r="BE111" s="74">
        <v>0</v>
      </c>
      <c r="BF111" s="74">
        <v>0</v>
      </c>
      <c r="BG111" s="74">
        <v>3</v>
      </c>
      <c r="BH111" s="49">
        <v>1</v>
      </c>
      <c r="BI111" s="49">
        <v>0</v>
      </c>
      <c r="BJ111" s="74">
        <v>1</v>
      </c>
      <c r="BK111" s="74">
        <v>0</v>
      </c>
      <c r="BL111" s="74">
        <v>1</v>
      </c>
      <c r="BM111" s="49">
        <v>3</v>
      </c>
      <c r="BN111" s="49" t="s">
        <v>3086</v>
      </c>
      <c r="BO111" s="49">
        <v>1</v>
      </c>
      <c r="BP111" s="49">
        <v>1</v>
      </c>
      <c r="BQ111" s="49">
        <v>0</v>
      </c>
      <c r="BR111" s="49">
        <v>1</v>
      </c>
      <c r="BS111" s="49">
        <v>1</v>
      </c>
      <c r="BT111" s="49">
        <v>1</v>
      </c>
      <c r="BU111" s="49">
        <v>1</v>
      </c>
      <c r="BV111" s="49">
        <v>1</v>
      </c>
      <c r="BW111" s="49">
        <v>1</v>
      </c>
      <c r="BX111" s="49">
        <v>0</v>
      </c>
      <c r="BY111" s="74">
        <v>1</v>
      </c>
      <c r="BZ111" s="49">
        <v>1</v>
      </c>
      <c r="CA111" s="49">
        <v>0</v>
      </c>
      <c r="CB111" s="49" t="s">
        <v>100</v>
      </c>
      <c r="CC111" s="49">
        <v>1</v>
      </c>
      <c r="CD111" s="49">
        <v>1</v>
      </c>
      <c r="CE111" s="74">
        <v>4</v>
      </c>
      <c r="CF111" s="49">
        <v>0</v>
      </c>
      <c r="CG111" s="49">
        <v>0</v>
      </c>
      <c r="CH111" s="49">
        <v>4</v>
      </c>
      <c r="CI111" s="49" t="s">
        <v>833</v>
      </c>
      <c r="CJ111" s="49" t="s">
        <v>100</v>
      </c>
      <c r="CK111" s="49">
        <v>0</v>
      </c>
      <c r="CL111" s="49"/>
      <c r="CM111" s="49"/>
      <c r="CN111" s="49">
        <v>0</v>
      </c>
      <c r="CO111" s="49">
        <v>0</v>
      </c>
      <c r="CP111" s="49">
        <v>0</v>
      </c>
      <c r="CQ111" s="49">
        <v>0</v>
      </c>
      <c r="CR111" s="49">
        <v>0</v>
      </c>
      <c r="CS111" s="49">
        <v>0</v>
      </c>
      <c r="CT111" s="49">
        <v>0</v>
      </c>
      <c r="CU111" s="49">
        <v>0</v>
      </c>
      <c r="CV111" s="49">
        <v>0</v>
      </c>
      <c r="CW111" s="49">
        <v>0</v>
      </c>
      <c r="CX111" s="49">
        <v>1</v>
      </c>
      <c r="CY111" s="49">
        <v>0</v>
      </c>
      <c r="CZ111" s="74">
        <v>0</v>
      </c>
      <c r="DA111" s="49">
        <v>3</v>
      </c>
      <c r="DB111" s="49">
        <v>0</v>
      </c>
      <c r="DC111" s="49">
        <v>1</v>
      </c>
      <c r="DD111" s="49">
        <v>0</v>
      </c>
      <c r="DE111" s="49">
        <v>5</v>
      </c>
      <c r="DF111" s="49">
        <v>1</v>
      </c>
      <c r="DG111" s="49"/>
      <c r="DH111" s="49"/>
      <c r="DI111" s="49"/>
      <c r="DJ111" s="49">
        <v>0</v>
      </c>
      <c r="DK111" s="49">
        <v>0</v>
      </c>
      <c r="DL111" s="49" t="s">
        <v>100</v>
      </c>
      <c r="DM111" s="74">
        <v>0</v>
      </c>
      <c r="DN111" s="49">
        <v>0</v>
      </c>
      <c r="DO111" s="49" t="s">
        <v>100</v>
      </c>
      <c r="DP111" s="74">
        <v>0</v>
      </c>
      <c r="DQ111" s="74">
        <v>0</v>
      </c>
      <c r="DR111" s="74">
        <v>0</v>
      </c>
      <c r="DS111" s="74">
        <v>1</v>
      </c>
      <c r="DT111" s="49">
        <v>2</v>
      </c>
      <c r="DU111" s="74">
        <v>1</v>
      </c>
      <c r="DV111" s="49" t="s">
        <v>365</v>
      </c>
      <c r="DW111" s="49">
        <v>2</v>
      </c>
      <c r="DX111" s="74">
        <v>0</v>
      </c>
      <c r="DY111" s="74">
        <v>1</v>
      </c>
      <c r="DZ111" s="74">
        <v>4</v>
      </c>
    </row>
    <row r="112" spans="1:130">
      <c r="A112" s="50">
        <v>110</v>
      </c>
      <c r="B112" s="50" t="s">
        <v>524</v>
      </c>
      <c r="C112" s="50" t="s">
        <v>102</v>
      </c>
      <c r="D112" s="72">
        <v>39901</v>
      </c>
      <c r="E112" s="49" t="s">
        <v>137</v>
      </c>
      <c r="F112" s="73">
        <v>29</v>
      </c>
      <c r="G112" s="74">
        <v>3</v>
      </c>
      <c r="H112" s="74">
        <v>2009</v>
      </c>
      <c r="I112" s="49" t="s">
        <v>525</v>
      </c>
      <c r="J112" s="49" t="s">
        <v>526</v>
      </c>
      <c r="K112" s="74">
        <v>33</v>
      </c>
      <c r="L112" s="73">
        <v>0</v>
      </c>
      <c r="M112" s="73">
        <v>2</v>
      </c>
      <c r="N112" s="74">
        <v>7</v>
      </c>
      <c r="O112" s="74">
        <v>0</v>
      </c>
      <c r="P112" s="73" t="s">
        <v>100</v>
      </c>
      <c r="Q112" s="49">
        <v>0</v>
      </c>
      <c r="R112" s="49">
        <v>0</v>
      </c>
      <c r="S112" s="74">
        <v>8</v>
      </c>
      <c r="T112" s="73">
        <v>3</v>
      </c>
      <c r="U112" s="74">
        <v>0</v>
      </c>
      <c r="V112" s="74">
        <v>45</v>
      </c>
      <c r="W112" s="74">
        <v>0</v>
      </c>
      <c r="X112" s="74">
        <v>0</v>
      </c>
      <c r="Y112" s="49">
        <v>0</v>
      </c>
      <c r="Z112" s="74">
        <v>0</v>
      </c>
      <c r="AA112" s="74">
        <v>1</v>
      </c>
      <c r="AB112" s="49" t="s">
        <v>818</v>
      </c>
      <c r="AC112" s="49"/>
      <c r="AD112" s="49"/>
      <c r="AE112" s="49"/>
      <c r="AF112" s="49"/>
      <c r="AG112" s="49"/>
      <c r="AH112" s="49"/>
      <c r="AI112" s="74">
        <v>3</v>
      </c>
      <c r="AJ112" s="49">
        <v>0</v>
      </c>
      <c r="AK112" s="74">
        <v>0</v>
      </c>
      <c r="AL112" s="74">
        <v>0</v>
      </c>
      <c r="AM112" s="49">
        <v>1</v>
      </c>
      <c r="AN112" s="49">
        <v>5</v>
      </c>
      <c r="AO112" s="74">
        <v>0</v>
      </c>
      <c r="AP112" s="49"/>
      <c r="AQ112" s="74">
        <v>1</v>
      </c>
      <c r="AR112" s="49">
        <v>0</v>
      </c>
      <c r="AS112" s="74">
        <v>1</v>
      </c>
      <c r="AT112" s="74">
        <v>1</v>
      </c>
      <c r="AU112" s="49">
        <v>1</v>
      </c>
      <c r="AV112" s="49">
        <v>4</v>
      </c>
      <c r="AW112" s="49"/>
      <c r="AX112" s="49">
        <v>0</v>
      </c>
      <c r="AY112" s="49">
        <v>0</v>
      </c>
      <c r="AZ112" s="49">
        <v>0</v>
      </c>
      <c r="BA112" s="49">
        <v>0</v>
      </c>
      <c r="BB112" s="49">
        <v>0</v>
      </c>
      <c r="BC112" s="74">
        <v>1</v>
      </c>
      <c r="BD112" s="49">
        <v>0</v>
      </c>
      <c r="BE112" s="49"/>
      <c r="BF112" s="49"/>
      <c r="BG112" s="49"/>
      <c r="BH112" s="49"/>
      <c r="BI112" s="49">
        <v>0</v>
      </c>
      <c r="BJ112" s="49">
        <v>1</v>
      </c>
      <c r="BK112" s="49">
        <v>0</v>
      </c>
      <c r="BL112" s="74">
        <v>1</v>
      </c>
      <c r="BM112" s="49">
        <v>1</v>
      </c>
      <c r="BN112" s="49" t="s">
        <v>3018</v>
      </c>
      <c r="BO112" s="49">
        <v>1</v>
      </c>
      <c r="BP112" s="49">
        <v>0</v>
      </c>
      <c r="BQ112" s="49">
        <v>0</v>
      </c>
      <c r="BR112" s="49">
        <v>0</v>
      </c>
      <c r="BS112" s="49">
        <v>0</v>
      </c>
      <c r="BT112" s="49">
        <v>1</v>
      </c>
      <c r="BU112" s="49">
        <v>1</v>
      </c>
      <c r="BV112" s="49">
        <v>0</v>
      </c>
      <c r="BW112" s="49">
        <v>0</v>
      </c>
      <c r="BX112" s="49">
        <v>0</v>
      </c>
      <c r="BY112" s="74">
        <v>1</v>
      </c>
      <c r="BZ112" s="49">
        <v>0</v>
      </c>
      <c r="CA112" s="49">
        <v>0</v>
      </c>
      <c r="CB112" s="49" t="s">
        <v>100</v>
      </c>
      <c r="CC112" s="74">
        <v>1</v>
      </c>
      <c r="CD112" s="74">
        <v>1</v>
      </c>
      <c r="CE112" s="74">
        <v>1</v>
      </c>
      <c r="CF112" s="49">
        <v>0</v>
      </c>
      <c r="CG112" s="49">
        <v>0</v>
      </c>
      <c r="CH112" s="74">
        <v>5</v>
      </c>
      <c r="CI112" s="74">
        <v>1</v>
      </c>
      <c r="CJ112" s="49" t="s">
        <v>871</v>
      </c>
      <c r="CK112" s="49">
        <v>0</v>
      </c>
      <c r="CL112" s="49"/>
      <c r="CM112" s="49"/>
      <c r="CN112" s="49">
        <v>0</v>
      </c>
      <c r="CO112" s="49">
        <v>0</v>
      </c>
      <c r="CP112" s="49">
        <v>0</v>
      </c>
      <c r="CQ112" s="49">
        <v>0</v>
      </c>
      <c r="CR112" s="49">
        <v>0</v>
      </c>
      <c r="CS112" s="49">
        <v>0</v>
      </c>
      <c r="CT112" s="49">
        <v>0</v>
      </c>
      <c r="CU112" s="74">
        <v>1</v>
      </c>
      <c r="CV112" s="49">
        <v>0</v>
      </c>
      <c r="CW112" s="49">
        <v>0</v>
      </c>
      <c r="CX112" s="49">
        <v>0</v>
      </c>
      <c r="CY112" s="49">
        <v>0</v>
      </c>
      <c r="CZ112" s="74">
        <v>1</v>
      </c>
      <c r="DA112" s="49">
        <v>0</v>
      </c>
      <c r="DB112" s="49">
        <v>0</v>
      </c>
      <c r="DC112" s="74">
        <v>1</v>
      </c>
      <c r="DD112" s="49"/>
      <c r="DE112" s="49">
        <v>2</v>
      </c>
      <c r="DF112" s="49">
        <v>0</v>
      </c>
      <c r="DG112" s="49"/>
      <c r="DH112" s="49"/>
      <c r="DI112" s="49"/>
      <c r="DJ112" s="49">
        <v>0</v>
      </c>
      <c r="DK112" s="49">
        <v>0</v>
      </c>
      <c r="DL112" s="49" t="s">
        <v>100</v>
      </c>
      <c r="DM112" s="74">
        <v>0</v>
      </c>
      <c r="DN112" s="49">
        <v>0</v>
      </c>
      <c r="DO112" s="49" t="s">
        <v>100</v>
      </c>
      <c r="DP112" s="49">
        <v>0</v>
      </c>
      <c r="DQ112" s="74">
        <v>0</v>
      </c>
      <c r="DR112" s="74">
        <v>1</v>
      </c>
      <c r="DS112" s="74">
        <v>3</v>
      </c>
      <c r="DT112" s="74">
        <v>4</v>
      </c>
      <c r="DU112" s="74">
        <v>1</v>
      </c>
      <c r="DV112" s="49" t="s">
        <v>512</v>
      </c>
      <c r="DW112" s="74">
        <v>2</v>
      </c>
      <c r="DX112" s="74">
        <v>0</v>
      </c>
      <c r="DY112" s="74">
        <v>1</v>
      </c>
      <c r="DZ112" s="74">
        <v>3</v>
      </c>
    </row>
    <row r="113" spans="1:130">
      <c r="A113" s="50">
        <v>111</v>
      </c>
      <c r="B113" s="50" t="s">
        <v>527</v>
      </c>
      <c r="C113" s="50" t="s">
        <v>528</v>
      </c>
      <c r="D113" s="72">
        <v>39906</v>
      </c>
      <c r="E113" s="49" t="s">
        <v>157</v>
      </c>
      <c r="F113" s="73">
        <v>3</v>
      </c>
      <c r="G113" s="73">
        <v>4</v>
      </c>
      <c r="H113" s="49">
        <v>2009</v>
      </c>
      <c r="I113" s="49" t="s">
        <v>529</v>
      </c>
      <c r="J113" s="49" t="s">
        <v>530</v>
      </c>
      <c r="K113" s="74">
        <v>32</v>
      </c>
      <c r="L113" s="73">
        <v>2</v>
      </c>
      <c r="M113" s="74">
        <v>1</v>
      </c>
      <c r="N113" s="74">
        <v>2</v>
      </c>
      <c r="O113" s="74">
        <v>0</v>
      </c>
      <c r="P113" s="73" t="s">
        <v>100</v>
      </c>
      <c r="Q113" s="49">
        <v>0</v>
      </c>
      <c r="R113" s="49">
        <v>0</v>
      </c>
      <c r="S113" s="74">
        <v>13</v>
      </c>
      <c r="T113" s="74">
        <v>4</v>
      </c>
      <c r="U113" s="74">
        <v>0</v>
      </c>
      <c r="V113" s="49">
        <v>41</v>
      </c>
      <c r="W113" s="49">
        <v>0</v>
      </c>
      <c r="X113" s="74">
        <v>3</v>
      </c>
      <c r="Y113" s="74">
        <v>1</v>
      </c>
      <c r="Z113" s="74">
        <v>0</v>
      </c>
      <c r="AA113" s="74">
        <v>3</v>
      </c>
      <c r="AB113" s="75" t="s">
        <v>818</v>
      </c>
      <c r="AC113" s="49"/>
      <c r="AD113" s="49"/>
      <c r="AE113" s="74">
        <v>2</v>
      </c>
      <c r="AF113" s="74">
        <v>3</v>
      </c>
      <c r="AG113" s="74">
        <v>1</v>
      </c>
      <c r="AH113" s="74">
        <v>2</v>
      </c>
      <c r="AI113" s="49">
        <v>3</v>
      </c>
      <c r="AJ113" s="74">
        <v>0</v>
      </c>
      <c r="AK113" s="49">
        <v>0</v>
      </c>
      <c r="AL113" s="49">
        <v>0</v>
      </c>
      <c r="AM113" s="49">
        <v>0</v>
      </c>
      <c r="AN113" s="49" t="s">
        <v>100</v>
      </c>
      <c r="AO113" s="74">
        <v>0</v>
      </c>
      <c r="AP113" s="49"/>
      <c r="AQ113" s="49">
        <v>1</v>
      </c>
      <c r="AR113" s="49">
        <v>0</v>
      </c>
      <c r="AS113" s="49">
        <v>1</v>
      </c>
      <c r="AT113" s="74">
        <v>2</v>
      </c>
      <c r="AU113" s="49">
        <v>1</v>
      </c>
      <c r="AV113" s="49"/>
      <c r="AW113" s="49"/>
      <c r="AX113" s="49">
        <v>0</v>
      </c>
      <c r="AY113" s="49">
        <v>0</v>
      </c>
      <c r="AZ113" s="74">
        <v>0</v>
      </c>
      <c r="BA113" s="49">
        <v>0</v>
      </c>
      <c r="BB113" s="49">
        <v>0</v>
      </c>
      <c r="BC113" s="74">
        <v>0</v>
      </c>
      <c r="BD113" s="49">
        <v>0</v>
      </c>
      <c r="BE113" s="74">
        <v>0</v>
      </c>
      <c r="BF113" s="74">
        <v>0</v>
      </c>
      <c r="BG113" s="74">
        <v>3</v>
      </c>
      <c r="BH113" s="75"/>
      <c r="BI113" s="49">
        <v>0</v>
      </c>
      <c r="BJ113" s="49">
        <v>0</v>
      </c>
      <c r="BK113" s="49">
        <v>1</v>
      </c>
      <c r="BL113" s="49">
        <v>1</v>
      </c>
      <c r="BM113" s="49">
        <v>1</v>
      </c>
      <c r="BN113" s="49" t="s">
        <v>3017</v>
      </c>
      <c r="BO113" s="49">
        <v>0</v>
      </c>
      <c r="BP113" s="49">
        <v>1</v>
      </c>
      <c r="BQ113" s="49">
        <v>0</v>
      </c>
      <c r="BR113" s="49">
        <v>0</v>
      </c>
      <c r="BS113" s="49">
        <v>0</v>
      </c>
      <c r="BT113" s="49">
        <v>0</v>
      </c>
      <c r="BU113" s="49">
        <v>0</v>
      </c>
      <c r="BV113" s="49">
        <v>1</v>
      </c>
      <c r="BW113" s="74">
        <v>1</v>
      </c>
      <c r="BX113" s="49">
        <v>1</v>
      </c>
      <c r="BY113" s="74">
        <v>2</v>
      </c>
      <c r="BZ113" s="49">
        <v>0</v>
      </c>
      <c r="CA113" s="49">
        <v>0</v>
      </c>
      <c r="CB113" s="49" t="s">
        <v>100</v>
      </c>
      <c r="CC113" s="49">
        <v>0</v>
      </c>
      <c r="CD113" s="49" t="s">
        <v>100</v>
      </c>
      <c r="CE113" s="74">
        <v>2</v>
      </c>
      <c r="CF113" s="74">
        <v>0</v>
      </c>
      <c r="CG113" s="49">
        <v>0</v>
      </c>
      <c r="CH113" s="49">
        <v>3</v>
      </c>
      <c r="CI113" s="49">
        <v>0</v>
      </c>
      <c r="CJ113" s="49" t="s">
        <v>100</v>
      </c>
      <c r="CK113" s="49">
        <v>0</v>
      </c>
      <c r="CL113" s="49"/>
      <c r="CM113" s="49"/>
      <c r="CN113" s="49">
        <v>0</v>
      </c>
      <c r="CO113" s="49">
        <v>0</v>
      </c>
      <c r="CP113" s="49">
        <v>0</v>
      </c>
      <c r="CQ113" s="49">
        <v>0</v>
      </c>
      <c r="CR113" s="49">
        <v>0</v>
      </c>
      <c r="CS113" s="49">
        <v>0</v>
      </c>
      <c r="CT113" s="49">
        <v>0</v>
      </c>
      <c r="CU113" s="49">
        <v>0</v>
      </c>
      <c r="CV113" s="49">
        <v>0</v>
      </c>
      <c r="CW113" s="49">
        <v>0</v>
      </c>
      <c r="CX113" s="49">
        <v>2</v>
      </c>
      <c r="CY113" s="49">
        <v>0</v>
      </c>
      <c r="CZ113" s="74">
        <v>0</v>
      </c>
      <c r="DA113" s="49">
        <v>3</v>
      </c>
      <c r="DB113" s="49">
        <v>0</v>
      </c>
      <c r="DC113" s="74">
        <v>0</v>
      </c>
      <c r="DD113" s="49"/>
      <c r="DE113" s="49"/>
      <c r="DF113" s="49"/>
      <c r="DG113" s="49"/>
      <c r="DH113" s="49"/>
      <c r="DI113" s="49"/>
      <c r="DJ113" s="49">
        <v>0</v>
      </c>
      <c r="DK113" s="49">
        <v>0</v>
      </c>
      <c r="DL113" s="49" t="s">
        <v>100</v>
      </c>
      <c r="DM113" s="74">
        <v>1</v>
      </c>
      <c r="DN113" s="49">
        <v>0</v>
      </c>
      <c r="DO113" s="49" t="s">
        <v>100</v>
      </c>
      <c r="DP113" s="74">
        <v>0</v>
      </c>
      <c r="DQ113" s="74">
        <v>0</v>
      </c>
      <c r="DR113" s="74">
        <v>1</v>
      </c>
      <c r="DS113" s="74">
        <v>3</v>
      </c>
      <c r="DT113" s="49">
        <v>2</v>
      </c>
      <c r="DU113" s="74">
        <v>1</v>
      </c>
      <c r="DV113" s="49" t="s">
        <v>531</v>
      </c>
      <c r="DW113" s="49">
        <v>0</v>
      </c>
      <c r="DX113" s="74">
        <v>0</v>
      </c>
      <c r="DY113" s="49">
        <v>2</v>
      </c>
      <c r="DZ113" s="49">
        <v>0</v>
      </c>
    </row>
    <row r="114" spans="1:130">
      <c r="A114" s="50">
        <v>112</v>
      </c>
      <c r="B114" s="50" t="s">
        <v>532</v>
      </c>
      <c r="C114" s="50" t="s">
        <v>533</v>
      </c>
      <c r="D114" s="72">
        <v>40118</v>
      </c>
      <c r="E114" s="49" t="s">
        <v>137</v>
      </c>
      <c r="F114" s="73">
        <v>1</v>
      </c>
      <c r="G114" s="74">
        <v>11</v>
      </c>
      <c r="H114" s="74">
        <v>2009</v>
      </c>
      <c r="I114" s="49" t="s">
        <v>534</v>
      </c>
      <c r="J114" s="49" t="s">
        <v>535</v>
      </c>
      <c r="K114" s="74">
        <v>33</v>
      </c>
      <c r="L114" s="74">
        <v>0</v>
      </c>
      <c r="M114" s="74">
        <v>2</v>
      </c>
      <c r="N114" s="74">
        <v>4</v>
      </c>
      <c r="O114" s="74">
        <v>0</v>
      </c>
      <c r="P114" s="73" t="s">
        <v>100</v>
      </c>
      <c r="Q114" s="49">
        <v>0</v>
      </c>
      <c r="R114" s="49">
        <v>0</v>
      </c>
      <c r="S114" s="74">
        <v>4</v>
      </c>
      <c r="T114" s="74">
        <v>0</v>
      </c>
      <c r="U114" s="74">
        <v>0</v>
      </c>
      <c r="V114" s="74">
        <v>29</v>
      </c>
      <c r="W114" s="74">
        <v>0</v>
      </c>
      <c r="X114" s="74">
        <v>2</v>
      </c>
      <c r="Y114" s="74">
        <v>1</v>
      </c>
      <c r="Z114" s="74">
        <v>0</v>
      </c>
      <c r="AA114" s="49"/>
      <c r="AB114" s="49"/>
      <c r="AC114" s="49"/>
      <c r="AD114" s="49"/>
      <c r="AE114" s="49"/>
      <c r="AF114" s="49"/>
      <c r="AG114" s="49"/>
      <c r="AH114" s="49"/>
      <c r="AI114" s="74">
        <v>1</v>
      </c>
      <c r="AJ114" s="49"/>
      <c r="AK114" s="49"/>
      <c r="AL114" s="74">
        <v>0</v>
      </c>
      <c r="AM114" s="49">
        <v>0</v>
      </c>
      <c r="AN114" s="49" t="s">
        <v>100</v>
      </c>
      <c r="AO114" s="49"/>
      <c r="AP114" s="49"/>
      <c r="AQ114" s="74">
        <v>1</v>
      </c>
      <c r="AR114" s="49">
        <v>0</v>
      </c>
      <c r="AS114" s="74">
        <v>1</v>
      </c>
      <c r="AT114" s="49">
        <v>0</v>
      </c>
      <c r="AU114" s="49" t="s">
        <v>100</v>
      </c>
      <c r="AV114" s="49" t="s">
        <v>100</v>
      </c>
      <c r="AW114" s="49" t="s">
        <v>100</v>
      </c>
      <c r="AX114" s="74">
        <v>1</v>
      </c>
      <c r="AY114" s="49">
        <v>0</v>
      </c>
      <c r="AZ114" s="49">
        <v>0</v>
      </c>
      <c r="BA114" s="49">
        <v>0</v>
      </c>
      <c r="BB114" s="49">
        <v>0</v>
      </c>
      <c r="BC114" s="49"/>
      <c r="BD114" s="49"/>
      <c r="BE114" s="49"/>
      <c r="BF114" s="49"/>
      <c r="BG114" s="49"/>
      <c r="BH114" s="49"/>
      <c r="BI114" s="49"/>
      <c r="BJ114" s="49"/>
      <c r="BK114" s="49"/>
      <c r="BL114" s="49"/>
      <c r="BM114" s="49"/>
      <c r="BN114" s="49"/>
      <c r="BO114" s="49">
        <v>0</v>
      </c>
      <c r="BP114" s="49">
        <v>0</v>
      </c>
      <c r="BQ114" s="49">
        <v>0</v>
      </c>
      <c r="BR114" s="49">
        <v>0</v>
      </c>
      <c r="BS114" s="49">
        <v>0</v>
      </c>
      <c r="BT114" s="49">
        <v>0</v>
      </c>
      <c r="BU114" s="49">
        <v>0</v>
      </c>
      <c r="BV114" s="49">
        <v>0</v>
      </c>
      <c r="BW114" s="49">
        <v>0</v>
      </c>
      <c r="BX114" s="49">
        <v>0</v>
      </c>
      <c r="BY114" s="74">
        <v>0</v>
      </c>
      <c r="BZ114" s="49">
        <v>0</v>
      </c>
      <c r="CA114" s="49">
        <v>0</v>
      </c>
      <c r="CB114" s="49" t="s">
        <v>100</v>
      </c>
      <c r="CC114" s="49">
        <v>0</v>
      </c>
      <c r="CD114" s="49" t="s">
        <v>100</v>
      </c>
      <c r="CE114" s="49">
        <v>0</v>
      </c>
      <c r="CF114" s="49">
        <v>0</v>
      </c>
      <c r="CG114" s="49">
        <v>0</v>
      </c>
      <c r="CH114" s="49"/>
      <c r="CI114" s="49">
        <v>0</v>
      </c>
      <c r="CJ114" s="49" t="s">
        <v>100</v>
      </c>
      <c r="CK114" s="49">
        <v>0</v>
      </c>
      <c r="CL114" s="49"/>
      <c r="CM114" s="49"/>
      <c r="CN114" s="49">
        <v>0</v>
      </c>
      <c r="CO114" s="49">
        <v>0</v>
      </c>
      <c r="CP114" s="49">
        <v>0</v>
      </c>
      <c r="CQ114" s="49">
        <v>0</v>
      </c>
      <c r="CR114" s="49">
        <v>0</v>
      </c>
      <c r="CS114" s="49">
        <v>0</v>
      </c>
      <c r="CT114" s="49">
        <v>0</v>
      </c>
      <c r="CU114" s="49">
        <v>0</v>
      </c>
      <c r="CV114" s="49">
        <v>1</v>
      </c>
      <c r="CW114" s="49">
        <v>0</v>
      </c>
      <c r="CX114" s="49">
        <v>0</v>
      </c>
      <c r="CY114" s="49">
        <v>0</v>
      </c>
      <c r="CZ114" s="49">
        <v>0</v>
      </c>
      <c r="DA114" s="49">
        <v>0</v>
      </c>
      <c r="DB114" s="49">
        <v>0</v>
      </c>
      <c r="DC114" s="49">
        <v>0</v>
      </c>
      <c r="DD114" s="49"/>
      <c r="DE114" s="49"/>
      <c r="DF114" s="49"/>
      <c r="DG114" s="49"/>
      <c r="DH114" s="49"/>
      <c r="DI114" s="49"/>
      <c r="DJ114" s="49">
        <v>0</v>
      </c>
      <c r="DK114" s="49">
        <v>0</v>
      </c>
      <c r="DL114" s="49" t="s">
        <v>100</v>
      </c>
      <c r="DM114" s="74">
        <v>0</v>
      </c>
      <c r="DN114" s="49">
        <v>0</v>
      </c>
      <c r="DO114" s="49" t="s">
        <v>100</v>
      </c>
      <c r="DP114" s="74">
        <v>0</v>
      </c>
      <c r="DQ114" s="74">
        <v>0</v>
      </c>
      <c r="DR114" s="49">
        <v>0</v>
      </c>
      <c r="DS114" s="49"/>
      <c r="DT114" s="74">
        <v>1</v>
      </c>
      <c r="DU114" s="74">
        <v>0</v>
      </c>
      <c r="DV114" s="49" t="s">
        <v>100</v>
      </c>
      <c r="DW114" s="74">
        <v>2</v>
      </c>
      <c r="DX114" s="74">
        <v>1</v>
      </c>
      <c r="DY114" s="74">
        <v>0</v>
      </c>
      <c r="DZ114" s="74">
        <v>2</v>
      </c>
    </row>
    <row r="115" spans="1:130">
      <c r="A115" s="50">
        <v>113</v>
      </c>
      <c r="B115" s="50" t="s">
        <v>536</v>
      </c>
      <c r="C115" s="50" t="s">
        <v>537</v>
      </c>
      <c r="D115" s="72">
        <v>40122</v>
      </c>
      <c r="E115" s="49" t="s">
        <v>178</v>
      </c>
      <c r="F115" s="73">
        <v>5</v>
      </c>
      <c r="G115" s="74">
        <v>11</v>
      </c>
      <c r="H115" s="74">
        <v>2009</v>
      </c>
      <c r="I115" s="49" t="s">
        <v>538</v>
      </c>
      <c r="J115" s="49" t="s">
        <v>3251</v>
      </c>
      <c r="K115" s="74">
        <v>43</v>
      </c>
      <c r="L115" s="74">
        <v>0</v>
      </c>
      <c r="M115" s="74">
        <v>0</v>
      </c>
      <c r="N115" s="74">
        <v>6</v>
      </c>
      <c r="O115" s="73">
        <v>0</v>
      </c>
      <c r="P115" s="73" t="s">
        <v>100</v>
      </c>
      <c r="Q115" s="49">
        <v>0</v>
      </c>
      <c r="R115" s="49">
        <v>0</v>
      </c>
      <c r="S115" s="74">
        <v>13</v>
      </c>
      <c r="T115" s="74">
        <v>32</v>
      </c>
      <c r="U115" s="74">
        <v>0</v>
      </c>
      <c r="V115" s="74">
        <v>39</v>
      </c>
      <c r="W115" s="74">
        <v>0</v>
      </c>
      <c r="X115" s="74">
        <v>4</v>
      </c>
      <c r="Y115" s="74">
        <v>0</v>
      </c>
      <c r="Z115" s="74">
        <v>0</v>
      </c>
      <c r="AA115" s="74">
        <v>2</v>
      </c>
      <c r="AB115" s="74">
        <v>4</v>
      </c>
      <c r="AC115" s="74">
        <v>2</v>
      </c>
      <c r="AD115" s="49" t="s">
        <v>3252</v>
      </c>
      <c r="AE115" s="74">
        <v>1</v>
      </c>
      <c r="AF115" s="74">
        <v>2</v>
      </c>
      <c r="AG115" s="74">
        <v>0</v>
      </c>
      <c r="AH115" s="74">
        <v>2</v>
      </c>
      <c r="AI115" s="74">
        <v>0</v>
      </c>
      <c r="AJ115" s="74">
        <v>0</v>
      </c>
      <c r="AK115" s="74">
        <v>1</v>
      </c>
      <c r="AL115" s="74">
        <v>1</v>
      </c>
      <c r="AM115" s="74">
        <v>1</v>
      </c>
      <c r="AN115" s="74">
        <v>0</v>
      </c>
      <c r="AO115" s="74">
        <v>2</v>
      </c>
      <c r="AP115" s="49" t="s">
        <v>3253</v>
      </c>
      <c r="AQ115" s="74">
        <v>1</v>
      </c>
      <c r="AR115" s="49">
        <v>0</v>
      </c>
      <c r="AS115" s="74">
        <v>0</v>
      </c>
      <c r="AT115" s="49">
        <v>0</v>
      </c>
      <c r="AU115" s="49" t="s">
        <v>100</v>
      </c>
      <c r="AV115" s="49" t="s">
        <v>100</v>
      </c>
      <c r="AW115" s="49" t="s">
        <v>100</v>
      </c>
      <c r="AX115" s="49">
        <v>0</v>
      </c>
      <c r="AY115" s="49">
        <v>0</v>
      </c>
      <c r="AZ115" s="74">
        <v>1</v>
      </c>
      <c r="BA115" s="74">
        <v>3</v>
      </c>
      <c r="BB115" s="49">
        <v>0</v>
      </c>
      <c r="BC115" s="74">
        <v>0</v>
      </c>
      <c r="BD115" s="74">
        <v>1</v>
      </c>
      <c r="BE115" s="74">
        <v>0</v>
      </c>
      <c r="BF115" s="74">
        <v>0</v>
      </c>
      <c r="BG115" s="49"/>
      <c r="BH115" s="49">
        <v>1</v>
      </c>
      <c r="BI115" s="49">
        <v>1</v>
      </c>
      <c r="BJ115" s="49">
        <v>0</v>
      </c>
      <c r="BK115" s="74">
        <v>1</v>
      </c>
      <c r="BL115" s="74">
        <v>1</v>
      </c>
      <c r="BM115" s="49">
        <v>2</v>
      </c>
      <c r="BN115" s="49" t="s">
        <v>3046</v>
      </c>
      <c r="BO115" s="49">
        <v>1</v>
      </c>
      <c r="BP115" s="49">
        <v>0</v>
      </c>
      <c r="BQ115" s="49">
        <v>0</v>
      </c>
      <c r="BR115" s="49">
        <v>0</v>
      </c>
      <c r="BS115" s="49">
        <v>0</v>
      </c>
      <c r="BT115" s="49">
        <v>1</v>
      </c>
      <c r="BU115" s="49">
        <v>0</v>
      </c>
      <c r="BV115" s="49">
        <v>0</v>
      </c>
      <c r="BW115" s="49">
        <v>0</v>
      </c>
      <c r="BX115" s="49">
        <v>0</v>
      </c>
      <c r="BY115" s="74">
        <v>2</v>
      </c>
      <c r="BZ115" s="49">
        <v>0</v>
      </c>
      <c r="CA115" s="74">
        <v>1</v>
      </c>
      <c r="CB115" s="74">
        <v>0</v>
      </c>
      <c r="CC115" s="49">
        <v>0</v>
      </c>
      <c r="CD115" s="74">
        <v>0</v>
      </c>
      <c r="CE115" s="74">
        <v>5</v>
      </c>
      <c r="CF115" s="49">
        <v>0</v>
      </c>
      <c r="CG115" s="49">
        <v>0</v>
      </c>
      <c r="CH115" s="49">
        <v>0</v>
      </c>
      <c r="CI115" s="49">
        <v>0</v>
      </c>
      <c r="CJ115" s="49" t="s">
        <v>100</v>
      </c>
      <c r="CK115" s="49">
        <v>4</v>
      </c>
      <c r="CL115" s="49"/>
      <c r="CM115" s="49"/>
      <c r="CN115" s="49">
        <v>0</v>
      </c>
      <c r="CO115" s="49">
        <v>0</v>
      </c>
      <c r="CP115" s="49">
        <v>0</v>
      </c>
      <c r="CQ115" s="49">
        <v>0</v>
      </c>
      <c r="CR115" s="49">
        <v>0</v>
      </c>
      <c r="CS115" s="49">
        <v>0</v>
      </c>
      <c r="CT115" s="49">
        <v>0</v>
      </c>
      <c r="CU115" s="49">
        <v>0</v>
      </c>
      <c r="CV115" s="49">
        <v>0</v>
      </c>
      <c r="CW115" s="49">
        <v>0</v>
      </c>
      <c r="CX115" s="74">
        <v>1</v>
      </c>
      <c r="CY115" s="49">
        <v>0</v>
      </c>
      <c r="CZ115" s="74">
        <v>0</v>
      </c>
      <c r="DA115" s="49">
        <v>0</v>
      </c>
      <c r="DB115" s="74">
        <v>1</v>
      </c>
      <c r="DC115" s="74">
        <v>1</v>
      </c>
      <c r="DD115" s="49">
        <v>0</v>
      </c>
      <c r="DE115" s="49">
        <v>9</v>
      </c>
      <c r="DF115" s="49">
        <v>0</v>
      </c>
      <c r="DG115" s="49"/>
      <c r="DH115" s="49"/>
      <c r="DI115" s="49"/>
      <c r="DJ115" s="74">
        <v>1</v>
      </c>
      <c r="DK115" s="49">
        <v>0</v>
      </c>
      <c r="DL115" s="49" t="s">
        <v>100</v>
      </c>
      <c r="DM115" s="74">
        <v>0</v>
      </c>
      <c r="DN115" s="49">
        <v>0</v>
      </c>
      <c r="DO115" s="49" t="s">
        <v>100</v>
      </c>
      <c r="DP115" s="74">
        <v>1</v>
      </c>
      <c r="DQ115" s="74">
        <v>0</v>
      </c>
      <c r="DR115" s="74">
        <v>0</v>
      </c>
      <c r="DS115" s="74">
        <v>3</v>
      </c>
      <c r="DT115" s="74">
        <v>2</v>
      </c>
      <c r="DU115" s="74">
        <v>1</v>
      </c>
      <c r="DV115" s="49" t="s">
        <v>539</v>
      </c>
      <c r="DW115" s="74">
        <v>2</v>
      </c>
      <c r="DX115" s="74">
        <v>0</v>
      </c>
      <c r="DY115" s="74">
        <v>0</v>
      </c>
      <c r="DZ115" s="74">
        <v>1</v>
      </c>
    </row>
    <row r="116" spans="1:130">
      <c r="A116" s="50">
        <v>114</v>
      </c>
      <c r="B116" s="50" t="s">
        <v>540</v>
      </c>
      <c r="C116" s="50" t="s">
        <v>541</v>
      </c>
      <c r="D116" s="72">
        <v>40146</v>
      </c>
      <c r="E116" s="49" t="s">
        <v>137</v>
      </c>
      <c r="F116" s="73">
        <v>29</v>
      </c>
      <c r="G116" s="73">
        <v>11</v>
      </c>
      <c r="H116" s="49">
        <v>2009</v>
      </c>
      <c r="I116" s="49" t="s">
        <v>542</v>
      </c>
      <c r="J116" s="49" t="s">
        <v>543</v>
      </c>
      <c r="K116" s="73">
        <v>47</v>
      </c>
      <c r="L116" s="73">
        <v>3</v>
      </c>
      <c r="M116" s="73">
        <v>1</v>
      </c>
      <c r="N116" s="74">
        <v>5</v>
      </c>
      <c r="O116" s="74">
        <v>0</v>
      </c>
      <c r="P116" s="73" t="s">
        <v>100</v>
      </c>
      <c r="Q116" s="49">
        <v>1</v>
      </c>
      <c r="R116" s="49">
        <v>1</v>
      </c>
      <c r="S116" s="73">
        <v>4</v>
      </c>
      <c r="T116" s="73">
        <v>0</v>
      </c>
      <c r="U116" s="74">
        <v>0</v>
      </c>
      <c r="V116" s="49">
        <v>37</v>
      </c>
      <c r="W116" s="49">
        <v>0</v>
      </c>
      <c r="X116" s="49">
        <v>1</v>
      </c>
      <c r="Y116" s="49">
        <v>0</v>
      </c>
      <c r="Z116" s="74">
        <v>0</v>
      </c>
      <c r="AA116" s="74">
        <v>1</v>
      </c>
      <c r="AB116" s="74">
        <v>0</v>
      </c>
      <c r="AC116" s="74">
        <v>0</v>
      </c>
      <c r="AD116" s="49" t="s">
        <v>3254</v>
      </c>
      <c r="AE116" s="74">
        <v>2</v>
      </c>
      <c r="AF116" s="74">
        <v>5</v>
      </c>
      <c r="AG116" s="74">
        <v>1</v>
      </c>
      <c r="AH116" s="74">
        <v>4</v>
      </c>
      <c r="AI116" s="49">
        <v>2</v>
      </c>
      <c r="AJ116" s="74">
        <v>1</v>
      </c>
      <c r="AK116" s="74">
        <v>0</v>
      </c>
      <c r="AL116" s="49">
        <v>0</v>
      </c>
      <c r="AM116" s="49">
        <v>0</v>
      </c>
      <c r="AN116" s="49" t="s">
        <v>100</v>
      </c>
      <c r="AO116" s="74">
        <v>0</v>
      </c>
      <c r="AP116" s="49"/>
      <c r="AQ116" s="49">
        <v>1</v>
      </c>
      <c r="AR116" s="49">
        <v>0</v>
      </c>
      <c r="AS116" s="49">
        <v>1</v>
      </c>
      <c r="AT116" s="74">
        <v>2</v>
      </c>
      <c r="AU116" s="49">
        <v>2</v>
      </c>
      <c r="AV116" s="49"/>
      <c r="AW116" s="49"/>
      <c r="AX116" s="74">
        <v>1</v>
      </c>
      <c r="AY116" s="49">
        <v>0</v>
      </c>
      <c r="AZ116" s="74">
        <v>0</v>
      </c>
      <c r="BA116" s="49">
        <v>0</v>
      </c>
      <c r="BB116" s="49">
        <v>0</v>
      </c>
      <c r="BC116" s="49">
        <v>0</v>
      </c>
      <c r="BD116" s="49">
        <v>0</v>
      </c>
      <c r="BE116" s="49">
        <v>1</v>
      </c>
      <c r="BF116" s="49">
        <v>0</v>
      </c>
      <c r="BG116" s="74">
        <v>3</v>
      </c>
      <c r="BH116" s="49">
        <v>0</v>
      </c>
      <c r="BI116" s="49">
        <v>0</v>
      </c>
      <c r="BJ116" s="74">
        <v>1</v>
      </c>
      <c r="BK116" s="74">
        <v>1</v>
      </c>
      <c r="BL116" s="49">
        <v>1</v>
      </c>
      <c r="BM116" s="49">
        <v>2</v>
      </c>
      <c r="BN116" s="49" t="s">
        <v>3108</v>
      </c>
      <c r="BO116" s="49">
        <v>1</v>
      </c>
      <c r="BP116" s="49">
        <v>0</v>
      </c>
      <c r="BQ116" s="49">
        <v>0</v>
      </c>
      <c r="BR116" s="49">
        <v>0</v>
      </c>
      <c r="BS116" s="49">
        <v>0</v>
      </c>
      <c r="BT116" s="49">
        <v>1</v>
      </c>
      <c r="BU116" s="49">
        <v>1</v>
      </c>
      <c r="BV116" s="49">
        <v>0</v>
      </c>
      <c r="BW116" s="49">
        <v>1</v>
      </c>
      <c r="BX116" s="49">
        <v>1</v>
      </c>
      <c r="BY116" s="49">
        <v>0</v>
      </c>
      <c r="BZ116" s="49">
        <v>0</v>
      </c>
      <c r="CA116" s="49">
        <v>1</v>
      </c>
      <c r="CB116" s="74">
        <v>0</v>
      </c>
      <c r="CC116" s="49">
        <v>0</v>
      </c>
      <c r="CD116" s="74">
        <v>1</v>
      </c>
      <c r="CE116" s="74">
        <v>2</v>
      </c>
      <c r="CF116" s="74">
        <v>0</v>
      </c>
      <c r="CG116" s="49">
        <v>0</v>
      </c>
      <c r="CH116" s="49">
        <v>2</v>
      </c>
      <c r="CI116" s="49">
        <v>0</v>
      </c>
      <c r="CJ116" s="49" t="s">
        <v>100</v>
      </c>
      <c r="CK116" s="49">
        <v>2</v>
      </c>
      <c r="CL116" s="49"/>
      <c r="CM116" s="49"/>
      <c r="CN116" s="49">
        <v>0</v>
      </c>
      <c r="CO116" s="49">
        <v>0</v>
      </c>
      <c r="CP116" s="49">
        <v>0</v>
      </c>
      <c r="CQ116" s="49">
        <v>0</v>
      </c>
      <c r="CR116" s="49">
        <v>0</v>
      </c>
      <c r="CS116" s="49">
        <v>0</v>
      </c>
      <c r="CT116" s="74">
        <v>1</v>
      </c>
      <c r="CU116" s="49">
        <v>0</v>
      </c>
      <c r="CV116" s="49">
        <v>0</v>
      </c>
      <c r="CW116" s="49">
        <v>0</v>
      </c>
      <c r="CX116" s="49">
        <v>0</v>
      </c>
      <c r="CY116" s="49">
        <v>0</v>
      </c>
      <c r="CZ116" s="74">
        <v>0</v>
      </c>
      <c r="DA116" s="49">
        <v>0</v>
      </c>
      <c r="DB116" s="49">
        <v>0</v>
      </c>
      <c r="DC116" s="74">
        <v>1</v>
      </c>
      <c r="DD116" s="49">
        <v>0</v>
      </c>
      <c r="DE116" s="49">
        <v>3</v>
      </c>
      <c r="DF116" s="49">
        <v>0</v>
      </c>
      <c r="DG116" s="49">
        <v>0</v>
      </c>
      <c r="DH116" s="49">
        <v>1</v>
      </c>
      <c r="DI116" s="49">
        <v>1</v>
      </c>
      <c r="DJ116" s="49">
        <v>0</v>
      </c>
      <c r="DK116" s="49">
        <v>0</v>
      </c>
      <c r="DL116" s="49" t="s">
        <v>100</v>
      </c>
      <c r="DM116" s="74">
        <v>0</v>
      </c>
      <c r="DN116" s="49">
        <v>0</v>
      </c>
      <c r="DO116" s="49" t="s">
        <v>100</v>
      </c>
      <c r="DP116" s="74">
        <v>0</v>
      </c>
      <c r="DQ116" s="74">
        <v>0</v>
      </c>
      <c r="DR116" s="49">
        <v>0</v>
      </c>
      <c r="DS116" s="74">
        <v>1</v>
      </c>
      <c r="DT116" s="49">
        <v>2</v>
      </c>
      <c r="DU116" s="74">
        <v>0</v>
      </c>
      <c r="DV116" s="49" t="s">
        <v>100</v>
      </c>
      <c r="DW116" s="49">
        <v>1</v>
      </c>
      <c r="DX116" s="74">
        <v>1</v>
      </c>
      <c r="DY116" s="49">
        <v>2</v>
      </c>
      <c r="DZ116" s="49">
        <v>0</v>
      </c>
    </row>
    <row r="117" spans="1:130">
      <c r="A117" s="50">
        <v>115</v>
      </c>
      <c r="B117" s="50" t="s">
        <v>544</v>
      </c>
      <c r="C117" s="50" t="s">
        <v>545</v>
      </c>
      <c r="D117" s="72">
        <v>40271</v>
      </c>
      <c r="E117" s="49" t="s">
        <v>103</v>
      </c>
      <c r="F117" s="73">
        <v>3</v>
      </c>
      <c r="G117" s="74">
        <v>4</v>
      </c>
      <c r="H117" s="74">
        <v>2010</v>
      </c>
      <c r="I117" s="49" t="s">
        <v>546</v>
      </c>
      <c r="J117" s="49" t="s">
        <v>333</v>
      </c>
      <c r="K117" s="74">
        <v>5</v>
      </c>
      <c r="L117" s="74">
        <v>3</v>
      </c>
      <c r="M117" s="73">
        <v>0</v>
      </c>
      <c r="N117" s="74">
        <v>5</v>
      </c>
      <c r="O117" s="73">
        <v>0</v>
      </c>
      <c r="P117" s="73" t="s">
        <v>100</v>
      </c>
      <c r="Q117" s="49">
        <v>1</v>
      </c>
      <c r="R117" s="49">
        <v>2</v>
      </c>
      <c r="S117" s="74">
        <v>4</v>
      </c>
      <c r="T117" s="74">
        <v>2</v>
      </c>
      <c r="U117" s="74">
        <v>0</v>
      </c>
      <c r="V117" s="74">
        <v>28</v>
      </c>
      <c r="W117" s="74">
        <v>0</v>
      </c>
      <c r="X117" s="49">
        <v>3</v>
      </c>
      <c r="Y117" s="49">
        <v>1</v>
      </c>
      <c r="Z117" s="49">
        <v>0</v>
      </c>
      <c r="AA117" s="49"/>
      <c r="AB117" s="74">
        <v>1</v>
      </c>
      <c r="AC117" s="49"/>
      <c r="AD117" s="49"/>
      <c r="AE117" s="74">
        <v>1</v>
      </c>
      <c r="AF117" s="74">
        <v>1</v>
      </c>
      <c r="AG117" s="74">
        <v>0</v>
      </c>
      <c r="AH117" s="74">
        <v>1</v>
      </c>
      <c r="AI117" s="49">
        <v>0</v>
      </c>
      <c r="AJ117" s="49">
        <v>0</v>
      </c>
      <c r="AK117" s="49">
        <v>0</v>
      </c>
      <c r="AL117" s="49">
        <v>0</v>
      </c>
      <c r="AM117" s="49">
        <v>0</v>
      </c>
      <c r="AN117" s="49" t="s">
        <v>100</v>
      </c>
      <c r="AO117" s="49"/>
      <c r="AP117" s="49"/>
      <c r="AQ117" s="74">
        <v>1</v>
      </c>
      <c r="AR117" s="49">
        <v>0</v>
      </c>
      <c r="AS117" s="74">
        <v>0</v>
      </c>
      <c r="AT117" s="49">
        <v>0</v>
      </c>
      <c r="AU117" s="49" t="s">
        <v>100</v>
      </c>
      <c r="AV117" s="49" t="s">
        <v>100</v>
      </c>
      <c r="AW117" s="49" t="s">
        <v>100</v>
      </c>
      <c r="AX117" s="49">
        <v>0</v>
      </c>
      <c r="AY117" s="49">
        <v>0</v>
      </c>
      <c r="AZ117" s="49">
        <v>0</v>
      </c>
      <c r="BA117" s="49">
        <v>0</v>
      </c>
      <c r="BB117" s="49">
        <v>0</v>
      </c>
      <c r="BC117" s="49">
        <v>0</v>
      </c>
      <c r="BD117" s="49">
        <v>1</v>
      </c>
      <c r="BE117" s="74">
        <v>0</v>
      </c>
      <c r="BF117" s="49"/>
      <c r="BG117" s="49"/>
      <c r="BH117" s="49"/>
      <c r="BI117" s="49">
        <v>0</v>
      </c>
      <c r="BJ117" s="49">
        <v>0</v>
      </c>
      <c r="BK117" s="49">
        <v>0</v>
      </c>
      <c r="BL117" s="49">
        <v>0</v>
      </c>
      <c r="BM117" s="49" t="s">
        <v>100</v>
      </c>
      <c r="BN117" s="49"/>
      <c r="BO117" s="49">
        <v>0</v>
      </c>
      <c r="BP117" s="49">
        <v>0</v>
      </c>
      <c r="BQ117" s="49">
        <v>0</v>
      </c>
      <c r="BR117" s="49">
        <v>0</v>
      </c>
      <c r="BS117" s="49">
        <v>0</v>
      </c>
      <c r="BT117" s="49">
        <v>0</v>
      </c>
      <c r="BU117" s="49">
        <v>0</v>
      </c>
      <c r="BV117" s="49">
        <v>0</v>
      </c>
      <c r="BW117" s="49">
        <v>0</v>
      </c>
      <c r="BX117" s="49">
        <v>0</v>
      </c>
      <c r="BY117" s="49">
        <v>0</v>
      </c>
      <c r="BZ117" s="49">
        <v>0</v>
      </c>
      <c r="CA117" s="49">
        <v>0</v>
      </c>
      <c r="CB117" s="49" t="s">
        <v>100</v>
      </c>
      <c r="CC117" s="49">
        <v>0</v>
      </c>
      <c r="CD117" s="49" t="s">
        <v>100</v>
      </c>
      <c r="CE117" s="49">
        <v>0</v>
      </c>
      <c r="CF117" s="49">
        <v>0</v>
      </c>
      <c r="CG117" s="49">
        <v>0</v>
      </c>
      <c r="CH117" s="49"/>
      <c r="CI117" s="49">
        <v>0</v>
      </c>
      <c r="CJ117" s="49" t="s">
        <v>100</v>
      </c>
      <c r="CK117" s="49">
        <v>0</v>
      </c>
      <c r="CL117" s="49"/>
      <c r="CM117" s="49"/>
      <c r="CN117" s="49">
        <v>0</v>
      </c>
      <c r="CO117" s="49">
        <v>0</v>
      </c>
      <c r="CP117" s="49">
        <v>0</v>
      </c>
      <c r="CQ117" s="49">
        <v>0</v>
      </c>
      <c r="CR117" s="49">
        <v>0</v>
      </c>
      <c r="CS117" s="49">
        <v>0</v>
      </c>
      <c r="CT117" s="49">
        <v>0</v>
      </c>
      <c r="CU117" s="49">
        <v>0</v>
      </c>
      <c r="CV117" s="74">
        <v>1</v>
      </c>
      <c r="CW117" s="49">
        <v>0</v>
      </c>
      <c r="CX117" s="49">
        <v>0</v>
      </c>
      <c r="CY117" s="49">
        <v>0</v>
      </c>
      <c r="CZ117" s="74">
        <v>0</v>
      </c>
      <c r="DA117" s="49">
        <v>0</v>
      </c>
      <c r="DB117" s="49">
        <v>0</v>
      </c>
      <c r="DC117" s="49">
        <v>0</v>
      </c>
      <c r="DD117" s="49"/>
      <c r="DE117" s="49"/>
      <c r="DF117" s="49"/>
      <c r="DG117" s="49"/>
      <c r="DH117" s="49"/>
      <c r="DI117" s="49"/>
      <c r="DJ117" s="49">
        <v>0</v>
      </c>
      <c r="DK117" s="49">
        <v>0</v>
      </c>
      <c r="DL117" s="49" t="s">
        <v>100</v>
      </c>
      <c r="DM117" s="74">
        <v>0</v>
      </c>
      <c r="DN117" s="49">
        <v>0</v>
      </c>
      <c r="DO117" s="49" t="s">
        <v>100</v>
      </c>
      <c r="DP117" s="74">
        <v>0</v>
      </c>
      <c r="DQ117" s="74">
        <v>0</v>
      </c>
      <c r="DR117" s="49">
        <v>1</v>
      </c>
      <c r="DS117" s="74">
        <v>2</v>
      </c>
      <c r="DT117" s="49">
        <v>1</v>
      </c>
      <c r="DU117" s="74">
        <v>0</v>
      </c>
      <c r="DV117" s="49" t="s">
        <v>100</v>
      </c>
      <c r="DW117" s="74">
        <v>2</v>
      </c>
      <c r="DX117" s="74">
        <v>1</v>
      </c>
      <c r="DY117" s="74">
        <v>0</v>
      </c>
      <c r="DZ117" s="74">
        <v>2</v>
      </c>
    </row>
    <row r="118" spans="1:130">
      <c r="A118" s="50">
        <v>116</v>
      </c>
      <c r="B118" s="50" t="s">
        <v>547</v>
      </c>
      <c r="C118" s="50" t="s">
        <v>548</v>
      </c>
      <c r="D118" s="72">
        <v>40335</v>
      </c>
      <c r="E118" s="49" t="s">
        <v>137</v>
      </c>
      <c r="F118" s="73">
        <v>6</v>
      </c>
      <c r="G118" s="73">
        <v>6</v>
      </c>
      <c r="H118" s="49">
        <v>2010</v>
      </c>
      <c r="I118" s="49" t="s">
        <v>549</v>
      </c>
      <c r="J118" s="49" t="s">
        <v>872</v>
      </c>
      <c r="K118" s="73">
        <v>9</v>
      </c>
      <c r="L118" s="73">
        <v>0</v>
      </c>
      <c r="M118" s="73">
        <v>0</v>
      </c>
      <c r="N118" s="74">
        <v>5</v>
      </c>
      <c r="O118" s="74">
        <v>0</v>
      </c>
      <c r="P118" s="73" t="s">
        <v>100</v>
      </c>
      <c r="Q118" s="49">
        <v>0</v>
      </c>
      <c r="R118" s="49">
        <v>0</v>
      </c>
      <c r="S118" s="74">
        <v>4</v>
      </c>
      <c r="T118" s="74">
        <v>3</v>
      </c>
      <c r="U118" s="74">
        <v>0</v>
      </c>
      <c r="V118" s="49">
        <v>38</v>
      </c>
      <c r="W118" s="49">
        <v>0</v>
      </c>
      <c r="X118" s="74">
        <v>2</v>
      </c>
      <c r="Y118" s="74">
        <v>1</v>
      </c>
      <c r="Z118" s="74">
        <v>0</v>
      </c>
      <c r="AA118" s="49"/>
      <c r="AB118" s="49" t="s">
        <v>818</v>
      </c>
      <c r="AC118" s="49"/>
      <c r="AD118" s="49"/>
      <c r="AE118" s="74">
        <v>3</v>
      </c>
      <c r="AF118" s="74">
        <v>1</v>
      </c>
      <c r="AG118" s="74">
        <v>1</v>
      </c>
      <c r="AH118" s="74">
        <v>0</v>
      </c>
      <c r="AI118" s="74">
        <v>3</v>
      </c>
      <c r="AJ118" s="49">
        <v>0</v>
      </c>
      <c r="AK118" s="74">
        <v>0</v>
      </c>
      <c r="AL118" s="74">
        <v>0</v>
      </c>
      <c r="AM118" s="49">
        <v>0</v>
      </c>
      <c r="AN118" s="49" t="s">
        <v>100</v>
      </c>
      <c r="AO118" s="74">
        <v>1</v>
      </c>
      <c r="AP118" s="49" t="s">
        <v>3205</v>
      </c>
      <c r="AQ118" s="49">
        <v>1</v>
      </c>
      <c r="AR118" s="49">
        <v>0</v>
      </c>
      <c r="AS118" s="49">
        <v>1</v>
      </c>
      <c r="AT118" s="74">
        <v>1</v>
      </c>
      <c r="AU118" s="49">
        <v>1</v>
      </c>
      <c r="AV118" s="49">
        <v>2</v>
      </c>
      <c r="AW118" s="49">
        <v>3</v>
      </c>
      <c r="AX118" s="74">
        <v>1</v>
      </c>
      <c r="AY118" s="49">
        <v>0</v>
      </c>
      <c r="AZ118" s="49">
        <v>0</v>
      </c>
      <c r="BA118" s="49">
        <v>0</v>
      </c>
      <c r="BB118" s="49">
        <v>0</v>
      </c>
      <c r="BC118" s="49">
        <v>0</v>
      </c>
      <c r="BD118" s="49">
        <v>0</v>
      </c>
      <c r="BE118" s="49"/>
      <c r="BF118" s="49"/>
      <c r="BG118" s="49"/>
      <c r="BH118" s="49">
        <v>0</v>
      </c>
      <c r="BI118" s="49">
        <v>0</v>
      </c>
      <c r="BJ118" s="74">
        <v>1</v>
      </c>
      <c r="BK118" s="49">
        <v>0</v>
      </c>
      <c r="BL118" s="74">
        <v>1</v>
      </c>
      <c r="BM118" s="49">
        <v>1</v>
      </c>
      <c r="BN118" s="49" t="s">
        <v>3016</v>
      </c>
      <c r="BO118" s="49">
        <v>1</v>
      </c>
      <c r="BP118" s="49">
        <v>1</v>
      </c>
      <c r="BQ118" s="49">
        <v>1</v>
      </c>
      <c r="BR118" s="49">
        <v>0</v>
      </c>
      <c r="BS118" s="49">
        <v>0</v>
      </c>
      <c r="BT118" s="49">
        <v>1</v>
      </c>
      <c r="BU118" s="49">
        <v>0</v>
      </c>
      <c r="BV118" s="49">
        <v>0</v>
      </c>
      <c r="BW118" s="49">
        <v>0</v>
      </c>
      <c r="BX118" s="49">
        <v>0</v>
      </c>
      <c r="BY118" s="74">
        <v>2</v>
      </c>
      <c r="BZ118" s="49">
        <v>0</v>
      </c>
      <c r="CA118" s="49">
        <v>0</v>
      </c>
      <c r="CB118" s="49" t="s">
        <v>100</v>
      </c>
      <c r="CC118" s="49">
        <v>0</v>
      </c>
      <c r="CD118" s="49" t="s">
        <v>100</v>
      </c>
      <c r="CE118" s="49">
        <v>0</v>
      </c>
      <c r="CF118" s="49">
        <v>0</v>
      </c>
      <c r="CG118" s="49">
        <v>0</v>
      </c>
      <c r="CH118" s="49">
        <v>0</v>
      </c>
      <c r="CI118" s="49">
        <v>0</v>
      </c>
      <c r="CJ118" s="49" t="s">
        <v>100</v>
      </c>
      <c r="CK118" s="49">
        <v>2</v>
      </c>
      <c r="CL118" s="49"/>
      <c r="CM118" s="49"/>
      <c r="CN118" s="49">
        <v>0</v>
      </c>
      <c r="CO118" s="49">
        <v>0</v>
      </c>
      <c r="CP118" s="74">
        <v>1</v>
      </c>
      <c r="CQ118" s="49">
        <v>0</v>
      </c>
      <c r="CR118" s="49">
        <v>0</v>
      </c>
      <c r="CS118" s="49">
        <v>0</v>
      </c>
      <c r="CT118" s="49">
        <v>0</v>
      </c>
      <c r="CU118" s="74">
        <v>1</v>
      </c>
      <c r="CV118" s="49">
        <v>0</v>
      </c>
      <c r="CW118" s="49">
        <v>0</v>
      </c>
      <c r="CX118" s="49">
        <v>0</v>
      </c>
      <c r="CY118" s="49">
        <v>0</v>
      </c>
      <c r="CZ118" s="74">
        <v>1</v>
      </c>
      <c r="DA118" s="49">
        <v>0</v>
      </c>
      <c r="DB118" s="49">
        <v>1</v>
      </c>
      <c r="DC118" s="74">
        <v>0</v>
      </c>
      <c r="DD118" s="49"/>
      <c r="DE118" s="49"/>
      <c r="DF118" s="49"/>
      <c r="DG118" s="49"/>
      <c r="DH118" s="49"/>
      <c r="DI118" s="49"/>
      <c r="DJ118" s="49">
        <v>0</v>
      </c>
      <c r="DK118" s="49">
        <v>0</v>
      </c>
      <c r="DL118" s="49" t="s">
        <v>100</v>
      </c>
      <c r="DM118" s="74">
        <v>0</v>
      </c>
      <c r="DN118" s="49">
        <v>0</v>
      </c>
      <c r="DO118" s="49" t="s">
        <v>100</v>
      </c>
      <c r="DP118" s="74">
        <v>0</v>
      </c>
      <c r="DQ118" s="74">
        <v>0</v>
      </c>
      <c r="DR118" s="49">
        <v>0</v>
      </c>
      <c r="DS118" s="74">
        <v>2</v>
      </c>
      <c r="DT118" s="49">
        <v>1</v>
      </c>
      <c r="DU118" s="74">
        <v>0</v>
      </c>
      <c r="DV118" s="49" t="s">
        <v>100</v>
      </c>
      <c r="DW118" s="49">
        <v>0</v>
      </c>
      <c r="DX118" s="74">
        <v>0</v>
      </c>
      <c r="DY118" s="49">
        <v>2</v>
      </c>
      <c r="DZ118" s="49">
        <v>0</v>
      </c>
    </row>
    <row r="119" spans="1:130">
      <c r="A119" s="50">
        <v>117</v>
      </c>
      <c r="B119" s="50" t="s">
        <v>507</v>
      </c>
      <c r="C119" s="50" t="s">
        <v>551</v>
      </c>
      <c r="D119" s="72">
        <v>40393</v>
      </c>
      <c r="E119" s="49" t="s">
        <v>203</v>
      </c>
      <c r="F119" s="73">
        <v>3</v>
      </c>
      <c r="G119" s="74">
        <v>8</v>
      </c>
      <c r="H119" s="74">
        <v>2010</v>
      </c>
      <c r="I119" s="49" t="s">
        <v>552</v>
      </c>
      <c r="J119" s="49" t="s">
        <v>3255</v>
      </c>
      <c r="K119" s="74">
        <v>7</v>
      </c>
      <c r="L119" s="74">
        <v>2</v>
      </c>
      <c r="M119" s="74">
        <v>1</v>
      </c>
      <c r="N119" s="74">
        <v>6</v>
      </c>
      <c r="O119" s="73">
        <v>0</v>
      </c>
      <c r="P119" s="73" t="s">
        <v>100</v>
      </c>
      <c r="Q119" s="49">
        <v>0</v>
      </c>
      <c r="R119" s="49">
        <v>0</v>
      </c>
      <c r="S119" s="74">
        <v>8</v>
      </c>
      <c r="T119" s="74">
        <v>2</v>
      </c>
      <c r="U119" s="74">
        <v>0</v>
      </c>
      <c r="V119" s="74">
        <v>34</v>
      </c>
      <c r="W119" s="74">
        <v>0</v>
      </c>
      <c r="X119" s="74">
        <v>1</v>
      </c>
      <c r="Y119" s="49">
        <v>0</v>
      </c>
      <c r="Z119" s="74">
        <v>0</v>
      </c>
      <c r="AA119" s="49"/>
      <c r="AB119" s="74">
        <v>2</v>
      </c>
      <c r="AC119" s="49"/>
      <c r="AD119" s="49"/>
      <c r="AE119" s="74">
        <v>3</v>
      </c>
      <c r="AF119" s="74">
        <v>2</v>
      </c>
      <c r="AG119" s="74">
        <v>2</v>
      </c>
      <c r="AH119" s="74">
        <v>0</v>
      </c>
      <c r="AI119" s="74">
        <v>1</v>
      </c>
      <c r="AJ119" s="49">
        <v>0</v>
      </c>
      <c r="AK119" s="74">
        <v>0</v>
      </c>
      <c r="AL119" s="74">
        <v>0</v>
      </c>
      <c r="AM119" s="49">
        <v>0</v>
      </c>
      <c r="AN119" s="49" t="s">
        <v>100</v>
      </c>
      <c r="AO119" s="74">
        <v>1</v>
      </c>
      <c r="AP119" s="49" t="s">
        <v>3256</v>
      </c>
      <c r="AQ119" s="49">
        <v>0</v>
      </c>
      <c r="AR119" s="49">
        <v>0</v>
      </c>
      <c r="AS119" s="49">
        <v>0</v>
      </c>
      <c r="AT119" s="49">
        <v>0</v>
      </c>
      <c r="AU119" s="49" t="s">
        <v>100</v>
      </c>
      <c r="AV119" s="49" t="s">
        <v>100</v>
      </c>
      <c r="AW119" s="49" t="s">
        <v>100</v>
      </c>
      <c r="AX119" s="49">
        <v>0</v>
      </c>
      <c r="AY119" s="49">
        <v>0</v>
      </c>
      <c r="AZ119" s="49">
        <v>0</v>
      </c>
      <c r="BA119" s="49">
        <v>0</v>
      </c>
      <c r="BB119" s="74">
        <v>2</v>
      </c>
      <c r="BC119" s="49">
        <v>0</v>
      </c>
      <c r="BD119" s="74">
        <v>1</v>
      </c>
      <c r="BE119" s="49"/>
      <c r="BF119" s="49">
        <v>0</v>
      </c>
      <c r="BG119" s="49"/>
      <c r="BH119" s="49">
        <v>0</v>
      </c>
      <c r="BI119" s="49">
        <v>0</v>
      </c>
      <c r="BJ119" s="74">
        <v>0</v>
      </c>
      <c r="BK119" s="74">
        <v>1</v>
      </c>
      <c r="BL119" s="49">
        <v>1</v>
      </c>
      <c r="BM119" s="49">
        <v>0</v>
      </c>
      <c r="BN119" s="49" t="s">
        <v>3047</v>
      </c>
      <c r="BO119" s="49">
        <v>1</v>
      </c>
      <c r="BP119" s="49">
        <v>0</v>
      </c>
      <c r="BQ119" s="49">
        <v>1</v>
      </c>
      <c r="BR119" s="49">
        <v>0</v>
      </c>
      <c r="BS119" s="49">
        <v>0</v>
      </c>
      <c r="BT119" s="49">
        <v>1</v>
      </c>
      <c r="BU119" s="49">
        <v>0</v>
      </c>
      <c r="BV119" s="49">
        <v>0</v>
      </c>
      <c r="BW119" s="49">
        <v>0</v>
      </c>
      <c r="BX119" s="49">
        <v>0</v>
      </c>
      <c r="BY119" s="74">
        <v>2</v>
      </c>
      <c r="BZ119" s="49">
        <v>0</v>
      </c>
      <c r="CA119" s="49">
        <v>0</v>
      </c>
      <c r="CB119" s="49" t="s">
        <v>100</v>
      </c>
      <c r="CC119" s="49">
        <v>0</v>
      </c>
      <c r="CD119" s="49" t="s">
        <v>100</v>
      </c>
      <c r="CE119" s="49">
        <v>0</v>
      </c>
      <c r="CF119" s="49">
        <v>0</v>
      </c>
      <c r="CG119" s="49">
        <v>0</v>
      </c>
      <c r="CH119" s="74">
        <v>0</v>
      </c>
      <c r="CI119" s="49">
        <v>0</v>
      </c>
      <c r="CJ119" s="49" t="s">
        <v>100</v>
      </c>
      <c r="CK119" s="49">
        <v>0</v>
      </c>
      <c r="CL119" s="49"/>
      <c r="CM119" s="49"/>
      <c r="CN119" s="49">
        <v>2</v>
      </c>
      <c r="CO119" s="49">
        <v>0</v>
      </c>
      <c r="CP119" s="74">
        <v>0</v>
      </c>
      <c r="CQ119" s="49">
        <v>0</v>
      </c>
      <c r="CR119" s="74">
        <v>1</v>
      </c>
      <c r="CS119" s="49">
        <v>0</v>
      </c>
      <c r="CT119" s="49">
        <v>0</v>
      </c>
      <c r="CU119" s="49">
        <v>0</v>
      </c>
      <c r="CV119" s="49">
        <v>0</v>
      </c>
      <c r="CW119" s="49">
        <v>0</v>
      </c>
      <c r="CX119" s="49">
        <v>0</v>
      </c>
      <c r="CY119" s="49">
        <v>0</v>
      </c>
      <c r="CZ119" s="74">
        <v>0</v>
      </c>
      <c r="DA119" s="49">
        <v>0</v>
      </c>
      <c r="DB119" s="49">
        <v>1</v>
      </c>
      <c r="DC119" s="49">
        <v>1</v>
      </c>
      <c r="DD119" s="49">
        <v>0</v>
      </c>
      <c r="DE119" s="49">
        <v>1</v>
      </c>
      <c r="DF119" s="49">
        <v>1</v>
      </c>
      <c r="DG119" s="49"/>
      <c r="DH119" s="49"/>
      <c r="DI119" s="49"/>
      <c r="DJ119" s="49">
        <v>0</v>
      </c>
      <c r="DK119" s="49">
        <v>0</v>
      </c>
      <c r="DL119" s="49" t="s">
        <v>100</v>
      </c>
      <c r="DM119" s="74">
        <v>0</v>
      </c>
      <c r="DN119" s="49">
        <v>0</v>
      </c>
      <c r="DO119" s="49" t="s">
        <v>100</v>
      </c>
      <c r="DP119" s="74">
        <v>0</v>
      </c>
      <c r="DQ119" s="74">
        <v>0</v>
      </c>
      <c r="DR119" s="49">
        <v>0</v>
      </c>
      <c r="DS119" s="74">
        <v>1</v>
      </c>
      <c r="DT119" s="74">
        <v>3</v>
      </c>
      <c r="DU119" s="74">
        <v>0</v>
      </c>
      <c r="DV119" s="49" t="s">
        <v>100</v>
      </c>
      <c r="DW119" s="74">
        <v>0</v>
      </c>
      <c r="DX119" s="74">
        <v>0</v>
      </c>
      <c r="DY119" s="49">
        <v>2</v>
      </c>
      <c r="DZ119" s="49">
        <v>0</v>
      </c>
    </row>
    <row r="120" spans="1:130">
      <c r="A120" s="50">
        <v>118</v>
      </c>
      <c r="B120" s="50" t="s">
        <v>553</v>
      </c>
      <c r="C120" s="50" t="s">
        <v>554</v>
      </c>
      <c r="D120" s="72">
        <v>40404</v>
      </c>
      <c r="E120" s="49" t="s">
        <v>103</v>
      </c>
      <c r="F120" s="73">
        <v>14</v>
      </c>
      <c r="G120" s="74">
        <v>8</v>
      </c>
      <c r="H120" s="74">
        <v>2010</v>
      </c>
      <c r="I120" s="49" t="s">
        <v>555</v>
      </c>
      <c r="J120" s="49" t="s">
        <v>3257</v>
      </c>
      <c r="K120" s="74">
        <v>32</v>
      </c>
      <c r="L120" s="74">
        <v>2</v>
      </c>
      <c r="M120" s="74">
        <v>0</v>
      </c>
      <c r="N120" s="74">
        <v>5</v>
      </c>
      <c r="O120" s="73">
        <v>0</v>
      </c>
      <c r="P120" s="73" t="s">
        <v>100</v>
      </c>
      <c r="Q120" s="49">
        <v>1</v>
      </c>
      <c r="R120" s="49">
        <v>1</v>
      </c>
      <c r="S120" s="74">
        <v>4</v>
      </c>
      <c r="T120" s="74">
        <v>4</v>
      </c>
      <c r="U120" s="74">
        <v>0</v>
      </c>
      <c r="V120" s="74">
        <v>23</v>
      </c>
      <c r="W120" s="74">
        <v>0</v>
      </c>
      <c r="X120" s="74">
        <v>1</v>
      </c>
      <c r="Y120" s="49">
        <v>0</v>
      </c>
      <c r="Z120" s="74">
        <v>0</v>
      </c>
      <c r="AA120" s="49"/>
      <c r="AB120" s="74">
        <v>1</v>
      </c>
      <c r="AC120" s="74">
        <v>0</v>
      </c>
      <c r="AD120" s="49" t="s">
        <v>3258</v>
      </c>
      <c r="AE120" s="49"/>
      <c r="AF120" s="74">
        <v>1</v>
      </c>
      <c r="AG120" s="49"/>
      <c r="AH120" s="49"/>
      <c r="AI120" s="74">
        <v>1</v>
      </c>
      <c r="AJ120" s="74">
        <v>1</v>
      </c>
      <c r="AK120" s="49"/>
      <c r="AL120" s="49"/>
      <c r="AM120" s="49">
        <v>0</v>
      </c>
      <c r="AN120" s="49" t="s">
        <v>100</v>
      </c>
      <c r="AO120" s="74">
        <v>0</v>
      </c>
      <c r="AP120" s="49"/>
      <c r="AQ120" s="49">
        <v>1</v>
      </c>
      <c r="AR120" s="49"/>
      <c r="AS120" s="49">
        <v>1</v>
      </c>
      <c r="AT120" s="49">
        <v>0</v>
      </c>
      <c r="AU120" s="49" t="s">
        <v>100</v>
      </c>
      <c r="AV120" s="49" t="s">
        <v>100</v>
      </c>
      <c r="AW120" s="49" t="s">
        <v>100</v>
      </c>
      <c r="AX120" s="49">
        <v>0</v>
      </c>
      <c r="AY120" s="74">
        <v>1</v>
      </c>
      <c r="AZ120" s="49">
        <v>0</v>
      </c>
      <c r="BA120" s="49">
        <v>0</v>
      </c>
      <c r="BB120" s="49">
        <v>0</v>
      </c>
      <c r="BC120" s="49"/>
      <c r="BD120" s="49"/>
      <c r="BE120" s="49"/>
      <c r="BF120" s="49"/>
      <c r="BG120" s="49"/>
      <c r="BH120" s="49">
        <v>0</v>
      </c>
      <c r="BI120" s="49">
        <v>0</v>
      </c>
      <c r="BJ120" s="49">
        <v>0</v>
      </c>
      <c r="BK120" s="49"/>
      <c r="BL120" s="49">
        <v>0</v>
      </c>
      <c r="BM120" s="49" t="s">
        <v>100</v>
      </c>
      <c r="BN120" s="49"/>
      <c r="BO120" s="49">
        <v>0</v>
      </c>
      <c r="BP120" s="49">
        <v>0</v>
      </c>
      <c r="BQ120" s="49">
        <v>0</v>
      </c>
      <c r="BR120" s="49">
        <v>0</v>
      </c>
      <c r="BS120" s="49">
        <v>0</v>
      </c>
      <c r="BT120" s="49">
        <v>0</v>
      </c>
      <c r="BU120" s="49">
        <v>0</v>
      </c>
      <c r="BV120" s="49">
        <v>0</v>
      </c>
      <c r="BW120" s="49">
        <v>0</v>
      </c>
      <c r="BX120" s="49">
        <v>0</v>
      </c>
      <c r="BY120" s="49">
        <v>0</v>
      </c>
      <c r="BZ120" s="49">
        <v>0</v>
      </c>
      <c r="CA120" s="49">
        <v>0</v>
      </c>
      <c r="CB120" s="49" t="s">
        <v>100</v>
      </c>
      <c r="CC120" s="49">
        <v>0</v>
      </c>
      <c r="CD120" s="49" t="s">
        <v>100</v>
      </c>
      <c r="CE120" s="49">
        <v>0</v>
      </c>
      <c r="CF120" s="49">
        <v>0</v>
      </c>
      <c r="CG120" s="49">
        <v>0</v>
      </c>
      <c r="CH120" s="49"/>
      <c r="CI120" s="49">
        <v>0</v>
      </c>
      <c r="CJ120" s="49" t="s">
        <v>100</v>
      </c>
      <c r="CK120" s="49">
        <v>0</v>
      </c>
      <c r="CL120" s="49"/>
      <c r="CM120" s="49"/>
      <c r="CN120" s="49">
        <v>0</v>
      </c>
      <c r="CO120" s="49">
        <v>0</v>
      </c>
      <c r="CP120" s="49">
        <v>0</v>
      </c>
      <c r="CQ120" s="49">
        <v>0</v>
      </c>
      <c r="CR120" s="49">
        <v>0</v>
      </c>
      <c r="CS120" s="49">
        <v>0</v>
      </c>
      <c r="CT120" s="49">
        <v>0</v>
      </c>
      <c r="CU120" s="49">
        <v>0</v>
      </c>
      <c r="CV120" s="49">
        <v>1</v>
      </c>
      <c r="CW120" s="49">
        <v>0</v>
      </c>
      <c r="CX120" s="49">
        <v>0</v>
      </c>
      <c r="CY120" s="74">
        <v>1</v>
      </c>
      <c r="CZ120" s="74">
        <v>0</v>
      </c>
      <c r="DA120" s="49">
        <v>0</v>
      </c>
      <c r="DB120" s="49">
        <v>0</v>
      </c>
      <c r="DC120" s="74">
        <v>0</v>
      </c>
      <c r="DD120" s="49"/>
      <c r="DE120" s="49"/>
      <c r="DF120" s="49"/>
      <c r="DG120" s="49"/>
      <c r="DH120" s="49"/>
      <c r="DI120" s="49"/>
      <c r="DJ120" s="49">
        <v>0</v>
      </c>
      <c r="DK120" s="49">
        <v>0</v>
      </c>
      <c r="DL120" s="49" t="s">
        <v>100</v>
      </c>
      <c r="DM120" s="74">
        <v>0</v>
      </c>
      <c r="DN120" s="49">
        <v>0</v>
      </c>
      <c r="DO120" s="49" t="s">
        <v>100</v>
      </c>
      <c r="DP120" s="74">
        <v>0</v>
      </c>
      <c r="DQ120" s="74">
        <v>0</v>
      </c>
      <c r="DR120" s="49"/>
      <c r="DS120" s="74">
        <v>1</v>
      </c>
      <c r="DT120" s="49">
        <v>1</v>
      </c>
      <c r="DU120" s="74">
        <v>0</v>
      </c>
      <c r="DV120" s="49" t="s">
        <v>100</v>
      </c>
      <c r="DW120" s="74">
        <v>2</v>
      </c>
      <c r="DX120" s="74">
        <v>1</v>
      </c>
      <c r="DY120" s="74">
        <v>0</v>
      </c>
      <c r="DZ120" s="74">
        <v>2</v>
      </c>
    </row>
    <row r="121" spans="1:130">
      <c r="A121" s="50">
        <v>119</v>
      </c>
      <c r="B121" s="50" t="s">
        <v>556</v>
      </c>
      <c r="C121" s="50" t="s">
        <v>557</v>
      </c>
      <c r="D121" s="72">
        <v>40432</v>
      </c>
      <c r="E121" s="49" t="s">
        <v>103</v>
      </c>
      <c r="F121" s="73">
        <v>11</v>
      </c>
      <c r="G121" s="74">
        <v>9</v>
      </c>
      <c r="H121" s="74">
        <v>2010</v>
      </c>
      <c r="I121" s="49" t="s">
        <v>558</v>
      </c>
      <c r="J121" s="49" t="s">
        <v>343</v>
      </c>
      <c r="K121" s="74">
        <v>17</v>
      </c>
      <c r="L121" s="74">
        <v>0</v>
      </c>
      <c r="M121" s="74">
        <v>2</v>
      </c>
      <c r="N121" s="74">
        <v>7</v>
      </c>
      <c r="O121" s="74">
        <v>0</v>
      </c>
      <c r="P121" s="73" t="s">
        <v>100</v>
      </c>
      <c r="Q121" s="49">
        <v>0</v>
      </c>
      <c r="R121" s="49">
        <v>0</v>
      </c>
      <c r="S121" s="74">
        <v>5</v>
      </c>
      <c r="T121" s="74">
        <v>0</v>
      </c>
      <c r="U121" s="74">
        <v>0</v>
      </c>
      <c r="V121" s="74">
        <v>47</v>
      </c>
      <c r="W121" s="74">
        <v>0</v>
      </c>
      <c r="X121" s="49">
        <v>0</v>
      </c>
      <c r="Y121" s="49">
        <v>0</v>
      </c>
      <c r="Z121" s="74">
        <v>0</v>
      </c>
      <c r="AA121" s="49"/>
      <c r="AB121" s="49"/>
      <c r="AC121" s="49"/>
      <c r="AD121" s="49"/>
      <c r="AE121" s="49"/>
      <c r="AF121" s="74">
        <v>1</v>
      </c>
      <c r="AG121" s="49"/>
      <c r="AH121" s="49"/>
      <c r="AI121" s="74">
        <v>2</v>
      </c>
      <c r="AJ121" s="74">
        <v>1</v>
      </c>
      <c r="AK121" s="74">
        <v>0</v>
      </c>
      <c r="AL121" s="49"/>
      <c r="AM121" s="49">
        <v>0</v>
      </c>
      <c r="AN121" s="49" t="s">
        <v>100</v>
      </c>
      <c r="AO121" s="74">
        <v>0</v>
      </c>
      <c r="AP121" s="49"/>
      <c r="AQ121" s="74">
        <v>1</v>
      </c>
      <c r="AR121" s="49">
        <v>0</v>
      </c>
      <c r="AS121" s="74">
        <v>1</v>
      </c>
      <c r="AT121" s="74">
        <v>1</v>
      </c>
      <c r="AU121" s="49">
        <v>3</v>
      </c>
      <c r="AV121" s="49"/>
      <c r="AW121" s="49"/>
      <c r="AX121" s="74">
        <v>1</v>
      </c>
      <c r="AY121" s="49">
        <v>0</v>
      </c>
      <c r="AZ121" s="49">
        <v>0</v>
      </c>
      <c r="BA121" s="49">
        <v>0</v>
      </c>
      <c r="BB121" s="49">
        <v>0</v>
      </c>
      <c r="BC121" s="74">
        <v>1</v>
      </c>
      <c r="BD121" s="49">
        <v>0</v>
      </c>
      <c r="BE121" s="49"/>
      <c r="BF121" s="49"/>
      <c r="BG121" s="49"/>
      <c r="BH121" s="49"/>
      <c r="BI121" s="49">
        <v>0</v>
      </c>
      <c r="BJ121" s="49">
        <v>0</v>
      </c>
      <c r="BK121" s="49">
        <v>0</v>
      </c>
      <c r="BL121" s="74">
        <v>1</v>
      </c>
      <c r="BM121" s="49">
        <v>2</v>
      </c>
      <c r="BN121" s="49" t="s">
        <v>3015</v>
      </c>
      <c r="BO121" s="49">
        <v>1</v>
      </c>
      <c r="BP121" s="49">
        <v>0</v>
      </c>
      <c r="BQ121" s="49">
        <v>0</v>
      </c>
      <c r="BR121" s="49">
        <v>0</v>
      </c>
      <c r="BS121" s="49">
        <v>1</v>
      </c>
      <c r="BT121" s="49">
        <v>1</v>
      </c>
      <c r="BU121" s="49">
        <v>1</v>
      </c>
      <c r="BV121" s="49">
        <v>0</v>
      </c>
      <c r="BW121" s="49">
        <v>0</v>
      </c>
      <c r="BX121" s="49">
        <v>0</v>
      </c>
      <c r="BY121" s="74">
        <v>2</v>
      </c>
      <c r="BZ121" s="49">
        <v>0</v>
      </c>
      <c r="CA121" s="49">
        <v>0</v>
      </c>
      <c r="CB121" s="49" t="s">
        <v>100</v>
      </c>
      <c r="CC121" s="49">
        <v>0</v>
      </c>
      <c r="CD121" s="49" t="s">
        <v>100</v>
      </c>
      <c r="CE121" s="74">
        <v>5</v>
      </c>
      <c r="CF121" s="49">
        <v>0</v>
      </c>
      <c r="CG121" s="49">
        <v>0</v>
      </c>
      <c r="CH121" s="49"/>
      <c r="CI121" s="74">
        <v>1</v>
      </c>
      <c r="CJ121" s="49" t="s">
        <v>559</v>
      </c>
      <c r="CK121" s="49">
        <v>0</v>
      </c>
      <c r="CL121" s="49"/>
      <c r="CM121" s="49"/>
      <c r="CN121" s="49">
        <v>0</v>
      </c>
      <c r="CO121" s="49">
        <v>0</v>
      </c>
      <c r="CP121" s="49">
        <v>0</v>
      </c>
      <c r="CQ121" s="49">
        <v>0</v>
      </c>
      <c r="CR121" s="49">
        <v>0</v>
      </c>
      <c r="CS121" s="49">
        <v>0</v>
      </c>
      <c r="CT121" s="49">
        <v>0</v>
      </c>
      <c r="CU121" s="49">
        <v>1</v>
      </c>
      <c r="CV121" s="49">
        <v>0</v>
      </c>
      <c r="CW121" s="49">
        <v>0</v>
      </c>
      <c r="CX121" s="49">
        <v>0</v>
      </c>
      <c r="CY121" s="49">
        <v>0</v>
      </c>
      <c r="CZ121" s="74">
        <v>1</v>
      </c>
      <c r="DA121" s="49">
        <v>0</v>
      </c>
      <c r="DB121" s="49">
        <v>0</v>
      </c>
      <c r="DC121" s="74">
        <v>1</v>
      </c>
      <c r="DD121" s="49">
        <v>0</v>
      </c>
      <c r="DE121" s="49">
        <v>2</v>
      </c>
      <c r="DF121" s="49">
        <v>1</v>
      </c>
      <c r="DG121" s="49"/>
      <c r="DH121" s="49"/>
      <c r="DI121" s="49"/>
      <c r="DJ121" s="49">
        <v>0</v>
      </c>
      <c r="DK121" s="49">
        <v>0</v>
      </c>
      <c r="DL121" s="49" t="s">
        <v>100</v>
      </c>
      <c r="DM121" s="74">
        <v>0</v>
      </c>
      <c r="DN121" s="49">
        <v>0</v>
      </c>
      <c r="DO121" s="49" t="s">
        <v>100</v>
      </c>
      <c r="DP121" s="74">
        <v>0</v>
      </c>
      <c r="DQ121" s="74">
        <v>0</v>
      </c>
      <c r="DR121" s="49"/>
      <c r="DS121" s="49">
        <v>1</v>
      </c>
      <c r="DT121" s="74">
        <v>1</v>
      </c>
      <c r="DU121" s="74">
        <v>0</v>
      </c>
      <c r="DV121" s="49" t="s">
        <v>100</v>
      </c>
      <c r="DW121" s="74">
        <v>0</v>
      </c>
      <c r="DX121" s="74">
        <v>0</v>
      </c>
      <c r="DY121" s="49">
        <v>2</v>
      </c>
      <c r="DZ121" s="49">
        <v>0</v>
      </c>
    </row>
    <row r="122" spans="1:130">
      <c r="A122" s="50">
        <v>120</v>
      </c>
      <c r="B122" s="50" t="s">
        <v>560</v>
      </c>
      <c r="C122" s="50" t="s">
        <v>561</v>
      </c>
      <c r="D122" s="72">
        <v>40551</v>
      </c>
      <c r="E122" s="49" t="s">
        <v>103</v>
      </c>
      <c r="F122" s="73">
        <v>8</v>
      </c>
      <c r="G122" s="73">
        <v>1</v>
      </c>
      <c r="H122" s="49">
        <v>2011</v>
      </c>
      <c r="I122" s="49" t="s">
        <v>562</v>
      </c>
      <c r="J122" s="49" t="s">
        <v>3259</v>
      </c>
      <c r="K122" s="74">
        <v>3</v>
      </c>
      <c r="L122" s="73">
        <v>3</v>
      </c>
      <c r="M122" s="73">
        <v>0</v>
      </c>
      <c r="N122" s="74">
        <v>4</v>
      </c>
      <c r="O122" s="74">
        <v>0</v>
      </c>
      <c r="P122" s="73" t="s">
        <v>100</v>
      </c>
      <c r="Q122" s="49">
        <v>0</v>
      </c>
      <c r="R122" s="49">
        <v>0</v>
      </c>
      <c r="S122" s="74">
        <v>6</v>
      </c>
      <c r="T122" s="74">
        <v>13</v>
      </c>
      <c r="U122" s="74">
        <v>0</v>
      </c>
      <c r="V122" s="74">
        <v>22</v>
      </c>
      <c r="W122" s="49">
        <v>0</v>
      </c>
      <c r="X122" s="74">
        <v>0</v>
      </c>
      <c r="Y122" s="74">
        <v>0</v>
      </c>
      <c r="Z122" s="74">
        <v>0</v>
      </c>
      <c r="AA122" s="74">
        <v>4</v>
      </c>
      <c r="AB122" s="49">
        <v>2</v>
      </c>
      <c r="AC122" s="74">
        <v>1</v>
      </c>
      <c r="AD122" s="49" t="s">
        <v>3260</v>
      </c>
      <c r="AE122" s="74">
        <v>0</v>
      </c>
      <c r="AF122" s="74">
        <v>0</v>
      </c>
      <c r="AG122" s="74">
        <v>0</v>
      </c>
      <c r="AH122" s="74">
        <v>0</v>
      </c>
      <c r="AI122" s="49">
        <v>0</v>
      </c>
      <c r="AJ122" s="49">
        <v>0</v>
      </c>
      <c r="AK122" s="74">
        <v>0</v>
      </c>
      <c r="AL122" s="49">
        <v>0</v>
      </c>
      <c r="AM122" s="49">
        <v>0</v>
      </c>
      <c r="AN122" s="49" t="s">
        <v>100</v>
      </c>
      <c r="AO122" s="74">
        <v>3</v>
      </c>
      <c r="AP122" s="49" t="s">
        <v>3261</v>
      </c>
      <c r="AQ122" s="74">
        <v>1</v>
      </c>
      <c r="AR122" s="49">
        <v>0</v>
      </c>
      <c r="AS122" s="74">
        <v>0</v>
      </c>
      <c r="AT122" s="74">
        <v>0</v>
      </c>
      <c r="AU122" s="75" t="s">
        <v>100</v>
      </c>
      <c r="AV122" s="75" t="s">
        <v>100</v>
      </c>
      <c r="AW122" s="75" t="s">
        <v>100</v>
      </c>
      <c r="AX122" s="74">
        <v>0</v>
      </c>
      <c r="AY122" s="49">
        <v>0</v>
      </c>
      <c r="AZ122" s="49">
        <v>0</v>
      </c>
      <c r="BA122" s="74">
        <v>0</v>
      </c>
      <c r="BB122" s="49">
        <v>1</v>
      </c>
      <c r="BC122" s="49">
        <v>0</v>
      </c>
      <c r="BD122" s="49">
        <v>0</v>
      </c>
      <c r="BE122" s="74">
        <v>0</v>
      </c>
      <c r="BF122" s="74">
        <v>0</v>
      </c>
      <c r="BG122" s="75"/>
      <c r="BH122" s="74">
        <v>1</v>
      </c>
      <c r="BI122" s="49">
        <v>0</v>
      </c>
      <c r="BJ122" s="49">
        <v>0</v>
      </c>
      <c r="BK122" s="74">
        <v>0</v>
      </c>
      <c r="BL122" s="74">
        <v>1</v>
      </c>
      <c r="BM122" s="49">
        <v>3</v>
      </c>
      <c r="BN122" s="49" t="s">
        <v>3048</v>
      </c>
      <c r="BO122" s="49">
        <v>1</v>
      </c>
      <c r="BP122" s="49">
        <v>1</v>
      </c>
      <c r="BQ122" s="49">
        <v>0</v>
      </c>
      <c r="BR122" s="49">
        <v>0</v>
      </c>
      <c r="BS122" s="49">
        <v>1</v>
      </c>
      <c r="BT122" s="49">
        <v>1</v>
      </c>
      <c r="BU122" s="49">
        <v>1</v>
      </c>
      <c r="BV122" s="49">
        <v>1</v>
      </c>
      <c r="BW122" s="49">
        <v>1</v>
      </c>
      <c r="BX122" s="49">
        <v>0</v>
      </c>
      <c r="BY122" s="74">
        <v>1</v>
      </c>
      <c r="BZ122" s="74">
        <v>0</v>
      </c>
      <c r="CA122" s="74">
        <v>1</v>
      </c>
      <c r="CB122" s="74">
        <v>0</v>
      </c>
      <c r="CC122" s="74">
        <v>0</v>
      </c>
      <c r="CD122" s="74">
        <v>0</v>
      </c>
      <c r="CE122" s="74">
        <v>2</v>
      </c>
      <c r="CF122" s="74">
        <v>2</v>
      </c>
      <c r="CG122" s="49">
        <v>0</v>
      </c>
      <c r="CH122" s="49">
        <v>4</v>
      </c>
      <c r="CI122" s="49">
        <v>0</v>
      </c>
      <c r="CJ122" s="49" t="s">
        <v>100</v>
      </c>
      <c r="CK122" s="49">
        <v>2</v>
      </c>
      <c r="CL122" s="49">
        <v>4</v>
      </c>
      <c r="CM122" s="49"/>
      <c r="CN122" s="49">
        <v>0</v>
      </c>
      <c r="CO122" s="49">
        <v>0</v>
      </c>
      <c r="CP122" s="49">
        <v>0</v>
      </c>
      <c r="CQ122" s="49">
        <v>0</v>
      </c>
      <c r="CR122" s="49">
        <v>0</v>
      </c>
      <c r="CS122" s="49">
        <v>0</v>
      </c>
      <c r="CT122" s="49">
        <v>0</v>
      </c>
      <c r="CU122" s="49">
        <v>0</v>
      </c>
      <c r="CV122" s="49">
        <v>0</v>
      </c>
      <c r="CW122" s="49">
        <v>0</v>
      </c>
      <c r="CX122" s="49">
        <v>1</v>
      </c>
      <c r="CY122" s="49">
        <v>0</v>
      </c>
      <c r="CZ122" s="74">
        <v>0</v>
      </c>
      <c r="DA122" s="49">
        <v>3</v>
      </c>
      <c r="DB122" s="49">
        <v>1</v>
      </c>
      <c r="DC122" s="49">
        <v>1</v>
      </c>
      <c r="DD122" s="74">
        <v>4</v>
      </c>
      <c r="DE122" s="49">
        <v>9</v>
      </c>
      <c r="DF122" s="74">
        <v>0</v>
      </c>
      <c r="DG122" s="49"/>
      <c r="DH122" s="49"/>
      <c r="DI122" s="49"/>
      <c r="DJ122" s="74">
        <v>1</v>
      </c>
      <c r="DK122" s="75" t="s">
        <v>833</v>
      </c>
      <c r="DL122" s="49" t="s">
        <v>100</v>
      </c>
      <c r="DM122" s="74">
        <v>1</v>
      </c>
      <c r="DN122" s="49">
        <v>0</v>
      </c>
      <c r="DO122" s="49" t="s">
        <v>100</v>
      </c>
      <c r="DP122" s="74">
        <v>1</v>
      </c>
      <c r="DQ122" s="74">
        <v>1</v>
      </c>
      <c r="DR122" s="74">
        <v>1</v>
      </c>
      <c r="DS122" s="74">
        <v>2</v>
      </c>
      <c r="DT122" s="74">
        <v>1</v>
      </c>
      <c r="DU122" s="74">
        <v>1</v>
      </c>
      <c r="DV122" s="49" t="s">
        <v>365</v>
      </c>
      <c r="DW122" s="49">
        <v>2</v>
      </c>
      <c r="DX122" s="74">
        <v>0</v>
      </c>
      <c r="DY122" s="74">
        <v>0</v>
      </c>
      <c r="DZ122" s="74">
        <v>2</v>
      </c>
    </row>
    <row r="123" spans="1:130">
      <c r="A123" s="50">
        <v>121</v>
      </c>
      <c r="B123" s="50" t="s">
        <v>563</v>
      </c>
      <c r="C123" s="50" t="s">
        <v>212</v>
      </c>
      <c r="D123" s="72">
        <v>40762</v>
      </c>
      <c r="E123" s="49" t="s">
        <v>137</v>
      </c>
      <c r="F123" s="73">
        <v>7</v>
      </c>
      <c r="G123" s="74">
        <v>8</v>
      </c>
      <c r="H123" s="74">
        <v>2011</v>
      </c>
      <c r="I123" s="49" t="s">
        <v>564</v>
      </c>
      <c r="J123" s="49" t="s">
        <v>565</v>
      </c>
      <c r="K123" s="74">
        <v>35</v>
      </c>
      <c r="L123" s="74">
        <v>1</v>
      </c>
      <c r="M123" s="74">
        <v>1</v>
      </c>
      <c r="N123" s="74">
        <v>7</v>
      </c>
      <c r="O123" s="74">
        <v>1</v>
      </c>
      <c r="P123" s="74">
        <v>7</v>
      </c>
      <c r="Q123" s="49">
        <v>1</v>
      </c>
      <c r="R123" s="49">
        <v>2</v>
      </c>
      <c r="S123" s="74">
        <v>7</v>
      </c>
      <c r="T123" s="74">
        <v>1</v>
      </c>
      <c r="U123" s="74">
        <v>0</v>
      </c>
      <c r="V123" s="74">
        <v>51</v>
      </c>
      <c r="W123" s="74">
        <v>0</v>
      </c>
      <c r="X123" s="74">
        <v>0</v>
      </c>
      <c r="Y123" s="49">
        <v>0</v>
      </c>
      <c r="Z123" s="74">
        <v>0</v>
      </c>
      <c r="AA123" s="49"/>
      <c r="AB123" s="74">
        <v>1</v>
      </c>
      <c r="AC123" s="49"/>
      <c r="AD123" s="49"/>
      <c r="AE123" s="49"/>
      <c r="AF123" s="74">
        <v>1</v>
      </c>
      <c r="AG123" s="49"/>
      <c r="AH123" s="49"/>
      <c r="AI123" s="74">
        <v>1</v>
      </c>
      <c r="AJ123" s="49">
        <v>0</v>
      </c>
      <c r="AK123" s="74">
        <v>0</v>
      </c>
      <c r="AL123" s="49"/>
      <c r="AM123" s="49">
        <v>0</v>
      </c>
      <c r="AN123" s="49" t="s">
        <v>100</v>
      </c>
      <c r="AO123" s="74">
        <v>1</v>
      </c>
      <c r="AP123" s="49" t="s">
        <v>3262</v>
      </c>
      <c r="AQ123" s="74">
        <v>0</v>
      </c>
      <c r="AR123" s="49">
        <v>0</v>
      </c>
      <c r="AS123" s="74">
        <v>0</v>
      </c>
      <c r="AT123" s="49">
        <v>0</v>
      </c>
      <c r="AU123" s="49" t="s">
        <v>100</v>
      </c>
      <c r="AV123" s="49" t="s">
        <v>100</v>
      </c>
      <c r="AW123" s="49" t="s">
        <v>100</v>
      </c>
      <c r="AX123" s="49">
        <v>0</v>
      </c>
      <c r="AY123" s="49">
        <v>0</v>
      </c>
      <c r="AZ123" s="49">
        <v>0</v>
      </c>
      <c r="BA123" s="49">
        <v>0</v>
      </c>
      <c r="BB123" s="49">
        <v>0</v>
      </c>
      <c r="BC123" s="74">
        <v>0</v>
      </c>
      <c r="BD123" s="74">
        <v>0</v>
      </c>
      <c r="BE123" s="74">
        <v>0</v>
      </c>
      <c r="BF123" s="49"/>
      <c r="BG123" s="49"/>
      <c r="BH123" s="49">
        <v>1</v>
      </c>
      <c r="BI123" s="74">
        <v>1</v>
      </c>
      <c r="BJ123" s="74">
        <v>0</v>
      </c>
      <c r="BK123" s="74">
        <v>1</v>
      </c>
      <c r="BL123" s="74">
        <v>1</v>
      </c>
      <c r="BM123" s="49">
        <v>0</v>
      </c>
      <c r="BN123" s="49" t="s">
        <v>3014</v>
      </c>
      <c r="BO123" s="49">
        <v>1</v>
      </c>
      <c r="BP123" s="49">
        <v>0</v>
      </c>
      <c r="BQ123" s="49">
        <v>1</v>
      </c>
      <c r="BR123" s="49">
        <v>0</v>
      </c>
      <c r="BS123" s="49">
        <v>0</v>
      </c>
      <c r="BT123" s="49">
        <v>1</v>
      </c>
      <c r="BU123" s="49">
        <v>0</v>
      </c>
      <c r="BV123" s="49">
        <v>0</v>
      </c>
      <c r="BW123" s="49">
        <v>1</v>
      </c>
      <c r="BX123" s="49">
        <v>0</v>
      </c>
      <c r="BY123" s="74">
        <v>2</v>
      </c>
      <c r="BZ123" s="49">
        <v>0</v>
      </c>
      <c r="CA123" s="49">
        <v>0</v>
      </c>
      <c r="CB123" s="49" t="s">
        <v>100</v>
      </c>
      <c r="CC123" s="49">
        <v>0</v>
      </c>
      <c r="CD123" s="49" t="s">
        <v>100</v>
      </c>
      <c r="CE123" s="74">
        <v>5</v>
      </c>
      <c r="CF123" s="49">
        <v>0</v>
      </c>
      <c r="CG123" s="49">
        <v>0</v>
      </c>
      <c r="CH123" s="49">
        <v>0</v>
      </c>
      <c r="CI123" s="49">
        <v>0</v>
      </c>
      <c r="CJ123" s="49" t="s">
        <v>100</v>
      </c>
      <c r="CK123" s="49">
        <v>0</v>
      </c>
      <c r="CL123" s="49"/>
      <c r="CM123" s="49"/>
      <c r="CN123" s="49">
        <v>0</v>
      </c>
      <c r="CO123" s="49">
        <v>0</v>
      </c>
      <c r="CP123" s="49">
        <v>0</v>
      </c>
      <c r="CQ123" s="49">
        <v>0</v>
      </c>
      <c r="CR123" s="49">
        <v>0</v>
      </c>
      <c r="CS123" s="49">
        <v>0</v>
      </c>
      <c r="CT123" s="49">
        <v>1</v>
      </c>
      <c r="CU123" s="49">
        <v>0</v>
      </c>
      <c r="CV123" s="49">
        <v>1</v>
      </c>
      <c r="CW123" s="49">
        <v>0</v>
      </c>
      <c r="CX123" s="49">
        <v>0</v>
      </c>
      <c r="CY123" s="49">
        <v>0</v>
      </c>
      <c r="CZ123" s="74">
        <v>1</v>
      </c>
      <c r="DA123" s="49">
        <v>0</v>
      </c>
      <c r="DB123" s="49">
        <v>0</v>
      </c>
      <c r="DC123" s="74">
        <v>0</v>
      </c>
      <c r="DD123" s="49"/>
      <c r="DE123" s="49"/>
      <c r="DF123" s="49"/>
      <c r="DG123" s="49"/>
      <c r="DH123" s="49"/>
      <c r="DI123" s="49"/>
      <c r="DJ123" s="49">
        <v>0</v>
      </c>
      <c r="DK123" s="49">
        <v>0</v>
      </c>
      <c r="DL123" s="49" t="s">
        <v>100</v>
      </c>
      <c r="DM123" s="74">
        <v>0</v>
      </c>
      <c r="DN123" s="49">
        <v>0</v>
      </c>
      <c r="DO123" s="49" t="s">
        <v>100</v>
      </c>
      <c r="DP123" s="74">
        <v>0</v>
      </c>
      <c r="DQ123" s="74">
        <v>0</v>
      </c>
      <c r="DR123" s="49">
        <v>0</v>
      </c>
      <c r="DS123" s="74">
        <v>0</v>
      </c>
      <c r="DT123" s="74">
        <v>2</v>
      </c>
      <c r="DU123" s="74">
        <v>0</v>
      </c>
      <c r="DV123" s="49" t="s">
        <v>100</v>
      </c>
      <c r="DW123" s="74">
        <v>1</v>
      </c>
      <c r="DX123" s="74">
        <v>0</v>
      </c>
      <c r="DY123" s="49">
        <v>2</v>
      </c>
      <c r="DZ123" s="49">
        <v>0</v>
      </c>
    </row>
    <row r="124" spans="1:130">
      <c r="A124" s="50">
        <v>122</v>
      </c>
      <c r="B124" s="50" t="s">
        <v>566</v>
      </c>
      <c r="C124" s="50" t="s">
        <v>567</v>
      </c>
      <c r="D124" s="72">
        <v>40792</v>
      </c>
      <c r="E124" s="49" t="s">
        <v>203</v>
      </c>
      <c r="F124" s="73">
        <v>6</v>
      </c>
      <c r="G124" s="74">
        <v>9</v>
      </c>
      <c r="H124" s="74">
        <v>2011</v>
      </c>
      <c r="I124" s="49" t="s">
        <v>568</v>
      </c>
      <c r="J124" s="49" t="s">
        <v>569</v>
      </c>
      <c r="K124" s="74">
        <v>28</v>
      </c>
      <c r="L124" s="73">
        <v>3</v>
      </c>
      <c r="M124" s="73">
        <v>1</v>
      </c>
      <c r="N124" s="74">
        <v>5</v>
      </c>
      <c r="O124" s="74">
        <v>0</v>
      </c>
      <c r="P124" s="73" t="s">
        <v>100</v>
      </c>
      <c r="Q124" s="49">
        <v>1</v>
      </c>
      <c r="R124" s="49">
        <v>1</v>
      </c>
      <c r="S124" s="74">
        <v>4</v>
      </c>
      <c r="T124" s="73">
        <v>7</v>
      </c>
      <c r="U124" s="74">
        <v>0</v>
      </c>
      <c r="V124" s="74">
        <v>32</v>
      </c>
      <c r="W124" s="74">
        <v>0</v>
      </c>
      <c r="X124" s="74">
        <v>2</v>
      </c>
      <c r="Y124" s="49">
        <v>1</v>
      </c>
      <c r="Z124" s="74">
        <v>0</v>
      </c>
      <c r="AA124" s="74">
        <v>1</v>
      </c>
      <c r="AB124" s="74">
        <v>1</v>
      </c>
      <c r="AC124" s="49"/>
      <c r="AD124" s="49"/>
      <c r="AE124" s="74">
        <v>3</v>
      </c>
      <c r="AF124" s="74">
        <v>3</v>
      </c>
      <c r="AG124" s="74">
        <v>3</v>
      </c>
      <c r="AH124" s="74">
        <v>0</v>
      </c>
      <c r="AI124" s="49">
        <v>0</v>
      </c>
      <c r="AJ124" s="49">
        <v>0</v>
      </c>
      <c r="AK124" s="74">
        <v>1</v>
      </c>
      <c r="AL124" s="74">
        <v>0</v>
      </c>
      <c r="AM124" s="74">
        <v>0</v>
      </c>
      <c r="AN124" s="49" t="s">
        <v>100</v>
      </c>
      <c r="AO124" s="74">
        <v>0</v>
      </c>
      <c r="AP124" s="49"/>
      <c r="AQ124" s="74">
        <v>0</v>
      </c>
      <c r="AR124" s="49">
        <v>0</v>
      </c>
      <c r="AS124" s="74">
        <v>1</v>
      </c>
      <c r="AT124" s="49">
        <v>0</v>
      </c>
      <c r="AU124" s="49" t="s">
        <v>100</v>
      </c>
      <c r="AV124" s="49" t="s">
        <v>100</v>
      </c>
      <c r="AW124" s="49" t="s">
        <v>100</v>
      </c>
      <c r="AX124" s="49">
        <v>0</v>
      </c>
      <c r="AY124" s="49">
        <v>0</v>
      </c>
      <c r="AZ124" s="74">
        <v>0</v>
      </c>
      <c r="BA124" s="74">
        <v>0</v>
      </c>
      <c r="BB124" s="49">
        <v>0</v>
      </c>
      <c r="BC124" s="74">
        <v>0</v>
      </c>
      <c r="BD124" s="49">
        <v>0</v>
      </c>
      <c r="BE124" s="49">
        <v>0</v>
      </c>
      <c r="BF124" s="49">
        <v>0</v>
      </c>
      <c r="BG124" s="49"/>
      <c r="BH124" s="49"/>
      <c r="BI124" s="49">
        <v>0</v>
      </c>
      <c r="BJ124" s="49">
        <v>0</v>
      </c>
      <c r="BK124" s="49">
        <v>0</v>
      </c>
      <c r="BL124" s="74">
        <v>0</v>
      </c>
      <c r="BM124" s="49" t="s">
        <v>100</v>
      </c>
      <c r="BN124" s="49"/>
      <c r="BO124" s="49">
        <v>0</v>
      </c>
      <c r="BP124" s="49">
        <v>0</v>
      </c>
      <c r="BQ124" s="49">
        <v>0</v>
      </c>
      <c r="BR124" s="49">
        <v>0</v>
      </c>
      <c r="BS124" s="49">
        <v>0</v>
      </c>
      <c r="BT124" s="49">
        <v>0</v>
      </c>
      <c r="BU124" s="49">
        <v>0</v>
      </c>
      <c r="BV124" s="49">
        <v>0</v>
      </c>
      <c r="BW124" s="49">
        <v>0</v>
      </c>
      <c r="BX124" s="49">
        <v>0</v>
      </c>
      <c r="BY124" s="49">
        <v>0</v>
      </c>
      <c r="BZ124" s="74">
        <v>1</v>
      </c>
      <c r="CA124" s="49">
        <v>0</v>
      </c>
      <c r="CB124" s="49" t="s">
        <v>100</v>
      </c>
      <c r="CC124" s="74">
        <v>1</v>
      </c>
      <c r="CD124" s="74">
        <v>1</v>
      </c>
      <c r="CE124" s="74">
        <v>2</v>
      </c>
      <c r="CF124" s="49">
        <v>0</v>
      </c>
      <c r="CG124" s="49">
        <v>0</v>
      </c>
      <c r="CH124" s="49">
        <v>0</v>
      </c>
      <c r="CI124" s="49">
        <v>0</v>
      </c>
      <c r="CJ124" s="49" t="s">
        <v>100</v>
      </c>
      <c r="CK124" s="49">
        <v>0</v>
      </c>
      <c r="CL124" s="49"/>
      <c r="CM124" s="49"/>
      <c r="CN124" s="49">
        <v>0</v>
      </c>
      <c r="CO124" s="49">
        <v>0</v>
      </c>
      <c r="CP124" s="49">
        <v>0</v>
      </c>
      <c r="CQ124" s="49">
        <v>0</v>
      </c>
      <c r="CR124" s="49">
        <v>0</v>
      </c>
      <c r="CS124" s="49">
        <v>0</v>
      </c>
      <c r="CT124" s="49">
        <v>0</v>
      </c>
      <c r="CU124" s="49">
        <v>0</v>
      </c>
      <c r="CV124" s="49">
        <v>0</v>
      </c>
      <c r="CW124" s="49">
        <v>0</v>
      </c>
      <c r="CX124" s="49">
        <v>0</v>
      </c>
      <c r="CY124" s="74">
        <v>1</v>
      </c>
      <c r="CZ124" s="74">
        <v>0</v>
      </c>
      <c r="DA124" s="49">
        <v>1</v>
      </c>
      <c r="DB124" s="49">
        <v>0</v>
      </c>
      <c r="DC124" s="74">
        <v>0</v>
      </c>
      <c r="DD124" s="49"/>
      <c r="DE124" s="49"/>
      <c r="DF124" s="49"/>
      <c r="DG124" s="49"/>
      <c r="DH124" s="49"/>
      <c r="DI124" s="49"/>
      <c r="DJ124" s="49">
        <v>0</v>
      </c>
      <c r="DK124" s="49">
        <v>0</v>
      </c>
      <c r="DL124" s="49" t="s">
        <v>100</v>
      </c>
      <c r="DM124" s="74">
        <v>0</v>
      </c>
      <c r="DN124" s="49">
        <v>0</v>
      </c>
      <c r="DO124" s="49" t="s">
        <v>100</v>
      </c>
      <c r="DP124" s="74">
        <v>0</v>
      </c>
      <c r="DQ124" s="74">
        <v>0</v>
      </c>
      <c r="DR124" s="49">
        <v>0</v>
      </c>
      <c r="DS124" s="74">
        <v>1</v>
      </c>
      <c r="DT124" s="74">
        <v>4</v>
      </c>
      <c r="DU124" s="74">
        <v>0</v>
      </c>
      <c r="DV124" s="49" t="s">
        <v>100</v>
      </c>
      <c r="DW124" s="74">
        <v>0</v>
      </c>
      <c r="DX124" s="74">
        <v>0</v>
      </c>
      <c r="DY124" s="49">
        <v>2</v>
      </c>
      <c r="DZ124" s="49">
        <v>0</v>
      </c>
    </row>
    <row r="125" spans="1:130">
      <c r="A125" s="50">
        <v>123</v>
      </c>
      <c r="B125" s="50" t="s">
        <v>570</v>
      </c>
      <c r="C125" s="50" t="s">
        <v>571</v>
      </c>
      <c r="D125" s="72">
        <v>40828</v>
      </c>
      <c r="E125" s="49" t="s">
        <v>123</v>
      </c>
      <c r="F125" s="73">
        <v>12</v>
      </c>
      <c r="G125" s="74">
        <v>10</v>
      </c>
      <c r="H125" s="74">
        <v>2011</v>
      </c>
      <c r="I125" s="49" t="s">
        <v>572</v>
      </c>
      <c r="J125" s="49" t="s">
        <v>573</v>
      </c>
      <c r="K125" s="74">
        <v>5</v>
      </c>
      <c r="L125" s="73">
        <v>3</v>
      </c>
      <c r="M125" s="74">
        <v>1</v>
      </c>
      <c r="N125" s="74">
        <v>4</v>
      </c>
      <c r="O125" s="74">
        <v>0</v>
      </c>
      <c r="P125" s="73" t="s">
        <v>100</v>
      </c>
      <c r="Q125" s="49">
        <v>0</v>
      </c>
      <c r="R125" s="49">
        <v>0</v>
      </c>
      <c r="S125" s="74">
        <v>8</v>
      </c>
      <c r="T125" s="73">
        <v>1</v>
      </c>
      <c r="U125" s="74">
        <v>0</v>
      </c>
      <c r="V125" s="74">
        <v>41</v>
      </c>
      <c r="W125" s="74">
        <v>0</v>
      </c>
      <c r="X125" s="74">
        <v>0</v>
      </c>
      <c r="Y125" s="49">
        <v>0</v>
      </c>
      <c r="Z125" s="74">
        <v>0</v>
      </c>
      <c r="AA125" s="49"/>
      <c r="AB125" s="74">
        <v>1</v>
      </c>
      <c r="AC125" s="49"/>
      <c r="AD125" s="49"/>
      <c r="AE125" s="74">
        <v>0</v>
      </c>
      <c r="AF125" s="74">
        <v>0</v>
      </c>
      <c r="AG125" s="74">
        <v>0</v>
      </c>
      <c r="AH125" s="74">
        <v>0</v>
      </c>
      <c r="AI125" s="74">
        <v>2</v>
      </c>
      <c r="AJ125" s="74">
        <v>1</v>
      </c>
      <c r="AK125" s="74">
        <v>0</v>
      </c>
      <c r="AL125" s="49">
        <v>0</v>
      </c>
      <c r="AM125" s="74">
        <v>0</v>
      </c>
      <c r="AN125" s="49" t="s">
        <v>100</v>
      </c>
      <c r="AO125" s="74">
        <v>3</v>
      </c>
      <c r="AP125" s="49" t="s">
        <v>3263</v>
      </c>
      <c r="AQ125" s="74">
        <v>1</v>
      </c>
      <c r="AR125" s="49">
        <v>0</v>
      </c>
      <c r="AS125" s="74">
        <v>1</v>
      </c>
      <c r="AT125" s="49">
        <v>3</v>
      </c>
      <c r="AU125" s="49">
        <v>1</v>
      </c>
      <c r="AV125" s="49">
        <v>4</v>
      </c>
      <c r="AW125" s="49">
        <v>3</v>
      </c>
      <c r="AX125" s="74">
        <v>1</v>
      </c>
      <c r="AY125" s="49">
        <v>0</v>
      </c>
      <c r="AZ125" s="49">
        <v>0</v>
      </c>
      <c r="BA125" s="49">
        <v>0</v>
      </c>
      <c r="BB125" s="49">
        <v>0</v>
      </c>
      <c r="BC125" s="74">
        <v>0</v>
      </c>
      <c r="BD125" s="49">
        <v>0</v>
      </c>
      <c r="BE125" s="74">
        <v>1</v>
      </c>
      <c r="BF125" s="74">
        <v>0</v>
      </c>
      <c r="BG125" s="74">
        <v>3</v>
      </c>
      <c r="BH125" s="49">
        <v>2</v>
      </c>
      <c r="BI125" s="74">
        <v>1</v>
      </c>
      <c r="BJ125" s="74">
        <v>0</v>
      </c>
      <c r="BK125" s="74">
        <v>0</v>
      </c>
      <c r="BL125" s="74">
        <v>1</v>
      </c>
      <c r="BM125" s="49">
        <v>2</v>
      </c>
      <c r="BN125" s="49" t="s">
        <v>2978</v>
      </c>
      <c r="BO125" s="49">
        <v>1</v>
      </c>
      <c r="BP125" s="49">
        <v>0</v>
      </c>
      <c r="BQ125" s="49">
        <v>0</v>
      </c>
      <c r="BR125" s="49">
        <v>0</v>
      </c>
      <c r="BS125" s="49">
        <v>1</v>
      </c>
      <c r="BT125" s="49">
        <v>1</v>
      </c>
      <c r="BU125" s="49">
        <v>1</v>
      </c>
      <c r="BV125" s="49">
        <v>0</v>
      </c>
      <c r="BW125" s="49">
        <v>0</v>
      </c>
      <c r="BX125" s="49">
        <v>0</v>
      </c>
      <c r="BY125" s="74">
        <v>1</v>
      </c>
      <c r="BZ125" s="49">
        <v>0</v>
      </c>
      <c r="CA125" s="49">
        <v>1</v>
      </c>
      <c r="CB125" s="49">
        <v>1</v>
      </c>
      <c r="CC125" s="49">
        <v>1</v>
      </c>
      <c r="CD125" s="74">
        <v>1</v>
      </c>
      <c r="CE125" s="74">
        <v>1</v>
      </c>
      <c r="CF125" s="74">
        <v>1</v>
      </c>
      <c r="CG125" s="49">
        <v>0</v>
      </c>
      <c r="CH125" s="74">
        <v>3</v>
      </c>
      <c r="CI125" s="74">
        <v>1</v>
      </c>
      <c r="CJ125" s="49" t="s">
        <v>3264</v>
      </c>
      <c r="CK125" s="49">
        <v>0</v>
      </c>
      <c r="CL125" s="49"/>
      <c r="CM125" s="49"/>
      <c r="CN125" s="49">
        <v>0</v>
      </c>
      <c r="CO125" s="49">
        <v>0</v>
      </c>
      <c r="CP125" s="49">
        <v>0</v>
      </c>
      <c r="CQ125" s="49">
        <v>0</v>
      </c>
      <c r="CR125" s="49">
        <v>0</v>
      </c>
      <c r="CS125" s="49">
        <v>0</v>
      </c>
      <c r="CT125" s="74">
        <v>1</v>
      </c>
      <c r="CU125" s="74">
        <v>1</v>
      </c>
      <c r="CV125" s="49">
        <v>0</v>
      </c>
      <c r="CW125" s="49">
        <v>0</v>
      </c>
      <c r="CX125" s="49">
        <v>0</v>
      </c>
      <c r="CY125" s="49">
        <v>0</v>
      </c>
      <c r="CZ125" s="74">
        <v>1</v>
      </c>
      <c r="DA125" s="49">
        <v>0</v>
      </c>
      <c r="DB125" s="49">
        <v>0</v>
      </c>
      <c r="DC125" s="74">
        <v>1</v>
      </c>
      <c r="DD125" s="49">
        <v>0</v>
      </c>
      <c r="DE125" s="49">
        <v>2</v>
      </c>
      <c r="DF125" s="49">
        <v>1</v>
      </c>
      <c r="DG125" s="49"/>
      <c r="DH125" s="49"/>
      <c r="DI125" s="49"/>
      <c r="DJ125" s="49">
        <v>0</v>
      </c>
      <c r="DK125" s="49">
        <v>0</v>
      </c>
      <c r="DL125" s="49" t="s">
        <v>100</v>
      </c>
      <c r="DM125" s="74">
        <v>0</v>
      </c>
      <c r="DN125" s="49">
        <v>0</v>
      </c>
      <c r="DO125" s="49" t="s">
        <v>100</v>
      </c>
      <c r="DP125" s="74">
        <v>0</v>
      </c>
      <c r="DQ125" s="74">
        <v>0</v>
      </c>
      <c r="DR125" s="49">
        <v>0</v>
      </c>
      <c r="DS125" s="74">
        <v>1</v>
      </c>
      <c r="DT125" s="74">
        <v>3</v>
      </c>
      <c r="DU125" s="74">
        <v>1</v>
      </c>
      <c r="DV125" s="49" t="s">
        <v>574</v>
      </c>
      <c r="DW125" s="74">
        <v>2</v>
      </c>
      <c r="DX125" s="74">
        <v>0</v>
      </c>
      <c r="DY125" s="74">
        <v>0</v>
      </c>
      <c r="DZ125" s="74">
        <v>2</v>
      </c>
    </row>
    <row r="126" spans="1:130">
      <c r="A126" s="50">
        <v>124</v>
      </c>
      <c r="B126" s="50" t="s">
        <v>575</v>
      </c>
      <c r="C126" s="50" t="s">
        <v>576</v>
      </c>
      <c r="D126" s="72">
        <v>41001</v>
      </c>
      <c r="E126" s="49" t="s">
        <v>95</v>
      </c>
      <c r="F126" s="73">
        <v>2</v>
      </c>
      <c r="G126" s="74">
        <v>4</v>
      </c>
      <c r="H126" s="74">
        <v>2012</v>
      </c>
      <c r="I126" s="49" t="s">
        <v>577</v>
      </c>
      <c r="J126" s="49" t="s">
        <v>578</v>
      </c>
      <c r="K126" s="74">
        <v>5</v>
      </c>
      <c r="L126" s="74">
        <v>3</v>
      </c>
      <c r="M126" s="74">
        <v>0</v>
      </c>
      <c r="N126" s="74">
        <v>1</v>
      </c>
      <c r="O126" s="73">
        <v>0</v>
      </c>
      <c r="P126" s="73" t="s">
        <v>100</v>
      </c>
      <c r="Q126" s="49">
        <v>0</v>
      </c>
      <c r="R126" s="49">
        <v>0</v>
      </c>
      <c r="S126" s="74">
        <v>7</v>
      </c>
      <c r="T126" s="74">
        <v>3</v>
      </c>
      <c r="U126" s="74">
        <v>1</v>
      </c>
      <c r="V126" s="74">
        <v>43</v>
      </c>
      <c r="W126" s="74">
        <v>0</v>
      </c>
      <c r="X126" s="74">
        <v>3</v>
      </c>
      <c r="Y126" s="49">
        <v>1</v>
      </c>
      <c r="Z126" s="49">
        <v>0</v>
      </c>
      <c r="AA126" s="74">
        <v>0</v>
      </c>
      <c r="AB126" s="74">
        <v>2</v>
      </c>
      <c r="AC126" s="74">
        <v>2</v>
      </c>
      <c r="AD126" s="49" t="s">
        <v>867</v>
      </c>
      <c r="AE126" s="49">
        <v>3</v>
      </c>
      <c r="AF126" s="49">
        <v>2</v>
      </c>
      <c r="AG126" s="49">
        <v>2</v>
      </c>
      <c r="AH126" s="49">
        <v>0</v>
      </c>
      <c r="AI126" s="49">
        <v>3</v>
      </c>
      <c r="AJ126" s="49">
        <v>1</v>
      </c>
      <c r="AK126" s="74">
        <v>0</v>
      </c>
      <c r="AL126" s="74">
        <v>0</v>
      </c>
      <c r="AM126" s="49">
        <v>0</v>
      </c>
      <c r="AN126" s="49" t="s">
        <v>100</v>
      </c>
      <c r="AO126" s="74">
        <v>0</v>
      </c>
      <c r="AP126" s="49"/>
      <c r="AQ126" s="74">
        <v>0</v>
      </c>
      <c r="AR126" s="49">
        <v>0</v>
      </c>
      <c r="AS126" s="49">
        <v>1</v>
      </c>
      <c r="AT126" s="49">
        <v>0</v>
      </c>
      <c r="AU126" s="49" t="s">
        <v>100</v>
      </c>
      <c r="AV126" s="49" t="s">
        <v>100</v>
      </c>
      <c r="AW126" s="49" t="s">
        <v>100</v>
      </c>
      <c r="AX126" s="49">
        <v>0</v>
      </c>
      <c r="AY126" s="49">
        <v>0</v>
      </c>
      <c r="AZ126" s="49">
        <v>0</v>
      </c>
      <c r="BA126" s="49">
        <v>0</v>
      </c>
      <c r="BB126" s="49">
        <v>0</v>
      </c>
      <c r="BC126" s="74">
        <v>0</v>
      </c>
      <c r="BD126" s="74">
        <v>0</v>
      </c>
      <c r="BE126" s="49">
        <v>0</v>
      </c>
      <c r="BF126" s="74">
        <v>0</v>
      </c>
      <c r="BG126" s="74">
        <v>0</v>
      </c>
      <c r="BH126" s="49">
        <v>0</v>
      </c>
      <c r="BI126" s="74">
        <v>1</v>
      </c>
      <c r="BJ126" s="49">
        <v>0</v>
      </c>
      <c r="BK126" s="74">
        <v>1</v>
      </c>
      <c r="BL126" s="49">
        <v>1</v>
      </c>
      <c r="BM126" s="49">
        <v>2</v>
      </c>
      <c r="BN126" s="49" t="s">
        <v>2977</v>
      </c>
      <c r="BO126" s="49">
        <v>1</v>
      </c>
      <c r="BP126" s="49">
        <v>0</v>
      </c>
      <c r="BQ126" s="49">
        <v>0</v>
      </c>
      <c r="BR126" s="49">
        <v>0</v>
      </c>
      <c r="BS126" s="49">
        <v>0</v>
      </c>
      <c r="BT126" s="49">
        <v>1</v>
      </c>
      <c r="BU126" s="49">
        <v>0</v>
      </c>
      <c r="BV126" s="49">
        <v>1</v>
      </c>
      <c r="BW126" s="74">
        <v>1</v>
      </c>
      <c r="BX126" s="49">
        <v>1</v>
      </c>
      <c r="BY126" s="74">
        <v>2</v>
      </c>
      <c r="BZ126" s="49">
        <v>0</v>
      </c>
      <c r="CA126" s="49">
        <v>0</v>
      </c>
      <c r="CB126" s="49" t="s">
        <v>100</v>
      </c>
      <c r="CC126" s="49">
        <v>0</v>
      </c>
      <c r="CD126" s="49" t="s">
        <v>100</v>
      </c>
      <c r="CE126" s="74">
        <v>2</v>
      </c>
      <c r="CF126" s="49">
        <v>0</v>
      </c>
      <c r="CG126" s="49">
        <v>0</v>
      </c>
      <c r="CH126" s="49">
        <v>0</v>
      </c>
      <c r="CI126" s="49">
        <v>0</v>
      </c>
      <c r="CJ126" s="49" t="s">
        <v>100</v>
      </c>
      <c r="CK126" s="49">
        <v>0</v>
      </c>
      <c r="CL126" s="49"/>
      <c r="CM126" s="49"/>
      <c r="CN126" s="49">
        <v>0</v>
      </c>
      <c r="CO126" s="49">
        <v>0</v>
      </c>
      <c r="CP126" s="49">
        <v>0</v>
      </c>
      <c r="CQ126" s="49">
        <v>0</v>
      </c>
      <c r="CR126" s="49">
        <v>0</v>
      </c>
      <c r="CS126" s="49">
        <v>1</v>
      </c>
      <c r="CT126" s="49">
        <v>0</v>
      </c>
      <c r="CU126" s="49">
        <v>0</v>
      </c>
      <c r="CV126" s="49">
        <v>0</v>
      </c>
      <c r="CW126" s="49">
        <v>0</v>
      </c>
      <c r="CX126" s="49">
        <v>1</v>
      </c>
      <c r="CY126" s="49">
        <v>0</v>
      </c>
      <c r="CZ126" s="74">
        <v>0</v>
      </c>
      <c r="DA126" s="49">
        <v>2</v>
      </c>
      <c r="DB126" s="49">
        <v>0</v>
      </c>
      <c r="DC126" s="49">
        <v>0</v>
      </c>
      <c r="DD126" s="49"/>
      <c r="DE126" s="49"/>
      <c r="DF126" s="49"/>
      <c r="DG126" s="49"/>
      <c r="DH126" s="49"/>
      <c r="DI126" s="49"/>
      <c r="DJ126" s="49">
        <v>0</v>
      </c>
      <c r="DK126" s="49">
        <v>0</v>
      </c>
      <c r="DL126" s="49" t="s">
        <v>100</v>
      </c>
      <c r="DM126" s="74">
        <v>0</v>
      </c>
      <c r="DN126" s="49">
        <v>0</v>
      </c>
      <c r="DO126" s="49" t="s">
        <v>100</v>
      </c>
      <c r="DP126" s="74">
        <v>0</v>
      </c>
      <c r="DQ126" s="74">
        <v>0</v>
      </c>
      <c r="DR126" s="49">
        <v>0</v>
      </c>
      <c r="DS126" s="74">
        <v>0</v>
      </c>
      <c r="DT126" s="74">
        <v>1</v>
      </c>
      <c r="DU126" s="74">
        <v>0</v>
      </c>
      <c r="DV126" s="49" t="s">
        <v>100</v>
      </c>
      <c r="DW126" s="74">
        <v>2</v>
      </c>
      <c r="DX126" s="74">
        <v>0</v>
      </c>
      <c r="DY126" s="74">
        <v>0</v>
      </c>
      <c r="DZ126" s="74">
        <v>2</v>
      </c>
    </row>
    <row r="127" spans="1:130">
      <c r="A127" s="50">
        <v>125</v>
      </c>
      <c r="B127" s="50" t="s">
        <v>579</v>
      </c>
      <c r="C127" s="50" t="s">
        <v>580</v>
      </c>
      <c r="D127" s="72">
        <v>41059</v>
      </c>
      <c r="E127" s="49" t="s">
        <v>123</v>
      </c>
      <c r="F127" s="73">
        <v>30</v>
      </c>
      <c r="G127" s="73">
        <v>5</v>
      </c>
      <c r="H127" s="74">
        <v>2012</v>
      </c>
      <c r="I127" s="49" t="s">
        <v>581</v>
      </c>
      <c r="J127" s="49" t="s">
        <v>877</v>
      </c>
      <c r="K127" s="74">
        <v>47</v>
      </c>
      <c r="L127" s="73">
        <v>3</v>
      </c>
      <c r="M127" s="73">
        <v>0</v>
      </c>
      <c r="N127" s="74">
        <v>5</v>
      </c>
      <c r="O127" s="74">
        <v>1</v>
      </c>
      <c r="P127" s="74">
        <v>8</v>
      </c>
      <c r="Q127" s="49">
        <v>0</v>
      </c>
      <c r="R127" s="49">
        <v>0</v>
      </c>
      <c r="S127" s="74">
        <v>5</v>
      </c>
      <c r="T127" s="74">
        <v>1</v>
      </c>
      <c r="U127" s="74">
        <v>0</v>
      </c>
      <c r="V127" s="74">
        <v>40</v>
      </c>
      <c r="W127" s="74">
        <v>0</v>
      </c>
      <c r="X127" s="74">
        <v>0</v>
      </c>
      <c r="Y127" s="74">
        <v>0</v>
      </c>
      <c r="Z127" s="74">
        <v>0</v>
      </c>
      <c r="AA127" s="49"/>
      <c r="AB127" s="49">
        <v>1</v>
      </c>
      <c r="AC127" s="74">
        <v>0</v>
      </c>
      <c r="AD127" s="49" t="s">
        <v>3383</v>
      </c>
      <c r="AE127" s="74">
        <v>1</v>
      </c>
      <c r="AF127" s="74">
        <v>2</v>
      </c>
      <c r="AG127" s="74">
        <v>0</v>
      </c>
      <c r="AH127" s="74">
        <v>2</v>
      </c>
      <c r="AI127" s="74">
        <v>1</v>
      </c>
      <c r="AJ127" s="74">
        <v>0</v>
      </c>
      <c r="AK127" s="74">
        <v>0</v>
      </c>
      <c r="AL127" s="74">
        <v>0</v>
      </c>
      <c r="AM127" s="74">
        <v>2</v>
      </c>
      <c r="AN127" s="49">
        <v>0</v>
      </c>
      <c r="AO127" s="74">
        <v>1</v>
      </c>
      <c r="AP127" s="49" t="s">
        <v>3265</v>
      </c>
      <c r="AQ127" s="74">
        <v>1</v>
      </c>
      <c r="AR127" s="49">
        <v>0</v>
      </c>
      <c r="AS127" s="74">
        <v>1</v>
      </c>
      <c r="AT127" s="74">
        <v>3</v>
      </c>
      <c r="AU127" s="49">
        <v>1</v>
      </c>
      <c r="AV127" s="49"/>
      <c r="AW127" s="49"/>
      <c r="AX127" s="49">
        <v>0</v>
      </c>
      <c r="AY127" s="49">
        <v>0</v>
      </c>
      <c r="AZ127" s="49">
        <v>0</v>
      </c>
      <c r="BA127" s="49">
        <v>0</v>
      </c>
      <c r="BB127" s="49">
        <v>0</v>
      </c>
      <c r="BC127" s="74">
        <v>1</v>
      </c>
      <c r="BD127" s="49">
        <v>0</v>
      </c>
      <c r="BE127" s="74">
        <v>0</v>
      </c>
      <c r="BF127" s="74">
        <v>0</v>
      </c>
      <c r="BG127" s="49"/>
      <c r="BH127" s="49">
        <v>1</v>
      </c>
      <c r="BI127" s="49">
        <v>0</v>
      </c>
      <c r="BJ127" s="49" t="s">
        <v>833</v>
      </c>
      <c r="BK127" s="49">
        <v>0</v>
      </c>
      <c r="BL127" s="49">
        <v>1</v>
      </c>
      <c r="BM127" s="49">
        <v>0</v>
      </c>
      <c r="BN127" s="49" t="s">
        <v>3109</v>
      </c>
      <c r="BO127" s="49">
        <v>1</v>
      </c>
      <c r="BP127" s="49">
        <v>0</v>
      </c>
      <c r="BQ127" s="49">
        <v>0</v>
      </c>
      <c r="BR127" s="49">
        <v>1</v>
      </c>
      <c r="BS127" s="49">
        <v>1</v>
      </c>
      <c r="BT127" s="49">
        <v>1</v>
      </c>
      <c r="BU127" s="49">
        <v>1</v>
      </c>
      <c r="BV127" s="49">
        <v>0</v>
      </c>
      <c r="BW127" s="49">
        <v>1</v>
      </c>
      <c r="BX127" s="49">
        <v>0</v>
      </c>
      <c r="BY127" s="74">
        <v>2</v>
      </c>
      <c r="BZ127" s="74">
        <v>0</v>
      </c>
      <c r="CA127" s="74">
        <v>0</v>
      </c>
      <c r="CB127" s="49" t="s">
        <v>100</v>
      </c>
      <c r="CC127" s="49">
        <v>0</v>
      </c>
      <c r="CD127" s="49" t="s">
        <v>100</v>
      </c>
      <c r="CE127" s="74">
        <v>2</v>
      </c>
      <c r="CF127" s="49">
        <v>0</v>
      </c>
      <c r="CG127" s="74">
        <v>1</v>
      </c>
      <c r="CH127" s="74">
        <v>1</v>
      </c>
      <c r="CI127" s="49">
        <v>1</v>
      </c>
      <c r="CJ127" s="49" t="s">
        <v>3266</v>
      </c>
      <c r="CK127" s="49">
        <v>0</v>
      </c>
      <c r="CL127" s="49"/>
      <c r="CM127" s="49"/>
      <c r="CN127" s="49">
        <v>0</v>
      </c>
      <c r="CO127" s="49">
        <v>0</v>
      </c>
      <c r="CP127" s="49">
        <v>0</v>
      </c>
      <c r="CQ127" s="49">
        <v>0</v>
      </c>
      <c r="CR127" s="49">
        <v>0</v>
      </c>
      <c r="CS127" s="49">
        <v>0</v>
      </c>
      <c r="CT127" s="49">
        <v>0</v>
      </c>
      <c r="CU127" s="49">
        <v>0</v>
      </c>
      <c r="CV127" s="74">
        <v>1</v>
      </c>
      <c r="CW127" s="49">
        <v>0</v>
      </c>
      <c r="CX127" s="49">
        <v>0</v>
      </c>
      <c r="CY127" s="49">
        <v>0</v>
      </c>
      <c r="CZ127" s="74">
        <v>0</v>
      </c>
      <c r="DA127" s="49">
        <v>1</v>
      </c>
      <c r="DB127" s="49">
        <v>0</v>
      </c>
      <c r="DC127" s="49">
        <v>0</v>
      </c>
      <c r="DD127" s="49"/>
      <c r="DE127" s="49"/>
      <c r="DF127" s="49"/>
      <c r="DG127" s="49"/>
      <c r="DH127" s="49"/>
      <c r="DI127" s="49"/>
      <c r="DJ127" s="49">
        <v>0</v>
      </c>
      <c r="DK127" s="49" t="s">
        <v>833</v>
      </c>
      <c r="DL127" s="49" t="s">
        <v>100</v>
      </c>
      <c r="DM127" s="74">
        <v>1</v>
      </c>
      <c r="DN127" s="49">
        <v>0</v>
      </c>
      <c r="DO127" s="49" t="s">
        <v>100</v>
      </c>
      <c r="DP127" s="74">
        <v>0</v>
      </c>
      <c r="DQ127" s="74">
        <v>0</v>
      </c>
      <c r="DR127" s="74">
        <v>1</v>
      </c>
      <c r="DS127" s="74">
        <v>3</v>
      </c>
      <c r="DT127" s="74">
        <v>2</v>
      </c>
      <c r="DU127" s="74">
        <v>0</v>
      </c>
      <c r="DV127" s="49" t="s">
        <v>100</v>
      </c>
      <c r="DW127" s="49">
        <v>0</v>
      </c>
      <c r="DX127" s="74">
        <v>0</v>
      </c>
      <c r="DY127" s="49">
        <v>2</v>
      </c>
      <c r="DZ127" s="49">
        <v>0</v>
      </c>
    </row>
    <row r="128" spans="1:130">
      <c r="A128" s="50">
        <v>126</v>
      </c>
      <c r="B128" s="50" t="s">
        <v>582</v>
      </c>
      <c r="C128" s="50" t="s">
        <v>221</v>
      </c>
      <c r="D128" s="72">
        <v>41110</v>
      </c>
      <c r="E128" s="49" t="s">
        <v>157</v>
      </c>
      <c r="F128" s="73">
        <v>20</v>
      </c>
      <c r="G128" s="73">
        <v>7</v>
      </c>
      <c r="H128" s="49">
        <v>2012</v>
      </c>
      <c r="I128" s="49" t="s">
        <v>583</v>
      </c>
      <c r="J128" s="49" t="s">
        <v>321</v>
      </c>
      <c r="K128" s="73">
        <v>6</v>
      </c>
      <c r="L128" s="73">
        <v>3</v>
      </c>
      <c r="M128" s="73">
        <v>0</v>
      </c>
      <c r="N128" s="74">
        <v>4</v>
      </c>
      <c r="O128" s="74">
        <v>0</v>
      </c>
      <c r="P128" s="73" t="s">
        <v>100</v>
      </c>
      <c r="Q128" s="49">
        <v>0</v>
      </c>
      <c r="R128" s="49">
        <v>0</v>
      </c>
      <c r="S128" s="73">
        <v>12</v>
      </c>
      <c r="T128" s="73">
        <v>70</v>
      </c>
      <c r="U128" s="74">
        <v>0</v>
      </c>
      <c r="V128" s="49">
        <v>24</v>
      </c>
      <c r="W128" s="49">
        <v>0</v>
      </c>
      <c r="X128" s="49">
        <v>0</v>
      </c>
      <c r="Y128" s="74">
        <v>0</v>
      </c>
      <c r="Z128" s="74">
        <v>0</v>
      </c>
      <c r="AA128" s="49">
        <v>1</v>
      </c>
      <c r="AB128" s="49">
        <v>4</v>
      </c>
      <c r="AC128" s="74">
        <v>2</v>
      </c>
      <c r="AD128" s="49" t="s">
        <v>3267</v>
      </c>
      <c r="AE128" s="74">
        <v>1</v>
      </c>
      <c r="AF128" s="74">
        <v>1</v>
      </c>
      <c r="AG128" s="74">
        <v>0</v>
      </c>
      <c r="AH128" s="74">
        <v>1</v>
      </c>
      <c r="AI128" s="74">
        <v>0</v>
      </c>
      <c r="AJ128" s="49">
        <v>0</v>
      </c>
      <c r="AK128" s="74">
        <v>0</v>
      </c>
      <c r="AL128" s="74">
        <v>1</v>
      </c>
      <c r="AM128" s="49">
        <v>0</v>
      </c>
      <c r="AN128" s="49" t="s">
        <v>100</v>
      </c>
      <c r="AO128" s="74">
        <v>1</v>
      </c>
      <c r="AP128" s="49" t="s">
        <v>3268</v>
      </c>
      <c r="AQ128" s="74">
        <v>0</v>
      </c>
      <c r="AR128" s="49">
        <v>0</v>
      </c>
      <c r="AS128" s="74">
        <v>0</v>
      </c>
      <c r="AT128" s="49">
        <v>0</v>
      </c>
      <c r="AU128" s="49" t="s">
        <v>100</v>
      </c>
      <c r="AV128" s="49" t="s">
        <v>100</v>
      </c>
      <c r="AW128" s="49" t="s">
        <v>100</v>
      </c>
      <c r="AX128" s="49">
        <v>0</v>
      </c>
      <c r="AY128" s="49">
        <v>0</v>
      </c>
      <c r="AZ128" s="49">
        <v>0</v>
      </c>
      <c r="BA128" s="49">
        <v>0</v>
      </c>
      <c r="BB128" s="74">
        <v>1</v>
      </c>
      <c r="BC128" s="49">
        <v>0</v>
      </c>
      <c r="BD128" s="49">
        <v>0</v>
      </c>
      <c r="BE128" s="74">
        <v>0</v>
      </c>
      <c r="BF128" s="74">
        <v>0</v>
      </c>
      <c r="BG128" s="74">
        <v>0</v>
      </c>
      <c r="BH128" s="49">
        <v>1</v>
      </c>
      <c r="BI128" s="49">
        <v>0</v>
      </c>
      <c r="BJ128" s="49">
        <v>1</v>
      </c>
      <c r="BK128" s="74">
        <v>1</v>
      </c>
      <c r="BL128" s="74">
        <v>1</v>
      </c>
      <c r="BM128" s="49">
        <v>2</v>
      </c>
      <c r="BN128" s="49" t="s">
        <v>2976</v>
      </c>
      <c r="BO128" s="49">
        <v>1</v>
      </c>
      <c r="BP128" s="49">
        <v>1</v>
      </c>
      <c r="BQ128" s="49">
        <v>1</v>
      </c>
      <c r="BR128" s="49">
        <v>0</v>
      </c>
      <c r="BS128" s="49">
        <v>0</v>
      </c>
      <c r="BT128" s="49">
        <v>0</v>
      </c>
      <c r="BU128" s="49">
        <v>0</v>
      </c>
      <c r="BV128" s="49">
        <v>1</v>
      </c>
      <c r="BW128" s="74">
        <v>1</v>
      </c>
      <c r="BX128" s="49">
        <v>0</v>
      </c>
      <c r="BY128" s="49">
        <v>1</v>
      </c>
      <c r="BZ128" s="49">
        <v>0</v>
      </c>
      <c r="CA128" s="74">
        <v>1</v>
      </c>
      <c r="CB128" s="74">
        <v>0</v>
      </c>
      <c r="CC128" s="49">
        <v>1</v>
      </c>
      <c r="CD128" s="74">
        <v>1</v>
      </c>
      <c r="CE128" s="74">
        <v>4</v>
      </c>
      <c r="CF128" s="74">
        <v>2</v>
      </c>
      <c r="CG128" s="74">
        <v>1</v>
      </c>
      <c r="CH128" s="49">
        <v>3</v>
      </c>
      <c r="CI128" s="49">
        <v>0</v>
      </c>
      <c r="CJ128" s="49" t="s">
        <v>100</v>
      </c>
      <c r="CK128" s="49">
        <v>0</v>
      </c>
      <c r="CL128" s="49"/>
      <c r="CM128" s="49"/>
      <c r="CN128" s="49">
        <v>0</v>
      </c>
      <c r="CO128" s="49">
        <v>0</v>
      </c>
      <c r="CP128" s="49">
        <v>0</v>
      </c>
      <c r="CQ128" s="49">
        <v>0</v>
      </c>
      <c r="CR128" s="49">
        <v>0</v>
      </c>
      <c r="CS128" s="49">
        <v>0</v>
      </c>
      <c r="CT128" s="49">
        <v>0</v>
      </c>
      <c r="CU128" s="49">
        <v>0</v>
      </c>
      <c r="CV128" s="49">
        <v>0</v>
      </c>
      <c r="CW128" s="49">
        <v>0</v>
      </c>
      <c r="CX128" s="49">
        <v>1</v>
      </c>
      <c r="CY128" s="49">
        <v>0</v>
      </c>
      <c r="CZ128" s="74">
        <v>0</v>
      </c>
      <c r="DA128" s="74">
        <v>3</v>
      </c>
      <c r="DB128" s="49">
        <v>0</v>
      </c>
      <c r="DC128" s="49">
        <v>1</v>
      </c>
      <c r="DD128" s="49">
        <v>0</v>
      </c>
      <c r="DE128" s="49">
        <v>6</v>
      </c>
      <c r="DF128" s="49">
        <v>1</v>
      </c>
      <c r="DG128" s="49"/>
      <c r="DH128" s="49"/>
      <c r="DI128" s="49"/>
      <c r="DJ128" s="49">
        <v>0</v>
      </c>
      <c r="DK128" s="74">
        <v>1</v>
      </c>
      <c r="DL128" s="49" t="s">
        <v>584</v>
      </c>
      <c r="DM128" s="74">
        <v>1</v>
      </c>
      <c r="DN128" s="74">
        <v>0</v>
      </c>
      <c r="DO128" s="49" t="s">
        <v>3269</v>
      </c>
      <c r="DP128" s="74">
        <v>1</v>
      </c>
      <c r="DQ128" s="74">
        <v>1</v>
      </c>
      <c r="DR128" s="49">
        <v>0</v>
      </c>
      <c r="DS128" s="74">
        <v>1</v>
      </c>
      <c r="DT128" s="74">
        <v>4</v>
      </c>
      <c r="DU128" s="74">
        <v>1</v>
      </c>
      <c r="DV128" s="49" t="s">
        <v>585</v>
      </c>
      <c r="DW128" s="49">
        <v>2</v>
      </c>
      <c r="DX128" s="74">
        <v>0</v>
      </c>
      <c r="DY128" s="74">
        <v>1</v>
      </c>
      <c r="DZ128" s="74">
        <v>2</v>
      </c>
    </row>
    <row r="129" spans="1:130">
      <c r="A129" s="50">
        <v>127</v>
      </c>
      <c r="B129" s="50" t="s">
        <v>586</v>
      </c>
      <c r="C129" s="50" t="s">
        <v>587</v>
      </c>
      <c r="D129" s="72">
        <v>41126</v>
      </c>
      <c r="E129" s="49" t="s">
        <v>137</v>
      </c>
      <c r="F129" s="73">
        <v>5</v>
      </c>
      <c r="G129" s="73">
        <v>8</v>
      </c>
      <c r="H129" s="49">
        <v>2012</v>
      </c>
      <c r="I129" s="49" t="s">
        <v>588</v>
      </c>
      <c r="J129" s="49" t="s">
        <v>589</v>
      </c>
      <c r="K129" s="73">
        <v>49</v>
      </c>
      <c r="L129" s="73">
        <v>1</v>
      </c>
      <c r="M129" s="73">
        <v>1</v>
      </c>
      <c r="N129" s="74">
        <v>3</v>
      </c>
      <c r="O129" s="73">
        <v>0</v>
      </c>
      <c r="P129" s="73" t="s">
        <v>100</v>
      </c>
      <c r="Q129" s="49">
        <v>0</v>
      </c>
      <c r="R129" s="49">
        <v>0</v>
      </c>
      <c r="S129" s="74">
        <v>6</v>
      </c>
      <c r="T129" s="74">
        <v>3</v>
      </c>
      <c r="U129" s="74">
        <v>0</v>
      </c>
      <c r="V129" s="49">
        <v>40</v>
      </c>
      <c r="W129" s="49">
        <v>0</v>
      </c>
      <c r="X129" s="74">
        <v>0</v>
      </c>
      <c r="Y129" s="49">
        <v>0</v>
      </c>
      <c r="Z129" s="74">
        <v>0</v>
      </c>
      <c r="AA129" s="49"/>
      <c r="AB129" s="49">
        <v>1</v>
      </c>
      <c r="AC129" s="49"/>
      <c r="AD129" s="49"/>
      <c r="AE129" s="49"/>
      <c r="AF129" s="74">
        <v>2</v>
      </c>
      <c r="AG129" s="49"/>
      <c r="AH129" s="49"/>
      <c r="AI129" s="74">
        <v>0</v>
      </c>
      <c r="AJ129" s="49">
        <v>0</v>
      </c>
      <c r="AK129" s="74">
        <v>0</v>
      </c>
      <c r="AL129" s="74">
        <v>0</v>
      </c>
      <c r="AM129" s="49">
        <v>1</v>
      </c>
      <c r="AN129" s="49">
        <v>0</v>
      </c>
      <c r="AO129" s="74">
        <v>1</v>
      </c>
      <c r="AP129" s="49" t="s">
        <v>3270</v>
      </c>
      <c r="AQ129" s="49">
        <v>1</v>
      </c>
      <c r="AR129" s="49">
        <v>0</v>
      </c>
      <c r="AS129" s="74">
        <v>1</v>
      </c>
      <c r="AT129" s="74">
        <v>0</v>
      </c>
      <c r="AU129" s="49" t="s">
        <v>100</v>
      </c>
      <c r="AV129" s="49" t="s">
        <v>100</v>
      </c>
      <c r="AW129" s="49" t="s">
        <v>100</v>
      </c>
      <c r="AX129" s="49">
        <v>0</v>
      </c>
      <c r="AY129" s="49">
        <v>1</v>
      </c>
      <c r="AZ129" s="74">
        <v>1</v>
      </c>
      <c r="BA129" s="74">
        <v>1</v>
      </c>
      <c r="BB129" s="49">
        <v>0</v>
      </c>
      <c r="BC129" s="74">
        <v>0</v>
      </c>
      <c r="BD129" s="49">
        <v>0</v>
      </c>
      <c r="BE129" s="74">
        <v>1</v>
      </c>
      <c r="BF129" s="49">
        <v>0</v>
      </c>
      <c r="BG129" s="74">
        <v>3</v>
      </c>
      <c r="BH129" s="49">
        <v>1</v>
      </c>
      <c r="BI129" s="49">
        <v>0</v>
      </c>
      <c r="BJ129" s="74">
        <v>1</v>
      </c>
      <c r="BK129" s="74">
        <v>1</v>
      </c>
      <c r="BL129" s="74">
        <v>0</v>
      </c>
      <c r="BM129" s="49" t="s">
        <v>100</v>
      </c>
      <c r="BN129" s="49"/>
      <c r="BO129" s="49">
        <v>0</v>
      </c>
      <c r="BP129" s="49">
        <v>0</v>
      </c>
      <c r="BQ129" s="49">
        <v>0</v>
      </c>
      <c r="BR129" s="49">
        <v>0</v>
      </c>
      <c r="BS129" s="49">
        <v>0</v>
      </c>
      <c r="BT129" s="49">
        <v>0</v>
      </c>
      <c r="BU129" s="49">
        <v>0</v>
      </c>
      <c r="BV129" s="49">
        <v>0</v>
      </c>
      <c r="BW129" s="49">
        <v>0</v>
      </c>
      <c r="BX129" s="49">
        <v>0</v>
      </c>
      <c r="BY129" s="74">
        <v>2</v>
      </c>
      <c r="BZ129" s="49">
        <v>0</v>
      </c>
      <c r="CA129" s="49">
        <v>0</v>
      </c>
      <c r="CB129" s="49" t="s">
        <v>100</v>
      </c>
      <c r="CC129" s="49">
        <v>0</v>
      </c>
      <c r="CD129" s="49" t="s">
        <v>100</v>
      </c>
      <c r="CE129" s="49">
        <v>0</v>
      </c>
      <c r="CF129" s="49">
        <v>0</v>
      </c>
      <c r="CG129" s="49">
        <v>0</v>
      </c>
      <c r="CH129" s="74">
        <v>5</v>
      </c>
      <c r="CI129" s="49">
        <v>0</v>
      </c>
      <c r="CJ129" s="49" t="s">
        <v>100</v>
      </c>
      <c r="CK129" s="49">
        <v>1</v>
      </c>
      <c r="CL129" s="49">
        <v>4</v>
      </c>
      <c r="CM129" s="49"/>
      <c r="CN129" s="74">
        <v>1</v>
      </c>
      <c r="CO129" s="74">
        <v>2</v>
      </c>
      <c r="CP129" s="49">
        <v>0</v>
      </c>
      <c r="CQ129" s="49">
        <v>0</v>
      </c>
      <c r="CR129" s="49">
        <v>0</v>
      </c>
      <c r="CS129" s="49">
        <v>0</v>
      </c>
      <c r="CT129" s="49">
        <v>0</v>
      </c>
      <c r="CU129" s="49">
        <v>0</v>
      </c>
      <c r="CV129" s="49">
        <v>0</v>
      </c>
      <c r="CW129" s="49">
        <v>0</v>
      </c>
      <c r="CX129" s="49">
        <v>0</v>
      </c>
      <c r="CY129" s="49">
        <v>0</v>
      </c>
      <c r="CZ129" s="74">
        <v>0</v>
      </c>
      <c r="DA129" s="49">
        <v>0</v>
      </c>
      <c r="DB129" s="49">
        <v>1</v>
      </c>
      <c r="DC129" s="74">
        <v>0</v>
      </c>
      <c r="DD129" s="49">
        <v>0</v>
      </c>
      <c r="DE129" s="49">
        <v>5</v>
      </c>
      <c r="DF129" s="49">
        <v>0</v>
      </c>
      <c r="DG129" s="49"/>
      <c r="DH129" s="49"/>
      <c r="DI129" s="49"/>
      <c r="DJ129" s="74">
        <v>1</v>
      </c>
      <c r="DK129" s="49">
        <v>0</v>
      </c>
      <c r="DL129" s="49" t="s">
        <v>100</v>
      </c>
      <c r="DM129" s="74">
        <v>0</v>
      </c>
      <c r="DN129" s="49">
        <v>0</v>
      </c>
      <c r="DO129" s="49" t="s">
        <v>100</v>
      </c>
      <c r="DP129" s="49">
        <v>0</v>
      </c>
      <c r="DQ129" s="74">
        <v>0</v>
      </c>
      <c r="DR129" s="49">
        <v>0</v>
      </c>
      <c r="DS129" s="74">
        <v>3</v>
      </c>
      <c r="DT129" s="49">
        <v>1</v>
      </c>
      <c r="DU129" s="74">
        <v>0</v>
      </c>
      <c r="DV129" s="49" t="s">
        <v>100</v>
      </c>
      <c r="DW129" s="74">
        <v>0</v>
      </c>
      <c r="DX129" s="74">
        <v>0</v>
      </c>
      <c r="DY129" s="49">
        <v>2</v>
      </c>
      <c r="DZ129" s="49">
        <v>0</v>
      </c>
    </row>
    <row r="130" spans="1:130">
      <c r="A130" s="50">
        <v>128</v>
      </c>
      <c r="B130" s="50" t="s">
        <v>590</v>
      </c>
      <c r="C130" s="50" t="s">
        <v>367</v>
      </c>
      <c r="D130" s="72">
        <v>41179</v>
      </c>
      <c r="E130" s="49" t="s">
        <v>178</v>
      </c>
      <c r="F130" s="73">
        <v>27</v>
      </c>
      <c r="G130" s="74">
        <v>9</v>
      </c>
      <c r="H130" s="49">
        <v>2012</v>
      </c>
      <c r="I130" s="49" t="s">
        <v>591</v>
      </c>
      <c r="J130" s="49" t="s">
        <v>3271</v>
      </c>
      <c r="K130" s="74">
        <v>23</v>
      </c>
      <c r="L130" s="73">
        <v>1</v>
      </c>
      <c r="M130" s="74">
        <v>0</v>
      </c>
      <c r="N130" s="74">
        <v>6</v>
      </c>
      <c r="O130" s="74">
        <v>0</v>
      </c>
      <c r="P130" s="73" t="s">
        <v>100</v>
      </c>
      <c r="Q130" s="49">
        <v>0</v>
      </c>
      <c r="R130" s="49">
        <v>0</v>
      </c>
      <c r="S130" s="73">
        <v>6</v>
      </c>
      <c r="T130" s="73">
        <v>2</v>
      </c>
      <c r="U130" s="74">
        <v>0</v>
      </c>
      <c r="V130" s="74">
        <v>36</v>
      </c>
      <c r="W130" s="74">
        <v>0</v>
      </c>
      <c r="X130" s="74">
        <v>0</v>
      </c>
      <c r="Y130" s="74">
        <v>0</v>
      </c>
      <c r="Z130" s="49">
        <v>0</v>
      </c>
      <c r="AA130" s="49"/>
      <c r="AB130" s="74">
        <v>1</v>
      </c>
      <c r="AC130" s="49"/>
      <c r="AD130" s="49"/>
      <c r="AE130" s="74">
        <v>2</v>
      </c>
      <c r="AF130" s="74">
        <v>2</v>
      </c>
      <c r="AG130" s="74">
        <v>1</v>
      </c>
      <c r="AH130" s="74">
        <v>1</v>
      </c>
      <c r="AI130" s="49">
        <v>0</v>
      </c>
      <c r="AJ130" s="49">
        <v>0</v>
      </c>
      <c r="AK130" s="74">
        <v>0</v>
      </c>
      <c r="AL130" s="74">
        <v>0</v>
      </c>
      <c r="AM130" s="49">
        <v>0</v>
      </c>
      <c r="AN130" s="49" t="s">
        <v>100</v>
      </c>
      <c r="AO130" s="74">
        <v>0</v>
      </c>
      <c r="AP130" s="49"/>
      <c r="AQ130" s="49">
        <v>1</v>
      </c>
      <c r="AR130" s="49">
        <v>0</v>
      </c>
      <c r="AS130" s="49">
        <v>0</v>
      </c>
      <c r="AT130" s="49">
        <v>0</v>
      </c>
      <c r="AU130" s="49" t="s">
        <v>100</v>
      </c>
      <c r="AV130" s="49" t="s">
        <v>100</v>
      </c>
      <c r="AW130" s="49" t="s">
        <v>100</v>
      </c>
      <c r="AX130" s="49">
        <v>0</v>
      </c>
      <c r="AY130" s="49">
        <v>0</v>
      </c>
      <c r="AZ130" s="49">
        <v>0</v>
      </c>
      <c r="BA130" s="49">
        <v>0</v>
      </c>
      <c r="BB130" s="49">
        <v>0</v>
      </c>
      <c r="BC130" s="74">
        <v>0</v>
      </c>
      <c r="BD130" s="74">
        <v>0</v>
      </c>
      <c r="BE130" s="49">
        <v>0</v>
      </c>
      <c r="BF130" s="74">
        <v>0</v>
      </c>
      <c r="BG130" s="74">
        <v>0</v>
      </c>
      <c r="BH130" s="49">
        <v>1</v>
      </c>
      <c r="BI130" s="49">
        <v>0</v>
      </c>
      <c r="BJ130" s="49">
        <v>0</v>
      </c>
      <c r="BK130" s="49">
        <v>1</v>
      </c>
      <c r="BL130" s="74">
        <v>1</v>
      </c>
      <c r="BM130" s="49">
        <v>3</v>
      </c>
      <c r="BN130" s="49" t="s">
        <v>2975</v>
      </c>
      <c r="BO130" s="49">
        <v>1</v>
      </c>
      <c r="BP130" s="49">
        <v>1</v>
      </c>
      <c r="BQ130" s="49">
        <v>1</v>
      </c>
      <c r="BR130" s="49">
        <v>0</v>
      </c>
      <c r="BS130" s="49">
        <v>0</v>
      </c>
      <c r="BT130" s="49">
        <v>1</v>
      </c>
      <c r="BU130" s="49">
        <v>0</v>
      </c>
      <c r="BV130" s="49">
        <v>1</v>
      </c>
      <c r="BW130" s="49">
        <v>1</v>
      </c>
      <c r="BX130" s="49">
        <v>1</v>
      </c>
      <c r="BY130" s="74">
        <v>2</v>
      </c>
      <c r="BZ130" s="74">
        <v>0</v>
      </c>
      <c r="CA130" s="49">
        <v>1</v>
      </c>
      <c r="CB130" s="49">
        <v>0</v>
      </c>
      <c r="CC130" s="49">
        <v>1</v>
      </c>
      <c r="CD130" s="74">
        <v>1</v>
      </c>
      <c r="CE130" s="74">
        <v>4</v>
      </c>
      <c r="CF130" s="74">
        <v>2</v>
      </c>
      <c r="CG130" s="49">
        <v>0</v>
      </c>
      <c r="CH130" s="74">
        <v>4</v>
      </c>
      <c r="CI130" s="74">
        <v>0</v>
      </c>
      <c r="CJ130" s="49" t="s">
        <v>100</v>
      </c>
      <c r="CK130" s="49">
        <v>0</v>
      </c>
      <c r="CL130" s="49"/>
      <c r="CM130" s="49"/>
      <c r="CN130" s="49">
        <v>0</v>
      </c>
      <c r="CO130" s="49">
        <v>0</v>
      </c>
      <c r="CP130" s="49">
        <v>0</v>
      </c>
      <c r="CQ130" s="49">
        <v>0</v>
      </c>
      <c r="CR130" s="74">
        <v>1</v>
      </c>
      <c r="CS130" s="49">
        <v>0</v>
      </c>
      <c r="CT130" s="49">
        <v>0</v>
      </c>
      <c r="CU130" s="49">
        <v>0</v>
      </c>
      <c r="CV130" s="49">
        <v>0</v>
      </c>
      <c r="CW130" s="49">
        <v>0</v>
      </c>
      <c r="CX130" s="49">
        <v>0</v>
      </c>
      <c r="CY130" s="49">
        <v>0</v>
      </c>
      <c r="CZ130" s="74">
        <v>0</v>
      </c>
      <c r="DA130" s="49">
        <v>1</v>
      </c>
      <c r="DB130" s="49">
        <v>0</v>
      </c>
      <c r="DC130" s="74">
        <v>0</v>
      </c>
      <c r="DD130" s="49"/>
      <c r="DE130" s="49"/>
      <c r="DF130" s="49"/>
      <c r="DG130" s="49"/>
      <c r="DH130" s="49"/>
      <c r="DI130" s="49"/>
      <c r="DJ130" s="74">
        <v>0</v>
      </c>
      <c r="DK130" s="49">
        <v>0</v>
      </c>
      <c r="DL130" s="49" t="s">
        <v>100</v>
      </c>
      <c r="DM130" s="74">
        <v>0</v>
      </c>
      <c r="DN130" s="49">
        <v>0</v>
      </c>
      <c r="DO130" s="49" t="s">
        <v>100</v>
      </c>
      <c r="DP130" s="74">
        <v>0</v>
      </c>
      <c r="DQ130" s="74">
        <v>0</v>
      </c>
      <c r="DR130" s="74">
        <v>1</v>
      </c>
      <c r="DS130" s="74">
        <v>2</v>
      </c>
      <c r="DT130" s="74">
        <v>1</v>
      </c>
      <c r="DU130" s="74">
        <v>0</v>
      </c>
      <c r="DV130" s="49" t="s">
        <v>100</v>
      </c>
      <c r="DW130" s="74">
        <v>0</v>
      </c>
      <c r="DX130" s="74">
        <v>0</v>
      </c>
      <c r="DY130" s="49">
        <v>2</v>
      </c>
      <c r="DZ130" s="49">
        <v>0</v>
      </c>
    </row>
    <row r="131" spans="1:130">
      <c r="A131" s="50">
        <v>129</v>
      </c>
      <c r="B131" s="50" t="s">
        <v>592</v>
      </c>
      <c r="C131" s="50" t="s">
        <v>593</v>
      </c>
      <c r="D131" s="72">
        <v>41257</v>
      </c>
      <c r="E131" s="49" t="s">
        <v>157</v>
      </c>
      <c r="F131" s="73">
        <v>14</v>
      </c>
      <c r="G131" s="74">
        <v>12</v>
      </c>
      <c r="H131" s="74">
        <v>2012</v>
      </c>
      <c r="I131" s="49" t="s">
        <v>594</v>
      </c>
      <c r="J131" s="49" t="s">
        <v>595</v>
      </c>
      <c r="K131" s="73">
        <v>7</v>
      </c>
      <c r="L131" s="73">
        <v>2</v>
      </c>
      <c r="M131" s="74">
        <v>1</v>
      </c>
      <c r="N131" s="74">
        <v>0</v>
      </c>
      <c r="O131" s="73">
        <v>1</v>
      </c>
      <c r="P131" s="74">
        <v>7</v>
      </c>
      <c r="Q131" s="49">
        <v>0</v>
      </c>
      <c r="R131" s="49">
        <v>0</v>
      </c>
      <c r="S131" s="74">
        <v>27</v>
      </c>
      <c r="T131" s="73">
        <v>1</v>
      </c>
      <c r="U131" s="74">
        <v>0</v>
      </c>
      <c r="V131" s="74">
        <v>20</v>
      </c>
      <c r="W131" s="74">
        <v>0</v>
      </c>
      <c r="X131" s="74">
        <v>0</v>
      </c>
      <c r="Y131" s="74">
        <v>0</v>
      </c>
      <c r="Z131" s="49"/>
      <c r="AA131" s="74">
        <v>1</v>
      </c>
      <c r="AB131" s="49">
        <v>2</v>
      </c>
      <c r="AC131" s="74">
        <v>1</v>
      </c>
      <c r="AD131" s="49" t="s">
        <v>3272</v>
      </c>
      <c r="AE131" s="74">
        <v>3</v>
      </c>
      <c r="AF131" s="74">
        <v>1</v>
      </c>
      <c r="AG131" s="74">
        <v>1</v>
      </c>
      <c r="AH131" s="74">
        <v>0</v>
      </c>
      <c r="AI131" s="49">
        <v>0</v>
      </c>
      <c r="AJ131" s="49">
        <v>0</v>
      </c>
      <c r="AK131" s="74">
        <v>0</v>
      </c>
      <c r="AL131" s="74">
        <v>0</v>
      </c>
      <c r="AM131" s="49">
        <v>0</v>
      </c>
      <c r="AN131" s="49" t="s">
        <v>100</v>
      </c>
      <c r="AO131" s="74">
        <v>0</v>
      </c>
      <c r="AP131" s="49"/>
      <c r="AQ131" s="74">
        <v>1</v>
      </c>
      <c r="AR131" s="49">
        <v>0</v>
      </c>
      <c r="AS131" s="74">
        <v>0</v>
      </c>
      <c r="AT131" s="49">
        <v>0</v>
      </c>
      <c r="AU131" s="49" t="s">
        <v>100</v>
      </c>
      <c r="AV131" s="49" t="s">
        <v>100</v>
      </c>
      <c r="AW131" s="49" t="s">
        <v>100</v>
      </c>
      <c r="AX131" s="49">
        <v>0</v>
      </c>
      <c r="AY131" s="49">
        <v>0</v>
      </c>
      <c r="AZ131" s="49">
        <v>0</v>
      </c>
      <c r="BA131" s="49">
        <v>0</v>
      </c>
      <c r="BB131" s="74">
        <v>1</v>
      </c>
      <c r="BC131" s="74">
        <v>0</v>
      </c>
      <c r="BD131" s="74">
        <v>1</v>
      </c>
      <c r="BE131" s="74">
        <v>0</v>
      </c>
      <c r="BF131" s="74">
        <v>0</v>
      </c>
      <c r="BG131" s="74">
        <v>3</v>
      </c>
      <c r="BH131" s="49">
        <v>2</v>
      </c>
      <c r="BI131" s="49">
        <v>0</v>
      </c>
      <c r="BJ131" s="49">
        <v>0</v>
      </c>
      <c r="BK131" s="49">
        <v>0</v>
      </c>
      <c r="BL131" s="74">
        <v>1</v>
      </c>
      <c r="BM131" s="49">
        <v>3</v>
      </c>
      <c r="BN131" s="49" t="s">
        <v>3013</v>
      </c>
      <c r="BO131" s="49">
        <v>1</v>
      </c>
      <c r="BP131" s="49">
        <v>1</v>
      </c>
      <c r="BQ131" s="49">
        <v>0</v>
      </c>
      <c r="BR131" s="49">
        <v>0</v>
      </c>
      <c r="BS131" s="49">
        <v>0</v>
      </c>
      <c r="BT131" s="49">
        <v>0</v>
      </c>
      <c r="BU131" s="49">
        <v>0</v>
      </c>
      <c r="BV131" s="49">
        <v>1</v>
      </c>
      <c r="BW131" s="49">
        <v>1</v>
      </c>
      <c r="BX131" s="49">
        <v>0</v>
      </c>
      <c r="BY131" s="74">
        <v>1</v>
      </c>
      <c r="BZ131" s="49">
        <v>0</v>
      </c>
      <c r="CA131" s="49">
        <v>0</v>
      </c>
      <c r="CB131" s="49" t="s">
        <v>100</v>
      </c>
      <c r="CC131" s="49">
        <v>0</v>
      </c>
      <c r="CD131" s="49" t="s">
        <v>100</v>
      </c>
      <c r="CE131" s="74">
        <v>3</v>
      </c>
      <c r="CF131" s="49">
        <v>0</v>
      </c>
      <c r="CG131" s="74">
        <v>1</v>
      </c>
      <c r="CH131" s="74">
        <v>0</v>
      </c>
      <c r="CI131" s="74">
        <v>1</v>
      </c>
      <c r="CJ131" s="49" t="s">
        <v>596</v>
      </c>
      <c r="CK131" s="49">
        <v>2</v>
      </c>
      <c r="CL131" s="49"/>
      <c r="CM131" s="49"/>
      <c r="CN131" s="49">
        <v>0</v>
      </c>
      <c r="CO131" s="49">
        <v>0</v>
      </c>
      <c r="CP131" s="49">
        <v>0</v>
      </c>
      <c r="CQ131" s="49">
        <v>0</v>
      </c>
      <c r="CR131" s="49">
        <v>0</v>
      </c>
      <c r="CS131" s="49">
        <v>0</v>
      </c>
      <c r="CT131" s="49">
        <v>0</v>
      </c>
      <c r="CU131" s="49">
        <v>0</v>
      </c>
      <c r="CV131" s="49">
        <v>0</v>
      </c>
      <c r="CW131" s="49">
        <v>0</v>
      </c>
      <c r="CX131" s="49">
        <v>0</v>
      </c>
      <c r="CY131" s="74">
        <v>1</v>
      </c>
      <c r="CZ131" s="74">
        <v>1</v>
      </c>
      <c r="DA131" s="49">
        <v>0</v>
      </c>
      <c r="DB131" s="74">
        <v>1</v>
      </c>
      <c r="DC131" s="49">
        <v>1</v>
      </c>
      <c r="DD131" s="49">
        <v>0</v>
      </c>
      <c r="DE131" s="49"/>
      <c r="DF131" s="49">
        <v>1</v>
      </c>
      <c r="DG131" s="49"/>
      <c r="DH131" s="49"/>
      <c r="DI131" s="49"/>
      <c r="DJ131" s="74">
        <v>1</v>
      </c>
      <c r="DK131" s="49">
        <v>0</v>
      </c>
      <c r="DL131" s="49" t="s">
        <v>100</v>
      </c>
      <c r="DM131" s="74">
        <v>0</v>
      </c>
      <c r="DN131" s="49">
        <v>0</v>
      </c>
      <c r="DO131" s="49" t="s">
        <v>100</v>
      </c>
      <c r="DP131" s="49">
        <v>1</v>
      </c>
      <c r="DQ131" s="74">
        <v>0</v>
      </c>
      <c r="DR131" s="49">
        <v>1</v>
      </c>
      <c r="DS131" s="74">
        <v>3</v>
      </c>
      <c r="DT131" s="74">
        <v>5</v>
      </c>
      <c r="DU131" s="74">
        <v>1</v>
      </c>
      <c r="DV131" s="49" t="s">
        <v>574</v>
      </c>
      <c r="DW131" s="74">
        <v>0</v>
      </c>
      <c r="DX131" s="74">
        <v>0</v>
      </c>
      <c r="DY131" s="49">
        <v>2</v>
      </c>
      <c r="DZ131" s="49">
        <v>0</v>
      </c>
    </row>
    <row r="132" spans="1:130">
      <c r="A132" s="50">
        <v>130</v>
      </c>
      <c r="B132" s="50" t="s">
        <v>597</v>
      </c>
      <c r="C132" s="50" t="s">
        <v>598</v>
      </c>
      <c r="D132" s="72">
        <v>41346</v>
      </c>
      <c r="E132" s="49" t="s">
        <v>123</v>
      </c>
      <c r="F132" s="73">
        <v>13</v>
      </c>
      <c r="G132" s="73">
        <v>3</v>
      </c>
      <c r="H132" s="49">
        <v>2013</v>
      </c>
      <c r="I132" s="49" t="s">
        <v>599</v>
      </c>
      <c r="J132" s="49" t="s">
        <v>600</v>
      </c>
      <c r="K132" s="74">
        <v>32</v>
      </c>
      <c r="L132" s="73">
        <v>2</v>
      </c>
      <c r="M132" s="73">
        <v>2</v>
      </c>
      <c r="N132" s="74">
        <v>4</v>
      </c>
      <c r="O132" s="73">
        <v>1</v>
      </c>
      <c r="P132" s="74">
        <v>4</v>
      </c>
      <c r="Q132" s="49">
        <v>0</v>
      </c>
      <c r="R132" s="49">
        <v>0</v>
      </c>
      <c r="S132" s="73">
        <v>4</v>
      </c>
      <c r="T132" s="73">
        <v>2</v>
      </c>
      <c r="U132" s="74">
        <v>0</v>
      </c>
      <c r="V132" s="49">
        <v>64</v>
      </c>
      <c r="W132" s="75">
        <v>0</v>
      </c>
      <c r="X132" s="75">
        <v>0</v>
      </c>
      <c r="Y132" s="49">
        <v>0</v>
      </c>
      <c r="Z132" s="74">
        <v>0</v>
      </c>
      <c r="AA132" s="75"/>
      <c r="AB132" s="75">
        <v>2</v>
      </c>
      <c r="AC132" s="49"/>
      <c r="AD132" s="49"/>
      <c r="AE132" s="75"/>
      <c r="AF132" s="74">
        <v>2</v>
      </c>
      <c r="AG132" s="75"/>
      <c r="AH132" s="75"/>
      <c r="AI132" s="74">
        <v>0</v>
      </c>
      <c r="AJ132" s="74">
        <v>0</v>
      </c>
      <c r="AK132" s="49">
        <v>0</v>
      </c>
      <c r="AL132" s="49">
        <v>0</v>
      </c>
      <c r="AM132" s="74">
        <v>0</v>
      </c>
      <c r="AN132" s="49" t="s">
        <v>100</v>
      </c>
      <c r="AO132" s="74">
        <v>0</v>
      </c>
      <c r="AP132" s="49"/>
      <c r="AQ132" s="74">
        <v>1</v>
      </c>
      <c r="AR132" s="49">
        <v>0</v>
      </c>
      <c r="AS132" s="49">
        <v>0</v>
      </c>
      <c r="AT132" s="49">
        <v>0</v>
      </c>
      <c r="AU132" s="49" t="s">
        <v>100</v>
      </c>
      <c r="AV132" s="49" t="s">
        <v>100</v>
      </c>
      <c r="AW132" s="49" t="s">
        <v>100</v>
      </c>
      <c r="AX132" s="49">
        <v>0</v>
      </c>
      <c r="AY132" s="74">
        <v>0</v>
      </c>
      <c r="AZ132" s="74">
        <v>0</v>
      </c>
      <c r="BA132" s="74">
        <v>0</v>
      </c>
      <c r="BB132" s="49">
        <v>0</v>
      </c>
      <c r="BC132" s="74">
        <v>0</v>
      </c>
      <c r="BD132" s="74">
        <v>0</v>
      </c>
      <c r="BE132" s="75"/>
      <c r="BF132" s="75"/>
      <c r="BG132" s="75"/>
      <c r="BH132" s="75"/>
      <c r="BI132" s="74">
        <v>0</v>
      </c>
      <c r="BJ132" s="74">
        <v>0</v>
      </c>
      <c r="BK132" s="74">
        <v>0</v>
      </c>
      <c r="BL132" s="74">
        <v>1</v>
      </c>
      <c r="BM132" s="74">
        <v>3</v>
      </c>
      <c r="BN132" s="49" t="s">
        <v>3087</v>
      </c>
      <c r="BO132" s="74">
        <v>1</v>
      </c>
      <c r="BP132" s="74">
        <v>0</v>
      </c>
      <c r="BQ132" s="74">
        <v>0</v>
      </c>
      <c r="BR132" s="74">
        <v>0</v>
      </c>
      <c r="BS132" s="74">
        <v>0</v>
      </c>
      <c r="BT132" s="74">
        <v>0</v>
      </c>
      <c r="BU132" s="74">
        <v>0</v>
      </c>
      <c r="BV132" s="74">
        <v>1</v>
      </c>
      <c r="BW132" s="74">
        <v>0</v>
      </c>
      <c r="BX132" s="74">
        <v>0</v>
      </c>
      <c r="BY132" s="74">
        <v>0</v>
      </c>
      <c r="BZ132" s="74">
        <v>0</v>
      </c>
      <c r="CA132" s="74">
        <v>0</v>
      </c>
      <c r="CB132" s="75" t="s">
        <v>100</v>
      </c>
      <c r="CC132" s="74">
        <v>0</v>
      </c>
      <c r="CD132" s="75" t="s">
        <v>100</v>
      </c>
      <c r="CE132" s="74">
        <v>0</v>
      </c>
      <c r="CF132" s="74">
        <v>0</v>
      </c>
      <c r="CG132" s="74">
        <v>0</v>
      </c>
      <c r="CH132" s="74">
        <v>5</v>
      </c>
      <c r="CI132" s="74">
        <v>0</v>
      </c>
      <c r="CJ132" s="49" t="s">
        <v>100</v>
      </c>
      <c r="CK132" s="74">
        <v>0</v>
      </c>
      <c r="CL132" s="75"/>
      <c r="CM132" s="75"/>
      <c r="CN132" s="74">
        <v>0</v>
      </c>
      <c r="CO132" s="74">
        <v>0</v>
      </c>
      <c r="CP132" s="74">
        <v>0</v>
      </c>
      <c r="CQ132" s="74">
        <v>0</v>
      </c>
      <c r="CR132" s="74">
        <v>0</v>
      </c>
      <c r="CS132" s="74">
        <v>1</v>
      </c>
      <c r="CT132" s="74">
        <v>0</v>
      </c>
      <c r="CU132" s="74">
        <v>0</v>
      </c>
      <c r="CV132" s="74">
        <v>0</v>
      </c>
      <c r="CW132" s="49">
        <v>0</v>
      </c>
      <c r="CX132" s="49">
        <v>0</v>
      </c>
      <c r="CY132" s="49">
        <v>0</v>
      </c>
      <c r="CZ132" s="74">
        <v>0</v>
      </c>
      <c r="DA132" s="49">
        <v>0</v>
      </c>
      <c r="DB132" s="49">
        <v>0</v>
      </c>
      <c r="DC132" s="74">
        <v>0</v>
      </c>
      <c r="DD132" s="75"/>
      <c r="DE132" s="75"/>
      <c r="DF132" s="75"/>
      <c r="DG132" s="75"/>
      <c r="DH132" s="75"/>
      <c r="DI132" s="75"/>
      <c r="DJ132" s="74">
        <v>0</v>
      </c>
      <c r="DK132" s="74">
        <v>0</v>
      </c>
      <c r="DL132" s="49" t="s">
        <v>100</v>
      </c>
      <c r="DM132" s="74">
        <v>0</v>
      </c>
      <c r="DN132" s="74">
        <v>0</v>
      </c>
      <c r="DO132" s="75" t="s">
        <v>100</v>
      </c>
      <c r="DP132" s="74">
        <v>0</v>
      </c>
      <c r="DQ132" s="74">
        <v>0</v>
      </c>
      <c r="DR132" s="49">
        <v>0</v>
      </c>
      <c r="DS132" s="49"/>
      <c r="DT132" s="74">
        <v>1</v>
      </c>
      <c r="DU132" s="74">
        <v>0</v>
      </c>
      <c r="DV132" s="49" t="s">
        <v>100</v>
      </c>
      <c r="DW132" s="74">
        <v>1</v>
      </c>
      <c r="DX132" s="74">
        <v>0</v>
      </c>
      <c r="DY132" s="49">
        <v>2</v>
      </c>
      <c r="DZ132" s="49">
        <v>0</v>
      </c>
    </row>
    <row r="133" spans="1:130">
      <c r="A133" s="50">
        <v>131</v>
      </c>
      <c r="B133" s="50" t="s">
        <v>601</v>
      </c>
      <c r="C133" s="50" t="s">
        <v>602</v>
      </c>
      <c r="D133" s="72">
        <v>41385</v>
      </c>
      <c r="E133" s="49" t="s">
        <v>137</v>
      </c>
      <c r="F133" s="73">
        <v>21</v>
      </c>
      <c r="G133" s="74">
        <v>4</v>
      </c>
      <c r="H133" s="74">
        <v>2013</v>
      </c>
      <c r="I133" s="49" t="s">
        <v>603</v>
      </c>
      <c r="J133" s="49" t="s">
        <v>3273</v>
      </c>
      <c r="K133" s="74">
        <v>47</v>
      </c>
      <c r="L133" s="73">
        <v>3</v>
      </c>
      <c r="M133" s="74">
        <v>0</v>
      </c>
      <c r="N133" s="74">
        <v>7</v>
      </c>
      <c r="O133" s="74">
        <v>0</v>
      </c>
      <c r="P133" s="73" t="s">
        <v>100</v>
      </c>
      <c r="Q133" s="49">
        <v>0</v>
      </c>
      <c r="R133" s="49">
        <v>0</v>
      </c>
      <c r="S133" s="74">
        <v>4</v>
      </c>
      <c r="T133" s="73">
        <v>0</v>
      </c>
      <c r="U133" s="74">
        <v>0</v>
      </c>
      <c r="V133" s="74">
        <v>27</v>
      </c>
      <c r="W133" s="74">
        <v>0</v>
      </c>
      <c r="X133" s="74">
        <v>1</v>
      </c>
      <c r="Y133" s="49">
        <v>0</v>
      </c>
      <c r="Z133" s="74">
        <v>0</v>
      </c>
      <c r="AA133" s="49"/>
      <c r="AB133" s="74">
        <v>2</v>
      </c>
      <c r="AC133" s="49"/>
      <c r="AD133" s="49"/>
      <c r="AE133" s="49"/>
      <c r="AF133" s="49"/>
      <c r="AG133" s="49"/>
      <c r="AH133" s="49"/>
      <c r="AI133" s="74">
        <v>1</v>
      </c>
      <c r="AJ133" s="49">
        <v>0</v>
      </c>
      <c r="AK133" s="49"/>
      <c r="AL133" s="49"/>
      <c r="AM133" s="49">
        <v>0</v>
      </c>
      <c r="AN133" s="49" t="s">
        <v>100</v>
      </c>
      <c r="AO133" s="49"/>
      <c r="AP133" s="49"/>
      <c r="AQ133" s="74">
        <v>1</v>
      </c>
      <c r="AR133" s="49">
        <v>0</v>
      </c>
      <c r="AS133" s="74">
        <v>1</v>
      </c>
      <c r="AT133" s="74">
        <v>1</v>
      </c>
      <c r="AU133" s="49">
        <v>1</v>
      </c>
      <c r="AV133" s="49">
        <v>3</v>
      </c>
      <c r="AW133" s="49">
        <v>2</v>
      </c>
      <c r="AX133" s="74">
        <v>1</v>
      </c>
      <c r="AY133" s="49">
        <v>0</v>
      </c>
      <c r="AZ133" s="49">
        <v>0</v>
      </c>
      <c r="BA133" s="49">
        <v>0</v>
      </c>
      <c r="BB133" s="49">
        <v>0</v>
      </c>
      <c r="BC133" s="49">
        <v>0</v>
      </c>
      <c r="BD133" s="49">
        <v>0</v>
      </c>
      <c r="BE133" s="49">
        <v>1</v>
      </c>
      <c r="BF133" s="49">
        <v>0</v>
      </c>
      <c r="BG133" s="49"/>
      <c r="BH133" s="49"/>
      <c r="BI133" s="49">
        <v>0</v>
      </c>
      <c r="BJ133" s="74">
        <v>0</v>
      </c>
      <c r="BK133" s="49"/>
      <c r="BL133" s="49">
        <v>1</v>
      </c>
      <c r="BM133" s="49">
        <v>3</v>
      </c>
      <c r="BN133" s="49" t="s">
        <v>3088</v>
      </c>
      <c r="BO133" s="49">
        <v>0</v>
      </c>
      <c r="BP133" s="49">
        <v>0</v>
      </c>
      <c r="BQ133" s="49">
        <v>0</v>
      </c>
      <c r="BR133" s="49">
        <v>0</v>
      </c>
      <c r="BS133" s="49">
        <v>1</v>
      </c>
      <c r="BT133" s="49">
        <v>0</v>
      </c>
      <c r="BU133" s="49">
        <v>1</v>
      </c>
      <c r="BV133" s="49">
        <v>0</v>
      </c>
      <c r="BW133" s="49">
        <v>0</v>
      </c>
      <c r="BX133" s="49">
        <v>0</v>
      </c>
      <c r="BY133" s="49">
        <v>0</v>
      </c>
      <c r="BZ133" s="49">
        <v>0</v>
      </c>
      <c r="CA133" s="49">
        <v>0</v>
      </c>
      <c r="CB133" s="49" t="s">
        <v>100</v>
      </c>
      <c r="CC133" s="49">
        <v>0</v>
      </c>
      <c r="CD133" s="49" t="s">
        <v>100</v>
      </c>
      <c r="CE133" s="49">
        <v>0</v>
      </c>
      <c r="CF133" s="49">
        <v>0</v>
      </c>
      <c r="CG133" s="49">
        <v>0</v>
      </c>
      <c r="CH133" s="49">
        <v>0</v>
      </c>
      <c r="CI133" s="49">
        <v>0</v>
      </c>
      <c r="CJ133" s="49" t="s">
        <v>100</v>
      </c>
      <c r="CK133" s="49">
        <v>0</v>
      </c>
      <c r="CL133" s="49"/>
      <c r="CM133" s="49"/>
      <c r="CN133" s="49">
        <v>0</v>
      </c>
      <c r="CO133" s="49">
        <v>0</v>
      </c>
      <c r="CP133" s="49">
        <v>0</v>
      </c>
      <c r="CQ133" s="49">
        <v>0</v>
      </c>
      <c r="CR133" s="49">
        <v>0</v>
      </c>
      <c r="CS133" s="49">
        <v>0</v>
      </c>
      <c r="CT133" s="49">
        <v>0</v>
      </c>
      <c r="CU133" s="49">
        <v>1</v>
      </c>
      <c r="CV133" s="49">
        <v>0</v>
      </c>
      <c r="CW133" s="49">
        <v>0</v>
      </c>
      <c r="CX133" s="49">
        <v>0</v>
      </c>
      <c r="CY133" s="49">
        <v>0</v>
      </c>
      <c r="CZ133" s="74">
        <v>1</v>
      </c>
      <c r="DA133" s="49">
        <v>0</v>
      </c>
      <c r="DB133" s="49">
        <v>0</v>
      </c>
      <c r="DC133" s="49">
        <v>0</v>
      </c>
      <c r="DD133" s="49"/>
      <c r="DE133" s="49"/>
      <c r="DF133" s="49"/>
      <c r="DG133" s="49"/>
      <c r="DH133" s="49"/>
      <c r="DI133" s="49"/>
      <c r="DJ133" s="49">
        <v>0</v>
      </c>
      <c r="DK133" s="49">
        <v>0</v>
      </c>
      <c r="DL133" s="49" t="s">
        <v>100</v>
      </c>
      <c r="DM133" s="74">
        <v>0</v>
      </c>
      <c r="DN133" s="49">
        <v>0</v>
      </c>
      <c r="DO133" s="49" t="s">
        <v>100</v>
      </c>
      <c r="DP133" s="49">
        <v>0</v>
      </c>
      <c r="DQ133" s="74">
        <v>0</v>
      </c>
      <c r="DR133" s="49">
        <v>0</v>
      </c>
      <c r="DS133" s="74">
        <v>1</v>
      </c>
      <c r="DT133" s="74">
        <v>2</v>
      </c>
      <c r="DU133" s="74">
        <v>0</v>
      </c>
      <c r="DV133" s="49" t="s">
        <v>100</v>
      </c>
      <c r="DW133" s="74">
        <v>1</v>
      </c>
      <c r="DX133" s="74">
        <v>1</v>
      </c>
      <c r="DY133" s="49">
        <v>2</v>
      </c>
      <c r="DZ133" s="49">
        <v>0</v>
      </c>
    </row>
    <row r="134" spans="1:130">
      <c r="A134" s="50">
        <v>132</v>
      </c>
      <c r="B134" s="50" t="s">
        <v>604</v>
      </c>
      <c r="C134" s="50" t="s">
        <v>190</v>
      </c>
      <c r="D134" s="72">
        <v>41432</v>
      </c>
      <c r="E134" s="49" t="s">
        <v>157</v>
      </c>
      <c r="F134" s="73">
        <v>7</v>
      </c>
      <c r="G134" s="73">
        <v>6</v>
      </c>
      <c r="H134" s="49">
        <v>2013</v>
      </c>
      <c r="I134" s="49" t="s">
        <v>605</v>
      </c>
      <c r="J134" s="49" t="s">
        <v>606</v>
      </c>
      <c r="K134" s="74">
        <v>5</v>
      </c>
      <c r="L134" s="74">
        <v>3</v>
      </c>
      <c r="M134" s="73">
        <v>0</v>
      </c>
      <c r="N134" s="74">
        <v>1</v>
      </c>
      <c r="O134" s="74">
        <v>1</v>
      </c>
      <c r="P134" s="74">
        <v>7</v>
      </c>
      <c r="Q134" s="49">
        <v>0</v>
      </c>
      <c r="R134" s="49">
        <v>0</v>
      </c>
      <c r="S134" s="74">
        <v>5</v>
      </c>
      <c r="T134" s="74">
        <v>3</v>
      </c>
      <c r="U134" s="74">
        <v>1</v>
      </c>
      <c r="V134" s="49">
        <v>23</v>
      </c>
      <c r="W134" s="49">
        <v>0</v>
      </c>
      <c r="X134" s="74">
        <v>4</v>
      </c>
      <c r="Y134" s="74">
        <v>1</v>
      </c>
      <c r="Z134" s="49">
        <v>0</v>
      </c>
      <c r="AA134" s="49"/>
      <c r="AB134" s="49">
        <v>2</v>
      </c>
      <c r="AC134" s="74">
        <v>0</v>
      </c>
      <c r="AD134" s="49" t="s">
        <v>3274</v>
      </c>
      <c r="AE134" s="74">
        <v>3</v>
      </c>
      <c r="AF134" s="74">
        <v>1</v>
      </c>
      <c r="AG134" s="74">
        <v>1</v>
      </c>
      <c r="AH134" s="74">
        <v>0</v>
      </c>
      <c r="AI134" s="49">
        <v>0</v>
      </c>
      <c r="AJ134" s="49">
        <v>0</v>
      </c>
      <c r="AK134" s="49">
        <v>0</v>
      </c>
      <c r="AL134" s="49"/>
      <c r="AM134" s="49">
        <v>0</v>
      </c>
      <c r="AN134" s="49" t="s">
        <v>100</v>
      </c>
      <c r="AO134" s="74">
        <v>0</v>
      </c>
      <c r="AP134" s="49"/>
      <c r="AQ134" s="74">
        <v>1</v>
      </c>
      <c r="AR134" s="49">
        <v>0</v>
      </c>
      <c r="AS134" s="74">
        <v>1</v>
      </c>
      <c r="AT134" s="74">
        <v>2</v>
      </c>
      <c r="AU134" s="49">
        <v>1</v>
      </c>
      <c r="AV134" s="49">
        <v>4</v>
      </c>
      <c r="AW134" s="49"/>
      <c r="AX134" s="49">
        <v>0</v>
      </c>
      <c r="AY134" s="49">
        <v>0</v>
      </c>
      <c r="AZ134" s="74">
        <v>0</v>
      </c>
      <c r="BA134" s="49">
        <v>0</v>
      </c>
      <c r="BB134" s="74">
        <v>2</v>
      </c>
      <c r="BC134" s="49">
        <v>0</v>
      </c>
      <c r="BD134" s="49">
        <v>0</v>
      </c>
      <c r="BE134" s="74">
        <v>0</v>
      </c>
      <c r="BF134" s="74">
        <v>0</v>
      </c>
      <c r="BG134" s="74">
        <v>1</v>
      </c>
      <c r="BH134" s="49">
        <v>2</v>
      </c>
      <c r="BI134" s="49">
        <v>0</v>
      </c>
      <c r="BJ134" s="49">
        <v>0</v>
      </c>
      <c r="BK134" s="49">
        <v>0</v>
      </c>
      <c r="BL134" s="74">
        <v>1</v>
      </c>
      <c r="BM134" s="49">
        <v>3</v>
      </c>
      <c r="BN134" s="49" t="s">
        <v>3089</v>
      </c>
      <c r="BO134" s="49">
        <v>1</v>
      </c>
      <c r="BP134" s="49">
        <v>0</v>
      </c>
      <c r="BQ134" s="49">
        <v>0</v>
      </c>
      <c r="BR134" s="49">
        <v>0</v>
      </c>
      <c r="BS134" s="49">
        <v>1</v>
      </c>
      <c r="BT134" s="49">
        <v>1</v>
      </c>
      <c r="BU134" s="49">
        <v>1</v>
      </c>
      <c r="BV134" s="49">
        <v>1</v>
      </c>
      <c r="BW134" s="49">
        <v>0</v>
      </c>
      <c r="BX134" s="49">
        <v>0</v>
      </c>
      <c r="BY134" s="74">
        <v>2</v>
      </c>
      <c r="BZ134" s="74">
        <v>1</v>
      </c>
      <c r="CA134" s="49">
        <v>0</v>
      </c>
      <c r="CB134" s="49" t="s">
        <v>100</v>
      </c>
      <c r="CC134" s="49">
        <v>0</v>
      </c>
      <c r="CD134" s="74">
        <v>0</v>
      </c>
      <c r="CE134" s="74">
        <v>5</v>
      </c>
      <c r="CF134" s="74">
        <v>1</v>
      </c>
      <c r="CG134" s="49">
        <v>0</v>
      </c>
      <c r="CH134" s="49">
        <v>0</v>
      </c>
      <c r="CI134" s="49">
        <v>0</v>
      </c>
      <c r="CJ134" s="49" t="s">
        <v>100</v>
      </c>
      <c r="CK134" s="49">
        <v>0</v>
      </c>
      <c r="CL134" s="49"/>
      <c r="CM134" s="49"/>
      <c r="CN134" s="49">
        <v>0</v>
      </c>
      <c r="CO134" s="49">
        <v>0</v>
      </c>
      <c r="CP134" s="49">
        <v>0</v>
      </c>
      <c r="CQ134" s="49">
        <v>0</v>
      </c>
      <c r="CR134" s="49">
        <v>0</v>
      </c>
      <c r="CS134" s="49">
        <v>0</v>
      </c>
      <c r="CT134" s="49">
        <v>0</v>
      </c>
      <c r="CU134" s="49">
        <v>0</v>
      </c>
      <c r="CV134" s="49">
        <v>0</v>
      </c>
      <c r="CW134" s="49">
        <v>0</v>
      </c>
      <c r="CX134" s="49">
        <v>0</v>
      </c>
      <c r="CY134" s="49">
        <v>1</v>
      </c>
      <c r="CZ134" s="74">
        <v>0</v>
      </c>
      <c r="DA134" s="49">
        <v>0</v>
      </c>
      <c r="DB134" s="49">
        <v>0</v>
      </c>
      <c r="DC134" s="74">
        <v>0</v>
      </c>
      <c r="DD134" s="49"/>
      <c r="DE134" s="49"/>
      <c r="DF134" s="49"/>
      <c r="DG134" s="49"/>
      <c r="DH134" s="49"/>
      <c r="DI134" s="49"/>
      <c r="DJ134" s="49">
        <v>0</v>
      </c>
      <c r="DK134" s="49">
        <v>0</v>
      </c>
      <c r="DL134" s="49" t="s">
        <v>100</v>
      </c>
      <c r="DM134" s="74">
        <v>1</v>
      </c>
      <c r="DN134" s="49">
        <v>0</v>
      </c>
      <c r="DO134" s="49" t="s">
        <v>100</v>
      </c>
      <c r="DP134" s="74">
        <v>0</v>
      </c>
      <c r="DQ134" s="74">
        <v>0</v>
      </c>
      <c r="DR134" s="74">
        <v>1</v>
      </c>
      <c r="DS134" s="74">
        <v>1</v>
      </c>
      <c r="DT134" s="49">
        <v>2</v>
      </c>
      <c r="DU134" s="49">
        <v>1</v>
      </c>
      <c r="DV134" s="49" t="s">
        <v>607</v>
      </c>
      <c r="DW134" s="49">
        <v>1</v>
      </c>
      <c r="DX134" s="74">
        <v>0</v>
      </c>
      <c r="DY134" s="49">
        <v>2</v>
      </c>
      <c r="DZ134" s="49">
        <v>0</v>
      </c>
    </row>
    <row r="135" spans="1:130">
      <c r="A135" s="50">
        <v>133</v>
      </c>
      <c r="B135" s="50" t="s">
        <v>608</v>
      </c>
      <c r="C135" s="50" t="s">
        <v>609</v>
      </c>
      <c r="D135" s="72">
        <v>41481</v>
      </c>
      <c r="E135" s="49" t="s">
        <v>157</v>
      </c>
      <c r="F135" s="73">
        <v>26</v>
      </c>
      <c r="G135" s="74">
        <v>7</v>
      </c>
      <c r="H135" s="74">
        <v>2013</v>
      </c>
      <c r="I135" s="49" t="s">
        <v>610</v>
      </c>
      <c r="J135" s="49" t="s">
        <v>550</v>
      </c>
      <c r="K135" s="74">
        <v>9</v>
      </c>
      <c r="L135" s="74">
        <v>0</v>
      </c>
      <c r="M135" s="74">
        <v>0</v>
      </c>
      <c r="N135" s="74">
        <v>7</v>
      </c>
      <c r="O135" s="73">
        <v>0</v>
      </c>
      <c r="P135" s="73" t="s">
        <v>100</v>
      </c>
      <c r="Q135" s="49">
        <v>0</v>
      </c>
      <c r="R135" s="49">
        <v>0</v>
      </c>
      <c r="S135" s="74">
        <v>6</v>
      </c>
      <c r="T135" s="74">
        <v>0</v>
      </c>
      <c r="U135" s="74">
        <v>1</v>
      </c>
      <c r="V135" s="74">
        <v>42</v>
      </c>
      <c r="W135" s="74">
        <v>0</v>
      </c>
      <c r="X135" s="74">
        <v>2</v>
      </c>
      <c r="Y135" s="74">
        <v>1</v>
      </c>
      <c r="Z135" s="74">
        <v>0</v>
      </c>
      <c r="AA135" s="49"/>
      <c r="AB135" s="74">
        <v>3</v>
      </c>
      <c r="AC135" s="74">
        <v>2</v>
      </c>
      <c r="AD135" s="49" t="s">
        <v>3275</v>
      </c>
      <c r="AE135" s="74">
        <v>0</v>
      </c>
      <c r="AF135" s="74">
        <v>0</v>
      </c>
      <c r="AG135" s="74">
        <v>0</v>
      </c>
      <c r="AH135" s="74">
        <v>0</v>
      </c>
      <c r="AI135" s="74">
        <v>1</v>
      </c>
      <c r="AJ135" s="49">
        <v>0</v>
      </c>
      <c r="AK135" s="74">
        <v>0</v>
      </c>
      <c r="AL135" s="74">
        <v>2</v>
      </c>
      <c r="AM135" s="49">
        <v>0</v>
      </c>
      <c r="AN135" s="49" t="s">
        <v>100</v>
      </c>
      <c r="AO135" s="74">
        <v>0</v>
      </c>
      <c r="AP135" s="49"/>
      <c r="AQ135" s="74">
        <v>0</v>
      </c>
      <c r="AR135" s="49">
        <v>0</v>
      </c>
      <c r="AS135" s="74">
        <v>1</v>
      </c>
      <c r="AT135" s="74">
        <v>2</v>
      </c>
      <c r="AU135" s="49">
        <v>3</v>
      </c>
      <c r="AV135" s="49"/>
      <c r="AW135" s="49"/>
      <c r="AX135" s="49">
        <v>0</v>
      </c>
      <c r="AY135" s="49">
        <v>0</v>
      </c>
      <c r="AZ135" s="49">
        <v>0</v>
      </c>
      <c r="BA135" s="49">
        <v>0</v>
      </c>
      <c r="BB135" s="49">
        <v>0</v>
      </c>
      <c r="BC135" s="74">
        <v>1</v>
      </c>
      <c r="BD135" s="49">
        <v>0</v>
      </c>
      <c r="BE135" s="74">
        <v>0</v>
      </c>
      <c r="BF135" s="74">
        <v>0</v>
      </c>
      <c r="BG135" s="49"/>
      <c r="BH135" s="49">
        <v>1</v>
      </c>
      <c r="BI135" s="49">
        <v>0</v>
      </c>
      <c r="BJ135" s="49">
        <v>0</v>
      </c>
      <c r="BK135" s="74">
        <v>1</v>
      </c>
      <c r="BL135" s="74">
        <v>1</v>
      </c>
      <c r="BM135" s="49">
        <v>0</v>
      </c>
      <c r="BN135" s="49" t="s">
        <v>2974</v>
      </c>
      <c r="BO135" s="49">
        <v>1</v>
      </c>
      <c r="BP135" s="49">
        <v>0</v>
      </c>
      <c r="BQ135" s="49">
        <v>0</v>
      </c>
      <c r="BR135" s="49">
        <v>0</v>
      </c>
      <c r="BS135" s="49">
        <v>0</v>
      </c>
      <c r="BT135" s="49">
        <v>1</v>
      </c>
      <c r="BU135" s="49">
        <v>1</v>
      </c>
      <c r="BV135" s="74">
        <v>1</v>
      </c>
      <c r="BW135" s="49">
        <v>1</v>
      </c>
      <c r="BX135" s="49">
        <v>1</v>
      </c>
      <c r="BY135" s="49">
        <v>0</v>
      </c>
      <c r="BZ135" s="49">
        <v>0</v>
      </c>
      <c r="CA135" s="49">
        <v>0</v>
      </c>
      <c r="CB135" s="49" t="s">
        <v>100</v>
      </c>
      <c r="CC135" s="49">
        <v>0</v>
      </c>
      <c r="CD135" s="49" t="s">
        <v>100</v>
      </c>
      <c r="CE135" s="74">
        <v>5</v>
      </c>
      <c r="CF135" s="49">
        <v>0</v>
      </c>
      <c r="CG135" s="49">
        <v>0</v>
      </c>
      <c r="CH135" s="49">
        <v>3</v>
      </c>
      <c r="CI135" s="49">
        <v>0</v>
      </c>
      <c r="CJ135" s="49" t="s">
        <v>100</v>
      </c>
      <c r="CK135" s="49">
        <v>0</v>
      </c>
      <c r="CL135" s="49"/>
      <c r="CM135" s="49"/>
      <c r="CN135" s="49">
        <v>0</v>
      </c>
      <c r="CO135" s="49">
        <v>0</v>
      </c>
      <c r="CP135" s="49">
        <v>0</v>
      </c>
      <c r="CQ135" s="49">
        <v>0</v>
      </c>
      <c r="CR135" s="49">
        <v>0</v>
      </c>
      <c r="CS135" s="49">
        <v>0</v>
      </c>
      <c r="CT135" s="74">
        <v>1</v>
      </c>
      <c r="CU135" s="49">
        <v>0</v>
      </c>
      <c r="CV135" s="49">
        <v>0</v>
      </c>
      <c r="CW135" s="49">
        <v>0</v>
      </c>
      <c r="CX135" s="49">
        <v>1</v>
      </c>
      <c r="CY135" s="49">
        <v>0</v>
      </c>
      <c r="CZ135" s="74">
        <v>0</v>
      </c>
      <c r="DA135" s="49">
        <v>3</v>
      </c>
      <c r="DB135" s="49">
        <v>0</v>
      </c>
      <c r="DC135" s="74">
        <v>0</v>
      </c>
      <c r="DD135" s="49"/>
      <c r="DE135" s="49"/>
      <c r="DF135" s="49"/>
      <c r="DG135" s="49"/>
      <c r="DH135" s="49"/>
      <c r="DI135" s="49"/>
      <c r="DJ135" s="49">
        <v>0</v>
      </c>
      <c r="DK135" s="49">
        <v>0</v>
      </c>
      <c r="DL135" s="49" t="s">
        <v>100</v>
      </c>
      <c r="DM135" s="74">
        <v>0</v>
      </c>
      <c r="DN135" s="49">
        <v>0</v>
      </c>
      <c r="DO135" s="49" t="s">
        <v>100</v>
      </c>
      <c r="DP135" s="74">
        <v>0</v>
      </c>
      <c r="DQ135" s="74">
        <v>0</v>
      </c>
      <c r="DR135" s="49">
        <v>0</v>
      </c>
      <c r="DS135" s="74">
        <v>2</v>
      </c>
      <c r="DT135" s="74">
        <v>1</v>
      </c>
      <c r="DU135" s="74">
        <v>1</v>
      </c>
      <c r="DV135" s="49" t="s">
        <v>611</v>
      </c>
      <c r="DW135" s="74">
        <v>1</v>
      </c>
      <c r="DX135" s="74">
        <v>0</v>
      </c>
      <c r="DY135" s="49">
        <v>2</v>
      </c>
      <c r="DZ135" s="49">
        <v>0</v>
      </c>
    </row>
    <row r="136" spans="1:130">
      <c r="A136" s="50">
        <v>134</v>
      </c>
      <c r="B136" s="50" t="s">
        <v>612</v>
      </c>
      <c r="C136" s="50" t="s">
        <v>613</v>
      </c>
      <c r="D136" s="72">
        <v>41533</v>
      </c>
      <c r="E136" s="49" t="s">
        <v>95</v>
      </c>
      <c r="F136" s="73">
        <v>16</v>
      </c>
      <c r="G136" s="74">
        <v>9</v>
      </c>
      <c r="H136" s="74">
        <v>2013</v>
      </c>
      <c r="I136" s="49" t="s">
        <v>614</v>
      </c>
      <c r="J136" s="49" t="s">
        <v>3276</v>
      </c>
      <c r="K136" s="73">
        <v>51</v>
      </c>
      <c r="L136" s="73">
        <v>0</v>
      </c>
      <c r="M136" s="73">
        <v>0</v>
      </c>
      <c r="N136" s="74">
        <v>6</v>
      </c>
      <c r="O136" s="74">
        <v>0</v>
      </c>
      <c r="P136" s="73" t="s">
        <v>100</v>
      </c>
      <c r="Q136" s="49">
        <v>1</v>
      </c>
      <c r="R136" s="49">
        <v>1</v>
      </c>
      <c r="S136" s="74">
        <v>12</v>
      </c>
      <c r="T136" s="73">
        <v>8</v>
      </c>
      <c r="U136" s="74">
        <v>0</v>
      </c>
      <c r="V136" s="74">
        <v>34</v>
      </c>
      <c r="W136" s="49">
        <v>0</v>
      </c>
      <c r="X136" s="74">
        <v>1</v>
      </c>
      <c r="Y136" s="74">
        <v>0</v>
      </c>
      <c r="Z136" s="74">
        <v>0</v>
      </c>
      <c r="AA136" s="74">
        <v>3</v>
      </c>
      <c r="AB136" s="49">
        <v>2</v>
      </c>
      <c r="AC136" s="74">
        <v>2</v>
      </c>
      <c r="AD136" s="49" t="s">
        <v>3384</v>
      </c>
      <c r="AE136" s="74">
        <v>1</v>
      </c>
      <c r="AF136" s="74">
        <v>2</v>
      </c>
      <c r="AG136" s="74">
        <v>0</v>
      </c>
      <c r="AH136" s="74">
        <v>2</v>
      </c>
      <c r="AI136" s="74">
        <v>0</v>
      </c>
      <c r="AJ136" s="49">
        <v>0</v>
      </c>
      <c r="AK136" s="74">
        <v>1</v>
      </c>
      <c r="AL136" s="74">
        <v>2</v>
      </c>
      <c r="AM136" s="74">
        <v>1</v>
      </c>
      <c r="AN136" s="74">
        <v>1</v>
      </c>
      <c r="AO136" s="74">
        <v>2</v>
      </c>
      <c r="AP136" s="49" t="s">
        <v>3277</v>
      </c>
      <c r="AQ136" s="74">
        <v>1</v>
      </c>
      <c r="AR136" s="49">
        <v>0</v>
      </c>
      <c r="AS136" s="49">
        <v>1</v>
      </c>
      <c r="AT136" s="49">
        <v>0</v>
      </c>
      <c r="AU136" s="49" t="s">
        <v>100</v>
      </c>
      <c r="AV136" s="49" t="s">
        <v>100</v>
      </c>
      <c r="AW136" s="49" t="s">
        <v>100</v>
      </c>
      <c r="AX136" s="49">
        <v>0</v>
      </c>
      <c r="AY136" s="49">
        <v>0</v>
      </c>
      <c r="AZ136" s="74">
        <v>0</v>
      </c>
      <c r="BA136" s="49">
        <v>0</v>
      </c>
      <c r="BB136" s="74">
        <v>1</v>
      </c>
      <c r="BC136" s="49">
        <v>0</v>
      </c>
      <c r="BD136" s="74">
        <v>0</v>
      </c>
      <c r="BE136" s="49">
        <v>0</v>
      </c>
      <c r="BF136" s="74">
        <v>0</v>
      </c>
      <c r="BG136" s="49"/>
      <c r="BH136" s="49"/>
      <c r="BI136" s="49">
        <v>1</v>
      </c>
      <c r="BJ136" s="74">
        <v>0</v>
      </c>
      <c r="BK136" s="74">
        <v>1</v>
      </c>
      <c r="BL136" s="49">
        <v>1</v>
      </c>
      <c r="BM136" s="49">
        <v>2</v>
      </c>
      <c r="BN136" s="49" t="s">
        <v>2973</v>
      </c>
      <c r="BO136" s="49">
        <v>1</v>
      </c>
      <c r="BP136" s="49">
        <v>0</v>
      </c>
      <c r="BQ136" s="49">
        <v>1</v>
      </c>
      <c r="BR136" s="49">
        <v>0</v>
      </c>
      <c r="BS136" s="49">
        <v>0</v>
      </c>
      <c r="BT136" s="49">
        <v>1</v>
      </c>
      <c r="BU136" s="49">
        <v>1</v>
      </c>
      <c r="BV136" s="49">
        <v>1</v>
      </c>
      <c r="BW136" s="49">
        <v>1</v>
      </c>
      <c r="BX136" s="49">
        <v>1</v>
      </c>
      <c r="BY136" s="74">
        <v>2</v>
      </c>
      <c r="BZ136" s="74">
        <v>0</v>
      </c>
      <c r="CA136" s="74">
        <v>1</v>
      </c>
      <c r="CB136" s="74">
        <v>0</v>
      </c>
      <c r="CC136" s="74">
        <v>1</v>
      </c>
      <c r="CD136" s="74">
        <v>1</v>
      </c>
      <c r="CE136" s="74">
        <v>2</v>
      </c>
      <c r="CF136" s="74">
        <v>0</v>
      </c>
      <c r="CG136" s="49">
        <v>0</v>
      </c>
      <c r="CH136" s="74">
        <v>5</v>
      </c>
      <c r="CI136" s="49">
        <v>0</v>
      </c>
      <c r="CJ136" s="49" t="s">
        <v>100</v>
      </c>
      <c r="CK136" s="49">
        <v>0</v>
      </c>
      <c r="CL136" s="49"/>
      <c r="CM136" s="49"/>
      <c r="CN136" s="49">
        <v>0</v>
      </c>
      <c r="CO136" s="49">
        <v>0</v>
      </c>
      <c r="CP136" s="49">
        <v>0</v>
      </c>
      <c r="CQ136" s="49">
        <v>0</v>
      </c>
      <c r="CR136" s="49">
        <v>0</v>
      </c>
      <c r="CS136" s="49">
        <v>0</v>
      </c>
      <c r="CT136" s="49">
        <v>0</v>
      </c>
      <c r="CU136" s="49">
        <v>0</v>
      </c>
      <c r="CV136" s="49">
        <v>0</v>
      </c>
      <c r="CW136" s="49">
        <v>0</v>
      </c>
      <c r="CX136" s="49">
        <v>1</v>
      </c>
      <c r="CY136" s="49">
        <v>0</v>
      </c>
      <c r="CZ136" s="74">
        <v>0</v>
      </c>
      <c r="DA136" s="74">
        <v>3</v>
      </c>
      <c r="DB136" s="74">
        <v>1</v>
      </c>
      <c r="DC136" s="74">
        <v>0</v>
      </c>
      <c r="DD136" s="49"/>
      <c r="DE136" s="49"/>
      <c r="DF136" s="49"/>
      <c r="DG136" s="49"/>
      <c r="DH136" s="49"/>
      <c r="DI136" s="49"/>
      <c r="DJ136" s="49">
        <v>0</v>
      </c>
      <c r="DK136" s="49">
        <v>0</v>
      </c>
      <c r="DL136" s="49" t="s">
        <v>100</v>
      </c>
      <c r="DM136" s="49">
        <v>0</v>
      </c>
      <c r="DN136" s="49">
        <v>0</v>
      </c>
      <c r="DO136" s="49" t="s">
        <v>100</v>
      </c>
      <c r="DP136" s="49">
        <v>0</v>
      </c>
      <c r="DQ136" s="74">
        <v>0</v>
      </c>
      <c r="DR136" s="74">
        <v>1</v>
      </c>
      <c r="DS136" s="74">
        <v>3</v>
      </c>
      <c r="DT136" s="74">
        <v>1</v>
      </c>
      <c r="DU136" s="74">
        <v>0</v>
      </c>
      <c r="DV136" s="49" t="s">
        <v>100</v>
      </c>
      <c r="DW136" s="49">
        <v>1</v>
      </c>
      <c r="DX136" s="74">
        <v>0</v>
      </c>
      <c r="DY136" s="49">
        <v>2</v>
      </c>
      <c r="DZ136" s="49">
        <v>0</v>
      </c>
    </row>
    <row r="137" spans="1:130">
      <c r="A137" s="50">
        <v>135</v>
      </c>
      <c r="B137" s="76" t="s">
        <v>615</v>
      </c>
      <c r="C137" s="76" t="s">
        <v>616</v>
      </c>
      <c r="D137" s="72">
        <v>41690</v>
      </c>
      <c r="E137" s="75" t="s">
        <v>178</v>
      </c>
      <c r="F137" s="73">
        <v>20</v>
      </c>
      <c r="G137" s="74">
        <v>2</v>
      </c>
      <c r="H137" s="74">
        <v>2014</v>
      </c>
      <c r="I137" s="75" t="s">
        <v>617</v>
      </c>
      <c r="J137" s="75" t="s">
        <v>618</v>
      </c>
      <c r="K137" s="74">
        <v>5</v>
      </c>
      <c r="L137" s="73">
        <v>3</v>
      </c>
      <c r="M137" s="74">
        <v>2</v>
      </c>
      <c r="N137" s="73">
        <v>2</v>
      </c>
      <c r="O137" s="74">
        <v>0</v>
      </c>
      <c r="P137" s="73" t="s">
        <v>100</v>
      </c>
      <c r="Q137" s="49">
        <v>0</v>
      </c>
      <c r="R137" s="49">
        <v>0</v>
      </c>
      <c r="S137" s="74">
        <v>4</v>
      </c>
      <c r="T137" s="73">
        <v>2</v>
      </c>
      <c r="U137" s="74">
        <v>0</v>
      </c>
      <c r="V137" s="74">
        <v>44</v>
      </c>
      <c r="W137" s="74">
        <v>1</v>
      </c>
      <c r="X137" s="74">
        <v>5</v>
      </c>
      <c r="Y137" s="74">
        <v>0</v>
      </c>
      <c r="Z137" s="75">
        <v>0</v>
      </c>
      <c r="AA137" s="75"/>
      <c r="AB137" s="75"/>
      <c r="AC137" s="49"/>
      <c r="AD137" s="49"/>
      <c r="AE137" s="75"/>
      <c r="AF137" s="74">
        <v>2</v>
      </c>
      <c r="AG137" s="75"/>
      <c r="AH137" s="75"/>
      <c r="AI137" s="74">
        <v>0</v>
      </c>
      <c r="AJ137" s="74">
        <v>1</v>
      </c>
      <c r="AK137" s="74">
        <v>1</v>
      </c>
      <c r="AL137" s="74">
        <v>0</v>
      </c>
      <c r="AM137" s="74">
        <v>0</v>
      </c>
      <c r="AN137" s="49" t="s">
        <v>100</v>
      </c>
      <c r="AO137" s="74">
        <v>2</v>
      </c>
      <c r="AP137" s="49" t="s">
        <v>3278</v>
      </c>
      <c r="AQ137" s="74">
        <v>1</v>
      </c>
      <c r="AR137" s="74">
        <v>0</v>
      </c>
      <c r="AS137" s="74">
        <v>0</v>
      </c>
      <c r="AT137" s="49">
        <v>0</v>
      </c>
      <c r="AU137" s="49" t="s">
        <v>100</v>
      </c>
      <c r="AV137" s="49" t="s">
        <v>100</v>
      </c>
      <c r="AW137" s="49" t="s">
        <v>100</v>
      </c>
      <c r="AX137" s="49">
        <v>0</v>
      </c>
      <c r="AY137" s="74">
        <v>0</v>
      </c>
      <c r="AZ137" s="74">
        <v>0</v>
      </c>
      <c r="BA137" s="74">
        <v>0</v>
      </c>
      <c r="BB137" s="49">
        <v>0</v>
      </c>
      <c r="BC137" s="74">
        <v>1</v>
      </c>
      <c r="BD137" s="74">
        <v>0</v>
      </c>
      <c r="BE137" s="74">
        <v>0</v>
      </c>
      <c r="BF137" s="74">
        <v>0</v>
      </c>
      <c r="BG137" s="75"/>
      <c r="BH137" s="74">
        <v>0</v>
      </c>
      <c r="BI137" s="49">
        <v>0</v>
      </c>
      <c r="BJ137" s="74">
        <v>0</v>
      </c>
      <c r="BK137" s="74">
        <v>1</v>
      </c>
      <c r="BL137" s="74">
        <v>1</v>
      </c>
      <c r="BM137" s="74">
        <v>2</v>
      </c>
      <c r="BN137" s="49" t="s">
        <v>3090</v>
      </c>
      <c r="BO137" s="74">
        <v>1</v>
      </c>
      <c r="BP137" s="74">
        <v>0</v>
      </c>
      <c r="BQ137" s="74">
        <v>0</v>
      </c>
      <c r="BR137" s="74">
        <v>0</v>
      </c>
      <c r="BS137" s="74">
        <v>0</v>
      </c>
      <c r="BT137" s="74">
        <v>1</v>
      </c>
      <c r="BU137" s="74">
        <v>0</v>
      </c>
      <c r="BV137" s="74">
        <v>1</v>
      </c>
      <c r="BW137" s="74">
        <v>0</v>
      </c>
      <c r="BX137" s="74">
        <v>0</v>
      </c>
      <c r="BY137" s="74">
        <v>0</v>
      </c>
      <c r="BZ137" s="74">
        <v>0</v>
      </c>
      <c r="CA137" s="74">
        <v>0</v>
      </c>
      <c r="CB137" s="75" t="s">
        <v>100</v>
      </c>
      <c r="CC137" s="74">
        <v>0</v>
      </c>
      <c r="CD137" s="75" t="s">
        <v>100</v>
      </c>
      <c r="CE137" s="74">
        <v>0</v>
      </c>
      <c r="CF137" s="74">
        <v>0</v>
      </c>
      <c r="CG137" s="74">
        <v>0</v>
      </c>
      <c r="CH137" s="74">
        <v>0</v>
      </c>
      <c r="CI137" s="74">
        <v>0</v>
      </c>
      <c r="CJ137" s="49" t="s">
        <v>100</v>
      </c>
      <c r="CK137" s="74">
        <v>0</v>
      </c>
      <c r="CL137" s="75"/>
      <c r="CM137" s="75"/>
      <c r="CN137" s="74">
        <v>0</v>
      </c>
      <c r="CO137" s="74">
        <v>0</v>
      </c>
      <c r="CP137" s="74">
        <v>0</v>
      </c>
      <c r="CQ137" s="74">
        <v>0</v>
      </c>
      <c r="CR137" s="74">
        <v>0</v>
      </c>
      <c r="CS137" s="74">
        <v>1</v>
      </c>
      <c r="CT137" s="74">
        <v>1</v>
      </c>
      <c r="CU137" s="74">
        <v>0</v>
      </c>
      <c r="CV137" s="74">
        <v>0</v>
      </c>
      <c r="CW137" s="49">
        <v>0</v>
      </c>
      <c r="CX137" s="49">
        <v>0</v>
      </c>
      <c r="CY137" s="49">
        <v>0</v>
      </c>
      <c r="CZ137" s="74">
        <v>0</v>
      </c>
      <c r="DA137" s="49">
        <v>0</v>
      </c>
      <c r="DB137" s="49">
        <v>0</v>
      </c>
      <c r="DC137" s="74">
        <v>0</v>
      </c>
      <c r="DD137" s="75"/>
      <c r="DE137" s="75"/>
      <c r="DF137" s="75"/>
      <c r="DG137" s="75"/>
      <c r="DH137" s="75"/>
      <c r="DI137" s="75"/>
      <c r="DJ137" s="74">
        <v>0</v>
      </c>
      <c r="DK137" s="74">
        <v>0</v>
      </c>
      <c r="DL137" s="49" t="s">
        <v>100</v>
      </c>
      <c r="DM137" s="74">
        <v>0</v>
      </c>
      <c r="DN137" s="74">
        <v>0</v>
      </c>
      <c r="DO137" s="75" t="s">
        <v>100</v>
      </c>
      <c r="DP137" s="74">
        <v>0</v>
      </c>
      <c r="DQ137" s="74">
        <v>0</v>
      </c>
      <c r="DR137" s="49">
        <v>0</v>
      </c>
      <c r="DS137" s="49"/>
      <c r="DT137" s="74">
        <v>2</v>
      </c>
      <c r="DU137" s="74">
        <v>0</v>
      </c>
      <c r="DV137" s="49" t="s">
        <v>100</v>
      </c>
      <c r="DW137" s="74">
        <v>2</v>
      </c>
      <c r="DX137" s="74">
        <v>0</v>
      </c>
      <c r="DY137" s="74">
        <v>0</v>
      </c>
      <c r="DZ137" s="74">
        <v>1</v>
      </c>
    </row>
    <row r="138" spans="1:130">
      <c r="A138" s="50">
        <v>136</v>
      </c>
      <c r="B138" s="50" t="s">
        <v>619</v>
      </c>
      <c r="C138" s="50" t="s">
        <v>620</v>
      </c>
      <c r="D138" s="72">
        <v>41782</v>
      </c>
      <c r="E138" s="49" t="s">
        <v>157</v>
      </c>
      <c r="F138" s="73">
        <v>23</v>
      </c>
      <c r="G138" s="74">
        <v>5</v>
      </c>
      <c r="H138" s="74">
        <v>2014</v>
      </c>
      <c r="I138" s="49" t="s">
        <v>621</v>
      </c>
      <c r="J138" s="49" t="s">
        <v>3279</v>
      </c>
      <c r="K138" s="74">
        <v>5</v>
      </c>
      <c r="L138" s="73">
        <v>3</v>
      </c>
      <c r="M138" s="74">
        <v>1</v>
      </c>
      <c r="N138" s="74">
        <v>1</v>
      </c>
      <c r="O138" s="74">
        <v>1</v>
      </c>
      <c r="P138" s="74">
        <v>7</v>
      </c>
      <c r="Q138" s="49">
        <v>0</v>
      </c>
      <c r="R138" s="49">
        <v>0</v>
      </c>
      <c r="S138" s="74">
        <v>6</v>
      </c>
      <c r="T138" s="74">
        <v>14</v>
      </c>
      <c r="U138" s="74">
        <v>0</v>
      </c>
      <c r="V138" s="74">
        <v>22</v>
      </c>
      <c r="W138" s="74">
        <v>0</v>
      </c>
      <c r="X138" s="74">
        <v>3</v>
      </c>
      <c r="Y138" s="74">
        <v>1</v>
      </c>
      <c r="Z138" s="74">
        <v>0</v>
      </c>
      <c r="AA138" s="49">
        <v>0</v>
      </c>
      <c r="AB138" s="74">
        <v>2</v>
      </c>
      <c r="AC138" s="74">
        <v>2</v>
      </c>
      <c r="AD138" s="49" t="s">
        <v>3280</v>
      </c>
      <c r="AE138" s="74">
        <v>1</v>
      </c>
      <c r="AF138" s="74">
        <v>2</v>
      </c>
      <c r="AG138" s="74">
        <v>0</v>
      </c>
      <c r="AH138" s="74">
        <v>2</v>
      </c>
      <c r="AI138" s="74">
        <v>0</v>
      </c>
      <c r="AJ138" s="74">
        <v>0</v>
      </c>
      <c r="AK138" s="49">
        <v>0</v>
      </c>
      <c r="AL138" s="49"/>
      <c r="AM138" s="49">
        <v>0</v>
      </c>
      <c r="AN138" s="49" t="s">
        <v>100</v>
      </c>
      <c r="AO138" s="74">
        <v>0</v>
      </c>
      <c r="AP138" s="49"/>
      <c r="AQ138" s="74">
        <v>1</v>
      </c>
      <c r="AR138" s="49">
        <v>0</v>
      </c>
      <c r="AS138" s="49">
        <v>1</v>
      </c>
      <c r="AT138" s="49">
        <v>0</v>
      </c>
      <c r="AU138" s="49" t="s">
        <v>100</v>
      </c>
      <c r="AV138" s="49" t="s">
        <v>100</v>
      </c>
      <c r="AW138" s="49" t="s">
        <v>100</v>
      </c>
      <c r="AX138" s="49">
        <v>0</v>
      </c>
      <c r="AY138" s="49">
        <v>0</v>
      </c>
      <c r="AZ138" s="49">
        <v>0</v>
      </c>
      <c r="BA138" s="74">
        <v>4</v>
      </c>
      <c r="BB138" s="74">
        <v>1</v>
      </c>
      <c r="BC138" s="49">
        <v>0</v>
      </c>
      <c r="BD138" s="74">
        <v>1</v>
      </c>
      <c r="BE138" s="74">
        <v>0</v>
      </c>
      <c r="BF138" s="74">
        <v>0</v>
      </c>
      <c r="BG138" s="74">
        <v>3</v>
      </c>
      <c r="BH138" s="49">
        <v>2</v>
      </c>
      <c r="BI138" s="49">
        <v>0</v>
      </c>
      <c r="BJ138" s="74">
        <v>0</v>
      </c>
      <c r="BK138" s="49">
        <v>0</v>
      </c>
      <c r="BL138" s="74">
        <v>1</v>
      </c>
      <c r="BM138" s="49">
        <v>3</v>
      </c>
      <c r="BN138" s="49" t="s">
        <v>2972</v>
      </c>
      <c r="BO138" s="49">
        <v>1</v>
      </c>
      <c r="BP138" s="49">
        <v>0</v>
      </c>
      <c r="BQ138" s="49">
        <v>1</v>
      </c>
      <c r="BR138" s="49">
        <v>0</v>
      </c>
      <c r="BS138" s="49">
        <v>1</v>
      </c>
      <c r="BT138" s="49">
        <v>1</v>
      </c>
      <c r="BU138" s="49">
        <v>1</v>
      </c>
      <c r="BV138" s="49">
        <v>1</v>
      </c>
      <c r="BW138" s="74">
        <v>1</v>
      </c>
      <c r="BX138" s="49">
        <v>1</v>
      </c>
      <c r="BY138" s="74">
        <v>1</v>
      </c>
      <c r="BZ138" s="74">
        <v>0</v>
      </c>
      <c r="CA138" s="74">
        <v>1</v>
      </c>
      <c r="CB138" s="74">
        <v>0</v>
      </c>
      <c r="CC138" s="74">
        <v>1</v>
      </c>
      <c r="CD138" s="74">
        <v>1</v>
      </c>
      <c r="CE138" s="74">
        <v>1</v>
      </c>
      <c r="CF138" s="74">
        <v>0</v>
      </c>
      <c r="CG138" s="74">
        <v>1</v>
      </c>
      <c r="CH138" s="49" t="s">
        <v>3281</v>
      </c>
      <c r="CI138" s="49">
        <v>0</v>
      </c>
      <c r="CJ138" s="49" t="s">
        <v>100</v>
      </c>
      <c r="CK138" s="49">
        <v>1</v>
      </c>
      <c r="CL138" s="49">
        <v>2</v>
      </c>
      <c r="CM138" s="49"/>
      <c r="CN138" s="49">
        <v>0</v>
      </c>
      <c r="CO138" s="49">
        <v>0</v>
      </c>
      <c r="CP138" s="74">
        <v>1</v>
      </c>
      <c r="CQ138" s="49">
        <v>0</v>
      </c>
      <c r="CR138" s="49">
        <v>0</v>
      </c>
      <c r="CS138" s="49">
        <v>0</v>
      </c>
      <c r="CT138" s="49">
        <v>0</v>
      </c>
      <c r="CU138" s="49">
        <v>0</v>
      </c>
      <c r="CV138" s="49">
        <v>0</v>
      </c>
      <c r="CW138" s="74">
        <v>1</v>
      </c>
      <c r="CX138" s="74">
        <v>2</v>
      </c>
      <c r="CY138" s="49">
        <v>0</v>
      </c>
      <c r="CZ138" s="74">
        <v>0</v>
      </c>
      <c r="DA138" s="49">
        <v>0</v>
      </c>
      <c r="DB138" s="74">
        <v>1</v>
      </c>
      <c r="DC138" s="74">
        <v>1</v>
      </c>
      <c r="DD138" s="49">
        <v>2</v>
      </c>
      <c r="DE138" s="49">
        <v>0</v>
      </c>
      <c r="DF138" s="49">
        <v>1</v>
      </c>
      <c r="DG138" s="49">
        <v>2</v>
      </c>
      <c r="DH138" s="49">
        <v>1</v>
      </c>
      <c r="DI138" s="49">
        <v>1</v>
      </c>
      <c r="DJ138" s="74">
        <v>1</v>
      </c>
      <c r="DK138" s="49">
        <v>0</v>
      </c>
      <c r="DL138" s="49" t="s">
        <v>100</v>
      </c>
      <c r="DM138" s="74">
        <v>1</v>
      </c>
      <c r="DN138" s="49">
        <v>0</v>
      </c>
      <c r="DO138" s="49" t="s">
        <v>100</v>
      </c>
      <c r="DP138" s="74">
        <v>1</v>
      </c>
      <c r="DQ138" s="74">
        <v>1</v>
      </c>
      <c r="DR138" s="74">
        <v>0</v>
      </c>
      <c r="DS138" s="74">
        <v>1</v>
      </c>
      <c r="DT138" s="74">
        <v>3</v>
      </c>
      <c r="DU138" s="74">
        <v>1</v>
      </c>
      <c r="DV138" s="49" t="s">
        <v>622</v>
      </c>
      <c r="DW138" s="74">
        <v>0</v>
      </c>
      <c r="DX138" s="74">
        <v>0</v>
      </c>
      <c r="DY138" s="49">
        <v>2</v>
      </c>
      <c r="DZ138" s="49">
        <v>0</v>
      </c>
    </row>
    <row r="139" spans="1:130">
      <c r="A139" s="50">
        <v>137</v>
      </c>
      <c r="B139" s="50" t="s">
        <v>623</v>
      </c>
      <c r="C139" s="50" t="s">
        <v>624</v>
      </c>
      <c r="D139" s="72">
        <v>41936</v>
      </c>
      <c r="E139" s="49" t="s">
        <v>157</v>
      </c>
      <c r="F139" s="73">
        <v>24</v>
      </c>
      <c r="G139" s="73">
        <v>10</v>
      </c>
      <c r="H139" s="49">
        <v>2014</v>
      </c>
      <c r="I139" s="49" t="s">
        <v>625</v>
      </c>
      <c r="J139" s="49" t="s">
        <v>880</v>
      </c>
      <c r="K139" s="73">
        <v>47</v>
      </c>
      <c r="L139" s="73">
        <v>3</v>
      </c>
      <c r="M139" s="73">
        <v>0</v>
      </c>
      <c r="N139" s="73">
        <v>0</v>
      </c>
      <c r="O139" s="74">
        <v>0</v>
      </c>
      <c r="P139" s="73" t="s">
        <v>100</v>
      </c>
      <c r="Q139" s="49">
        <v>0</v>
      </c>
      <c r="R139" s="49">
        <v>0</v>
      </c>
      <c r="S139" s="74">
        <v>4</v>
      </c>
      <c r="T139" s="74">
        <v>1</v>
      </c>
      <c r="U139" s="74">
        <v>0</v>
      </c>
      <c r="V139" s="74">
        <v>15</v>
      </c>
      <c r="W139" s="49">
        <v>0</v>
      </c>
      <c r="X139" s="74">
        <v>5</v>
      </c>
      <c r="Y139" s="74">
        <v>0</v>
      </c>
      <c r="Z139" s="74">
        <v>0</v>
      </c>
      <c r="AA139" s="49">
        <v>5</v>
      </c>
      <c r="AB139" s="49">
        <v>0</v>
      </c>
      <c r="AC139" s="74">
        <v>2</v>
      </c>
      <c r="AD139" s="49" t="s">
        <v>3282</v>
      </c>
      <c r="AE139" s="49"/>
      <c r="AF139" s="74">
        <v>4</v>
      </c>
      <c r="AG139" s="49"/>
      <c r="AH139" s="49"/>
      <c r="AI139" s="49">
        <v>1</v>
      </c>
      <c r="AJ139" s="49">
        <v>0</v>
      </c>
      <c r="AK139" s="49">
        <v>0</v>
      </c>
      <c r="AL139" s="49"/>
      <c r="AM139" s="49">
        <v>0</v>
      </c>
      <c r="AN139" s="49" t="s">
        <v>100</v>
      </c>
      <c r="AO139" s="74">
        <v>2</v>
      </c>
      <c r="AP139" s="49" t="s">
        <v>3283</v>
      </c>
      <c r="AQ139" s="74">
        <v>1</v>
      </c>
      <c r="AR139" s="49">
        <v>0</v>
      </c>
      <c r="AS139" s="74">
        <v>1</v>
      </c>
      <c r="AT139" s="74">
        <v>1</v>
      </c>
      <c r="AU139" s="49">
        <v>1</v>
      </c>
      <c r="AV139" s="49"/>
      <c r="AW139" s="49"/>
      <c r="AX139" s="49">
        <v>0</v>
      </c>
      <c r="AY139" s="49">
        <v>0</v>
      </c>
      <c r="AZ139" s="49">
        <v>0</v>
      </c>
      <c r="BA139" s="49">
        <v>0</v>
      </c>
      <c r="BB139" s="74">
        <v>2</v>
      </c>
      <c r="BC139" s="49">
        <v>0</v>
      </c>
      <c r="BD139" s="49">
        <v>0</v>
      </c>
      <c r="BE139" s="74">
        <v>0</v>
      </c>
      <c r="BF139" s="74">
        <v>0</v>
      </c>
      <c r="BG139" s="49">
        <v>1</v>
      </c>
      <c r="BH139" s="49">
        <v>0</v>
      </c>
      <c r="BI139" s="49"/>
      <c r="BJ139" s="74">
        <v>1</v>
      </c>
      <c r="BK139" s="49">
        <v>0</v>
      </c>
      <c r="BL139" s="49">
        <v>1</v>
      </c>
      <c r="BM139" s="49">
        <v>1</v>
      </c>
      <c r="BN139" s="49" t="s">
        <v>2971</v>
      </c>
      <c r="BO139" s="49">
        <v>1</v>
      </c>
      <c r="BP139" s="49">
        <v>1</v>
      </c>
      <c r="BQ139" s="49">
        <v>1</v>
      </c>
      <c r="BR139" s="49">
        <v>0</v>
      </c>
      <c r="BS139" s="49">
        <v>1</v>
      </c>
      <c r="BT139" s="49">
        <v>1</v>
      </c>
      <c r="BU139" s="49">
        <v>1</v>
      </c>
      <c r="BV139" s="49">
        <v>0</v>
      </c>
      <c r="BW139" s="49">
        <v>0</v>
      </c>
      <c r="BX139" s="49">
        <v>0</v>
      </c>
      <c r="BY139" s="49">
        <v>1</v>
      </c>
      <c r="BZ139" s="49">
        <v>0</v>
      </c>
      <c r="CA139" s="49">
        <v>0</v>
      </c>
      <c r="CB139" s="49" t="s">
        <v>100</v>
      </c>
      <c r="CC139" s="49">
        <v>0</v>
      </c>
      <c r="CD139" s="49" t="s">
        <v>100</v>
      </c>
      <c r="CE139" s="49">
        <v>0</v>
      </c>
      <c r="CF139" s="49">
        <v>0</v>
      </c>
      <c r="CG139" s="49">
        <v>0</v>
      </c>
      <c r="CH139" s="49">
        <v>0</v>
      </c>
      <c r="CI139" s="49">
        <v>1</v>
      </c>
      <c r="CJ139" s="49" t="s">
        <v>626</v>
      </c>
      <c r="CK139" s="49">
        <v>0</v>
      </c>
      <c r="CL139" s="49"/>
      <c r="CM139" s="49"/>
      <c r="CN139" s="49">
        <v>0</v>
      </c>
      <c r="CO139" s="49">
        <v>0</v>
      </c>
      <c r="CP139" s="49">
        <v>0</v>
      </c>
      <c r="CQ139" s="49">
        <v>0</v>
      </c>
      <c r="CR139" s="49">
        <v>0</v>
      </c>
      <c r="CS139" s="49">
        <v>0</v>
      </c>
      <c r="CT139" s="49">
        <v>0</v>
      </c>
      <c r="CU139" s="49">
        <v>0</v>
      </c>
      <c r="CV139" s="49">
        <v>0</v>
      </c>
      <c r="CW139" s="49">
        <v>0</v>
      </c>
      <c r="CX139" s="74">
        <v>1</v>
      </c>
      <c r="CY139" s="49">
        <v>0</v>
      </c>
      <c r="CZ139" s="74">
        <v>0</v>
      </c>
      <c r="DA139" s="49">
        <v>0</v>
      </c>
      <c r="DB139" s="49">
        <v>1</v>
      </c>
      <c r="DC139" s="74">
        <v>1</v>
      </c>
      <c r="DD139" s="49">
        <v>4</v>
      </c>
      <c r="DE139" s="49">
        <v>2</v>
      </c>
      <c r="DF139" s="49">
        <v>1</v>
      </c>
      <c r="DG139" s="49"/>
      <c r="DH139" s="49"/>
      <c r="DI139" s="49"/>
      <c r="DJ139" s="49">
        <v>0</v>
      </c>
      <c r="DK139" s="49">
        <v>0</v>
      </c>
      <c r="DL139" s="49" t="s">
        <v>100</v>
      </c>
      <c r="DM139" s="74">
        <v>1</v>
      </c>
      <c r="DN139" s="49">
        <v>0</v>
      </c>
      <c r="DO139" s="49" t="s">
        <v>100</v>
      </c>
      <c r="DP139" s="74">
        <v>1</v>
      </c>
      <c r="DQ139" s="74">
        <v>0</v>
      </c>
      <c r="DR139" s="74">
        <v>1</v>
      </c>
      <c r="DS139" s="74">
        <v>3</v>
      </c>
      <c r="DT139" s="49">
        <v>1</v>
      </c>
      <c r="DU139" s="74">
        <v>0</v>
      </c>
      <c r="DV139" s="49" t="s">
        <v>100</v>
      </c>
      <c r="DW139" s="49">
        <v>0</v>
      </c>
      <c r="DX139" s="74">
        <v>0</v>
      </c>
      <c r="DY139" s="49">
        <v>2</v>
      </c>
      <c r="DZ139" s="49">
        <v>0</v>
      </c>
    </row>
    <row r="140" spans="1:130">
      <c r="A140" s="50">
        <v>138</v>
      </c>
      <c r="B140" s="50" t="s">
        <v>627</v>
      </c>
      <c r="C140" s="50" t="s">
        <v>628</v>
      </c>
      <c r="D140" s="72">
        <v>42172</v>
      </c>
      <c r="E140" s="49" t="s">
        <v>123</v>
      </c>
      <c r="F140" s="73">
        <v>17</v>
      </c>
      <c r="G140" s="74">
        <v>6</v>
      </c>
      <c r="H140" s="74">
        <v>2015</v>
      </c>
      <c r="I140" s="49" t="s">
        <v>629</v>
      </c>
      <c r="J140" s="49" t="s">
        <v>3284</v>
      </c>
      <c r="K140" s="74">
        <v>40</v>
      </c>
      <c r="L140" s="73">
        <v>0</v>
      </c>
      <c r="M140" s="73">
        <v>0</v>
      </c>
      <c r="N140" s="74">
        <v>3</v>
      </c>
      <c r="O140" s="74">
        <v>0</v>
      </c>
      <c r="P140" s="73" t="s">
        <v>100</v>
      </c>
      <c r="Q140" s="49">
        <v>0</v>
      </c>
      <c r="R140" s="49">
        <v>0</v>
      </c>
      <c r="S140" s="74">
        <v>9</v>
      </c>
      <c r="T140" s="74">
        <v>0</v>
      </c>
      <c r="U140" s="74">
        <v>0</v>
      </c>
      <c r="V140" s="74">
        <v>21</v>
      </c>
      <c r="W140" s="74">
        <v>0</v>
      </c>
      <c r="X140" s="74">
        <v>0</v>
      </c>
      <c r="Y140" s="74">
        <v>0</v>
      </c>
      <c r="Z140" s="74">
        <v>0</v>
      </c>
      <c r="AA140" s="74">
        <v>1</v>
      </c>
      <c r="AB140" s="74">
        <v>1</v>
      </c>
      <c r="AC140" s="74">
        <v>0</v>
      </c>
      <c r="AD140" s="49" t="s">
        <v>3285</v>
      </c>
      <c r="AE140" s="74">
        <v>2</v>
      </c>
      <c r="AF140" s="74">
        <v>2</v>
      </c>
      <c r="AG140" s="74">
        <v>1</v>
      </c>
      <c r="AH140" s="74">
        <v>1</v>
      </c>
      <c r="AI140" s="49">
        <v>0</v>
      </c>
      <c r="AJ140" s="49">
        <v>0</v>
      </c>
      <c r="AK140" s="74">
        <v>0</v>
      </c>
      <c r="AL140" s="74">
        <v>0</v>
      </c>
      <c r="AM140" s="49">
        <v>0</v>
      </c>
      <c r="AN140" s="49" t="s">
        <v>100</v>
      </c>
      <c r="AO140" s="74">
        <v>0</v>
      </c>
      <c r="AP140" s="49"/>
      <c r="AQ140" s="74">
        <v>1</v>
      </c>
      <c r="AR140" s="49">
        <v>0</v>
      </c>
      <c r="AS140" s="49">
        <v>0</v>
      </c>
      <c r="AT140" s="49">
        <v>0</v>
      </c>
      <c r="AU140" s="49" t="s">
        <v>100</v>
      </c>
      <c r="AV140" s="49" t="s">
        <v>100</v>
      </c>
      <c r="AW140" s="49" t="s">
        <v>100</v>
      </c>
      <c r="AX140" s="49">
        <v>0</v>
      </c>
      <c r="AY140" s="49">
        <v>0</v>
      </c>
      <c r="AZ140" s="74">
        <v>1</v>
      </c>
      <c r="BA140" s="74">
        <v>4</v>
      </c>
      <c r="BB140" s="74">
        <v>2</v>
      </c>
      <c r="BC140" s="74">
        <v>0</v>
      </c>
      <c r="BD140" s="49">
        <v>0</v>
      </c>
      <c r="BE140" s="74">
        <v>0</v>
      </c>
      <c r="BF140" s="74">
        <v>0</v>
      </c>
      <c r="BG140" s="74">
        <v>3</v>
      </c>
      <c r="BH140" s="49">
        <v>2</v>
      </c>
      <c r="BI140" s="49">
        <v>0</v>
      </c>
      <c r="BJ140" s="49">
        <v>0</v>
      </c>
      <c r="BK140" s="49">
        <v>1</v>
      </c>
      <c r="BL140" s="74">
        <v>1</v>
      </c>
      <c r="BM140" s="49">
        <v>2</v>
      </c>
      <c r="BN140" s="49" t="s">
        <v>3012</v>
      </c>
      <c r="BO140" s="49">
        <v>1</v>
      </c>
      <c r="BP140" s="49">
        <v>0</v>
      </c>
      <c r="BQ140" s="49">
        <v>0</v>
      </c>
      <c r="BR140" s="49">
        <v>0</v>
      </c>
      <c r="BS140" s="49">
        <v>0</v>
      </c>
      <c r="BT140" s="49">
        <v>1</v>
      </c>
      <c r="BU140" s="49">
        <v>0</v>
      </c>
      <c r="BV140" s="49">
        <v>1</v>
      </c>
      <c r="BW140" s="49">
        <v>1</v>
      </c>
      <c r="BX140" s="49">
        <v>1</v>
      </c>
      <c r="BY140" s="49">
        <v>1</v>
      </c>
      <c r="BZ140" s="49">
        <v>0</v>
      </c>
      <c r="CA140" s="74">
        <v>1</v>
      </c>
      <c r="CB140" s="74">
        <v>0</v>
      </c>
      <c r="CC140" s="74">
        <v>1</v>
      </c>
      <c r="CD140" s="74">
        <v>0</v>
      </c>
      <c r="CE140" s="74">
        <v>4</v>
      </c>
      <c r="CF140" s="49">
        <v>0</v>
      </c>
      <c r="CG140" s="74">
        <v>1</v>
      </c>
      <c r="CH140" s="74">
        <v>4</v>
      </c>
      <c r="CI140" s="49">
        <v>0</v>
      </c>
      <c r="CJ140" s="49" t="s">
        <v>100</v>
      </c>
      <c r="CK140" s="49">
        <v>1</v>
      </c>
      <c r="CL140" s="49">
        <v>3</v>
      </c>
      <c r="CM140" s="49">
        <v>4</v>
      </c>
      <c r="CN140" s="49">
        <v>1</v>
      </c>
      <c r="CO140" s="49">
        <v>0</v>
      </c>
      <c r="CP140" s="49">
        <v>0</v>
      </c>
      <c r="CQ140" s="49">
        <v>0</v>
      </c>
      <c r="CR140" s="49">
        <v>0</v>
      </c>
      <c r="CS140" s="49">
        <v>0</v>
      </c>
      <c r="CT140" s="49">
        <v>0</v>
      </c>
      <c r="CU140" s="49">
        <v>0</v>
      </c>
      <c r="CV140" s="49">
        <v>0</v>
      </c>
      <c r="CW140" s="49">
        <v>0</v>
      </c>
      <c r="CX140" s="49">
        <v>0</v>
      </c>
      <c r="CY140" s="49">
        <v>0</v>
      </c>
      <c r="CZ140" s="74">
        <v>0</v>
      </c>
      <c r="DA140" s="49">
        <v>0</v>
      </c>
      <c r="DB140" s="74">
        <v>1</v>
      </c>
      <c r="DC140" s="74">
        <v>1</v>
      </c>
      <c r="DD140" s="49">
        <v>0</v>
      </c>
      <c r="DE140" s="49">
        <v>5</v>
      </c>
      <c r="DF140" s="49">
        <v>0</v>
      </c>
      <c r="DG140" s="49"/>
      <c r="DH140" s="49"/>
      <c r="DI140" s="49"/>
      <c r="DJ140" s="74">
        <v>1</v>
      </c>
      <c r="DK140" s="49">
        <v>0</v>
      </c>
      <c r="DL140" s="49" t="s">
        <v>100</v>
      </c>
      <c r="DM140" s="74">
        <v>1</v>
      </c>
      <c r="DN140" s="49">
        <v>0</v>
      </c>
      <c r="DO140" s="49" t="s">
        <v>100</v>
      </c>
      <c r="DP140" s="74">
        <v>1</v>
      </c>
      <c r="DQ140" s="74">
        <v>1</v>
      </c>
      <c r="DR140" s="49">
        <v>0</v>
      </c>
      <c r="DS140" s="49">
        <v>0</v>
      </c>
      <c r="DT140" s="74">
        <v>1</v>
      </c>
      <c r="DU140" s="74">
        <v>0</v>
      </c>
      <c r="DV140" s="49" t="s">
        <v>100</v>
      </c>
      <c r="DW140" s="74">
        <v>2</v>
      </c>
      <c r="DX140" s="74">
        <v>1</v>
      </c>
      <c r="DY140" s="74">
        <v>0</v>
      </c>
      <c r="DZ140" s="74">
        <v>1</v>
      </c>
    </row>
    <row r="141" spans="1:130">
      <c r="A141" s="50">
        <v>139</v>
      </c>
      <c r="B141" s="50" t="s">
        <v>630</v>
      </c>
      <c r="C141" s="50" t="s">
        <v>631</v>
      </c>
      <c r="D141" s="72">
        <v>42201</v>
      </c>
      <c r="E141" s="49" t="s">
        <v>178</v>
      </c>
      <c r="F141" s="73">
        <v>16</v>
      </c>
      <c r="G141" s="74">
        <v>7</v>
      </c>
      <c r="H141" s="49">
        <v>2015</v>
      </c>
      <c r="I141" s="49" t="s">
        <v>632</v>
      </c>
      <c r="J141" s="49" t="s">
        <v>633</v>
      </c>
      <c r="K141" s="74">
        <v>42</v>
      </c>
      <c r="L141" s="74">
        <v>0</v>
      </c>
      <c r="M141" s="73">
        <v>0</v>
      </c>
      <c r="N141" s="74">
        <v>2</v>
      </c>
      <c r="O141" s="74">
        <v>1</v>
      </c>
      <c r="P141" s="74">
        <v>2</v>
      </c>
      <c r="Q141" s="49">
        <v>1</v>
      </c>
      <c r="R141" s="49">
        <v>1</v>
      </c>
      <c r="S141" s="74">
        <v>5</v>
      </c>
      <c r="T141" s="73">
        <v>2</v>
      </c>
      <c r="U141" s="74">
        <v>0</v>
      </c>
      <c r="V141" s="74">
        <v>24</v>
      </c>
      <c r="W141" s="74">
        <v>0</v>
      </c>
      <c r="X141" s="74">
        <v>4</v>
      </c>
      <c r="Y141" s="49">
        <v>1</v>
      </c>
      <c r="Z141" s="49">
        <v>0</v>
      </c>
      <c r="AA141" s="74">
        <v>2</v>
      </c>
      <c r="AB141" s="74">
        <v>3</v>
      </c>
      <c r="AC141" s="74">
        <v>2</v>
      </c>
      <c r="AD141" s="49" t="s">
        <v>3286</v>
      </c>
      <c r="AE141" s="74">
        <v>2</v>
      </c>
      <c r="AF141" s="74">
        <v>4</v>
      </c>
      <c r="AG141" s="74">
        <v>3</v>
      </c>
      <c r="AH141" s="74">
        <v>1</v>
      </c>
      <c r="AI141" s="74">
        <v>0</v>
      </c>
      <c r="AJ141" s="74">
        <v>0</v>
      </c>
      <c r="AK141" s="74">
        <v>1</v>
      </c>
      <c r="AL141" s="74">
        <v>0</v>
      </c>
      <c r="AM141" s="49">
        <v>0</v>
      </c>
      <c r="AN141" s="49" t="s">
        <v>100</v>
      </c>
      <c r="AO141" s="74">
        <v>3</v>
      </c>
      <c r="AP141" s="49" t="s">
        <v>3385</v>
      </c>
      <c r="AQ141" s="74">
        <v>1</v>
      </c>
      <c r="AR141" s="49">
        <v>0</v>
      </c>
      <c r="AS141" s="49">
        <v>0</v>
      </c>
      <c r="AT141" s="49">
        <v>0</v>
      </c>
      <c r="AU141" s="49" t="s">
        <v>100</v>
      </c>
      <c r="AV141" s="49" t="s">
        <v>100</v>
      </c>
      <c r="AW141" s="49" t="s">
        <v>100</v>
      </c>
      <c r="AX141" s="49">
        <v>0</v>
      </c>
      <c r="AY141" s="49">
        <v>0</v>
      </c>
      <c r="AZ141" s="49">
        <v>1</v>
      </c>
      <c r="BA141" s="74">
        <v>3</v>
      </c>
      <c r="BB141" s="49">
        <v>0</v>
      </c>
      <c r="BC141" s="49">
        <v>0</v>
      </c>
      <c r="BD141" s="49">
        <v>0</v>
      </c>
      <c r="BE141" s="49">
        <v>0</v>
      </c>
      <c r="BF141" s="74">
        <v>0</v>
      </c>
      <c r="BG141" s="74">
        <v>1</v>
      </c>
      <c r="BH141" s="49">
        <v>1</v>
      </c>
      <c r="BI141" s="49">
        <v>0</v>
      </c>
      <c r="BJ141" s="74">
        <v>0</v>
      </c>
      <c r="BK141" s="74">
        <v>1</v>
      </c>
      <c r="BL141" s="74">
        <v>1</v>
      </c>
      <c r="BM141" s="49">
        <v>0</v>
      </c>
      <c r="BN141" s="49" t="s">
        <v>2970</v>
      </c>
      <c r="BO141" s="49">
        <v>1</v>
      </c>
      <c r="BP141" s="49">
        <v>0</v>
      </c>
      <c r="BQ141" s="49">
        <v>1</v>
      </c>
      <c r="BR141" s="49">
        <v>0</v>
      </c>
      <c r="BS141" s="49">
        <v>0</v>
      </c>
      <c r="BT141" s="49">
        <v>1</v>
      </c>
      <c r="BU141" s="49">
        <v>0</v>
      </c>
      <c r="BV141" s="49">
        <v>0</v>
      </c>
      <c r="BW141" s="49">
        <v>0</v>
      </c>
      <c r="BX141" s="49">
        <v>0</v>
      </c>
      <c r="BY141" s="74">
        <v>1</v>
      </c>
      <c r="BZ141" s="49">
        <v>0</v>
      </c>
      <c r="CA141" s="74">
        <v>1</v>
      </c>
      <c r="CB141" s="74">
        <v>0</v>
      </c>
      <c r="CC141" s="74">
        <v>1</v>
      </c>
      <c r="CD141" s="74">
        <v>1</v>
      </c>
      <c r="CE141" s="74">
        <v>1</v>
      </c>
      <c r="CF141" s="49">
        <v>0</v>
      </c>
      <c r="CG141" s="49">
        <v>0</v>
      </c>
      <c r="CH141" s="49">
        <v>4</v>
      </c>
      <c r="CI141" s="49">
        <v>0</v>
      </c>
      <c r="CJ141" s="49" t="s">
        <v>100</v>
      </c>
      <c r="CK141" s="49">
        <v>0</v>
      </c>
      <c r="CL141" s="49"/>
      <c r="CM141" s="49"/>
      <c r="CN141" s="49">
        <v>0</v>
      </c>
      <c r="CO141" s="49">
        <v>0</v>
      </c>
      <c r="CP141" s="49">
        <v>0</v>
      </c>
      <c r="CQ141" s="49">
        <v>0</v>
      </c>
      <c r="CR141" s="49">
        <v>0</v>
      </c>
      <c r="CS141" s="49">
        <v>0</v>
      </c>
      <c r="CT141" s="49">
        <v>0</v>
      </c>
      <c r="CU141" s="49">
        <v>0</v>
      </c>
      <c r="CV141" s="49">
        <v>0</v>
      </c>
      <c r="CW141" s="49">
        <v>0</v>
      </c>
      <c r="CX141" s="74">
        <v>1</v>
      </c>
      <c r="CY141" s="49">
        <v>0</v>
      </c>
      <c r="CZ141" s="74">
        <v>0</v>
      </c>
      <c r="DA141" s="49">
        <v>0</v>
      </c>
      <c r="DB141" s="74">
        <v>1</v>
      </c>
      <c r="DC141" s="74">
        <v>1</v>
      </c>
      <c r="DD141" s="49">
        <v>0</v>
      </c>
      <c r="DE141" s="49"/>
      <c r="DF141" s="49">
        <v>0</v>
      </c>
      <c r="DG141" s="49"/>
      <c r="DH141" s="49"/>
      <c r="DI141" s="49"/>
      <c r="DJ141" s="49">
        <v>0</v>
      </c>
      <c r="DK141" s="49">
        <v>0</v>
      </c>
      <c r="DL141" s="49" t="s">
        <v>100</v>
      </c>
      <c r="DM141" s="74">
        <v>0</v>
      </c>
      <c r="DN141" s="49">
        <v>0</v>
      </c>
      <c r="DO141" s="49" t="s">
        <v>100</v>
      </c>
      <c r="DP141" s="74">
        <v>1</v>
      </c>
      <c r="DQ141" s="74">
        <v>0</v>
      </c>
      <c r="DR141" s="49">
        <v>1</v>
      </c>
      <c r="DS141" s="74">
        <v>2</v>
      </c>
      <c r="DT141" s="49">
        <v>3</v>
      </c>
      <c r="DU141" s="74">
        <v>1</v>
      </c>
      <c r="DV141" s="49" t="s">
        <v>634</v>
      </c>
      <c r="DW141" s="74">
        <v>1</v>
      </c>
      <c r="DX141" s="74">
        <v>0</v>
      </c>
      <c r="DY141" s="49">
        <v>2</v>
      </c>
      <c r="DZ141" s="49">
        <v>0</v>
      </c>
    </row>
    <row r="142" spans="1:130">
      <c r="A142" s="50">
        <v>140</v>
      </c>
      <c r="B142" s="50" t="s">
        <v>635</v>
      </c>
      <c r="C142" s="50" t="s">
        <v>636</v>
      </c>
      <c r="D142" s="72">
        <v>42278</v>
      </c>
      <c r="E142" s="49" t="s">
        <v>178</v>
      </c>
      <c r="F142" s="73">
        <v>1</v>
      </c>
      <c r="G142" s="74">
        <v>10</v>
      </c>
      <c r="H142" s="74">
        <v>2015</v>
      </c>
      <c r="I142" s="49" t="s">
        <v>637</v>
      </c>
      <c r="J142" s="49" t="s">
        <v>3287</v>
      </c>
      <c r="K142" s="74">
        <v>37</v>
      </c>
      <c r="L142" s="73">
        <v>3</v>
      </c>
      <c r="M142" s="74">
        <v>2</v>
      </c>
      <c r="N142" s="74">
        <v>1</v>
      </c>
      <c r="O142" s="74">
        <v>0</v>
      </c>
      <c r="P142" s="73" t="s">
        <v>100</v>
      </c>
      <c r="Q142" s="49">
        <v>0</v>
      </c>
      <c r="R142" s="49">
        <v>0</v>
      </c>
      <c r="S142" s="74">
        <v>9</v>
      </c>
      <c r="T142" s="73">
        <v>7</v>
      </c>
      <c r="U142" s="74">
        <v>0</v>
      </c>
      <c r="V142" s="74">
        <v>26</v>
      </c>
      <c r="W142" s="74">
        <v>0</v>
      </c>
      <c r="X142" s="74">
        <v>1</v>
      </c>
      <c r="Y142" s="49">
        <v>0</v>
      </c>
      <c r="Z142" s="74">
        <v>0</v>
      </c>
      <c r="AA142" s="74">
        <v>0</v>
      </c>
      <c r="AB142" s="74">
        <v>2</v>
      </c>
      <c r="AC142" s="74">
        <v>0</v>
      </c>
      <c r="AD142" s="49" t="s">
        <v>3288</v>
      </c>
      <c r="AE142" s="74">
        <v>3</v>
      </c>
      <c r="AF142" s="74">
        <v>1</v>
      </c>
      <c r="AG142" s="74">
        <v>1</v>
      </c>
      <c r="AH142" s="74">
        <v>0</v>
      </c>
      <c r="AI142" s="74">
        <v>0</v>
      </c>
      <c r="AJ142" s="49">
        <v>0</v>
      </c>
      <c r="AK142" s="74">
        <v>0</v>
      </c>
      <c r="AL142" s="49"/>
      <c r="AM142" s="74">
        <v>2</v>
      </c>
      <c r="AN142" s="49">
        <v>0</v>
      </c>
      <c r="AO142" s="74">
        <v>0</v>
      </c>
      <c r="AP142" s="49"/>
      <c r="AQ142" s="49">
        <v>1</v>
      </c>
      <c r="AR142" s="49">
        <v>0</v>
      </c>
      <c r="AS142" s="49">
        <v>1</v>
      </c>
      <c r="AT142" s="74">
        <v>2</v>
      </c>
      <c r="AU142" s="49">
        <v>4</v>
      </c>
      <c r="AV142" s="49"/>
      <c r="AW142" s="49"/>
      <c r="AX142" s="49">
        <v>0</v>
      </c>
      <c r="AY142" s="49">
        <v>0</v>
      </c>
      <c r="AZ142" s="49">
        <v>0</v>
      </c>
      <c r="BA142" s="74">
        <v>4</v>
      </c>
      <c r="BB142" s="74">
        <v>2</v>
      </c>
      <c r="BC142" s="49">
        <v>0</v>
      </c>
      <c r="BD142" s="49">
        <v>0</v>
      </c>
      <c r="BE142" s="49">
        <v>1</v>
      </c>
      <c r="BF142" s="74">
        <v>0</v>
      </c>
      <c r="BG142" s="49">
        <v>5</v>
      </c>
      <c r="BH142" s="49">
        <v>0</v>
      </c>
      <c r="BI142" s="49">
        <v>0</v>
      </c>
      <c r="BJ142" s="74">
        <v>0</v>
      </c>
      <c r="BK142" s="49">
        <v>0</v>
      </c>
      <c r="BL142" s="49">
        <v>1</v>
      </c>
      <c r="BM142" s="49">
        <v>3</v>
      </c>
      <c r="BN142" s="49" t="s">
        <v>3091</v>
      </c>
      <c r="BO142" s="49">
        <v>1</v>
      </c>
      <c r="BP142" s="49">
        <v>0</v>
      </c>
      <c r="BQ142" s="49">
        <v>0</v>
      </c>
      <c r="BR142" s="49">
        <v>0</v>
      </c>
      <c r="BS142" s="49">
        <v>1</v>
      </c>
      <c r="BT142" s="49">
        <v>1</v>
      </c>
      <c r="BU142" s="49">
        <v>1</v>
      </c>
      <c r="BV142" s="49">
        <v>1</v>
      </c>
      <c r="BW142" s="49">
        <v>1</v>
      </c>
      <c r="BX142" s="49">
        <v>0</v>
      </c>
      <c r="BY142" s="74">
        <v>2</v>
      </c>
      <c r="BZ142" s="74">
        <v>1</v>
      </c>
      <c r="CA142" s="49">
        <v>0</v>
      </c>
      <c r="CB142" s="49" t="s">
        <v>100</v>
      </c>
      <c r="CC142" s="74">
        <v>1</v>
      </c>
      <c r="CD142" s="74">
        <v>0</v>
      </c>
      <c r="CE142" s="74">
        <v>3</v>
      </c>
      <c r="CF142" s="49">
        <v>0</v>
      </c>
      <c r="CG142" s="74">
        <v>1</v>
      </c>
      <c r="CH142" s="74">
        <v>0</v>
      </c>
      <c r="CI142" s="49">
        <v>0</v>
      </c>
      <c r="CJ142" s="49" t="s">
        <v>100</v>
      </c>
      <c r="CK142" s="49">
        <v>1</v>
      </c>
      <c r="CL142" s="49">
        <v>2</v>
      </c>
      <c r="CM142" s="49">
        <v>4</v>
      </c>
      <c r="CN142" s="49">
        <v>0</v>
      </c>
      <c r="CO142" s="49">
        <v>0</v>
      </c>
      <c r="CP142" s="49">
        <v>0</v>
      </c>
      <c r="CQ142" s="49">
        <v>0</v>
      </c>
      <c r="CR142" s="49">
        <v>0</v>
      </c>
      <c r="CS142" s="49">
        <v>0</v>
      </c>
      <c r="CT142" s="49">
        <v>0</v>
      </c>
      <c r="CU142" s="49">
        <v>0</v>
      </c>
      <c r="CV142" s="49">
        <v>0</v>
      </c>
      <c r="CW142" s="49">
        <v>1</v>
      </c>
      <c r="CX142" s="49">
        <v>2</v>
      </c>
      <c r="CY142" s="49">
        <v>0</v>
      </c>
      <c r="CZ142" s="74">
        <v>0</v>
      </c>
      <c r="DA142" s="49">
        <v>0</v>
      </c>
      <c r="DB142" s="74">
        <v>1</v>
      </c>
      <c r="DC142" s="74">
        <v>0</v>
      </c>
      <c r="DD142" s="49"/>
      <c r="DE142" s="49"/>
      <c r="DF142" s="49"/>
      <c r="DG142" s="49"/>
      <c r="DH142" s="49"/>
      <c r="DI142" s="49"/>
      <c r="DJ142" s="74">
        <v>1</v>
      </c>
      <c r="DK142" s="49">
        <v>1</v>
      </c>
      <c r="DL142" s="49" t="s">
        <v>3386</v>
      </c>
      <c r="DM142" s="74">
        <v>1</v>
      </c>
      <c r="DN142" s="49">
        <v>0</v>
      </c>
      <c r="DO142" s="49" t="s">
        <v>100</v>
      </c>
      <c r="DP142" s="49">
        <v>1</v>
      </c>
      <c r="DQ142" s="74">
        <v>1</v>
      </c>
      <c r="DR142" s="49">
        <v>1</v>
      </c>
      <c r="DS142" s="74">
        <v>3</v>
      </c>
      <c r="DT142" s="74">
        <v>6</v>
      </c>
      <c r="DU142" s="74">
        <v>1</v>
      </c>
      <c r="DV142" s="49" t="s">
        <v>574</v>
      </c>
      <c r="DW142" s="74">
        <v>0</v>
      </c>
      <c r="DX142" s="74">
        <v>0</v>
      </c>
      <c r="DY142" s="49">
        <v>2</v>
      </c>
      <c r="DZ142" s="49">
        <v>0</v>
      </c>
    </row>
    <row r="143" spans="1:130">
      <c r="A143" s="50">
        <v>141</v>
      </c>
      <c r="B143" s="50" t="s">
        <v>638</v>
      </c>
      <c r="C143" s="50" t="s">
        <v>182</v>
      </c>
      <c r="D143" s="72">
        <v>42322</v>
      </c>
      <c r="E143" s="49" t="s">
        <v>103</v>
      </c>
      <c r="F143" s="73">
        <v>14</v>
      </c>
      <c r="G143" s="73">
        <v>11</v>
      </c>
      <c r="H143" s="49">
        <v>2015</v>
      </c>
      <c r="I143" s="49" t="s">
        <v>639</v>
      </c>
      <c r="J143" s="49" t="s">
        <v>640</v>
      </c>
      <c r="K143" s="73">
        <v>43</v>
      </c>
      <c r="L143" s="73">
        <v>0</v>
      </c>
      <c r="M143" s="74">
        <v>2</v>
      </c>
      <c r="N143" s="74">
        <v>8</v>
      </c>
      <c r="O143" s="74">
        <v>1</v>
      </c>
      <c r="P143" s="74">
        <v>8</v>
      </c>
      <c r="Q143" s="49">
        <v>0</v>
      </c>
      <c r="R143" s="49">
        <v>0</v>
      </c>
      <c r="S143" s="73">
        <v>6</v>
      </c>
      <c r="T143" s="74">
        <v>0</v>
      </c>
      <c r="U143" s="74">
        <v>0</v>
      </c>
      <c r="V143" s="49">
        <v>33</v>
      </c>
      <c r="W143" s="49">
        <v>0</v>
      </c>
      <c r="X143" s="49">
        <v>0</v>
      </c>
      <c r="Y143" s="74">
        <v>0</v>
      </c>
      <c r="Z143" s="74">
        <v>0</v>
      </c>
      <c r="AA143" s="74">
        <v>1</v>
      </c>
      <c r="AB143" s="74">
        <v>1</v>
      </c>
      <c r="AC143" s="74">
        <v>0</v>
      </c>
      <c r="AD143" s="49" t="s">
        <v>3180</v>
      </c>
      <c r="AE143" s="49"/>
      <c r="AF143" s="74">
        <v>1</v>
      </c>
      <c r="AG143" s="49"/>
      <c r="AH143" s="49"/>
      <c r="AI143" s="49">
        <v>3</v>
      </c>
      <c r="AJ143" s="74">
        <v>1</v>
      </c>
      <c r="AK143" s="74">
        <v>0</v>
      </c>
      <c r="AL143" s="74">
        <v>0</v>
      </c>
      <c r="AM143" s="49">
        <v>0</v>
      </c>
      <c r="AN143" s="49" t="s">
        <v>100</v>
      </c>
      <c r="AO143" s="74">
        <v>0</v>
      </c>
      <c r="AP143" s="49"/>
      <c r="AQ143" s="74">
        <v>1</v>
      </c>
      <c r="AR143" s="49">
        <v>0</v>
      </c>
      <c r="AS143" s="74">
        <v>1</v>
      </c>
      <c r="AT143" s="49">
        <v>3</v>
      </c>
      <c r="AU143" s="49">
        <v>4</v>
      </c>
      <c r="AV143" s="49">
        <v>1</v>
      </c>
      <c r="AW143" s="49"/>
      <c r="AX143" s="49">
        <v>0</v>
      </c>
      <c r="AY143" s="49">
        <v>0</v>
      </c>
      <c r="AZ143" s="49">
        <v>0</v>
      </c>
      <c r="BA143" s="49">
        <v>0</v>
      </c>
      <c r="BB143" s="49">
        <v>0</v>
      </c>
      <c r="BC143" s="74">
        <v>1</v>
      </c>
      <c r="BD143" s="74">
        <v>0</v>
      </c>
      <c r="BE143" s="74">
        <v>0</v>
      </c>
      <c r="BF143" s="74">
        <v>0</v>
      </c>
      <c r="BG143" s="74">
        <v>1</v>
      </c>
      <c r="BH143" s="49">
        <v>1</v>
      </c>
      <c r="BI143" s="49">
        <v>1</v>
      </c>
      <c r="BJ143" s="74">
        <v>0</v>
      </c>
      <c r="BK143" s="74">
        <v>0</v>
      </c>
      <c r="BL143" s="74">
        <v>1</v>
      </c>
      <c r="BM143" s="49">
        <v>2</v>
      </c>
      <c r="BN143" s="49" t="s">
        <v>3006</v>
      </c>
      <c r="BO143" s="49">
        <v>1</v>
      </c>
      <c r="BP143" s="49">
        <v>0</v>
      </c>
      <c r="BQ143" s="49">
        <v>0</v>
      </c>
      <c r="BR143" s="49">
        <v>0</v>
      </c>
      <c r="BS143" s="49">
        <v>1</v>
      </c>
      <c r="BT143" s="49">
        <v>1</v>
      </c>
      <c r="BU143" s="49">
        <v>1</v>
      </c>
      <c r="BV143" s="49">
        <v>1</v>
      </c>
      <c r="BW143" s="49">
        <v>0</v>
      </c>
      <c r="BX143" s="49">
        <v>0</v>
      </c>
      <c r="BY143" s="74">
        <v>1</v>
      </c>
      <c r="BZ143" s="49">
        <v>1</v>
      </c>
      <c r="CA143" s="49">
        <v>0</v>
      </c>
      <c r="CB143" s="49" t="s">
        <v>100</v>
      </c>
      <c r="CC143" s="49">
        <v>1</v>
      </c>
      <c r="CD143" s="49">
        <v>0</v>
      </c>
      <c r="CE143" s="49">
        <v>4</v>
      </c>
      <c r="CF143" s="49">
        <v>0</v>
      </c>
      <c r="CG143" s="49">
        <v>0</v>
      </c>
      <c r="CH143" s="74">
        <v>5</v>
      </c>
      <c r="CI143" s="74">
        <v>1</v>
      </c>
      <c r="CJ143" s="49" t="s">
        <v>291</v>
      </c>
      <c r="CK143" s="49">
        <v>0</v>
      </c>
      <c r="CL143" s="49"/>
      <c r="CM143" s="49"/>
      <c r="CN143" s="49">
        <v>0</v>
      </c>
      <c r="CO143" s="49">
        <v>0</v>
      </c>
      <c r="CP143" s="49">
        <v>0</v>
      </c>
      <c r="CQ143" s="49">
        <v>0</v>
      </c>
      <c r="CR143" s="49">
        <v>0</v>
      </c>
      <c r="CS143" s="49">
        <v>0</v>
      </c>
      <c r="CT143" s="49">
        <v>0</v>
      </c>
      <c r="CU143" s="49">
        <v>0</v>
      </c>
      <c r="CV143" s="49">
        <v>0</v>
      </c>
      <c r="CW143" s="49">
        <v>0</v>
      </c>
      <c r="CX143" s="74">
        <v>1</v>
      </c>
      <c r="CY143" s="49">
        <v>0</v>
      </c>
      <c r="CZ143" s="74">
        <v>0</v>
      </c>
      <c r="DA143" s="49">
        <v>1</v>
      </c>
      <c r="DB143" s="49">
        <v>0</v>
      </c>
      <c r="DC143" s="74">
        <v>0</v>
      </c>
      <c r="DD143" s="49"/>
      <c r="DE143" s="49"/>
      <c r="DF143" s="49"/>
      <c r="DG143" s="49"/>
      <c r="DH143" s="49"/>
      <c r="DI143" s="49"/>
      <c r="DJ143" s="49">
        <v>0</v>
      </c>
      <c r="DK143" s="49">
        <v>0</v>
      </c>
      <c r="DL143" s="49" t="s">
        <v>100</v>
      </c>
      <c r="DM143" s="74">
        <v>0</v>
      </c>
      <c r="DN143" s="49">
        <v>0</v>
      </c>
      <c r="DO143" s="49" t="s">
        <v>100</v>
      </c>
      <c r="DP143" s="74">
        <v>0</v>
      </c>
      <c r="DQ143" s="74">
        <v>0</v>
      </c>
      <c r="DR143" s="74">
        <v>1</v>
      </c>
      <c r="DS143" s="74">
        <v>2</v>
      </c>
      <c r="DT143" s="74">
        <v>3</v>
      </c>
      <c r="DU143" s="74">
        <v>0</v>
      </c>
      <c r="DV143" s="49" t="s">
        <v>100</v>
      </c>
      <c r="DW143" s="49">
        <v>2</v>
      </c>
      <c r="DX143" s="74">
        <v>0</v>
      </c>
      <c r="DY143" s="74">
        <v>1</v>
      </c>
      <c r="DZ143" s="74">
        <v>1</v>
      </c>
    </row>
    <row r="144" spans="1:130">
      <c r="A144" s="50">
        <v>142</v>
      </c>
      <c r="B144" s="50" t="s">
        <v>641</v>
      </c>
      <c r="C144" s="50" t="s">
        <v>642</v>
      </c>
      <c r="D144" s="72">
        <v>42340</v>
      </c>
      <c r="E144" s="49" t="s">
        <v>123</v>
      </c>
      <c r="F144" s="73">
        <v>2</v>
      </c>
      <c r="G144" s="74">
        <v>12</v>
      </c>
      <c r="H144" s="74">
        <v>2015</v>
      </c>
      <c r="I144" s="49" t="s">
        <v>643</v>
      </c>
      <c r="J144" s="49" t="s">
        <v>3387</v>
      </c>
      <c r="K144" s="74">
        <v>5</v>
      </c>
      <c r="L144" s="73">
        <v>3</v>
      </c>
      <c r="M144" s="74">
        <v>0</v>
      </c>
      <c r="N144" s="74">
        <v>6</v>
      </c>
      <c r="O144" s="74">
        <v>1</v>
      </c>
      <c r="P144" s="74">
        <v>8</v>
      </c>
      <c r="Q144" s="49">
        <v>0</v>
      </c>
      <c r="R144" s="49">
        <v>0</v>
      </c>
      <c r="S144" s="74">
        <v>14</v>
      </c>
      <c r="T144" s="74">
        <v>22</v>
      </c>
      <c r="U144" s="74">
        <v>0</v>
      </c>
      <c r="V144" s="74">
        <v>28</v>
      </c>
      <c r="W144" s="74">
        <v>0</v>
      </c>
      <c r="X144" s="74">
        <v>4</v>
      </c>
      <c r="Y144" s="49">
        <v>0</v>
      </c>
      <c r="Z144" s="74">
        <v>0</v>
      </c>
      <c r="AA144" s="74">
        <v>2</v>
      </c>
      <c r="AB144" s="74">
        <v>4</v>
      </c>
      <c r="AC144" s="74">
        <v>1</v>
      </c>
      <c r="AD144" s="49" t="s">
        <v>3289</v>
      </c>
      <c r="AE144" s="74">
        <v>2</v>
      </c>
      <c r="AF144" s="74">
        <v>3</v>
      </c>
      <c r="AG144" s="74">
        <v>2</v>
      </c>
      <c r="AH144" s="74">
        <v>1</v>
      </c>
      <c r="AI144" s="74">
        <v>2</v>
      </c>
      <c r="AJ144" s="74">
        <v>1</v>
      </c>
      <c r="AK144" s="74">
        <v>1</v>
      </c>
      <c r="AL144" s="74">
        <v>2</v>
      </c>
      <c r="AM144" s="49">
        <v>0</v>
      </c>
      <c r="AN144" s="49" t="s">
        <v>100</v>
      </c>
      <c r="AO144" s="74">
        <v>0</v>
      </c>
      <c r="AP144" s="49"/>
      <c r="AQ144" s="74">
        <v>0</v>
      </c>
      <c r="AR144" s="49">
        <v>0</v>
      </c>
      <c r="AS144" s="49">
        <v>0</v>
      </c>
      <c r="AT144" s="49">
        <v>0</v>
      </c>
      <c r="AU144" s="49" t="s">
        <v>100</v>
      </c>
      <c r="AV144" s="49" t="s">
        <v>100</v>
      </c>
      <c r="AW144" s="49" t="s">
        <v>100</v>
      </c>
      <c r="AX144" s="49">
        <v>0</v>
      </c>
      <c r="AY144" s="49">
        <v>0</v>
      </c>
      <c r="AZ144" s="74">
        <v>1</v>
      </c>
      <c r="BA144" s="74">
        <v>3</v>
      </c>
      <c r="BB144" s="49">
        <v>0</v>
      </c>
      <c r="BC144" s="74">
        <v>0</v>
      </c>
      <c r="BD144" s="74">
        <v>0</v>
      </c>
      <c r="BE144" s="74">
        <v>0</v>
      </c>
      <c r="BF144" s="74">
        <v>0</v>
      </c>
      <c r="BG144" s="74">
        <v>1</v>
      </c>
      <c r="BH144" s="49">
        <v>0</v>
      </c>
      <c r="BI144" s="49">
        <v>0</v>
      </c>
      <c r="BJ144" s="74">
        <v>0</v>
      </c>
      <c r="BK144" s="74">
        <v>0</v>
      </c>
      <c r="BL144" s="74">
        <v>0</v>
      </c>
      <c r="BM144" s="49" t="s">
        <v>100</v>
      </c>
      <c r="BN144" s="49"/>
      <c r="BO144" s="49">
        <v>0</v>
      </c>
      <c r="BP144" s="49">
        <v>0</v>
      </c>
      <c r="BQ144" s="49">
        <v>0</v>
      </c>
      <c r="BR144" s="49">
        <v>0</v>
      </c>
      <c r="BS144" s="49">
        <v>0</v>
      </c>
      <c r="BT144" s="49">
        <v>0</v>
      </c>
      <c r="BU144" s="49">
        <v>0</v>
      </c>
      <c r="BV144" s="49">
        <v>0</v>
      </c>
      <c r="BW144" s="49">
        <v>0</v>
      </c>
      <c r="BX144" s="49">
        <v>0</v>
      </c>
      <c r="BY144" s="74">
        <v>2</v>
      </c>
      <c r="BZ144" s="49">
        <v>0</v>
      </c>
      <c r="CA144" s="49">
        <v>0</v>
      </c>
      <c r="CB144" s="49" t="s">
        <v>100</v>
      </c>
      <c r="CC144" s="49">
        <v>0</v>
      </c>
      <c r="CD144" s="49" t="s">
        <v>100</v>
      </c>
      <c r="CE144" s="49">
        <v>0</v>
      </c>
      <c r="CF144" s="74">
        <v>1</v>
      </c>
      <c r="CG144" s="49">
        <v>0</v>
      </c>
      <c r="CH144" s="74">
        <v>0</v>
      </c>
      <c r="CI144" s="49">
        <v>0</v>
      </c>
      <c r="CJ144" s="49" t="s">
        <v>100</v>
      </c>
      <c r="CK144" s="49">
        <v>0</v>
      </c>
      <c r="CL144" s="49"/>
      <c r="CM144" s="49"/>
      <c r="CN144" s="49">
        <v>0</v>
      </c>
      <c r="CO144" s="49">
        <v>0</v>
      </c>
      <c r="CP144" s="49">
        <v>0</v>
      </c>
      <c r="CQ144" s="49">
        <v>0</v>
      </c>
      <c r="CR144" s="49">
        <v>0</v>
      </c>
      <c r="CS144" s="49">
        <v>0</v>
      </c>
      <c r="CT144" s="49">
        <v>0</v>
      </c>
      <c r="CU144" s="49">
        <v>0</v>
      </c>
      <c r="CV144" s="49">
        <v>0</v>
      </c>
      <c r="CW144" s="49">
        <v>0</v>
      </c>
      <c r="CX144" s="74">
        <v>1</v>
      </c>
      <c r="CY144" s="49">
        <v>0</v>
      </c>
      <c r="CZ144" s="74">
        <v>0</v>
      </c>
      <c r="DA144" s="49">
        <v>0</v>
      </c>
      <c r="DB144" s="74">
        <v>1</v>
      </c>
      <c r="DC144" s="74">
        <v>0</v>
      </c>
      <c r="DD144" s="49"/>
      <c r="DE144" s="49"/>
      <c r="DF144" s="49"/>
      <c r="DG144" s="49"/>
      <c r="DH144" s="49"/>
      <c r="DI144" s="49"/>
      <c r="DJ144" s="74">
        <v>1</v>
      </c>
      <c r="DK144" s="49">
        <v>0</v>
      </c>
      <c r="DL144" s="49" t="s">
        <v>100</v>
      </c>
      <c r="DM144" s="74">
        <v>1</v>
      </c>
      <c r="DN144" s="49">
        <v>0</v>
      </c>
      <c r="DO144" s="49" t="s">
        <v>100</v>
      </c>
      <c r="DP144" s="74">
        <v>1</v>
      </c>
      <c r="DQ144" s="74">
        <v>0</v>
      </c>
      <c r="DR144" s="49">
        <v>0</v>
      </c>
      <c r="DS144" s="74">
        <v>2</v>
      </c>
      <c r="DT144" s="74">
        <v>4</v>
      </c>
      <c r="DU144" s="74">
        <v>1</v>
      </c>
      <c r="DV144" s="49" t="s">
        <v>644</v>
      </c>
      <c r="DW144" s="74">
        <v>1</v>
      </c>
      <c r="DX144" s="74">
        <v>0</v>
      </c>
      <c r="DY144" s="49">
        <v>2</v>
      </c>
      <c r="DZ144" s="49">
        <v>0</v>
      </c>
    </row>
    <row r="145" spans="1:130">
      <c r="A145" s="50">
        <v>143</v>
      </c>
      <c r="B145" s="50" t="s">
        <v>645</v>
      </c>
      <c r="C145" s="50" t="s">
        <v>646</v>
      </c>
      <c r="D145" s="72">
        <v>42340</v>
      </c>
      <c r="E145" s="49" t="s">
        <v>123</v>
      </c>
      <c r="F145" s="73">
        <v>2</v>
      </c>
      <c r="G145" s="74">
        <v>12</v>
      </c>
      <c r="H145" s="74">
        <v>2015</v>
      </c>
      <c r="I145" s="49" t="s">
        <v>643</v>
      </c>
      <c r="J145" s="49" t="s">
        <v>3387</v>
      </c>
      <c r="K145" s="74">
        <v>5</v>
      </c>
      <c r="L145" s="73">
        <v>3</v>
      </c>
      <c r="M145" s="74">
        <v>0</v>
      </c>
      <c r="N145" s="74">
        <v>6</v>
      </c>
      <c r="O145" s="74">
        <v>1</v>
      </c>
      <c r="P145" s="74">
        <v>8</v>
      </c>
      <c r="Q145" s="49">
        <v>0</v>
      </c>
      <c r="R145" s="49">
        <v>0</v>
      </c>
      <c r="S145" s="74">
        <v>14</v>
      </c>
      <c r="T145" s="74">
        <v>22</v>
      </c>
      <c r="U145" s="74">
        <v>0</v>
      </c>
      <c r="V145" s="49">
        <v>29</v>
      </c>
      <c r="W145" s="49">
        <v>1</v>
      </c>
      <c r="X145" s="74">
        <v>4</v>
      </c>
      <c r="Y145" s="74">
        <v>1</v>
      </c>
      <c r="Z145" s="74">
        <v>0</v>
      </c>
      <c r="AA145" s="74">
        <v>2</v>
      </c>
      <c r="AB145" s="49">
        <v>3</v>
      </c>
      <c r="AC145" s="74">
        <v>2</v>
      </c>
      <c r="AD145" s="49" t="s">
        <v>3290</v>
      </c>
      <c r="AE145" s="49"/>
      <c r="AF145" s="74">
        <v>5</v>
      </c>
      <c r="AG145" s="49"/>
      <c r="AH145" s="49"/>
      <c r="AI145" s="74">
        <v>2</v>
      </c>
      <c r="AJ145" s="74">
        <v>1</v>
      </c>
      <c r="AK145" s="49">
        <v>0</v>
      </c>
      <c r="AL145" s="49"/>
      <c r="AM145" s="49">
        <v>0</v>
      </c>
      <c r="AN145" s="49" t="s">
        <v>100</v>
      </c>
      <c r="AO145" s="74">
        <v>0</v>
      </c>
      <c r="AP145" s="49"/>
      <c r="AQ145" s="74">
        <v>0</v>
      </c>
      <c r="AR145" s="49">
        <v>0</v>
      </c>
      <c r="AS145" s="49">
        <v>0</v>
      </c>
      <c r="AT145" s="49">
        <v>0</v>
      </c>
      <c r="AU145" s="49" t="s">
        <v>100</v>
      </c>
      <c r="AV145" s="49" t="s">
        <v>100</v>
      </c>
      <c r="AW145" s="49" t="s">
        <v>100</v>
      </c>
      <c r="AX145" s="49">
        <v>0</v>
      </c>
      <c r="AY145" s="49">
        <v>0</v>
      </c>
      <c r="AZ145" s="49">
        <v>1</v>
      </c>
      <c r="BA145" s="74">
        <v>3</v>
      </c>
      <c r="BB145" s="49">
        <v>0</v>
      </c>
      <c r="BC145" s="74">
        <v>0</v>
      </c>
      <c r="BD145" s="74">
        <v>0</v>
      </c>
      <c r="BE145" s="49">
        <v>0</v>
      </c>
      <c r="BF145" s="74">
        <v>0</v>
      </c>
      <c r="BG145" s="49"/>
      <c r="BH145" s="49">
        <v>2</v>
      </c>
      <c r="BI145" s="49">
        <v>0</v>
      </c>
      <c r="BJ145" s="74">
        <v>0</v>
      </c>
      <c r="BK145" s="49">
        <v>0</v>
      </c>
      <c r="BL145" s="74">
        <v>0</v>
      </c>
      <c r="BM145" s="49" t="s">
        <v>100</v>
      </c>
      <c r="BN145" s="49"/>
      <c r="BO145" s="49">
        <v>0</v>
      </c>
      <c r="BP145" s="49">
        <v>0</v>
      </c>
      <c r="BQ145" s="49">
        <v>0</v>
      </c>
      <c r="BR145" s="49">
        <v>0</v>
      </c>
      <c r="BS145" s="49">
        <v>0</v>
      </c>
      <c r="BT145" s="49">
        <v>0</v>
      </c>
      <c r="BU145" s="49">
        <v>0</v>
      </c>
      <c r="BV145" s="49">
        <v>0</v>
      </c>
      <c r="BW145" s="49">
        <v>0</v>
      </c>
      <c r="BX145" s="49">
        <v>0</v>
      </c>
      <c r="BY145" s="74">
        <v>2</v>
      </c>
      <c r="BZ145" s="49">
        <v>0</v>
      </c>
      <c r="CA145" s="49">
        <v>0</v>
      </c>
      <c r="CB145" s="49" t="s">
        <v>100</v>
      </c>
      <c r="CC145" s="49">
        <v>0</v>
      </c>
      <c r="CD145" s="49" t="s">
        <v>100</v>
      </c>
      <c r="CE145" s="49">
        <v>0</v>
      </c>
      <c r="CF145" s="49">
        <v>0</v>
      </c>
      <c r="CG145" s="49">
        <v>0</v>
      </c>
      <c r="CH145" s="49">
        <v>0</v>
      </c>
      <c r="CI145" s="49">
        <v>0</v>
      </c>
      <c r="CJ145" s="49" t="s">
        <v>100</v>
      </c>
      <c r="CK145" s="49">
        <v>4</v>
      </c>
      <c r="CL145" s="49"/>
      <c r="CM145" s="49"/>
      <c r="CN145" s="49">
        <v>0</v>
      </c>
      <c r="CO145" s="49">
        <v>0</v>
      </c>
      <c r="CP145" s="49">
        <v>0</v>
      </c>
      <c r="CQ145" s="49">
        <v>0</v>
      </c>
      <c r="CR145" s="49">
        <v>0</v>
      </c>
      <c r="CS145" s="49">
        <v>0</v>
      </c>
      <c r="CT145" s="49">
        <v>0</v>
      </c>
      <c r="CU145" s="49">
        <v>0</v>
      </c>
      <c r="CV145" s="49">
        <v>0</v>
      </c>
      <c r="CW145" s="49">
        <v>0</v>
      </c>
      <c r="CX145" s="74">
        <v>1</v>
      </c>
      <c r="CY145" s="49">
        <v>0</v>
      </c>
      <c r="CZ145" s="74">
        <v>0</v>
      </c>
      <c r="DA145" s="49">
        <v>0</v>
      </c>
      <c r="DB145" s="74">
        <v>1</v>
      </c>
      <c r="DC145" s="74">
        <v>0</v>
      </c>
      <c r="DD145" s="49"/>
      <c r="DE145" s="49"/>
      <c r="DF145" s="49"/>
      <c r="DG145" s="49"/>
      <c r="DH145" s="49"/>
      <c r="DI145" s="49"/>
      <c r="DJ145" s="74">
        <v>1</v>
      </c>
      <c r="DK145" s="49">
        <v>0</v>
      </c>
      <c r="DL145" s="49" t="s">
        <v>100</v>
      </c>
      <c r="DM145" s="74">
        <v>1</v>
      </c>
      <c r="DN145" s="49">
        <v>0</v>
      </c>
      <c r="DO145" s="49" t="s">
        <v>100</v>
      </c>
      <c r="DP145" s="74">
        <v>1</v>
      </c>
      <c r="DQ145" s="74">
        <v>0</v>
      </c>
      <c r="DR145" s="49">
        <v>0</v>
      </c>
      <c r="DS145" s="74">
        <v>1</v>
      </c>
      <c r="DT145" s="74">
        <v>4</v>
      </c>
      <c r="DU145" s="74">
        <v>1</v>
      </c>
      <c r="DV145" s="49" t="s">
        <v>644</v>
      </c>
      <c r="DW145" s="49">
        <v>1</v>
      </c>
      <c r="DX145" s="74">
        <v>0</v>
      </c>
      <c r="DY145" s="49">
        <v>2</v>
      </c>
      <c r="DZ145" s="49">
        <v>0</v>
      </c>
    </row>
    <row r="146" spans="1:130">
      <c r="A146" s="50">
        <v>144</v>
      </c>
      <c r="B146" s="50" t="s">
        <v>647</v>
      </c>
      <c r="C146" s="50" t="s">
        <v>648</v>
      </c>
      <c r="D146" s="72">
        <v>42420</v>
      </c>
      <c r="E146" s="49" t="s">
        <v>103</v>
      </c>
      <c r="F146" s="73">
        <v>20</v>
      </c>
      <c r="G146" s="74">
        <v>2</v>
      </c>
      <c r="H146" s="74">
        <v>2016</v>
      </c>
      <c r="I146" s="49" t="s">
        <v>649</v>
      </c>
      <c r="J146" s="49" t="s">
        <v>650</v>
      </c>
      <c r="K146" s="73">
        <v>22</v>
      </c>
      <c r="L146" s="73">
        <v>1</v>
      </c>
      <c r="M146" s="74">
        <v>0</v>
      </c>
      <c r="N146" s="74">
        <v>5</v>
      </c>
      <c r="O146" s="74">
        <v>1</v>
      </c>
      <c r="P146" s="74">
        <v>4</v>
      </c>
      <c r="Q146" s="49">
        <v>0</v>
      </c>
      <c r="R146" s="49">
        <v>0</v>
      </c>
      <c r="S146" s="73">
        <v>6</v>
      </c>
      <c r="T146" s="74">
        <v>2</v>
      </c>
      <c r="U146" s="74">
        <v>0</v>
      </c>
      <c r="V146" s="49">
        <v>45</v>
      </c>
      <c r="W146" s="49">
        <v>0</v>
      </c>
      <c r="X146" s="49">
        <v>0</v>
      </c>
      <c r="Y146" s="75">
        <v>0</v>
      </c>
      <c r="Z146" s="74">
        <v>0</v>
      </c>
      <c r="AA146" s="75"/>
      <c r="AB146" s="49">
        <v>2</v>
      </c>
      <c r="AC146" s="74">
        <v>1</v>
      </c>
      <c r="AD146" s="49" t="s">
        <v>3291</v>
      </c>
      <c r="AE146" s="74">
        <v>0</v>
      </c>
      <c r="AF146" s="74">
        <v>0</v>
      </c>
      <c r="AG146" s="74">
        <v>0</v>
      </c>
      <c r="AH146" s="74">
        <v>0</v>
      </c>
      <c r="AI146" s="74">
        <v>2</v>
      </c>
      <c r="AJ146" s="74">
        <v>1</v>
      </c>
      <c r="AK146" s="49">
        <v>1</v>
      </c>
      <c r="AL146" s="74">
        <v>2</v>
      </c>
      <c r="AM146" s="49">
        <v>0</v>
      </c>
      <c r="AN146" s="49" t="s">
        <v>100</v>
      </c>
      <c r="AO146" s="74">
        <v>0</v>
      </c>
      <c r="AP146" s="49"/>
      <c r="AQ146" s="49">
        <v>0</v>
      </c>
      <c r="AR146" s="74">
        <v>0</v>
      </c>
      <c r="AS146" s="74">
        <v>1</v>
      </c>
      <c r="AT146" s="74">
        <v>0</v>
      </c>
      <c r="AU146" s="75" t="s">
        <v>100</v>
      </c>
      <c r="AV146" s="75" t="s">
        <v>100</v>
      </c>
      <c r="AW146" s="75" t="s">
        <v>100</v>
      </c>
      <c r="AX146" s="74">
        <v>0</v>
      </c>
      <c r="AY146" s="49">
        <v>0</v>
      </c>
      <c r="AZ146" s="49">
        <v>0</v>
      </c>
      <c r="BA146" s="74">
        <v>0</v>
      </c>
      <c r="BB146" s="49">
        <v>0</v>
      </c>
      <c r="BC146" s="74">
        <v>0</v>
      </c>
      <c r="BD146" s="74">
        <v>0</v>
      </c>
      <c r="BE146" s="74">
        <v>0</v>
      </c>
      <c r="BF146" s="74">
        <v>0</v>
      </c>
      <c r="BG146" s="75"/>
      <c r="BH146" s="74">
        <v>1</v>
      </c>
      <c r="BI146" s="49">
        <v>0</v>
      </c>
      <c r="BJ146" s="74">
        <v>0</v>
      </c>
      <c r="BK146" s="74">
        <v>0</v>
      </c>
      <c r="BL146" s="49">
        <v>1</v>
      </c>
      <c r="BM146" s="49">
        <v>0</v>
      </c>
      <c r="BN146" s="49" t="s">
        <v>3005</v>
      </c>
      <c r="BO146" s="49">
        <v>0</v>
      </c>
      <c r="BP146" s="49">
        <v>0</v>
      </c>
      <c r="BQ146" s="49">
        <v>1</v>
      </c>
      <c r="BR146" s="49">
        <v>0</v>
      </c>
      <c r="BS146" s="49">
        <v>0</v>
      </c>
      <c r="BT146" s="49">
        <v>1</v>
      </c>
      <c r="BU146" s="49">
        <v>0</v>
      </c>
      <c r="BV146" s="49">
        <v>0</v>
      </c>
      <c r="BW146" s="49">
        <v>0</v>
      </c>
      <c r="BX146" s="49">
        <v>0</v>
      </c>
      <c r="BY146" s="74">
        <v>0</v>
      </c>
      <c r="BZ146" s="49">
        <v>0</v>
      </c>
      <c r="CA146" s="74">
        <v>0</v>
      </c>
      <c r="CB146" s="49" t="s">
        <v>100</v>
      </c>
      <c r="CC146" s="74">
        <v>0</v>
      </c>
      <c r="CD146" s="49" t="s">
        <v>100</v>
      </c>
      <c r="CE146" s="74">
        <v>5</v>
      </c>
      <c r="CF146" s="49">
        <v>0</v>
      </c>
      <c r="CG146" s="49">
        <v>0</v>
      </c>
      <c r="CH146" s="49">
        <v>0</v>
      </c>
      <c r="CI146" s="49">
        <v>0</v>
      </c>
      <c r="CJ146" s="49" t="s">
        <v>100</v>
      </c>
      <c r="CK146" s="49">
        <v>0</v>
      </c>
      <c r="CL146" s="49"/>
      <c r="CM146" s="49"/>
      <c r="CN146" s="49">
        <v>0</v>
      </c>
      <c r="CO146" s="49">
        <v>0</v>
      </c>
      <c r="CP146" s="49">
        <v>0</v>
      </c>
      <c r="CQ146" s="49">
        <v>0</v>
      </c>
      <c r="CR146" s="49">
        <v>0</v>
      </c>
      <c r="CS146" s="49">
        <v>0</v>
      </c>
      <c r="CT146" s="49">
        <v>0</v>
      </c>
      <c r="CU146" s="49">
        <v>0</v>
      </c>
      <c r="CV146" s="49">
        <v>0</v>
      </c>
      <c r="CW146" s="49">
        <v>0</v>
      </c>
      <c r="CX146" s="49">
        <v>1</v>
      </c>
      <c r="CY146" s="49">
        <v>0</v>
      </c>
      <c r="CZ146" s="74">
        <v>0</v>
      </c>
      <c r="DA146" s="74">
        <v>3</v>
      </c>
      <c r="DB146" s="49">
        <v>0</v>
      </c>
      <c r="DC146" s="49">
        <v>0</v>
      </c>
      <c r="DD146" s="49"/>
      <c r="DE146" s="49"/>
      <c r="DF146" s="49"/>
      <c r="DG146" s="49"/>
      <c r="DH146" s="49"/>
      <c r="DI146" s="49"/>
      <c r="DJ146" s="49">
        <v>0</v>
      </c>
      <c r="DK146" s="49">
        <v>0</v>
      </c>
      <c r="DL146" s="49" t="s">
        <v>100</v>
      </c>
      <c r="DM146" s="74">
        <v>0</v>
      </c>
      <c r="DN146" s="49">
        <v>0</v>
      </c>
      <c r="DO146" s="49" t="s">
        <v>100</v>
      </c>
      <c r="DP146" s="74">
        <v>0</v>
      </c>
      <c r="DQ146" s="74">
        <v>0</v>
      </c>
      <c r="DR146" s="74">
        <v>1</v>
      </c>
      <c r="DS146" s="74">
        <v>3</v>
      </c>
      <c r="DT146" s="74">
        <v>2</v>
      </c>
      <c r="DU146" s="74">
        <v>1</v>
      </c>
      <c r="DV146" s="49" t="s">
        <v>574</v>
      </c>
      <c r="DW146" s="49">
        <v>2</v>
      </c>
      <c r="DX146" s="74">
        <v>0</v>
      </c>
      <c r="DY146" s="74">
        <v>0</v>
      </c>
      <c r="DZ146" s="74">
        <v>2</v>
      </c>
    </row>
    <row r="147" spans="1:130">
      <c r="A147" s="59" t="s">
        <v>2149</v>
      </c>
      <c r="B147" s="59"/>
      <c r="C147" s="59"/>
      <c r="D147" s="72">
        <v>42438</v>
      </c>
      <c r="E147" s="49" t="s">
        <v>123</v>
      </c>
      <c r="F147" s="73">
        <v>9</v>
      </c>
      <c r="G147" s="73">
        <v>3</v>
      </c>
      <c r="H147" s="74">
        <v>2016</v>
      </c>
      <c r="I147" s="49" t="s">
        <v>651</v>
      </c>
      <c r="J147" s="49" t="s">
        <v>652</v>
      </c>
      <c r="K147" s="73">
        <v>38</v>
      </c>
      <c r="L147" s="73">
        <v>2</v>
      </c>
      <c r="M147" s="74">
        <v>1</v>
      </c>
      <c r="N147" s="74">
        <v>7</v>
      </c>
      <c r="O147" s="74">
        <v>0</v>
      </c>
      <c r="P147" s="73" t="s">
        <v>100</v>
      </c>
      <c r="Q147" s="49">
        <v>0</v>
      </c>
      <c r="R147" s="49"/>
      <c r="S147" s="74">
        <v>5</v>
      </c>
      <c r="T147" s="74">
        <v>3</v>
      </c>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row>
    <row r="148" spans="1:130">
      <c r="A148" s="50">
        <v>147</v>
      </c>
      <c r="B148" s="50" t="s">
        <v>653</v>
      </c>
      <c r="C148" s="50" t="s">
        <v>551</v>
      </c>
      <c r="D148" s="72">
        <v>42533</v>
      </c>
      <c r="E148" s="49" t="s">
        <v>137</v>
      </c>
      <c r="F148" s="73">
        <v>12</v>
      </c>
      <c r="G148" s="74">
        <v>6</v>
      </c>
      <c r="H148" s="74">
        <v>2016</v>
      </c>
      <c r="I148" s="49" t="s">
        <v>654</v>
      </c>
      <c r="J148" s="49" t="s">
        <v>883</v>
      </c>
      <c r="K148" s="74">
        <v>9</v>
      </c>
      <c r="L148" s="74">
        <v>0</v>
      </c>
      <c r="M148" s="74">
        <v>0</v>
      </c>
      <c r="N148" s="74">
        <v>5</v>
      </c>
      <c r="O148" s="74">
        <v>0</v>
      </c>
      <c r="P148" s="73" t="s">
        <v>100</v>
      </c>
      <c r="Q148" s="49">
        <v>0</v>
      </c>
      <c r="R148" s="49">
        <v>0</v>
      </c>
      <c r="S148" s="74">
        <v>49</v>
      </c>
      <c r="T148" s="74">
        <v>53</v>
      </c>
      <c r="U148" s="74">
        <v>1</v>
      </c>
      <c r="V148" s="74">
        <v>29</v>
      </c>
      <c r="W148" s="74">
        <v>0</v>
      </c>
      <c r="X148" s="74">
        <v>4</v>
      </c>
      <c r="Y148" s="74">
        <v>0</v>
      </c>
      <c r="Z148" s="74">
        <v>1</v>
      </c>
      <c r="AA148" s="74">
        <v>2</v>
      </c>
      <c r="AB148" s="74">
        <v>2</v>
      </c>
      <c r="AC148" s="74">
        <v>1</v>
      </c>
      <c r="AD148" s="49" t="s">
        <v>3292</v>
      </c>
      <c r="AE148" s="74">
        <v>2</v>
      </c>
      <c r="AF148" s="74">
        <v>3</v>
      </c>
      <c r="AG148" s="74">
        <v>1</v>
      </c>
      <c r="AH148" s="74">
        <v>2</v>
      </c>
      <c r="AI148" s="74">
        <v>2</v>
      </c>
      <c r="AJ148" s="74">
        <v>1</v>
      </c>
      <c r="AK148" s="74">
        <v>1</v>
      </c>
      <c r="AL148" s="74">
        <v>0</v>
      </c>
      <c r="AM148" s="74">
        <v>0</v>
      </c>
      <c r="AN148" s="49" t="s">
        <v>100</v>
      </c>
      <c r="AO148" s="74">
        <v>1</v>
      </c>
      <c r="AP148" s="49" t="s">
        <v>3242</v>
      </c>
      <c r="AQ148" s="74">
        <v>1</v>
      </c>
      <c r="AR148" s="49">
        <v>0</v>
      </c>
      <c r="AS148" s="74">
        <v>1</v>
      </c>
      <c r="AT148" s="74">
        <v>1</v>
      </c>
      <c r="AU148" s="49">
        <v>1</v>
      </c>
      <c r="AV148" s="49">
        <v>3</v>
      </c>
      <c r="AW148" s="49"/>
      <c r="AX148" s="49">
        <v>0</v>
      </c>
      <c r="AY148" s="49">
        <v>0</v>
      </c>
      <c r="AZ148" s="74">
        <v>1</v>
      </c>
      <c r="BA148" s="74">
        <v>3</v>
      </c>
      <c r="BB148" s="74">
        <v>2</v>
      </c>
      <c r="BC148" s="74">
        <v>1</v>
      </c>
      <c r="BD148" s="74">
        <v>1</v>
      </c>
      <c r="BE148" s="74">
        <v>0</v>
      </c>
      <c r="BF148" s="74">
        <v>0</v>
      </c>
      <c r="BG148" s="74">
        <v>1</v>
      </c>
      <c r="BH148" s="49">
        <v>2</v>
      </c>
      <c r="BI148" s="49">
        <v>0</v>
      </c>
      <c r="BJ148" s="74">
        <v>0</v>
      </c>
      <c r="BK148" s="74">
        <v>0</v>
      </c>
      <c r="BL148" s="74">
        <v>1</v>
      </c>
      <c r="BM148" s="49">
        <v>1</v>
      </c>
      <c r="BN148" s="49" t="s">
        <v>2969</v>
      </c>
      <c r="BO148" s="49">
        <v>0</v>
      </c>
      <c r="BP148" s="49">
        <v>0</v>
      </c>
      <c r="BQ148" s="49">
        <v>0</v>
      </c>
      <c r="BR148" s="49">
        <v>0</v>
      </c>
      <c r="BS148" s="49">
        <v>1</v>
      </c>
      <c r="BT148" s="49">
        <v>1</v>
      </c>
      <c r="BU148" s="49">
        <v>1</v>
      </c>
      <c r="BV148" s="49">
        <v>0</v>
      </c>
      <c r="BW148" s="49">
        <v>0</v>
      </c>
      <c r="BX148" s="49">
        <v>0</v>
      </c>
      <c r="BY148" s="74">
        <v>2</v>
      </c>
      <c r="BZ148" s="49">
        <v>0</v>
      </c>
      <c r="CA148" s="49">
        <v>0</v>
      </c>
      <c r="CB148" s="49" t="s">
        <v>100</v>
      </c>
      <c r="CC148" s="49">
        <v>0</v>
      </c>
      <c r="CD148" s="49" t="s">
        <v>100</v>
      </c>
      <c r="CE148" s="74">
        <v>5</v>
      </c>
      <c r="CF148" s="74">
        <v>1</v>
      </c>
      <c r="CG148" s="49">
        <v>0</v>
      </c>
      <c r="CH148" s="49">
        <v>4</v>
      </c>
      <c r="CI148" s="49">
        <v>0</v>
      </c>
      <c r="CJ148" s="49" t="s">
        <v>100</v>
      </c>
      <c r="CK148" s="49">
        <v>1</v>
      </c>
      <c r="CL148" s="49">
        <v>2</v>
      </c>
      <c r="CM148" s="49">
        <v>3</v>
      </c>
      <c r="CN148" s="49">
        <v>0</v>
      </c>
      <c r="CO148" s="49">
        <v>0</v>
      </c>
      <c r="CP148" s="49">
        <v>0</v>
      </c>
      <c r="CQ148" s="49">
        <v>0</v>
      </c>
      <c r="CR148" s="49">
        <v>0</v>
      </c>
      <c r="CS148" s="49">
        <v>0</v>
      </c>
      <c r="CT148" s="49">
        <v>0</v>
      </c>
      <c r="CU148" s="49">
        <v>0</v>
      </c>
      <c r="CV148" s="49">
        <v>0</v>
      </c>
      <c r="CW148" s="74">
        <v>1</v>
      </c>
      <c r="CX148" s="49">
        <v>1</v>
      </c>
      <c r="CY148" s="49">
        <v>0</v>
      </c>
      <c r="CZ148" s="74">
        <v>0</v>
      </c>
      <c r="DA148" s="49">
        <v>0</v>
      </c>
      <c r="DB148" s="74">
        <v>1</v>
      </c>
      <c r="DC148" s="74">
        <v>1</v>
      </c>
      <c r="DD148" s="49">
        <v>0</v>
      </c>
      <c r="DE148" s="49">
        <v>2</v>
      </c>
      <c r="DF148" s="49">
        <v>1</v>
      </c>
      <c r="DG148" s="49"/>
      <c r="DH148" s="49"/>
      <c r="DI148" s="49"/>
      <c r="DJ148" s="74">
        <v>1</v>
      </c>
      <c r="DK148" s="49">
        <v>0</v>
      </c>
      <c r="DL148" s="49" t="s">
        <v>100</v>
      </c>
      <c r="DM148" s="74">
        <v>0</v>
      </c>
      <c r="DN148" s="49">
        <v>0</v>
      </c>
      <c r="DO148" s="49" t="s">
        <v>100</v>
      </c>
      <c r="DP148" s="74">
        <v>1</v>
      </c>
      <c r="DQ148" s="74">
        <v>1</v>
      </c>
      <c r="DR148" s="49">
        <v>1</v>
      </c>
      <c r="DS148" s="74">
        <v>2</v>
      </c>
      <c r="DT148" s="74">
        <v>2</v>
      </c>
      <c r="DU148" s="74">
        <v>0</v>
      </c>
      <c r="DV148" s="49" t="s">
        <v>100</v>
      </c>
      <c r="DW148" s="74">
        <v>1</v>
      </c>
      <c r="DX148" s="74">
        <v>0</v>
      </c>
      <c r="DY148" s="49">
        <v>2</v>
      </c>
      <c r="DZ148" s="49">
        <v>0</v>
      </c>
    </row>
    <row r="149" spans="1:130">
      <c r="A149" s="50">
        <v>148</v>
      </c>
      <c r="B149" s="50" t="s">
        <v>371</v>
      </c>
      <c r="C149" s="50" t="s">
        <v>655</v>
      </c>
      <c r="D149" s="72">
        <v>42558</v>
      </c>
      <c r="E149" s="49" t="s">
        <v>178</v>
      </c>
      <c r="F149" s="73">
        <v>7</v>
      </c>
      <c r="G149" s="73">
        <v>7</v>
      </c>
      <c r="H149" s="49">
        <v>2016</v>
      </c>
      <c r="I149" s="49" t="s">
        <v>656</v>
      </c>
      <c r="J149" s="49" t="s">
        <v>218</v>
      </c>
      <c r="K149" s="73">
        <v>43</v>
      </c>
      <c r="L149" s="73">
        <v>0</v>
      </c>
      <c r="M149" s="73">
        <v>0</v>
      </c>
      <c r="N149" s="74">
        <v>8</v>
      </c>
      <c r="O149" s="73">
        <v>0</v>
      </c>
      <c r="P149" s="73" t="s">
        <v>100</v>
      </c>
      <c r="Q149" s="49">
        <v>1</v>
      </c>
      <c r="R149" s="49">
        <v>1</v>
      </c>
      <c r="S149" s="73">
        <v>5</v>
      </c>
      <c r="T149" s="73">
        <v>7</v>
      </c>
      <c r="U149" s="74">
        <v>0</v>
      </c>
      <c r="V149" s="49">
        <v>25</v>
      </c>
      <c r="W149" s="49">
        <v>0</v>
      </c>
      <c r="X149" s="74">
        <v>1</v>
      </c>
      <c r="Y149" s="49">
        <v>0</v>
      </c>
      <c r="Z149" s="49">
        <v>0</v>
      </c>
      <c r="AA149" s="49">
        <v>1</v>
      </c>
      <c r="AB149" s="49">
        <v>1</v>
      </c>
      <c r="AC149" s="74">
        <v>0</v>
      </c>
      <c r="AD149" s="49" t="s">
        <v>3293</v>
      </c>
      <c r="AE149" s="74">
        <v>1</v>
      </c>
      <c r="AF149" s="74">
        <v>2</v>
      </c>
      <c r="AG149" s="74">
        <v>0</v>
      </c>
      <c r="AH149" s="74">
        <v>2</v>
      </c>
      <c r="AI149" s="49">
        <v>0</v>
      </c>
      <c r="AJ149" s="49">
        <v>0</v>
      </c>
      <c r="AK149" s="49">
        <v>1</v>
      </c>
      <c r="AL149" s="49">
        <v>0</v>
      </c>
      <c r="AM149" s="49">
        <v>1</v>
      </c>
      <c r="AN149" s="74">
        <v>0</v>
      </c>
      <c r="AO149" s="74">
        <v>1</v>
      </c>
      <c r="AP149" s="49" t="s">
        <v>3294</v>
      </c>
      <c r="AQ149" s="74">
        <v>0</v>
      </c>
      <c r="AR149" s="49">
        <v>0</v>
      </c>
      <c r="AS149" s="49">
        <v>1</v>
      </c>
      <c r="AT149" s="49">
        <v>0</v>
      </c>
      <c r="AU149" s="49" t="s">
        <v>100</v>
      </c>
      <c r="AV149" s="49" t="s">
        <v>100</v>
      </c>
      <c r="AW149" s="49" t="s">
        <v>100</v>
      </c>
      <c r="AX149" s="74">
        <v>1</v>
      </c>
      <c r="AY149" s="49">
        <v>0</v>
      </c>
      <c r="AZ149" s="74">
        <v>0</v>
      </c>
      <c r="BA149" s="74">
        <v>1</v>
      </c>
      <c r="BB149" s="74">
        <v>1</v>
      </c>
      <c r="BC149" s="49">
        <v>0</v>
      </c>
      <c r="BD149" s="49">
        <v>0</v>
      </c>
      <c r="BE149" s="49">
        <v>1</v>
      </c>
      <c r="BF149" s="74">
        <v>0</v>
      </c>
      <c r="BG149" s="49"/>
      <c r="BH149" s="49">
        <v>1</v>
      </c>
      <c r="BI149" s="49">
        <v>0</v>
      </c>
      <c r="BJ149" s="49">
        <v>0</v>
      </c>
      <c r="BK149" s="74">
        <v>0</v>
      </c>
      <c r="BL149" s="49">
        <v>1</v>
      </c>
      <c r="BM149" s="49">
        <v>0</v>
      </c>
      <c r="BN149" s="49" t="s">
        <v>3155</v>
      </c>
      <c r="BO149" s="49">
        <v>1</v>
      </c>
      <c r="BP149" s="49">
        <v>0</v>
      </c>
      <c r="BQ149" s="49">
        <v>0</v>
      </c>
      <c r="BR149" s="49">
        <v>0</v>
      </c>
      <c r="BS149" s="49">
        <v>0</v>
      </c>
      <c r="BT149" s="49">
        <v>1</v>
      </c>
      <c r="BU149" s="49">
        <v>0</v>
      </c>
      <c r="BV149" s="49">
        <v>0</v>
      </c>
      <c r="BW149" s="49">
        <v>0</v>
      </c>
      <c r="BX149" s="49">
        <v>0</v>
      </c>
      <c r="BY149" s="49">
        <v>0</v>
      </c>
      <c r="BZ149" s="49">
        <v>0</v>
      </c>
      <c r="CA149" s="49">
        <v>0</v>
      </c>
      <c r="CB149" s="49" t="s">
        <v>100</v>
      </c>
      <c r="CC149" s="74">
        <v>1</v>
      </c>
      <c r="CD149" s="74">
        <v>0</v>
      </c>
      <c r="CE149" s="74">
        <v>3</v>
      </c>
      <c r="CF149" s="49">
        <v>0</v>
      </c>
      <c r="CG149" s="49">
        <v>0</v>
      </c>
      <c r="CH149" s="74">
        <v>1</v>
      </c>
      <c r="CI149" s="49">
        <v>0</v>
      </c>
      <c r="CJ149" s="49" t="s">
        <v>100</v>
      </c>
      <c r="CK149" s="49">
        <v>1</v>
      </c>
      <c r="CL149" s="49">
        <v>4</v>
      </c>
      <c r="CM149" s="49"/>
      <c r="CN149" s="49">
        <v>2</v>
      </c>
      <c r="CO149" s="49">
        <v>0</v>
      </c>
      <c r="CP149" s="49">
        <v>0</v>
      </c>
      <c r="CQ149" s="49">
        <v>0</v>
      </c>
      <c r="CR149" s="49">
        <v>0</v>
      </c>
      <c r="CS149" s="49">
        <v>0</v>
      </c>
      <c r="CT149" s="49">
        <v>0</v>
      </c>
      <c r="CU149" s="49">
        <v>0</v>
      </c>
      <c r="CV149" s="49">
        <v>0</v>
      </c>
      <c r="CW149" s="49">
        <v>0</v>
      </c>
      <c r="CX149" s="74">
        <v>1</v>
      </c>
      <c r="CY149" s="49">
        <v>0</v>
      </c>
      <c r="CZ149" s="74">
        <v>0</v>
      </c>
      <c r="DA149" s="49">
        <v>0</v>
      </c>
      <c r="DB149" s="49">
        <v>1</v>
      </c>
      <c r="DC149" s="74">
        <v>1</v>
      </c>
      <c r="DD149" s="49">
        <v>4</v>
      </c>
      <c r="DE149" s="49">
        <v>9</v>
      </c>
      <c r="DF149" s="49">
        <v>0</v>
      </c>
      <c r="DG149" s="49"/>
      <c r="DH149" s="49"/>
      <c r="DI149" s="49"/>
      <c r="DJ149" s="49">
        <v>1</v>
      </c>
      <c r="DK149" s="49">
        <v>0</v>
      </c>
      <c r="DL149" s="49" t="s">
        <v>100</v>
      </c>
      <c r="DM149" s="74">
        <v>0</v>
      </c>
      <c r="DN149" s="74">
        <v>2</v>
      </c>
      <c r="DO149" s="49" t="s">
        <v>3408</v>
      </c>
      <c r="DP149" s="74">
        <v>1</v>
      </c>
      <c r="DQ149" s="74">
        <v>0</v>
      </c>
      <c r="DR149" s="49">
        <v>1</v>
      </c>
      <c r="DS149" s="74">
        <v>3</v>
      </c>
      <c r="DT149" s="49">
        <v>3</v>
      </c>
      <c r="DU149" s="74">
        <v>1</v>
      </c>
      <c r="DV149" s="49" t="s">
        <v>657</v>
      </c>
      <c r="DW149" s="49">
        <v>1</v>
      </c>
      <c r="DX149" s="74">
        <v>0</v>
      </c>
      <c r="DY149" s="49">
        <v>2</v>
      </c>
      <c r="DZ149" s="49">
        <v>0</v>
      </c>
    </row>
    <row r="150" spans="1:130">
      <c r="A150" s="50">
        <v>149</v>
      </c>
      <c r="B150" s="50" t="s">
        <v>658</v>
      </c>
      <c r="C150" s="50" t="s">
        <v>659</v>
      </c>
      <c r="D150" s="72">
        <v>42636</v>
      </c>
      <c r="E150" s="49" t="s">
        <v>157</v>
      </c>
      <c r="F150" s="73">
        <v>23</v>
      </c>
      <c r="G150" s="74">
        <v>9</v>
      </c>
      <c r="H150" s="74">
        <v>2016</v>
      </c>
      <c r="I150" s="49" t="s">
        <v>660</v>
      </c>
      <c r="J150" s="49" t="s">
        <v>661</v>
      </c>
      <c r="K150" s="74">
        <v>47</v>
      </c>
      <c r="L150" s="73">
        <v>3</v>
      </c>
      <c r="M150" s="74">
        <v>1</v>
      </c>
      <c r="N150" s="74">
        <v>4</v>
      </c>
      <c r="O150" s="73">
        <v>0</v>
      </c>
      <c r="P150" s="73" t="s">
        <v>100</v>
      </c>
      <c r="Q150" s="49">
        <v>0</v>
      </c>
      <c r="R150" s="49">
        <v>0</v>
      </c>
      <c r="S150" s="74">
        <v>5</v>
      </c>
      <c r="T150" s="74">
        <v>0</v>
      </c>
      <c r="U150" s="74">
        <v>0</v>
      </c>
      <c r="V150" s="74">
        <v>20</v>
      </c>
      <c r="W150" s="74">
        <v>0</v>
      </c>
      <c r="X150" s="74">
        <v>4</v>
      </c>
      <c r="Y150" s="49">
        <v>1</v>
      </c>
      <c r="Z150" s="74">
        <v>0</v>
      </c>
      <c r="AA150" s="74">
        <v>2</v>
      </c>
      <c r="AB150" s="74">
        <v>1</v>
      </c>
      <c r="AC150" s="49"/>
      <c r="AD150" s="49"/>
      <c r="AE150" s="74">
        <v>0</v>
      </c>
      <c r="AF150" s="74">
        <v>0</v>
      </c>
      <c r="AG150" s="74">
        <v>0</v>
      </c>
      <c r="AH150" s="74">
        <v>0</v>
      </c>
      <c r="AI150" s="49">
        <v>0</v>
      </c>
      <c r="AJ150" s="74">
        <v>0</v>
      </c>
      <c r="AK150" s="74">
        <v>1</v>
      </c>
      <c r="AL150" s="49">
        <v>0</v>
      </c>
      <c r="AM150" s="74">
        <v>0</v>
      </c>
      <c r="AN150" s="49" t="s">
        <v>100</v>
      </c>
      <c r="AO150" s="74">
        <v>0</v>
      </c>
      <c r="AP150" s="49"/>
      <c r="AQ150" s="74">
        <v>1</v>
      </c>
      <c r="AR150" s="49">
        <v>0</v>
      </c>
      <c r="AS150" s="49">
        <v>1</v>
      </c>
      <c r="AT150" s="74">
        <v>3</v>
      </c>
      <c r="AU150" s="49">
        <v>1</v>
      </c>
      <c r="AV150" s="49">
        <v>2</v>
      </c>
      <c r="AW150" s="49">
        <v>3</v>
      </c>
      <c r="AX150" s="74">
        <v>1</v>
      </c>
      <c r="AY150" s="49">
        <v>0</v>
      </c>
      <c r="AZ150" s="74">
        <v>1</v>
      </c>
      <c r="BA150" s="74">
        <v>3</v>
      </c>
      <c r="BB150" s="74">
        <v>1</v>
      </c>
      <c r="BC150" s="74">
        <v>1</v>
      </c>
      <c r="BD150" s="74">
        <v>0</v>
      </c>
      <c r="BE150" s="49">
        <v>0</v>
      </c>
      <c r="BF150" s="74">
        <v>0</v>
      </c>
      <c r="BG150" s="74">
        <v>4</v>
      </c>
      <c r="BH150" s="49">
        <v>0</v>
      </c>
      <c r="BI150" s="49">
        <v>0</v>
      </c>
      <c r="BJ150" s="49">
        <v>0</v>
      </c>
      <c r="BK150" s="74">
        <v>1</v>
      </c>
      <c r="BL150" s="74">
        <v>1</v>
      </c>
      <c r="BM150" s="49">
        <v>3</v>
      </c>
      <c r="BN150" s="49" t="s">
        <v>3093</v>
      </c>
      <c r="BO150" s="49">
        <v>1</v>
      </c>
      <c r="BP150" s="49">
        <v>1</v>
      </c>
      <c r="BQ150" s="49">
        <v>0</v>
      </c>
      <c r="BR150" s="49">
        <v>0</v>
      </c>
      <c r="BS150" s="49">
        <v>1</v>
      </c>
      <c r="BT150" s="49">
        <v>1</v>
      </c>
      <c r="BU150" s="49">
        <v>1</v>
      </c>
      <c r="BV150" s="49">
        <v>1</v>
      </c>
      <c r="BW150" s="49">
        <v>0</v>
      </c>
      <c r="BX150" s="49">
        <v>0</v>
      </c>
      <c r="BY150" s="74">
        <v>1</v>
      </c>
      <c r="BZ150" s="74">
        <v>1</v>
      </c>
      <c r="CA150" s="74">
        <v>1</v>
      </c>
      <c r="CB150" s="74">
        <v>1</v>
      </c>
      <c r="CC150" s="49">
        <v>1</v>
      </c>
      <c r="CD150" s="74">
        <v>1</v>
      </c>
      <c r="CE150" s="74">
        <v>1</v>
      </c>
      <c r="CF150" s="49">
        <v>0</v>
      </c>
      <c r="CG150" s="74">
        <v>1</v>
      </c>
      <c r="CH150" s="74">
        <v>4</v>
      </c>
      <c r="CI150" s="74">
        <v>1</v>
      </c>
      <c r="CJ150" s="49" t="s">
        <v>3295</v>
      </c>
      <c r="CK150" s="49">
        <v>2</v>
      </c>
      <c r="CL150" s="49"/>
      <c r="CM150" s="49"/>
      <c r="CN150" s="49">
        <v>0</v>
      </c>
      <c r="CO150" s="49">
        <v>0</v>
      </c>
      <c r="CP150" s="49">
        <v>0</v>
      </c>
      <c r="CQ150" s="49">
        <v>0</v>
      </c>
      <c r="CR150" s="49">
        <v>0</v>
      </c>
      <c r="CS150" s="49">
        <v>0</v>
      </c>
      <c r="CT150" s="49">
        <v>0</v>
      </c>
      <c r="CU150" s="49">
        <v>0</v>
      </c>
      <c r="CV150" s="49">
        <v>0</v>
      </c>
      <c r="CW150" s="49">
        <v>0</v>
      </c>
      <c r="CX150" s="49">
        <v>0</v>
      </c>
      <c r="CY150" s="74">
        <v>1</v>
      </c>
      <c r="CZ150" s="74">
        <v>0</v>
      </c>
      <c r="DA150" s="49">
        <v>0</v>
      </c>
      <c r="DB150" s="49">
        <v>1</v>
      </c>
      <c r="DC150" s="74">
        <v>0</v>
      </c>
      <c r="DD150" s="49"/>
      <c r="DE150" s="49"/>
      <c r="DF150" s="49"/>
      <c r="DG150" s="49"/>
      <c r="DH150" s="49"/>
      <c r="DI150" s="49"/>
      <c r="DJ150" s="74">
        <v>1</v>
      </c>
      <c r="DK150" s="74">
        <v>1</v>
      </c>
      <c r="DL150" s="49" t="s">
        <v>662</v>
      </c>
      <c r="DM150" s="74">
        <v>0</v>
      </c>
      <c r="DN150" s="49">
        <v>0</v>
      </c>
      <c r="DO150" s="49" t="s">
        <v>100</v>
      </c>
      <c r="DP150" s="74">
        <v>0</v>
      </c>
      <c r="DQ150" s="74">
        <v>0</v>
      </c>
      <c r="DR150" s="49">
        <v>1</v>
      </c>
      <c r="DS150" s="74">
        <v>1</v>
      </c>
      <c r="DT150" s="49">
        <v>1</v>
      </c>
      <c r="DU150" s="74">
        <v>0</v>
      </c>
      <c r="DV150" s="49" t="s">
        <v>100</v>
      </c>
      <c r="DW150" s="74">
        <v>3</v>
      </c>
      <c r="DX150" s="74">
        <v>0</v>
      </c>
      <c r="DY150" s="74">
        <v>2</v>
      </c>
      <c r="DZ150" s="49">
        <v>0</v>
      </c>
    </row>
    <row r="151" spans="1:130">
      <c r="A151" s="50">
        <v>150</v>
      </c>
      <c r="B151" s="50" t="s">
        <v>663</v>
      </c>
      <c r="C151" s="50" t="s">
        <v>664</v>
      </c>
      <c r="D151" s="72">
        <v>42741</v>
      </c>
      <c r="E151" s="49" t="s">
        <v>157</v>
      </c>
      <c r="F151" s="73">
        <v>6</v>
      </c>
      <c r="G151" s="73">
        <v>1</v>
      </c>
      <c r="H151" s="49">
        <v>2017</v>
      </c>
      <c r="I151" s="49" t="s">
        <v>665</v>
      </c>
      <c r="J151" s="49" t="s">
        <v>666</v>
      </c>
      <c r="K151" s="74">
        <v>9</v>
      </c>
      <c r="L151" s="73">
        <v>0</v>
      </c>
      <c r="M151" s="73">
        <v>0</v>
      </c>
      <c r="N151" s="74">
        <v>4</v>
      </c>
      <c r="O151" s="74">
        <v>0</v>
      </c>
      <c r="P151" s="73" t="s">
        <v>100</v>
      </c>
      <c r="Q151" s="49">
        <v>1</v>
      </c>
      <c r="R151" s="49">
        <v>1</v>
      </c>
      <c r="S151" s="74">
        <v>5</v>
      </c>
      <c r="T151" s="74">
        <v>43</v>
      </c>
      <c r="U151" s="74">
        <v>0</v>
      </c>
      <c r="V151" s="49">
        <v>26</v>
      </c>
      <c r="W151" s="49">
        <v>0</v>
      </c>
      <c r="X151" s="74">
        <v>2</v>
      </c>
      <c r="Y151" s="74">
        <v>0</v>
      </c>
      <c r="Z151" s="74">
        <v>0</v>
      </c>
      <c r="AA151" s="74">
        <v>1</v>
      </c>
      <c r="AB151" s="49">
        <v>2</v>
      </c>
      <c r="AC151" s="49"/>
      <c r="AD151" s="49"/>
      <c r="AE151" s="74">
        <v>3</v>
      </c>
      <c r="AF151" s="74">
        <v>5</v>
      </c>
      <c r="AG151" s="74">
        <v>5</v>
      </c>
      <c r="AH151" s="74">
        <v>0</v>
      </c>
      <c r="AI151" s="74">
        <v>1</v>
      </c>
      <c r="AJ151" s="49">
        <v>1</v>
      </c>
      <c r="AK151" s="74">
        <v>0</v>
      </c>
      <c r="AL151" s="74">
        <v>0</v>
      </c>
      <c r="AM151" s="74">
        <v>1</v>
      </c>
      <c r="AN151" s="74">
        <v>5</v>
      </c>
      <c r="AO151" s="74">
        <v>0</v>
      </c>
      <c r="AP151" s="49"/>
      <c r="AQ151" s="74">
        <v>1</v>
      </c>
      <c r="AR151" s="49">
        <v>0</v>
      </c>
      <c r="AS151" s="74">
        <v>1</v>
      </c>
      <c r="AT151" s="74">
        <v>1</v>
      </c>
      <c r="AU151" s="49">
        <v>1</v>
      </c>
      <c r="AV151" s="49"/>
      <c r="AW151" s="49"/>
      <c r="AX151" s="74">
        <v>1</v>
      </c>
      <c r="AY151" s="49">
        <v>0</v>
      </c>
      <c r="AZ151" s="49">
        <v>0</v>
      </c>
      <c r="BA151" s="49">
        <v>0</v>
      </c>
      <c r="BB151" s="74">
        <v>1</v>
      </c>
      <c r="BC151" s="49">
        <v>0</v>
      </c>
      <c r="BD151" s="49">
        <v>0</v>
      </c>
      <c r="BE151" s="74">
        <v>0</v>
      </c>
      <c r="BF151" s="49">
        <v>0</v>
      </c>
      <c r="BG151" s="49"/>
      <c r="BH151" s="49">
        <v>0</v>
      </c>
      <c r="BI151" s="74">
        <v>1</v>
      </c>
      <c r="BJ151" s="74">
        <v>0</v>
      </c>
      <c r="BK151" s="74">
        <v>1</v>
      </c>
      <c r="BL151" s="74">
        <v>1</v>
      </c>
      <c r="BM151" s="49">
        <v>2</v>
      </c>
      <c r="BN151" s="49" t="s">
        <v>2981</v>
      </c>
      <c r="BO151" s="49">
        <v>1</v>
      </c>
      <c r="BP151" s="49">
        <v>0</v>
      </c>
      <c r="BQ151" s="49">
        <v>0</v>
      </c>
      <c r="BR151" s="49">
        <v>0</v>
      </c>
      <c r="BS151" s="49">
        <v>0</v>
      </c>
      <c r="BT151" s="49">
        <v>0</v>
      </c>
      <c r="BU151" s="49">
        <v>0</v>
      </c>
      <c r="BV151" s="49">
        <v>0</v>
      </c>
      <c r="BW151" s="49">
        <v>1</v>
      </c>
      <c r="BX151" s="49">
        <v>1</v>
      </c>
      <c r="BY151" s="49">
        <v>0</v>
      </c>
      <c r="BZ151" s="74">
        <v>1</v>
      </c>
      <c r="CA151" s="49">
        <v>1</v>
      </c>
      <c r="CB151" s="74">
        <v>0</v>
      </c>
      <c r="CC151" s="74">
        <v>0</v>
      </c>
      <c r="CD151" s="74">
        <v>1</v>
      </c>
      <c r="CE151" s="74">
        <v>2</v>
      </c>
      <c r="CF151" s="49">
        <v>0</v>
      </c>
      <c r="CG151" s="49">
        <v>0</v>
      </c>
      <c r="CH151" s="49">
        <v>0</v>
      </c>
      <c r="CI151" s="49">
        <v>0</v>
      </c>
      <c r="CJ151" s="49" t="s">
        <v>100</v>
      </c>
      <c r="CK151" s="49">
        <v>0</v>
      </c>
      <c r="CL151" s="49"/>
      <c r="CM151" s="49"/>
      <c r="CN151" s="49">
        <v>0</v>
      </c>
      <c r="CO151" s="49">
        <v>0</v>
      </c>
      <c r="CP151" s="49">
        <v>0</v>
      </c>
      <c r="CQ151" s="49">
        <v>0</v>
      </c>
      <c r="CR151" s="49">
        <v>0</v>
      </c>
      <c r="CS151" s="49">
        <v>0</v>
      </c>
      <c r="CT151" s="49">
        <v>0</v>
      </c>
      <c r="CU151" s="49">
        <v>0</v>
      </c>
      <c r="CV151" s="49">
        <v>0</v>
      </c>
      <c r="CW151" s="49">
        <v>0</v>
      </c>
      <c r="CX151" s="49">
        <v>0</v>
      </c>
      <c r="CY151" s="74">
        <v>1</v>
      </c>
      <c r="CZ151" s="74">
        <v>0</v>
      </c>
      <c r="DA151" s="49">
        <v>3</v>
      </c>
      <c r="DB151" s="74">
        <v>1</v>
      </c>
      <c r="DC151" s="74">
        <v>0</v>
      </c>
      <c r="DD151" s="49"/>
      <c r="DE151" s="49"/>
      <c r="DF151" s="49"/>
      <c r="DG151" s="49"/>
      <c r="DH151" s="49"/>
      <c r="DI151" s="49"/>
      <c r="DJ151" s="49">
        <v>0</v>
      </c>
      <c r="DK151" s="49">
        <v>0</v>
      </c>
      <c r="DL151" s="49" t="s">
        <v>100</v>
      </c>
      <c r="DM151" s="74">
        <v>0</v>
      </c>
      <c r="DN151" s="49">
        <v>0</v>
      </c>
      <c r="DO151" s="49" t="s">
        <v>100</v>
      </c>
      <c r="DP151" s="74">
        <v>1</v>
      </c>
      <c r="DQ151" s="74">
        <v>0</v>
      </c>
      <c r="DR151" s="49">
        <v>0</v>
      </c>
      <c r="DS151" s="74">
        <v>3</v>
      </c>
      <c r="DT151" s="74">
        <v>1</v>
      </c>
      <c r="DU151" s="74">
        <v>0</v>
      </c>
      <c r="DV151" s="49" t="s">
        <v>100</v>
      </c>
      <c r="DW151" s="74">
        <v>2</v>
      </c>
      <c r="DX151" s="74">
        <v>0</v>
      </c>
      <c r="DY151" s="74">
        <v>0</v>
      </c>
      <c r="DZ151" s="74">
        <v>3</v>
      </c>
    </row>
    <row r="152" spans="1:130">
      <c r="A152" s="50">
        <v>151</v>
      </c>
      <c r="B152" s="50" t="s">
        <v>667</v>
      </c>
      <c r="C152" s="50" t="s">
        <v>668</v>
      </c>
      <c r="D152" s="72">
        <v>42772</v>
      </c>
      <c r="E152" s="49" t="s">
        <v>95</v>
      </c>
      <c r="F152" s="73">
        <v>6</v>
      </c>
      <c r="G152" s="74">
        <v>2</v>
      </c>
      <c r="H152" s="74">
        <v>2017</v>
      </c>
      <c r="I152" s="49" t="s">
        <v>669</v>
      </c>
      <c r="J152" s="49" t="s">
        <v>670</v>
      </c>
      <c r="K152" s="74">
        <v>24</v>
      </c>
      <c r="L152" s="73">
        <v>0</v>
      </c>
      <c r="M152" s="74">
        <v>2</v>
      </c>
      <c r="N152" s="74">
        <v>5</v>
      </c>
      <c r="O152" s="74">
        <v>0</v>
      </c>
      <c r="P152" s="73" t="s">
        <v>100</v>
      </c>
      <c r="Q152" s="49">
        <v>0</v>
      </c>
      <c r="R152" s="49">
        <v>0</v>
      </c>
      <c r="S152" s="74">
        <v>4</v>
      </c>
      <c r="T152" s="74">
        <v>0</v>
      </c>
      <c r="U152" s="74">
        <v>0</v>
      </c>
      <c r="V152" s="74">
        <v>27</v>
      </c>
      <c r="W152" s="74">
        <v>0</v>
      </c>
      <c r="X152" s="74">
        <v>1</v>
      </c>
      <c r="Y152" s="49">
        <v>0</v>
      </c>
      <c r="Z152" s="74">
        <v>0</v>
      </c>
      <c r="AA152" s="49"/>
      <c r="AB152" s="49"/>
      <c r="AC152" s="49"/>
      <c r="AD152" s="49"/>
      <c r="AE152" s="49"/>
      <c r="AF152" s="49"/>
      <c r="AG152" s="49"/>
      <c r="AH152" s="49"/>
      <c r="AI152" s="74">
        <v>1</v>
      </c>
      <c r="AJ152" s="49"/>
      <c r="AK152" s="49"/>
      <c r="AL152" s="49"/>
      <c r="AM152" s="49">
        <v>0</v>
      </c>
      <c r="AN152" s="49" t="s">
        <v>100</v>
      </c>
      <c r="AO152" s="49"/>
      <c r="AP152" s="49"/>
      <c r="AQ152" s="74">
        <v>1</v>
      </c>
      <c r="AR152" s="74">
        <v>1</v>
      </c>
      <c r="AS152" s="74">
        <v>1</v>
      </c>
      <c r="AT152" s="49">
        <v>0</v>
      </c>
      <c r="AU152" s="49" t="s">
        <v>100</v>
      </c>
      <c r="AV152" s="49" t="s">
        <v>100</v>
      </c>
      <c r="AW152" s="49" t="s">
        <v>100</v>
      </c>
      <c r="AX152" s="49">
        <v>0</v>
      </c>
      <c r="AY152" s="49">
        <v>0</v>
      </c>
      <c r="AZ152" s="49">
        <v>0</v>
      </c>
      <c r="BA152" s="49">
        <v>0</v>
      </c>
      <c r="BB152" s="49">
        <v>0</v>
      </c>
      <c r="BC152" s="49"/>
      <c r="BD152" s="49"/>
      <c r="BE152" s="49"/>
      <c r="BF152" s="49"/>
      <c r="BG152" s="49"/>
      <c r="BH152" s="49"/>
      <c r="BI152" s="49"/>
      <c r="BJ152" s="49">
        <v>0</v>
      </c>
      <c r="BK152" s="49"/>
      <c r="BL152" s="49"/>
      <c r="BM152" s="49"/>
      <c r="BN152" s="49"/>
      <c r="BO152" s="49">
        <v>0</v>
      </c>
      <c r="BP152" s="49">
        <v>0</v>
      </c>
      <c r="BQ152" s="49">
        <v>0</v>
      </c>
      <c r="BR152" s="49">
        <v>0</v>
      </c>
      <c r="BS152" s="49">
        <v>0</v>
      </c>
      <c r="BT152" s="49">
        <v>0</v>
      </c>
      <c r="BU152" s="49">
        <v>0</v>
      </c>
      <c r="BV152" s="49">
        <v>0</v>
      </c>
      <c r="BW152" s="49">
        <v>0</v>
      </c>
      <c r="BX152" s="49">
        <v>0</v>
      </c>
      <c r="BY152" s="49">
        <v>0</v>
      </c>
      <c r="BZ152" s="49">
        <v>0</v>
      </c>
      <c r="CA152" s="49">
        <v>0</v>
      </c>
      <c r="CB152" s="49" t="s">
        <v>100</v>
      </c>
      <c r="CC152" s="49">
        <v>0</v>
      </c>
      <c r="CD152" s="49" t="s">
        <v>100</v>
      </c>
      <c r="CE152" s="49">
        <v>0</v>
      </c>
      <c r="CF152" s="49">
        <v>0</v>
      </c>
      <c r="CG152" s="49">
        <v>0</v>
      </c>
      <c r="CH152" s="49"/>
      <c r="CI152" s="49">
        <v>0</v>
      </c>
      <c r="CJ152" s="49" t="s">
        <v>100</v>
      </c>
      <c r="CK152" s="49">
        <v>0</v>
      </c>
      <c r="CL152" s="49"/>
      <c r="CM152" s="49"/>
      <c r="CN152" s="49">
        <v>0</v>
      </c>
      <c r="CO152" s="49">
        <v>0</v>
      </c>
      <c r="CP152" s="49">
        <v>0</v>
      </c>
      <c r="CQ152" s="49">
        <v>0</v>
      </c>
      <c r="CR152" s="49">
        <v>0</v>
      </c>
      <c r="CS152" s="49">
        <v>0</v>
      </c>
      <c r="CT152" s="49">
        <v>0</v>
      </c>
      <c r="CU152" s="49">
        <v>0</v>
      </c>
      <c r="CV152" s="74">
        <v>1</v>
      </c>
      <c r="CW152" s="49">
        <v>0</v>
      </c>
      <c r="CX152" s="49">
        <v>0</v>
      </c>
      <c r="CY152" s="49">
        <v>0</v>
      </c>
      <c r="CZ152" s="74">
        <v>0</v>
      </c>
      <c r="DA152" s="49">
        <v>0</v>
      </c>
      <c r="DB152" s="49"/>
      <c r="DC152" s="74">
        <v>0</v>
      </c>
      <c r="DD152" s="49"/>
      <c r="DE152" s="49"/>
      <c r="DF152" s="49"/>
      <c r="DG152" s="49"/>
      <c r="DH152" s="49"/>
      <c r="DI152" s="49"/>
      <c r="DJ152" s="49">
        <v>0</v>
      </c>
      <c r="DK152" s="74">
        <v>1</v>
      </c>
      <c r="DL152" s="49" t="s">
        <v>671</v>
      </c>
      <c r="DM152" s="74">
        <v>0</v>
      </c>
      <c r="DN152" s="49">
        <v>0</v>
      </c>
      <c r="DO152" s="49" t="s">
        <v>100</v>
      </c>
      <c r="DP152" s="74">
        <v>0</v>
      </c>
      <c r="DQ152" s="74">
        <v>0</v>
      </c>
      <c r="DR152" s="49"/>
      <c r="DS152" s="74">
        <v>1</v>
      </c>
      <c r="DT152" s="49">
        <v>1</v>
      </c>
      <c r="DU152" s="49">
        <v>0</v>
      </c>
      <c r="DV152" s="49" t="s">
        <v>100</v>
      </c>
      <c r="DW152" s="74">
        <v>2</v>
      </c>
      <c r="DX152" s="74">
        <v>1</v>
      </c>
      <c r="DY152" s="49">
        <v>3</v>
      </c>
      <c r="DZ152" s="49">
        <v>0</v>
      </c>
    </row>
    <row r="153" spans="1:130">
      <c r="A153" s="50">
        <v>152</v>
      </c>
      <c r="B153" s="50" t="s">
        <v>450</v>
      </c>
      <c r="C153" s="50" t="s">
        <v>672</v>
      </c>
      <c r="D153" s="72">
        <v>42816</v>
      </c>
      <c r="E153" s="49" t="s">
        <v>123</v>
      </c>
      <c r="F153" s="73">
        <v>22</v>
      </c>
      <c r="G153" s="74">
        <v>3</v>
      </c>
      <c r="H153" s="74">
        <v>2017</v>
      </c>
      <c r="I153" s="49" t="s">
        <v>673</v>
      </c>
      <c r="J153" s="49" t="s">
        <v>674</v>
      </c>
      <c r="K153" s="74">
        <v>49</v>
      </c>
      <c r="L153" s="74">
        <v>1</v>
      </c>
      <c r="M153" s="74">
        <v>1</v>
      </c>
      <c r="N153" s="74">
        <v>4</v>
      </c>
      <c r="O153" s="74">
        <v>1</v>
      </c>
      <c r="P153" s="74">
        <v>7</v>
      </c>
      <c r="Q153" s="49">
        <v>0</v>
      </c>
      <c r="R153" s="49">
        <v>0</v>
      </c>
      <c r="S153" s="74">
        <v>4</v>
      </c>
      <c r="T153" s="74">
        <v>0</v>
      </c>
      <c r="U153" s="74">
        <v>1</v>
      </c>
      <c r="V153" s="74">
        <v>45</v>
      </c>
      <c r="W153" s="74">
        <v>0</v>
      </c>
      <c r="X153" s="74">
        <v>3</v>
      </c>
      <c r="Y153" s="74">
        <v>1</v>
      </c>
      <c r="Z153" s="74">
        <v>0</v>
      </c>
      <c r="AA153" s="74">
        <v>5</v>
      </c>
      <c r="AB153" s="49"/>
      <c r="AC153" s="49"/>
      <c r="AD153" s="49"/>
      <c r="AE153" s="74">
        <v>3</v>
      </c>
      <c r="AF153" s="74">
        <v>1</v>
      </c>
      <c r="AG153" s="74">
        <v>1</v>
      </c>
      <c r="AH153" s="74">
        <v>0</v>
      </c>
      <c r="AI153" s="74">
        <v>3</v>
      </c>
      <c r="AJ153" s="74">
        <v>1</v>
      </c>
      <c r="AK153" s="74">
        <v>1</v>
      </c>
      <c r="AL153" s="74">
        <v>0</v>
      </c>
      <c r="AM153" s="49">
        <v>0</v>
      </c>
      <c r="AN153" s="49" t="s">
        <v>100</v>
      </c>
      <c r="AO153" s="74">
        <v>1</v>
      </c>
      <c r="AP153" s="49" t="s">
        <v>3296</v>
      </c>
      <c r="AQ153" s="74">
        <v>1</v>
      </c>
      <c r="AR153" s="49">
        <v>0</v>
      </c>
      <c r="AS153" s="74">
        <v>1</v>
      </c>
      <c r="AT153" s="74">
        <v>3</v>
      </c>
      <c r="AU153" s="49">
        <v>1</v>
      </c>
      <c r="AV153" s="49">
        <v>3</v>
      </c>
      <c r="AW153" s="49"/>
      <c r="AX153" s="49">
        <v>0</v>
      </c>
      <c r="AY153" s="49">
        <v>0</v>
      </c>
      <c r="AZ153" s="49">
        <v>0</v>
      </c>
      <c r="BA153" s="49">
        <v>0</v>
      </c>
      <c r="BB153" s="49">
        <v>0</v>
      </c>
      <c r="BC153" s="49">
        <v>0</v>
      </c>
      <c r="BD153" s="49">
        <v>0</v>
      </c>
      <c r="BE153" s="74">
        <v>0</v>
      </c>
      <c r="BF153" s="49">
        <v>0</v>
      </c>
      <c r="BG153" s="49"/>
      <c r="BH153" s="49">
        <v>0</v>
      </c>
      <c r="BI153" s="49">
        <v>0</v>
      </c>
      <c r="BJ153" s="74">
        <v>1</v>
      </c>
      <c r="BK153" s="49">
        <v>0</v>
      </c>
      <c r="BL153" s="74">
        <v>1</v>
      </c>
      <c r="BM153" s="49">
        <v>2</v>
      </c>
      <c r="BN153" s="49" t="s">
        <v>3008</v>
      </c>
      <c r="BO153" s="49">
        <v>1</v>
      </c>
      <c r="BP153" s="49">
        <v>0</v>
      </c>
      <c r="BQ153" s="49">
        <v>0</v>
      </c>
      <c r="BR153" s="49">
        <v>0</v>
      </c>
      <c r="BS153" s="49">
        <v>1</v>
      </c>
      <c r="BT153" s="49">
        <v>1</v>
      </c>
      <c r="BU153" s="49">
        <v>1</v>
      </c>
      <c r="BV153" s="49">
        <v>0</v>
      </c>
      <c r="BW153" s="49">
        <v>0</v>
      </c>
      <c r="BX153" s="49">
        <v>0</v>
      </c>
      <c r="BY153" s="74">
        <v>2</v>
      </c>
      <c r="BZ153" s="49">
        <v>0</v>
      </c>
      <c r="CA153" s="74">
        <v>1</v>
      </c>
      <c r="CB153" s="74">
        <v>1</v>
      </c>
      <c r="CC153" s="49">
        <v>0</v>
      </c>
      <c r="CD153" s="49" t="s">
        <v>100</v>
      </c>
      <c r="CE153" s="74">
        <v>5</v>
      </c>
      <c r="CF153" s="49">
        <v>0</v>
      </c>
      <c r="CG153" s="49">
        <v>0</v>
      </c>
      <c r="CH153" s="74">
        <v>5</v>
      </c>
      <c r="CI153" s="49">
        <v>0</v>
      </c>
      <c r="CJ153" s="49" t="s">
        <v>100</v>
      </c>
      <c r="CK153" s="49">
        <v>2</v>
      </c>
      <c r="CL153" s="49"/>
      <c r="CM153" s="49"/>
      <c r="CN153" s="49">
        <v>0</v>
      </c>
      <c r="CO153" s="49">
        <v>0</v>
      </c>
      <c r="CP153" s="49">
        <v>0</v>
      </c>
      <c r="CQ153" s="49">
        <v>0</v>
      </c>
      <c r="CR153" s="49">
        <v>0</v>
      </c>
      <c r="CS153" s="74">
        <v>1</v>
      </c>
      <c r="CT153" s="74">
        <v>1</v>
      </c>
      <c r="CU153" s="74">
        <v>1</v>
      </c>
      <c r="CV153" s="49">
        <v>0</v>
      </c>
      <c r="CW153" s="49">
        <v>0</v>
      </c>
      <c r="CX153" s="49">
        <v>0</v>
      </c>
      <c r="CY153" s="49">
        <v>0</v>
      </c>
      <c r="CZ153" s="74">
        <v>1</v>
      </c>
      <c r="DA153" s="49">
        <v>0</v>
      </c>
      <c r="DB153" s="49">
        <v>0</v>
      </c>
      <c r="DC153" s="74">
        <v>1</v>
      </c>
      <c r="DD153" s="49">
        <v>0</v>
      </c>
      <c r="DE153" s="49">
        <v>2</v>
      </c>
      <c r="DF153" s="49">
        <v>0</v>
      </c>
      <c r="DG153" s="49"/>
      <c r="DH153" s="49"/>
      <c r="DI153" s="49"/>
      <c r="DJ153" s="49">
        <v>0</v>
      </c>
      <c r="DK153" s="49">
        <v>0</v>
      </c>
      <c r="DL153" s="49" t="s">
        <v>100</v>
      </c>
      <c r="DM153" s="74">
        <v>0</v>
      </c>
      <c r="DN153" s="49">
        <v>0</v>
      </c>
      <c r="DO153" s="49" t="s">
        <v>100</v>
      </c>
      <c r="DP153" s="49">
        <v>0</v>
      </c>
      <c r="DQ153" s="74">
        <v>0</v>
      </c>
      <c r="DR153" s="74">
        <v>1</v>
      </c>
      <c r="DS153" s="74">
        <v>3</v>
      </c>
      <c r="DT153" s="74">
        <v>2</v>
      </c>
      <c r="DU153" s="74">
        <v>0</v>
      </c>
      <c r="DV153" s="49" t="s">
        <v>100</v>
      </c>
      <c r="DW153" s="74">
        <v>1</v>
      </c>
      <c r="DX153" s="74">
        <v>0</v>
      </c>
      <c r="DY153" s="49">
        <v>2</v>
      </c>
      <c r="DZ153" s="49">
        <v>0</v>
      </c>
    </row>
    <row r="154" spans="1:130">
      <c r="A154" s="50">
        <v>153</v>
      </c>
      <c r="B154" s="50" t="s">
        <v>675</v>
      </c>
      <c r="C154" s="50" t="s">
        <v>190</v>
      </c>
      <c r="D154" s="72">
        <v>42891</v>
      </c>
      <c r="E154" s="49" t="s">
        <v>95</v>
      </c>
      <c r="F154" s="73">
        <v>5</v>
      </c>
      <c r="G154" s="73">
        <v>6</v>
      </c>
      <c r="H154" s="49">
        <v>2017</v>
      </c>
      <c r="I154" s="49" t="s">
        <v>676</v>
      </c>
      <c r="J154" s="49" t="s">
        <v>883</v>
      </c>
      <c r="K154" s="73">
        <v>9</v>
      </c>
      <c r="L154" s="73">
        <v>0</v>
      </c>
      <c r="M154" s="73">
        <v>0</v>
      </c>
      <c r="N154" s="74">
        <v>6</v>
      </c>
      <c r="O154" s="74">
        <v>0</v>
      </c>
      <c r="P154" s="73" t="s">
        <v>100</v>
      </c>
      <c r="Q154" s="49">
        <v>0</v>
      </c>
      <c r="R154" s="49">
        <v>0</v>
      </c>
      <c r="S154" s="73">
        <v>5</v>
      </c>
      <c r="T154" s="74">
        <v>0</v>
      </c>
      <c r="U154" s="74">
        <v>0</v>
      </c>
      <c r="V154" s="74">
        <v>45</v>
      </c>
      <c r="W154" s="49">
        <v>0</v>
      </c>
      <c r="X154" s="49">
        <v>0</v>
      </c>
      <c r="Y154" s="74">
        <v>0</v>
      </c>
      <c r="Z154" s="49">
        <v>0</v>
      </c>
      <c r="AA154" s="49"/>
      <c r="AB154" s="74">
        <v>1</v>
      </c>
      <c r="AC154" s="49"/>
      <c r="AD154" s="49"/>
      <c r="AE154" s="49"/>
      <c r="AF154" s="74">
        <v>1</v>
      </c>
      <c r="AG154" s="49"/>
      <c r="AH154" s="49"/>
      <c r="AI154" s="74">
        <v>0</v>
      </c>
      <c r="AJ154" s="74">
        <v>0</v>
      </c>
      <c r="AK154" s="49">
        <v>0</v>
      </c>
      <c r="AL154" s="74">
        <v>0</v>
      </c>
      <c r="AM154" s="49">
        <v>1</v>
      </c>
      <c r="AN154" s="74">
        <v>0</v>
      </c>
      <c r="AO154" s="74">
        <v>0</v>
      </c>
      <c r="AP154" s="49"/>
      <c r="AQ154" s="74">
        <v>1</v>
      </c>
      <c r="AR154" s="49">
        <v>0</v>
      </c>
      <c r="AS154" s="74">
        <v>1</v>
      </c>
      <c r="AT154" s="49">
        <v>0</v>
      </c>
      <c r="AU154" s="49" t="s">
        <v>100</v>
      </c>
      <c r="AV154" s="49" t="s">
        <v>100</v>
      </c>
      <c r="AW154" s="49" t="s">
        <v>100</v>
      </c>
      <c r="AX154" s="49">
        <v>0</v>
      </c>
      <c r="AY154" s="74">
        <v>0</v>
      </c>
      <c r="AZ154" s="74">
        <v>0</v>
      </c>
      <c r="BA154" s="49">
        <v>0</v>
      </c>
      <c r="BB154" s="49">
        <v>0</v>
      </c>
      <c r="BC154" s="74">
        <v>1</v>
      </c>
      <c r="BD154" s="49">
        <v>0</v>
      </c>
      <c r="BE154" s="74">
        <v>0</v>
      </c>
      <c r="BF154" s="74">
        <v>0</v>
      </c>
      <c r="BG154" s="74">
        <v>2</v>
      </c>
      <c r="BH154" s="49"/>
      <c r="BI154" s="49">
        <v>0</v>
      </c>
      <c r="BJ154" s="49">
        <v>0</v>
      </c>
      <c r="BK154" s="74">
        <v>1</v>
      </c>
      <c r="BL154" s="74">
        <v>1</v>
      </c>
      <c r="BM154" s="49">
        <v>2</v>
      </c>
      <c r="BN154" s="49" t="s">
        <v>3007</v>
      </c>
      <c r="BO154" s="49">
        <v>1</v>
      </c>
      <c r="BP154" s="49">
        <v>0</v>
      </c>
      <c r="BQ154" s="49">
        <v>1</v>
      </c>
      <c r="BR154" s="49">
        <v>0</v>
      </c>
      <c r="BS154" s="49">
        <v>0</v>
      </c>
      <c r="BT154" s="49">
        <v>1</v>
      </c>
      <c r="BU154" s="49">
        <v>0</v>
      </c>
      <c r="BV154" s="49">
        <v>0</v>
      </c>
      <c r="BW154" s="49">
        <v>0</v>
      </c>
      <c r="BX154" s="49">
        <v>0</v>
      </c>
      <c r="BY154" s="74">
        <v>2</v>
      </c>
      <c r="BZ154" s="49">
        <v>0</v>
      </c>
      <c r="CA154" s="49">
        <v>0</v>
      </c>
      <c r="CB154" s="49" t="s">
        <v>100</v>
      </c>
      <c r="CC154" s="49">
        <v>0</v>
      </c>
      <c r="CD154" s="49" t="s">
        <v>100</v>
      </c>
      <c r="CE154" s="74">
        <v>5</v>
      </c>
      <c r="CF154" s="49">
        <v>0</v>
      </c>
      <c r="CG154" s="49">
        <v>0</v>
      </c>
      <c r="CH154" s="49">
        <v>4</v>
      </c>
      <c r="CI154" s="49">
        <v>0</v>
      </c>
      <c r="CJ154" s="49" t="s">
        <v>100</v>
      </c>
      <c r="CK154" s="49">
        <v>0</v>
      </c>
      <c r="CL154" s="49"/>
      <c r="CM154" s="49"/>
      <c r="CN154" s="49">
        <v>0</v>
      </c>
      <c r="CO154" s="49">
        <v>0</v>
      </c>
      <c r="CP154" s="49">
        <v>0</v>
      </c>
      <c r="CQ154" s="49">
        <v>0</v>
      </c>
      <c r="CR154" s="74">
        <v>1</v>
      </c>
      <c r="CS154" s="49">
        <v>0</v>
      </c>
      <c r="CT154" s="49">
        <v>0</v>
      </c>
      <c r="CU154" s="49">
        <v>0</v>
      </c>
      <c r="CV154" s="74">
        <v>1</v>
      </c>
      <c r="CW154" s="49">
        <v>0</v>
      </c>
      <c r="CX154" s="49">
        <v>0</v>
      </c>
      <c r="CY154" s="49">
        <v>0</v>
      </c>
      <c r="CZ154" s="74">
        <v>0</v>
      </c>
      <c r="DA154" s="49">
        <v>0</v>
      </c>
      <c r="DB154" s="74">
        <v>1</v>
      </c>
      <c r="DC154" s="74">
        <v>1</v>
      </c>
      <c r="DD154" s="49">
        <v>0</v>
      </c>
      <c r="DE154" s="49">
        <v>4</v>
      </c>
      <c r="DF154" s="49">
        <v>1</v>
      </c>
      <c r="DG154" s="49"/>
      <c r="DH154" s="49"/>
      <c r="DI154" s="49"/>
      <c r="DJ154" s="49">
        <v>0</v>
      </c>
      <c r="DK154" s="49">
        <v>0</v>
      </c>
      <c r="DL154" s="49" t="s">
        <v>100</v>
      </c>
      <c r="DM154" s="74">
        <v>0</v>
      </c>
      <c r="DN154" s="49">
        <v>0</v>
      </c>
      <c r="DO154" s="49" t="s">
        <v>100</v>
      </c>
      <c r="DP154" s="49">
        <v>0</v>
      </c>
      <c r="DQ154" s="74">
        <v>0</v>
      </c>
      <c r="DR154" s="74">
        <v>0</v>
      </c>
      <c r="DS154" s="74">
        <v>3</v>
      </c>
      <c r="DT154" s="74">
        <v>1</v>
      </c>
      <c r="DU154" s="74">
        <v>1</v>
      </c>
      <c r="DV154" s="49" t="s">
        <v>622</v>
      </c>
      <c r="DW154" s="49">
        <v>0</v>
      </c>
      <c r="DX154" s="74">
        <v>0</v>
      </c>
      <c r="DY154" s="49">
        <v>2</v>
      </c>
      <c r="DZ154" s="49">
        <v>0</v>
      </c>
    </row>
    <row r="155" spans="1:130">
      <c r="A155" s="50">
        <v>154</v>
      </c>
      <c r="B155" s="50" t="s">
        <v>677</v>
      </c>
      <c r="C155" s="50" t="s">
        <v>678</v>
      </c>
      <c r="D155" s="72">
        <v>43009</v>
      </c>
      <c r="E155" s="49" t="s">
        <v>137</v>
      </c>
      <c r="F155" s="73">
        <v>1</v>
      </c>
      <c r="G155" s="74">
        <v>10</v>
      </c>
      <c r="H155" s="74">
        <v>2017</v>
      </c>
      <c r="I155" s="49" t="s">
        <v>679</v>
      </c>
      <c r="J155" s="49" t="s">
        <v>3297</v>
      </c>
      <c r="K155" s="74">
        <v>28</v>
      </c>
      <c r="L155" s="73">
        <v>3</v>
      </c>
      <c r="M155" s="73">
        <v>0</v>
      </c>
      <c r="N155" s="74">
        <v>8</v>
      </c>
      <c r="O155" s="74">
        <v>0</v>
      </c>
      <c r="P155" s="73" t="s">
        <v>100</v>
      </c>
      <c r="Q155" s="49">
        <v>1</v>
      </c>
      <c r="R155" s="49">
        <v>1</v>
      </c>
      <c r="S155" s="74">
        <v>58</v>
      </c>
      <c r="T155" s="74">
        <v>887</v>
      </c>
      <c r="U155" s="74">
        <v>0</v>
      </c>
      <c r="V155" s="74">
        <v>64</v>
      </c>
      <c r="W155" s="74">
        <v>0</v>
      </c>
      <c r="X155" s="74">
        <v>0</v>
      </c>
      <c r="Y155" s="74">
        <v>0</v>
      </c>
      <c r="Z155" s="74">
        <v>0</v>
      </c>
      <c r="AA155" s="74">
        <v>0</v>
      </c>
      <c r="AB155" s="74">
        <v>3</v>
      </c>
      <c r="AC155" s="74">
        <v>1</v>
      </c>
      <c r="AD155" s="49" t="s">
        <v>3298</v>
      </c>
      <c r="AE155" s="74">
        <v>1</v>
      </c>
      <c r="AF155" s="74">
        <v>3</v>
      </c>
      <c r="AG155" s="74">
        <v>0</v>
      </c>
      <c r="AH155" s="74">
        <v>3</v>
      </c>
      <c r="AI155" s="74">
        <v>1</v>
      </c>
      <c r="AJ155" s="74">
        <v>0</v>
      </c>
      <c r="AK155" s="74">
        <v>0</v>
      </c>
      <c r="AL155" s="74">
        <v>1</v>
      </c>
      <c r="AM155" s="74">
        <v>0</v>
      </c>
      <c r="AN155" s="49" t="s">
        <v>100</v>
      </c>
      <c r="AO155" s="74">
        <v>0</v>
      </c>
      <c r="AP155" s="49"/>
      <c r="AQ155" s="74">
        <v>0</v>
      </c>
      <c r="AR155" s="49">
        <v>0</v>
      </c>
      <c r="AS155" s="74">
        <v>0</v>
      </c>
      <c r="AT155" s="74">
        <v>1</v>
      </c>
      <c r="AU155" s="49">
        <v>3</v>
      </c>
      <c r="AV155" s="49"/>
      <c r="AW155" s="49"/>
      <c r="AX155" s="74">
        <v>1</v>
      </c>
      <c r="AY155" s="49">
        <v>0</v>
      </c>
      <c r="AZ155" s="74">
        <v>0</v>
      </c>
      <c r="BA155" s="49">
        <v>0</v>
      </c>
      <c r="BB155" s="74">
        <v>0</v>
      </c>
      <c r="BC155" s="74">
        <v>1</v>
      </c>
      <c r="BD155" s="49">
        <v>0</v>
      </c>
      <c r="BE155" s="74">
        <v>1</v>
      </c>
      <c r="BF155" s="74">
        <v>0</v>
      </c>
      <c r="BG155" s="74">
        <v>3</v>
      </c>
      <c r="BH155" s="49">
        <v>0</v>
      </c>
      <c r="BI155" s="49">
        <v>0</v>
      </c>
      <c r="BJ155" s="74">
        <v>0</v>
      </c>
      <c r="BK155" s="74">
        <v>1</v>
      </c>
      <c r="BL155" s="74">
        <v>1</v>
      </c>
      <c r="BM155" s="49">
        <v>3</v>
      </c>
      <c r="BN155" s="49" t="s">
        <v>3092</v>
      </c>
      <c r="BO155" s="49">
        <v>1</v>
      </c>
      <c r="BP155" s="49">
        <v>0</v>
      </c>
      <c r="BQ155" s="49">
        <v>1</v>
      </c>
      <c r="BR155" s="49">
        <v>0</v>
      </c>
      <c r="BS155" s="49">
        <v>0</v>
      </c>
      <c r="BT155" s="49">
        <v>0</v>
      </c>
      <c r="BU155" s="49">
        <v>0</v>
      </c>
      <c r="BV155" s="49">
        <v>1</v>
      </c>
      <c r="BW155" s="49">
        <v>0</v>
      </c>
      <c r="BX155" s="49">
        <v>0</v>
      </c>
      <c r="BY155" s="74">
        <v>2</v>
      </c>
      <c r="BZ155" s="49">
        <v>0</v>
      </c>
      <c r="CA155" s="49">
        <v>0</v>
      </c>
      <c r="CB155" s="49" t="s">
        <v>100</v>
      </c>
      <c r="CC155" s="74">
        <v>1</v>
      </c>
      <c r="CD155" s="74">
        <v>1</v>
      </c>
      <c r="CE155" s="74">
        <v>1</v>
      </c>
      <c r="CF155" s="74">
        <v>1</v>
      </c>
      <c r="CG155" s="49">
        <v>0</v>
      </c>
      <c r="CH155" s="74">
        <v>1</v>
      </c>
      <c r="CI155" s="74">
        <v>1</v>
      </c>
      <c r="CJ155" s="49" t="s">
        <v>680</v>
      </c>
      <c r="CK155" s="49">
        <v>0</v>
      </c>
      <c r="CL155" s="49"/>
      <c r="CM155" s="49"/>
      <c r="CN155" s="49">
        <v>0</v>
      </c>
      <c r="CO155" s="49">
        <v>0</v>
      </c>
      <c r="CP155" s="49">
        <v>0</v>
      </c>
      <c r="CQ155" s="49">
        <v>0</v>
      </c>
      <c r="CR155" s="49">
        <v>0</v>
      </c>
      <c r="CS155" s="49">
        <v>0</v>
      </c>
      <c r="CT155" s="49">
        <v>0</v>
      </c>
      <c r="CU155" s="49">
        <v>0</v>
      </c>
      <c r="CV155" s="49">
        <v>0</v>
      </c>
      <c r="CW155" s="74">
        <v>1</v>
      </c>
      <c r="CX155" s="49">
        <v>0</v>
      </c>
      <c r="CY155" s="74">
        <v>1</v>
      </c>
      <c r="CZ155" s="74">
        <v>0</v>
      </c>
      <c r="DA155" s="49">
        <v>0</v>
      </c>
      <c r="DB155" s="74">
        <v>0</v>
      </c>
      <c r="DC155" s="74">
        <v>0</v>
      </c>
      <c r="DD155" s="49"/>
      <c r="DE155" s="49"/>
      <c r="DF155" s="49"/>
      <c r="DG155" s="49"/>
      <c r="DH155" s="49"/>
      <c r="DI155" s="49"/>
      <c r="DJ155" s="49">
        <v>0</v>
      </c>
      <c r="DK155" s="49">
        <v>0</v>
      </c>
      <c r="DL155" s="49" t="s">
        <v>100</v>
      </c>
      <c r="DM155" s="74">
        <v>0</v>
      </c>
      <c r="DN155" s="49">
        <v>0</v>
      </c>
      <c r="DO155" s="49" t="s">
        <v>100</v>
      </c>
      <c r="DP155" s="74">
        <v>1</v>
      </c>
      <c r="DQ155" s="74">
        <v>0</v>
      </c>
      <c r="DR155" s="74">
        <v>1</v>
      </c>
      <c r="DS155" s="74">
        <v>2</v>
      </c>
      <c r="DT155" s="49">
        <v>24</v>
      </c>
      <c r="DU155" s="74">
        <v>1</v>
      </c>
      <c r="DV155" s="49" t="s">
        <v>681</v>
      </c>
      <c r="DW155" s="74">
        <v>0</v>
      </c>
      <c r="DX155" s="74">
        <v>0</v>
      </c>
      <c r="DY155" s="49">
        <v>2</v>
      </c>
      <c r="DZ155" s="49">
        <v>0</v>
      </c>
    </row>
    <row r="156" spans="1:130">
      <c r="A156" s="50">
        <v>155</v>
      </c>
      <c r="B156" s="50" t="s">
        <v>682</v>
      </c>
      <c r="C156" s="50" t="s">
        <v>683</v>
      </c>
      <c r="D156" s="72">
        <v>43044</v>
      </c>
      <c r="E156" s="49" t="s">
        <v>137</v>
      </c>
      <c r="F156" s="73">
        <v>5</v>
      </c>
      <c r="G156" s="73">
        <v>11</v>
      </c>
      <c r="H156" s="49">
        <v>2017</v>
      </c>
      <c r="I156" s="49" t="s">
        <v>684</v>
      </c>
      <c r="J156" s="49" t="s">
        <v>685</v>
      </c>
      <c r="K156" s="74">
        <v>43</v>
      </c>
      <c r="L156" s="73">
        <v>0</v>
      </c>
      <c r="M156" s="74">
        <v>2</v>
      </c>
      <c r="N156" s="74">
        <v>3</v>
      </c>
      <c r="O156" s="74">
        <v>0</v>
      </c>
      <c r="P156" s="73" t="s">
        <v>100</v>
      </c>
      <c r="Q156" s="49">
        <v>0</v>
      </c>
      <c r="R156" s="49">
        <v>0</v>
      </c>
      <c r="S156" s="74">
        <v>25</v>
      </c>
      <c r="T156" s="73">
        <v>20</v>
      </c>
      <c r="U156" s="74">
        <v>1</v>
      </c>
      <c r="V156" s="49">
        <v>26</v>
      </c>
      <c r="W156" s="49">
        <v>0</v>
      </c>
      <c r="X156" s="49">
        <v>0</v>
      </c>
      <c r="Y156" s="49">
        <v>0</v>
      </c>
      <c r="Z156" s="74">
        <v>0</v>
      </c>
      <c r="AA156" s="74">
        <v>4</v>
      </c>
      <c r="AB156" s="49">
        <v>1</v>
      </c>
      <c r="AC156" s="49">
        <v>1</v>
      </c>
      <c r="AD156" s="49" t="s">
        <v>884</v>
      </c>
      <c r="AE156" s="74">
        <v>2</v>
      </c>
      <c r="AF156" s="74">
        <v>2</v>
      </c>
      <c r="AG156" s="74">
        <v>1</v>
      </c>
      <c r="AH156" s="74">
        <v>1</v>
      </c>
      <c r="AI156" s="74">
        <v>2</v>
      </c>
      <c r="AJ156" s="74">
        <v>1</v>
      </c>
      <c r="AK156" s="49">
        <v>1</v>
      </c>
      <c r="AL156" s="74">
        <v>2</v>
      </c>
      <c r="AM156" s="49">
        <v>1</v>
      </c>
      <c r="AN156" s="49">
        <v>2</v>
      </c>
      <c r="AO156" s="74">
        <v>0</v>
      </c>
      <c r="AP156" s="49"/>
      <c r="AQ156" s="49">
        <v>1</v>
      </c>
      <c r="AR156" s="49">
        <v>0</v>
      </c>
      <c r="AS156" s="74">
        <v>1</v>
      </c>
      <c r="AT156" s="74">
        <v>3</v>
      </c>
      <c r="AU156" s="49">
        <v>1</v>
      </c>
      <c r="AV156" s="49">
        <v>4</v>
      </c>
      <c r="AW156" s="49">
        <v>3</v>
      </c>
      <c r="AX156" s="49">
        <v>1</v>
      </c>
      <c r="AY156" s="49">
        <v>0</v>
      </c>
      <c r="AZ156" s="74">
        <v>0</v>
      </c>
      <c r="BA156" s="49">
        <v>0</v>
      </c>
      <c r="BB156" s="74">
        <v>1</v>
      </c>
      <c r="BC156" s="49">
        <v>0</v>
      </c>
      <c r="BD156" s="74">
        <v>1</v>
      </c>
      <c r="BE156" s="74">
        <v>0</v>
      </c>
      <c r="BF156" s="74">
        <v>0</v>
      </c>
      <c r="BG156" s="49"/>
      <c r="BH156" s="49">
        <v>1</v>
      </c>
      <c r="BI156" s="49">
        <v>0</v>
      </c>
      <c r="BJ156" s="49">
        <v>0</v>
      </c>
      <c r="BK156" s="49">
        <v>1</v>
      </c>
      <c r="BL156" s="74">
        <v>1</v>
      </c>
      <c r="BM156" s="49">
        <v>2</v>
      </c>
      <c r="BN156" s="49" t="s">
        <v>2968</v>
      </c>
      <c r="BO156" s="49">
        <v>0</v>
      </c>
      <c r="BP156" s="49">
        <v>0</v>
      </c>
      <c r="BQ156" s="49">
        <v>1</v>
      </c>
      <c r="BR156" s="49">
        <v>0</v>
      </c>
      <c r="BS156" s="49">
        <v>0</v>
      </c>
      <c r="BT156" s="49">
        <v>1</v>
      </c>
      <c r="BU156" s="49">
        <v>1</v>
      </c>
      <c r="BV156" s="49">
        <v>1</v>
      </c>
      <c r="BW156" s="49">
        <v>0</v>
      </c>
      <c r="BX156" s="49">
        <v>0</v>
      </c>
      <c r="BY156" s="49">
        <v>1</v>
      </c>
      <c r="BZ156" s="74">
        <v>1</v>
      </c>
      <c r="CA156" s="49">
        <v>1</v>
      </c>
      <c r="CB156" s="49">
        <v>0</v>
      </c>
      <c r="CC156" s="49">
        <v>1</v>
      </c>
      <c r="CD156" s="74">
        <v>0</v>
      </c>
      <c r="CE156" s="49">
        <v>1</v>
      </c>
      <c r="CF156" s="49">
        <v>0</v>
      </c>
      <c r="CG156" s="49">
        <v>0</v>
      </c>
      <c r="CH156" s="49">
        <v>3</v>
      </c>
      <c r="CI156" s="74">
        <v>1</v>
      </c>
      <c r="CJ156" s="49" t="s">
        <v>3299</v>
      </c>
      <c r="CK156" s="49">
        <v>0</v>
      </c>
      <c r="CL156" s="49"/>
      <c r="CM156" s="49"/>
      <c r="CN156" s="49">
        <v>0</v>
      </c>
      <c r="CO156" s="49">
        <v>0</v>
      </c>
      <c r="CP156" s="49">
        <v>0</v>
      </c>
      <c r="CQ156" s="49">
        <v>0</v>
      </c>
      <c r="CR156" s="49">
        <v>0</v>
      </c>
      <c r="CS156" s="49">
        <v>0</v>
      </c>
      <c r="CT156" s="49">
        <v>0</v>
      </c>
      <c r="CU156" s="49">
        <v>0</v>
      </c>
      <c r="CV156" s="49">
        <v>1</v>
      </c>
      <c r="CW156" s="49">
        <v>0</v>
      </c>
      <c r="CX156" s="49">
        <v>0</v>
      </c>
      <c r="CY156" s="49">
        <v>0</v>
      </c>
      <c r="CZ156" s="74">
        <v>0</v>
      </c>
      <c r="DA156" s="49">
        <v>0</v>
      </c>
      <c r="DB156" s="49">
        <v>1</v>
      </c>
      <c r="DC156" s="74">
        <v>1</v>
      </c>
      <c r="DD156" s="49">
        <v>3</v>
      </c>
      <c r="DE156" s="49">
        <v>1</v>
      </c>
      <c r="DF156" s="49">
        <v>0</v>
      </c>
      <c r="DG156" s="49"/>
      <c r="DH156" s="49"/>
      <c r="DI156" s="49"/>
      <c r="DJ156" s="74">
        <v>1</v>
      </c>
      <c r="DK156" s="49">
        <v>0</v>
      </c>
      <c r="DL156" s="49" t="s">
        <v>100</v>
      </c>
      <c r="DM156" s="74">
        <v>0</v>
      </c>
      <c r="DN156" s="49">
        <v>0</v>
      </c>
      <c r="DO156" s="49" t="s">
        <v>100</v>
      </c>
      <c r="DP156" s="49">
        <v>0</v>
      </c>
      <c r="DQ156" s="74">
        <v>0</v>
      </c>
      <c r="DR156" s="74">
        <v>1</v>
      </c>
      <c r="DS156" s="74">
        <v>3</v>
      </c>
      <c r="DT156" s="49">
        <v>3</v>
      </c>
      <c r="DU156" s="74">
        <v>1</v>
      </c>
      <c r="DV156" s="49" t="s">
        <v>686</v>
      </c>
      <c r="DW156" s="49">
        <v>0</v>
      </c>
      <c r="DX156" s="74">
        <v>1</v>
      </c>
      <c r="DY156" s="49">
        <v>2</v>
      </c>
      <c r="DZ156" s="49">
        <v>0</v>
      </c>
    </row>
    <row r="157" spans="1:130">
      <c r="A157" s="50">
        <v>156</v>
      </c>
      <c r="B157" s="50" t="s">
        <v>687</v>
      </c>
      <c r="C157" s="50" t="s">
        <v>688</v>
      </c>
      <c r="D157" s="72">
        <v>43053</v>
      </c>
      <c r="E157" s="49" t="s">
        <v>203</v>
      </c>
      <c r="F157" s="73">
        <v>14</v>
      </c>
      <c r="G157" s="74">
        <v>11</v>
      </c>
      <c r="H157" s="49">
        <v>2017</v>
      </c>
      <c r="I157" s="49" t="s">
        <v>689</v>
      </c>
      <c r="J157" s="49" t="s">
        <v>690</v>
      </c>
      <c r="K157" s="73">
        <v>5</v>
      </c>
      <c r="L157" s="73">
        <v>3</v>
      </c>
      <c r="M157" s="73">
        <v>2</v>
      </c>
      <c r="N157" s="74">
        <v>7</v>
      </c>
      <c r="O157" s="74">
        <v>1</v>
      </c>
      <c r="P157" s="74">
        <v>8</v>
      </c>
      <c r="Q157" s="49">
        <v>1</v>
      </c>
      <c r="R157" s="49">
        <v>2</v>
      </c>
      <c r="S157" s="73">
        <v>5</v>
      </c>
      <c r="T157" s="74">
        <v>12</v>
      </c>
      <c r="U157" s="74">
        <v>0</v>
      </c>
      <c r="V157" s="49">
        <v>44</v>
      </c>
      <c r="W157" s="49">
        <v>0</v>
      </c>
      <c r="X157" s="49">
        <v>0</v>
      </c>
      <c r="Y157" s="74">
        <v>0</v>
      </c>
      <c r="Z157" s="74">
        <v>0</v>
      </c>
      <c r="AA157" s="49"/>
      <c r="AB157" s="74">
        <v>2</v>
      </c>
      <c r="AC157" s="49"/>
      <c r="AD157" s="49"/>
      <c r="AE157" s="74">
        <v>3</v>
      </c>
      <c r="AF157" s="74">
        <v>1</v>
      </c>
      <c r="AG157" s="74">
        <v>1</v>
      </c>
      <c r="AH157" s="74">
        <v>0</v>
      </c>
      <c r="AI157" s="49">
        <v>2</v>
      </c>
      <c r="AJ157" s="49">
        <v>0</v>
      </c>
      <c r="AK157" s="74">
        <v>1</v>
      </c>
      <c r="AL157" s="74">
        <v>0</v>
      </c>
      <c r="AM157" s="49">
        <v>0</v>
      </c>
      <c r="AN157" s="49" t="s">
        <v>100</v>
      </c>
      <c r="AO157" s="74">
        <v>0</v>
      </c>
      <c r="AP157" s="49"/>
      <c r="AQ157" s="74">
        <v>1</v>
      </c>
      <c r="AR157" s="49">
        <v>0</v>
      </c>
      <c r="AS157" s="74">
        <v>1</v>
      </c>
      <c r="AT157" s="74">
        <v>1</v>
      </c>
      <c r="AU157" s="49">
        <v>1</v>
      </c>
      <c r="AV157" s="49">
        <v>3</v>
      </c>
      <c r="AW157" s="49"/>
      <c r="AX157" s="49">
        <v>0</v>
      </c>
      <c r="AY157" s="49">
        <v>0</v>
      </c>
      <c r="AZ157" s="49">
        <v>0</v>
      </c>
      <c r="BA157" s="49">
        <v>0</v>
      </c>
      <c r="BB157" s="49">
        <v>0</v>
      </c>
      <c r="BC157" s="74">
        <v>1</v>
      </c>
      <c r="BD157" s="49">
        <v>0</v>
      </c>
      <c r="BE157" s="49"/>
      <c r="BF157" s="49">
        <v>0</v>
      </c>
      <c r="BG157" s="49"/>
      <c r="BH157" s="49"/>
      <c r="BI157" s="49">
        <v>0</v>
      </c>
      <c r="BJ157" s="74">
        <v>0</v>
      </c>
      <c r="BK157" s="49">
        <v>0</v>
      </c>
      <c r="BL157" s="49">
        <v>1</v>
      </c>
      <c r="BM157" s="49">
        <v>3</v>
      </c>
      <c r="BN157" s="49" t="s">
        <v>3095</v>
      </c>
      <c r="BO157" s="49">
        <v>1</v>
      </c>
      <c r="BP157" s="49">
        <v>0</v>
      </c>
      <c r="BQ157" s="49">
        <v>0</v>
      </c>
      <c r="BR157" s="49">
        <v>0</v>
      </c>
      <c r="BS157" s="49">
        <v>0</v>
      </c>
      <c r="BT157" s="49">
        <v>1</v>
      </c>
      <c r="BU157" s="49">
        <v>1</v>
      </c>
      <c r="BV157" s="49">
        <v>0</v>
      </c>
      <c r="BW157" s="49">
        <v>1</v>
      </c>
      <c r="BX157" s="49">
        <v>1</v>
      </c>
      <c r="BY157" s="49">
        <v>1</v>
      </c>
      <c r="BZ157" s="74">
        <v>0</v>
      </c>
      <c r="CA157" s="74">
        <v>1</v>
      </c>
      <c r="CB157" s="74">
        <v>0</v>
      </c>
      <c r="CC157" s="74">
        <v>0</v>
      </c>
      <c r="CD157" s="74">
        <v>0</v>
      </c>
      <c r="CE157" s="74">
        <v>5</v>
      </c>
      <c r="CF157" s="49">
        <v>0</v>
      </c>
      <c r="CG157" s="49">
        <v>0</v>
      </c>
      <c r="CH157" s="74">
        <v>3</v>
      </c>
      <c r="CI157" s="49">
        <v>0</v>
      </c>
      <c r="CJ157" s="49" t="s">
        <v>100</v>
      </c>
      <c r="CK157" s="49">
        <v>0</v>
      </c>
      <c r="CL157" s="49"/>
      <c r="CM157" s="49"/>
      <c r="CN157" s="49">
        <v>0</v>
      </c>
      <c r="CO157" s="49">
        <v>0</v>
      </c>
      <c r="CP157" s="49">
        <v>0</v>
      </c>
      <c r="CQ157" s="49">
        <v>0</v>
      </c>
      <c r="CR157" s="49">
        <v>0</v>
      </c>
      <c r="CS157" s="49">
        <v>0</v>
      </c>
      <c r="CT157" s="49">
        <v>1</v>
      </c>
      <c r="CU157" s="49">
        <v>0</v>
      </c>
      <c r="CV157" s="49">
        <v>1</v>
      </c>
      <c r="CW157" s="49">
        <v>0</v>
      </c>
      <c r="CX157" s="49">
        <v>0</v>
      </c>
      <c r="CY157" s="49">
        <v>0</v>
      </c>
      <c r="CZ157" s="74">
        <v>1</v>
      </c>
      <c r="DA157" s="74">
        <v>3</v>
      </c>
      <c r="DB157" s="49">
        <v>0</v>
      </c>
      <c r="DC157" s="49">
        <v>1</v>
      </c>
      <c r="DD157" s="49">
        <v>0</v>
      </c>
      <c r="DE157" s="49">
        <v>1</v>
      </c>
      <c r="DF157" s="49">
        <v>0</v>
      </c>
      <c r="DG157" s="49"/>
      <c r="DH157" s="49"/>
      <c r="DI157" s="49"/>
      <c r="DJ157" s="49">
        <v>0</v>
      </c>
      <c r="DK157" s="49">
        <v>0</v>
      </c>
      <c r="DL157" s="49" t="s">
        <v>100</v>
      </c>
      <c r="DM157" s="74">
        <v>0</v>
      </c>
      <c r="DN157" s="49">
        <v>0</v>
      </c>
      <c r="DO157" s="49" t="s">
        <v>100</v>
      </c>
      <c r="DP157" s="49">
        <v>0</v>
      </c>
      <c r="DQ157" s="74">
        <v>0</v>
      </c>
      <c r="DR157" s="74">
        <v>1</v>
      </c>
      <c r="DS157" s="74">
        <v>1</v>
      </c>
      <c r="DT157" s="74">
        <v>4</v>
      </c>
      <c r="DU157" s="74">
        <v>1</v>
      </c>
      <c r="DV157" s="49" t="s">
        <v>691</v>
      </c>
      <c r="DW157" s="74">
        <v>0</v>
      </c>
      <c r="DX157" s="74">
        <v>0</v>
      </c>
      <c r="DY157" s="49">
        <v>2</v>
      </c>
      <c r="DZ157" s="49">
        <v>0</v>
      </c>
    </row>
    <row r="158" spans="1:130">
      <c r="A158" s="50">
        <v>157</v>
      </c>
      <c r="B158" s="50" t="s">
        <v>692</v>
      </c>
      <c r="C158" s="50" t="s">
        <v>693</v>
      </c>
      <c r="D158" s="72">
        <v>43128</v>
      </c>
      <c r="E158" s="49" t="s">
        <v>137</v>
      </c>
      <c r="F158" s="73">
        <v>28</v>
      </c>
      <c r="G158" s="73">
        <v>1</v>
      </c>
      <c r="H158" s="74">
        <v>2018</v>
      </c>
      <c r="I158" s="49" t="s">
        <v>694</v>
      </c>
      <c r="J158" s="49" t="s">
        <v>695</v>
      </c>
      <c r="K158" s="73">
        <v>38</v>
      </c>
      <c r="L158" s="73">
        <v>2</v>
      </c>
      <c r="M158" s="74">
        <v>2</v>
      </c>
      <c r="N158" s="74">
        <v>4</v>
      </c>
      <c r="O158" s="74">
        <v>0</v>
      </c>
      <c r="P158" s="73" t="s">
        <v>100</v>
      </c>
      <c r="Q158" s="49">
        <v>0</v>
      </c>
      <c r="R158" s="49">
        <v>0</v>
      </c>
      <c r="S158" s="74">
        <v>4</v>
      </c>
      <c r="T158" s="74">
        <v>1</v>
      </c>
      <c r="U158" s="74">
        <v>0</v>
      </c>
      <c r="V158" s="49">
        <v>28</v>
      </c>
      <c r="W158" s="49">
        <v>0</v>
      </c>
      <c r="X158" s="74">
        <v>0</v>
      </c>
      <c r="Y158" s="49">
        <v>0</v>
      </c>
      <c r="Z158" s="74">
        <v>0</v>
      </c>
      <c r="AA158" s="49"/>
      <c r="AB158" s="49">
        <v>2</v>
      </c>
      <c r="AC158" s="49"/>
      <c r="AD158" s="49"/>
      <c r="AE158" s="74">
        <v>3</v>
      </c>
      <c r="AF158" s="74">
        <v>2</v>
      </c>
      <c r="AG158" s="74">
        <v>2</v>
      </c>
      <c r="AH158" s="74">
        <v>0</v>
      </c>
      <c r="AI158" s="74">
        <v>0</v>
      </c>
      <c r="AJ158" s="49">
        <v>0</v>
      </c>
      <c r="AK158" s="49">
        <v>1</v>
      </c>
      <c r="AL158" s="49">
        <v>0</v>
      </c>
      <c r="AM158" s="49">
        <v>0</v>
      </c>
      <c r="AN158" s="49" t="s">
        <v>100</v>
      </c>
      <c r="AO158" s="49"/>
      <c r="AP158" s="49"/>
      <c r="AQ158" s="49">
        <v>0</v>
      </c>
      <c r="AR158" s="49">
        <v>0</v>
      </c>
      <c r="AS158" s="49">
        <v>0</v>
      </c>
      <c r="AT158" s="49">
        <v>0</v>
      </c>
      <c r="AU158" s="49" t="s">
        <v>100</v>
      </c>
      <c r="AV158" s="49" t="s">
        <v>100</v>
      </c>
      <c r="AW158" s="49" t="s">
        <v>100</v>
      </c>
      <c r="AX158" s="49">
        <v>0</v>
      </c>
      <c r="AY158" s="49">
        <v>0</v>
      </c>
      <c r="AZ158" s="49">
        <v>0</v>
      </c>
      <c r="BA158" s="49">
        <v>0</v>
      </c>
      <c r="BB158" s="49">
        <v>0</v>
      </c>
      <c r="BC158" s="49">
        <v>0</v>
      </c>
      <c r="BD158" s="49">
        <v>0</v>
      </c>
      <c r="BE158" s="49">
        <v>0</v>
      </c>
      <c r="BF158" s="74">
        <v>0</v>
      </c>
      <c r="BG158" s="49"/>
      <c r="BH158" s="49">
        <v>0</v>
      </c>
      <c r="BI158" s="49">
        <v>0</v>
      </c>
      <c r="BJ158" s="74">
        <v>1</v>
      </c>
      <c r="BK158" s="49">
        <v>0</v>
      </c>
      <c r="BL158" s="74">
        <v>1</v>
      </c>
      <c r="BM158" s="49">
        <v>2</v>
      </c>
      <c r="BN158" s="49" t="s">
        <v>2980</v>
      </c>
      <c r="BO158" s="49">
        <v>1</v>
      </c>
      <c r="BP158" s="49">
        <v>0</v>
      </c>
      <c r="BQ158" s="49">
        <v>0</v>
      </c>
      <c r="BR158" s="49">
        <v>0</v>
      </c>
      <c r="BS158" s="49">
        <v>0</v>
      </c>
      <c r="BT158" s="49">
        <v>0</v>
      </c>
      <c r="BU158" s="49">
        <v>1</v>
      </c>
      <c r="BV158" s="49">
        <v>0</v>
      </c>
      <c r="BW158" s="49">
        <v>0</v>
      </c>
      <c r="BX158" s="49">
        <v>0</v>
      </c>
      <c r="BY158" s="49">
        <v>2</v>
      </c>
      <c r="BZ158" s="49">
        <v>0</v>
      </c>
      <c r="CA158" s="49">
        <v>0</v>
      </c>
      <c r="CB158" s="49" t="s">
        <v>100</v>
      </c>
      <c r="CC158" s="49">
        <v>0</v>
      </c>
      <c r="CD158" s="49" t="s">
        <v>100</v>
      </c>
      <c r="CE158" s="49">
        <v>0</v>
      </c>
      <c r="CF158" s="49">
        <v>0</v>
      </c>
      <c r="CG158" s="49">
        <v>0</v>
      </c>
      <c r="CH158" s="49"/>
      <c r="CI158" s="49">
        <v>0</v>
      </c>
      <c r="CJ158" s="49" t="s">
        <v>100</v>
      </c>
      <c r="CK158" s="49">
        <v>0</v>
      </c>
      <c r="CL158" s="49"/>
      <c r="CM158" s="49"/>
      <c r="CN158" s="49">
        <v>0</v>
      </c>
      <c r="CO158" s="49">
        <v>0</v>
      </c>
      <c r="CP158" s="49">
        <v>0</v>
      </c>
      <c r="CQ158" s="49">
        <v>0</v>
      </c>
      <c r="CR158" s="49">
        <v>0</v>
      </c>
      <c r="CS158" s="49">
        <v>0</v>
      </c>
      <c r="CT158" s="49">
        <v>0</v>
      </c>
      <c r="CU158" s="74">
        <v>1</v>
      </c>
      <c r="CV158" s="49">
        <v>0</v>
      </c>
      <c r="CW158" s="49">
        <v>0</v>
      </c>
      <c r="CX158" s="49">
        <v>0</v>
      </c>
      <c r="CY158" s="49">
        <v>0</v>
      </c>
      <c r="CZ158" s="74">
        <v>1</v>
      </c>
      <c r="DA158" s="49">
        <v>0</v>
      </c>
      <c r="DB158" s="74">
        <v>1</v>
      </c>
      <c r="DC158" s="74">
        <v>1</v>
      </c>
      <c r="DD158" s="49">
        <v>4</v>
      </c>
      <c r="DE158" s="49">
        <v>2</v>
      </c>
      <c r="DF158" s="49">
        <v>1</v>
      </c>
      <c r="DG158" s="49"/>
      <c r="DH158" s="49"/>
      <c r="DI158" s="49"/>
      <c r="DJ158" s="49">
        <v>0</v>
      </c>
      <c r="DK158" s="49">
        <v>0</v>
      </c>
      <c r="DL158" s="49" t="s">
        <v>100</v>
      </c>
      <c r="DM158" s="74">
        <v>0</v>
      </c>
      <c r="DN158" s="49">
        <v>0</v>
      </c>
      <c r="DO158" s="49" t="s">
        <v>100</v>
      </c>
      <c r="DP158" s="74">
        <v>0</v>
      </c>
      <c r="DQ158" s="74">
        <v>0</v>
      </c>
      <c r="DR158" s="49">
        <v>1</v>
      </c>
      <c r="DS158" s="74">
        <v>2</v>
      </c>
      <c r="DT158" s="74">
        <v>3</v>
      </c>
      <c r="DU158" s="74">
        <v>1</v>
      </c>
      <c r="DV158" s="49" t="s">
        <v>696</v>
      </c>
      <c r="DW158" s="74">
        <v>0</v>
      </c>
      <c r="DX158" s="74">
        <v>0</v>
      </c>
      <c r="DY158" s="49">
        <v>2</v>
      </c>
      <c r="DZ158" s="49">
        <v>0</v>
      </c>
    </row>
    <row r="159" spans="1:130">
      <c r="A159" s="50">
        <v>158</v>
      </c>
      <c r="B159" s="50" t="s">
        <v>697</v>
      </c>
      <c r="C159" s="50" t="s">
        <v>698</v>
      </c>
      <c r="D159" s="72">
        <v>43145</v>
      </c>
      <c r="E159" s="49" t="s">
        <v>123</v>
      </c>
      <c r="F159" s="73">
        <v>14</v>
      </c>
      <c r="G159" s="73">
        <v>2</v>
      </c>
      <c r="H159" s="49">
        <v>2018</v>
      </c>
      <c r="I159" s="49" t="s">
        <v>699</v>
      </c>
      <c r="J159" s="49" t="s">
        <v>543</v>
      </c>
      <c r="K159" s="73">
        <v>9</v>
      </c>
      <c r="L159" s="73">
        <v>0</v>
      </c>
      <c r="M159" s="74">
        <v>1</v>
      </c>
      <c r="N159" s="73">
        <v>0</v>
      </c>
      <c r="O159" s="74">
        <v>0</v>
      </c>
      <c r="P159" s="73" t="s">
        <v>100</v>
      </c>
      <c r="Q159" s="49">
        <v>1</v>
      </c>
      <c r="R159" s="49">
        <v>1</v>
      </c>
      <c r="S159" s="74">
        <v>17</v>
      </c>
      <c r="T159" s="74">
        <v>17</v>
      </c>
      <c r="U159" s="74">
        <v>0</v>
      </c>
      <c r="V159" s="49">
        <v>19</v>
      </c>
      <c r="W159" s="49">
        <v>0</v>
      </c>
      <c r="X159" s="49">
        <v>0</v>
      </c>
      <c r="Y159" s="74">
        <v>0</v>
      </c>
      <c r="Z159" s="74">
        <v>0</v>
      </c>
      <c r="AA159" s="49"/>
      <c r="AB159" s="49">
        <v>0</v>
      </c>
      <c r="AC159" s="74">
        <v>0</v>
      </c>
      <c r="AD159" s="49" t="s">
        <v>3300</v>
      </c>
      <c r="AE159" s="74">
        <v>1</v>
      </c>
      <c r="AF159" s="74">
        <v>1</v>
      </c>
      <c r="AG159" s="74">
        <v>0</v>
      </c>
      <c r="AH159" s="74">
        <v>1</v>
      </c>
      <c r="AI159" s="49">
        <v>0</v>
      </c>
      <c r="AJ159" s="49">
        <v>0</v>
      </c>
      <c r="AK159" s="49">
        <v>1</v>
      </c>
      <c r="AL159" s="49">
        <v>0</v>
      </c>
      <c r="AM159" s="49">
        <v>0</v>
      </c>
      <c r="AN159" s="49" t="s">
        <v>100</v>
      </c>
      <c r="AO159" s="74">
        <v>3</v>
      </c>
      <c r="AP159" s="49" t="s">
        <v>3301</v>
      </c>
      <c r="AQ159" s="74">
        <v>1</v>
      </c>
      <c r="AR159" s="49">
        <v>0</v>
      </c>
      <c r="AS159" s="74">
        <v>1</v>
      </c>
      <c r="AT159" s="74">
        <v>3</v>
      </c>
      <c r="AU159" s="49">
        <v>1</v>
      </c>
      <c r="AV159" s="49">
        <v>4</v>
      </c>
      <c r="AW159" s="49"/>
      <c r="AX159" s="49">
        <v>0</v>
      </c>
      <c r="AY159" s="49">
        <v>0</v>
      </c>
      <c r="AZ159" s="49">
        <v>0</v>
      </c>
      <c r="BA159" s="49">
        <v>4</v>
      </c>
      <c r="BB159" s="74">
        <v>1</v>
      </c>
      <c r="BC159" s="49">
        <v>0</v>
      </c>
      <c r="BD159" s="49">
        <v>1</v>
      </c>
      <c r="BE159" s="49">
        <v>1</v>
      </c>
      <c r="BF159" s="74">
        <v>0</v>
      </c>
      <c r="BG159" s="74">
        <v>3</v>
      </c>
      <c r="BH159" s="49">
        <v>2</v>
      </c>
      <c r="BI159" s="49">
        <v>1</v>
      </c>
      <c r="BJ159" s="49">
        <v>0</v>
      </c>
      <c r="BK159" s="49">
        <v>0</v>
      </c>
      <c r="BL159" s="49">
        <v>1</v>
      </c>
      <c r="BM159" s="49">
        <v>2</v>
      </c>
      <c r="BN159" s="49" t="s">
        <v>2979</v>
      </c>
      <c r="BO159" s="49">
        <v>1</v>
      </c>
      <c r="BP159" s="49">
        <v>0</v>
      </c>
      <c r="BQ159" s="49">
        <v>1</v>
      </c>
      <c r="BR159" s="49">
        <v>0</v>
      </c>
      <c r="BS159" s="49">
        <v>1</v>
      </c>
      <c r="BT159" s="49">
        <v>1</v>
      </c>
      <c r="BU159" s="49">
        <v>1</v>
      </c>
      <c r="BV159" s="49">
        <v>1</v>
      </c>
      <c r="BW159" s="49">
        <v>0</v>
      </c>
      <c r="BX159" s="49">
        <v>0</v>
      </c>
      <c r="BY159" s="74">
        <v>1</v>
      </c>
      <c r="BZ159" s="49">
        <v>0</v>
      </c>
      <c r="CA159" s="74">
        <v>1</v>
      </c>
      <c r="CB159" s="74">
        <v>0</v>
      </c>
      <c r="CC159" s="74">
        <v>1</v>
      </c>
      <c r="CD159" s="74">
        <v>0</v>
      </c>
      <c r="CE159" s="74">
        <v>4</v>
      </c>
      <c r="CF159" s="74">
        <v>1</v>
      </c>
      <c r="CG159" s="74">
        <v>1</v>
      </c>
      <c r="CH159" s="74">
        <v>3</v>
      </c>
      <c r="CI159" s="49">
        <v>0</v>
      </c>
      <c r="CJ159" s="49" t="s">
        <v>100</v>
      </c>
      <c r="CK159" s="49">
        <v>1</v>
      </c>
      <c r="CL159" s="49">
        <v>3</v>
      </c>
      <c r="CM159" s="49">
        <v>4</v>
      </c>
      <c r="CN159" s="49">
        <v>0</v>
      </c>
      <c r="CO159" s="49">
        <v>0</v>
      </c>
      <c r="CP159" s="49">
        <v>0</v>
      </c>
      <c r="CQ159" s="49">
        <v>0</v>
      </c>
      <c r="CR159" s="49">
        <v>0</v>
      </c>
      <c r="CS159" s="49">
        <v>0</v>
      </c>
      <c r="CT159" s="49">
        <v>0</v>
      </c>
      <c r="CU159" s="49">
        <v>0</v>
      </c>
      <c r="CV159" s="49">
        <v>0</v>
      </c>
      <c r="CW159" s="74">
        <v>1</v>
      </c>
      <c r="CX159" s="49">
        <v>0</v>
      </c>
      <c r="CY159" s="74">
        <v>1</v>
      </c>
      <c r="CZ159" s="74">
        <v>0</v>
      </c>
      <c r="DA159" s="49">
        <v>0</v>
      </c>
      <c r="DB159" s="74">
        <v>1</v>
      </c>
      <c r="DC159" s="74">
        <v>1</v>
      </c>
      <c r="DD159" s="49">
        <v>4</v>
      </c>
      <c r="DE159" s="49">
        <v>9</v>
      </c>
      <c r="DF159" s="49">
        <v>1</v>
      </c>
      <c r="DG159" s="49"/>
      <c r="DH159" s="49"/>
      <c r="DI159" s="49"/>
      <c r="DJ159" s="74">
        <v>1</v>
      </c>
      <c r="DK159" s="49">
        <v>0</v>
      </c>
      <c r="DL159" s="49" t="s">
        <v>100</v>
      </c>
      <c r="DM159" s="74">
        <v>0</v>
      </c>
      <c r="DN159" s="49">
        <v>0</v>
      </c>
      <c r="DO159" s="49" t="s">
        <v>100</v>
      </c>
      <c r="DP159" s="49">
        <v>1</v>
      </c>
      <c r="DQ159" s="74">
        <v>1</v>
      </c>
      <c r="DR159" s="49">
        <v>1</v>
      </c>
      <c r="DS159" s="74">
        <v>2</v>
      </c>
      <c r="DT159" s="74">
        <v>1</v>
      </c>
      <c r="DU159" s="74">
        <v>1</v>
      </c>
      <c r="DV159" s="49" t="s">
        <v>3388</v>
      </c>
      <c r="DW159" s="49">
        <v>2</v>
      </c>
      <c r="DX159" s="74">
        <v>0</v>
      </c>
      <c r="DY159" s="49">
        <v>3</v>
      </c>
      <c r="DZ159" s="49">
        <v>0</v>
      </c>
    </row>
    <row r="160" spans="1:130">
      <c r="A160" s="50">
        <v>159</v>
      </c>
      <c r="B160" s="50" t="s">
        <v>700</v>
      </c>
      <c r="C160" s="50" t="s">
        <v>268</v>
      </c>
      <c r="D160" s="72">
        <v>43157</v>
      </c>
      <c r="E160" s="49" t="s">
        <v>95</v>
      </c>
      <c r="F160" s="73">
        <v>26</v>
      </c>
      <c r="G160" s="74">
        <v>2</v>
      </c>
      <c r="H160" s="74">
        <v>2018</v>
      </c>
      <c r="I160" s="49" t="s">
        <v>701</v>
      </c>
      <c r="J160" s="49" t="s">
        <v>702</v>
      </c>
      <c r="K160" s="74">
        <v>22</v>
      </c>
      <c r="L160" s="74">
        <v>1</v>
      </c>
      <c r="M160" s="74">
        <v>0</v>
      </c>
      <c r="N160" s="74">
        <v>4</v>
      </c>
      <c r="O160" s="74">
        <v>1</v>
      </c>
      <c r="P160" s="74">
        <v>7</v>
      </c>
      <c r="Q160" s="49">
        <v>0</v>
      </c>
      <c r="R160" s="49">
        <v>0</v>
      </c>
      <c r="S160" s="74">
        <v>4</v>
      </c>
      <c r="T160" s="74">
        <v>0</v>
      </c>
      <c r="U160" s="74">
        <v>0</v>
      </c>
      <c r="V160" s="74">
        <v>27</v>
      </c>
      <c r="W160" s="74">
        <v>0</v>
      </c>
      <c r="X160" s="74">
        <v>1</v>
      </c>
      <c r="Y160" s="74">
        <v>0</v>
      </c>
      <c r="Z160" s="74">
        <v>0</v>
      </c>
      <c r="AA160" s="49"/>
      <c r="AB160" s="49"/>
      <c r="AC160" s="49"/>
      <c r="AD160" s="49"/>
      <c r="AE160" s="49"/>
      <c r="AF160" s="49"/>
      <c r="AG160" s="49"/>
      <c r="AH160" s="49"/>
      <c r="AI160" s="49"/>
      <c r="AJ160" s="74">
        <v>1</v>
      </c>
      <c r="AK160" s="49"/>
      <c r="AL160" s="49"/>
      <c r="AM160" s="49">
        <v>0</v>
      </c>
      <c r="AN160" s="49" t="s">
        <v>100</v>
      </c>
      <c r="AO160" s="49"/>
      <c r="AP160" s="49"/>
      <c r="AQ160" s="74">
        <v>1</v>
      </c>
      <c r="AR160" s="49">
        <v>0</v>
      </c>
      <c r="AS160" s="74">
        <v>0</v>
      </c>
      <c r="AT160" s="74">
        <v>0</v>
      </c>
      <c r="AU160" s="49" t="s">
        <v>100</v>
      </c>
      <c r="AV160" s="49" t="s">
        <v>100</v>
      </c>
      <c r="AW160" s="49" t="s">
        <v>100</v>
      </c>
      <c r="AX160" s="49">
        <v>0</v>
      </c>
      <c r="AY160" s="49">
        <v>0</v>
      </c>
      <c r="AZ160" s="49">
        <v>0</v>
      </c>
      <c r="BA160" s="49">
        <v>0</v>
      </c>
      <c r="BB160" s="49">
        <v>0</v>
      </c>
      <c r="BC160" s="49"/>
      <c r="BD160" s="49"/>
      <c r="BE160" s="49"/>
      <c r="BF160" s="49"/>
      <c r="BG160" s="49"/>
      <c r="BH160" s="49">
        <v>0</v>
      </c>
      <c r="BI160" s="49">
        <v>0</v>
      </c>
      <c r="BJ160" s="49"/>
      <c r="BK160" s="49"/>
      <c r="BL160" s="74">
        <v>1</v>
      </c>
      <c r="BM160" s="49">
        <v>1</v>
      </c>
      <c r="BN160" s="49" t="s">
        <v>3094</v>
      </c>
      <c r="BO160" s="49">
        <v>1</v>
      </c>
      <c r="BP160" s="49">
        <v>0</v>
      </c>
      <c r="BQ160" s="49">
        <v>0</v>
      </c>
      <c r="BR160" s="49">
        <v>0</v>
      </c>
      <c r="BS160" s="49">
        <v>0</v>
      </c>
      <c r="BT160" s="49">
        <v>1</v>
      </c>
      <c r="BU160" s="49">
        <v>0</v>
      </c>
      <c r="BV160" s="49">
        <v>0</v>
      </c>
      <c r="BW160" s="49">
        <v>0</v>
      </c>
      <c r="BX160" s="49">
        <v>1</v>
      </c>
      <c r="BY160" s="74">
        <v>2</v>
      </c>
      <c r="BZ160" s="49">
        <v>0</v>
      </c>
      <c r="CA160" s="49">
        <v>0</v>
      </c>
      <c r="CB160" s="49" t="s">
        <v>100</v>
      </c>
      <c r="CC160" s="49">
        <v>0</v>
      </c>
      <c r="CD160" s="49" t="s">
        <v>100</v>
      </c>
      <c r="CE160" s="49">
        <v>0</v>
      </c>
      <c r="CF160" s="49">
        <v>0</v>
      </c>
      <c r="CG160" s="49">
        <v>0</v>
      </c>
      <c r="CH160" s="49"/>
      <c r="CI160" s="49">
        <v>0</v>
      </c>
      <c r="CJ160" s="49" t="s">
        <v>100</v>
      </c>
      <c r="CK160" s="49">
        <v>0</v>
      </c>
      <c r="CL160" s="49"/>
      <c r="CM160" s="49"/>
      <c r="CN160" s="49">
        <v>0</v>
      </c>
      <c r="CO160" s="49">
        <v>0</v>
      </c>
      <c r="CP160" s="49">
        <v>0</v>
      </c>
      <c r="CQ160" s="49">
        <v>0</v>
      </c>
      <c r="CR160" s="49">
        <v>0</v>
      </c>
      <c r="CS160" s="49">
        <v>0</v>
      </c>
      <c r="CT160" s="49">
        <v>0</v>
      </c>
      <c r="CU160" s="49">
        <v>1</v>
      </c>
      <c r="CV160" s="49">
        <v>1</v>
      </c>
      <c r="CW160" s="49">
        <v>0</v>
      </c>
      <c r="CX160" s="49">
        <v>0</v>
      </c>
      <c r="CY160" s="49">
        <v>0</v>
      </c>
      <c r="CZ160" s="74">
        <v>1</v>
      </c>
      <c r="DA160" s="49">
        <v>0</v>
      </c>
      <c r="DB160" s="49">
        <v>0</v>
      </c>
      <c r="DC160" s="74">
        <v>1</v>
      </c>
      <c r="DD160" s="49">
        <v>0</v>
      </c>
      <c r="DE160" s="49">
        <v>5</v>
      </c>
      <c r="DF160" s="49">
        <v>0</v>
      </c>
      <c r="DG160" s="49"/>
      <c r="DH160" s="49"/>
      <c r="DI160" s="49"/>
      <c r="DJ160" s="49">
        <v>0</v>
      </c>
      <c r="DK160" s="49">
        <v>0</v>
      </c>
      <c r="DL160" s="49" t="s">
        <v>100</v>
      </c>
      <c r="DM160" s="74">
        <v>0</v>
      </c>
      <c r="DN160" s="49">
        <v>0</v>
      </c>
      <c r="DO160" s="49" t="s">
        <v>100</v>
      </c>
      <c r="DP160" s="74">
        <v>0</v>
      </c>
      <c r="DQ160" s="74">
        <v>0</v>
      </c>
      <c r="DR160" s="49"/>
      <c r="DS160" s="74">
        <v>1</v>
      </c>
      <c r="DT160" s="74">
        <v>1</v>
      </c>
      <c r="DU160" s="74">
        <v>0</v>
      </c>
      <c r="DV160" s="49" t="s">
        <v>100</v>
      </c>
      <c r="DW160" s="74">
        <v>0</v>
      </c>
      <c r="DX160" s="74">
        <v>1</v>
      </c>
      <c r="DY160" s="49">
        <v>2</v>
      </c>
      <c r="DZ160" s="74">
        <v>0</v>
      </c>
    </row>
    <row r="161" spans="1:130">
      <c r="A161" s="50">
        <v>160</v>
      </c>
      <c r="B161" s="50" t="s">
        <v>703</v>
      </c>
      <c r="C161" s="50" t="s">
        <v>704</v>
      </c>
      <c r="D161" s="72">
        <v>43212</v>
      </c>
      <c r="E161" s="49" t="s">
        <v>137</v>
      </c>
      <c r="F161" s="73">
        <v>22</v>
      </c>
      <c r="G161" s="74">
        <v>4</v>
      </c>
      <c r="H161" s="74">
        <v>2018</v>
      </c>
      <c r="I161" s="49" t="s">
        <v>705</v>
      </c>
      <c r="J161" s="49" t="s">
        <v>3389</v>
      </c>
      <c r="K161" s="74">
        <v>42</v>
      </c>
      <c r="L161" s="73">
        <v>0</v>
      </c>
      <c r="M161" s="74">
        <v>0</v>
      </c>
      <c r="N161" s="74">
        <v>5</v>
      </c>
      <c r="O161" s="74">
        <v>0</v>
      </c>
      <c r="P161" s="73" t="s">
        <v>100</v>
      </c>
      <c r="Q161" s="49">
        <v>0</v>
      </c>
      <c r="R161" s="49">
        <v>0</v>
      </c>
      <c r="S161" s="73">
        <v>4</v>
      </c>
      <c r="T161" s="73">
        <v>4</v>
      </c>
      <c r="U161" s="74">
        <v>0</v>
      </c>
      <c r="V161" s="49">
        <v>29</v>
      </c>
      <c r="W161" s="49">
        <v>0</v>
      </c>
      <c r="X161" s="49">
        <v>0</v>
      </c>
      <c r="Y161" s="49">
        <v>0</v>
      </c>
      <c r="Z161" s="49"/>
      <c r="AA161" s="49">
        <v>1</v>
      </c>
      <c r="AB161" s="49">
        <v>1</v>
      </c>
      <c r="AC161" s="49"/>
      <c r="AD161" s="49"/>
      <c r="AE161" s="49"/>
      <c r="AF161" s="74">
        <v>3</v>
      </c>
      <c r="AG161" s="49"/>
      <c r="AH161" s="49"/>
      <c r="AI161" s="49">
        <v>0</v>
      </c>
      <c r="AJ161" s="49">
        <v>0</v>
      </c>
      <c r="AK161" s="74">
        <v>0</v>
      </c>
      <c r="AL161" s="49">
        <v>0</v>
      </c>
      <c r="AM161" s="49">
        <v>0</v>
      </c>
      <c r="AN161" s="49" t="s">
        <v>100</v>
      </c>
      <c r="AO161" s="74">
        <v>0</v>
      </c>
      <c r="AP161" s="49"/>
      <c r="AQ161" s="49">
        <v>1</v>
      </c>
      <c r="AR161" s="49">
        <v>0</v>
      </c>
      <c r="AS161" s="74">
        <v>1</v>
      </c>
      <c r="AT161" s="49">
        <v>0</v>
      </c>
      <c r="AU161" s="49" t="s">
        <v>100</v>
      </c>
      <c r="AV161" s="49" t="s">
        <v>100</v>
      </c>
      <c r="AW161" s="49" t="s">
        <v>100</v>
      </c>
      <c r="AX161" s="49">
        <v>0</v>
      </c>
      <c r="AY161" s="49">
        <v>0</v>
      </c>
      <c r="AZ161" s="49">
        <v>0</v>
      </c>
      <c r="BA161" s="49">
        <v>0</v>
      </c>
      <c r="BB161" s="74">
        <v>1</v>
      </c>
      <c r="BC161" s="49">
        <v>0</v>
      </c>
      <c r="BD161" s="49">
        <v>0</v>
      </c>
      <c r="BE161" s="49">
        <v>0</v>
      </c>
      <c r="BF161" s="74">
        <v>0</v>
      </c>
      <c r="BG161" s="49"/>
      <c r="BH161" s="49">
        <v>1</v>
      </c>
      <c r="BI161" s="49">
        <v>0</v>
      </c>
      <c r="BJ161" s="49">
        <v>0</v>
      </c>
      <c r="BK161" s="49">
        <v>1</v>
      </c>
      <c r="BL161" s="49">
        <v>1</v>
      </c>
      <c r="BM161" s="49">
        <v>3</v>
      </c>
      <c r="BN161" s="49" t="s">
        <v>3096</v>
      </c>
      <c r="BO161" s="49">
        <v>0</v>
      </c>
      <c r="BP161" s="49">
        <v>1</v>
      </c>
      <c r="BQ161" s="49">
        <v>0</v>
      </c>
      <c r="BR161" s="49">
        <v>0</v>
      </c>
      <c r="BS161" s="49">
        <v>1</v>
      </c>
      <c r="BT161" s="49">
        <v>1</v>
      </c>
      <c r="BU161" s="49">
        <v>0</v>
      </c>
      <c r="BV161" s="49">
        <v>1</v>
      </c>
      <c r="BW161" s="49">
        <v>1</v>
      </c>
      <c r="BX161" s="49">
        <v>1</v>
      </c>
      <c r="BY161" s="49">
        <v>1</v>
      </c>
      <c r="BZ161" s="74">
        <v>1</v>
      </c>
      <c r="CA161" s="49">
        <v>0</v>
      </c>
      <c r="CB161" s="49" t="s">
        <v>100</v>
      </c>
      <c r="CC161" s="74">
        <v>0</v>
      </c>
      <c r="CD161" s="74">
        <v>0</v>
      </c>
      <c r="CE161" s="74">
        <v>2</v>
      </c>
      <c r="CF161" s="49">
        <v>0</v>
      </c>
      <c r="CG161" s="49">
        <v>0</v>
      </c>
      <c r="CH161" s="49">
        <v>0</v>
      </c>
      <c r="CI161" s="49">
        <v>0</v>
      </c>
      <c r="CJ161" s="49" t="s">
        <v>100</v>
      </c>
      <c r="CK161" s="49">
        <v>0</v>
      </c>
      <c r="CL161" s="49"/>
      <c r="CM161" s="49"/>
      <c r="CN161" s="49">
        <v>0</v>
      </c>
      <c r="CO161" s="49">
        <v>0</v>
      </c>
      <c r="CP161" s="49">
        <v>0</v>
      </c>
      <c r="CQ161" s="49">
        <v>0</v>
      </c>
      <c r="CR161" s="49">
        <v>0</v>
      </c>
      <c r="CS161" s="49">
        <v>0</v>
      </c>
      <c r="CT161" s="49">
        <v>0</v>
      </c>
      <c r="CU161" s="49">
        <v>0</v>
      </c>
      <c r="CV161" s="49">
        <v>0</v>
      </c>
      <c r="CW161" s="49">
        <v>0</v>
      </c>
      <c r="CX161" s="49">
        <v>0</v>
      </c>
      <c r="CY161" s="74">
        <v>1</v>
      </c>
      <c r="CZ161" s="74">
        <v>0</v>
      </c>
      <c r="DA161" s="49">
        <v>3</v>
      </c>
      <c r="DB161" s="49">
        <v>0</v>
      </c>
      <c r="DC161" s="49">
        <v>0</v>
      </c>
      <c r="DD161" s="49"/>
      <c r="DE161" s="49"/>
      <c r="DF161" s="49"/>
      <c r="DG161" s="49"/>
      <c r="DH161" s="49"/>
      <c r="DI161" s="49"/>
      <c r="DJ161" s="49">
        <v>0</v>
      </c>
      <c r="DK161" s="49">
        <v>0</v>
      </c>
      <c r="DL161" s="49" t="s">
        <v>100</v>
      </c>
      <c r="DM161" s="74">
        <v>0</v>
      </c>
      <c r="DN161" s="49">
        <v>0</v>
      </c>
      <c r="DO161" s="49" t="s">
        <v>100</v>
      </c>
      <c r="DP161" s="49">
        <v>0</v>
      </c>
      <c r="DQ161" s="74">
        <v>0</v>
      </c>
      <c r="DR161" s="74">
        <v>1</v>
      </c>
      <c r="DS161" s="74">
        <v>2</v>
      </c>
      <c r="DT161" s="49">
        <v>2</v>
      </c>
      <c r="DU161" s="74">
        <v>0</v>
      </c>
      <c r="DV161" s="49" t="s">
        <v>100</v>
      </c>
      <c r="DW161" s="74">
        <v>2</v>
      </c>
      <c r="DX161" s="74">
        <v>0</v>
      </c>
      <c r="DY161" s="74">
        <v>1</v>
      </c>
      <c r="DZ161" s="49">
        <v>0</v>
      </c>
    </row>
    <row r="162" spans="1:130">
      <c r="A162" s="50">
        <v>161</v>
      </c>
      <c r="B162" s="50" t="s">
        <v>706</v>
      </c>
      <c r="C162" s="50" t="s">
        <v>707</v>
      </c>
      <c r="D162" s="72">
        <v>43238</v>
      </c>
      <c r="E162" s="49" t="s">
        <v>157</v>
      </c>
      <c r="F162" s="73">
        <v>18</v>
      </c>
      <c r="G162" s="73">
        <v>5</v>
      </c>
      <c r="H162" s="49">
        <v>2018</v>
      </c>
      <c r="I162" s="49" t="s">
        <v>708</v>
      </c>
      <c r="J162" s="49" t="s">
        <v>3302</v>
      </c>
      <c r="K162" s="73">
        <v>43</v>
      </c>
      <c r="L162" s="73">
        <v>0</v>
      </c>
      <c r="M162" s="74">
        <v>1</v>
      </c>
      <c r="N162" s="73">
        <v>0</v>
      </c>
      <c r="O162" s="73">
        <v>0</v>
      </c>
      <c r="P162" s="73" t="s">
        <v>100</v>
      </c>
      <c r="Q162" s="49">
        <v>1</v>
      </c>
      <c r="R162" s="49">
        <v>1</v>
      </c>
      <c r="S162" s="73">
        <v>10</v>
      </c>
      <c r="T162" s="73">
        <v>13</v>
      </c>
      <c r="U162" s="74">
        <v>0</v>
      </c>
      <c r="V162" s="49">
        <v>17</v>
      </c>
      <c r="W162" s="74">
        <v>0</v>
      </c>
      <c r="X162" s="74">
        <v>0</v>
      </c>
      <c r="Y162" s="49">
        <v>0</v>
      </c>
      <c r="Z162" s="74">
        <v>0</v>
      </c>
      <c r="AA162" s="74">
        <v>4</v>
      </c>
      <c r="AB162" s="49">
        <v>0</v>
      </c>
      <c r="AC162" s="74">
        <v>2</v>
      </c>
      <c r="AD162" s="49" t="s">
        <v>3303</v>
      </c>
      <c r="AE162" s="74">
        <v>1</v>
      </c>
      <c r="AF162" s="74">
        <v>1</v>
      </c>
      <c r="AG162" s="74">
        <v>0</v>
      </c>
      <c r="AH162" s="74">
        <v>1</v>
      </c>
      <c r="AI162" s="49">
        <v>0</v>
      </c>
      <c r="AJ162" s="49">
        <v>0</v>
      </c>
      <c r="AK162" s="49">
        <v>0</v>
      </c>
      <c r="AL162" s="49"/>
      <c r="AM162" s="49">
        <v>0</v>
      </c>
      <c r="AN162" s="49" t="s">
        <v>100</v>
      </c>
      <c r="AO162" s="74">
        <v>2</v>
      </c>
      <c r="AP162" s="49" t="s">
        <v>3304</v>
      </c>
      <c r="AQ162" s="49">
        <v>0</v>
      </c>
      <c r="AR162" s="49">
        <v>0</v>
      </c>
      <c r="AS162" s="49">
        <v>0</v>
      </c>
      <c r="AT162" s="49">
        <v>0</v>
      </c>
      <c r="AU162" s="49" t="s">
        <v>100</v>
      </c>
      <c r="AV162" s="49" t="s">
        <v>100</v>
      </c>
      <c r="AW162" s="49" t="s">
        <v>100</v>
      </c>
      <c r="AX162" s="49">
        <v>0</v>
      </c>
      <c r="AY162" s="49">
        <v>0</v>
      </c>
      <c r="AZ162" s="49">
        <v>0</v>
      </c>
      <c r="BA162" s="49">
        <v>0</v>
      </c>
      <c r="BB162" s="74">
        <v>1</v>
      </c>
      <c r="BC162" s="49">
        <v>0</v>
      </c>
      <c r="BD162" s="49">
        <v>1</v>
      </c>
      <c r="BE162" s="74">
        <v>0</v>
      </c>
      <c r="BF162" s="74">
        <v>0</v>
      </c>
      <c r="BG162" s="49">
        <v>1</v>
      </c>
      <c r="BH162" s="49">
        <v>2</v>
      </c>
      <c r="BI162" s="49"/>
      <c r="BJ162" s="74">
        <v>0</v>
      </c>
      <c r="BK162" s="49">
        <v>0</v>
      </c>
      <c r="BL162" s="49">
        <v>0</v>
      </c>
      <c r="BM162" s="49" t="s">
        <v>100</v>
      </c>
      <c r="BN162" s="49"/>
      <c r="BO162" s="49">
        <v>0</v>
      </c>
      <c r="BP162" s="49">
        <v>0</v>
      </c>
      <c r="BQ162" s="49">
        <v>0</v>
      </c>
      <c r="BR162" s="49">
        <v>0</v>
      </c>
      <c r="BS162" s="49">
        <v>0</v>
      </c>
      <c r="BT162" s="49">
        <v>0</v>
      </c>
      <c r="BU162" s="49">
        <v>0</v>
      </c>
      <c r="BV162" s="49">
        <v>0</v>
      </c>
      <c r="BW162" s="49">
        <v>0</v>
      </c>
      <c r="BX162" s="49">
        <v>0</v>
      </c>
      <c r="BY162" s="74">
        <v>2</v>
      </c>
      <c r="BZ162" s="49">
        <v>0</v>
      </c>
      <c r="CA162" s="49">
        <v>0</v>
      </c>
      <c r="CB162" s="49" t="s">
        <v>100</v>
      </c>
      <c r="CC162" s="49">
        <v>0</v>
      </c>
      <c r="CD162" s="49" t="s">
        <v>100</v>
      </c>
      <c r="CE162" s="49">
        <v>0</v>
      </c>
      <c r="CF162" s="74">
        <v>2</v>
      </c>
      <c r="CG162" s="49">
        <v>0</v>
      </c>
      <c r="CH162" s="74">
        <v>2</v>
      </c>
      <c r="CI162" s="49">
        <v>0</v>
      </c>
      <c r="CJ162" s="49" t="s">
        <v>100</v>
      </c>
      <c r="CK162" s="49">
        <v>0</v>
      </c>
      <c r="CL162" s="49"/>
      <c r="CM162" s="49"/>
      <c r="CN162" s="49">
        <v>0</v>
      </c>
      <c r="CO162" s="49">
        <v>0</v>
      </c>
      <c r="CP162" s="49">
        <v>0</v>
      </c>
      <c r="CQ162" s="49">
        <v>0</v>
      </c>
      <c r="CR162" s="49">
        <v>0</v>
      </c>
      <c r="CS162" s="49">
        <v>0</v>
      </c>
      <c r="CT162" s="49">
        <v>0</v>
      </c>
      <c r="CU162" s="49">
        <v>0</v>
      </c>
      <c r="CV162" s="49">
        <v>0</v>
      </c>
      <c r="CW162" s="49">
        <v>0</v>
      </c>
      <c r="CX162" s="49">
        <v>0</v>
      </c>
      <c r="CY162" s="74">
        <v>1</v>
      </c>
      <c r="CZ162" s="74">
        <v>0</v>
      </c>
      <c r="DA162" s="49">
        <v>2</v>
      </c>
      <c r="DB162" s="74">
        <v>1</v>
      </c>
      <c r="DC162" s="49">
        <v>1</v>
      </c>
      <c r="DD162" s="49">
        <v>4</v>
      </c>
      <c r="DE162" s="49">
        <v>9</v>
      </c>
      <c r="DF162" s="49">
        <v>0</v>
      </c>
      <c r="DG162" s="49"/>
      <c r="DH162" s="49"/>
      <c r="DI162" s="49"/>
      <c r="DJ162" s="74">
        <v>0</v>
      </c>
      <c r="DK162" s="49">
        <v>0</v>
      </c>
      <c r="DL162" s="49" t="s">
        <v>100</v>
      </c>
      <c r="DM162" s="74">
        <v>0</v>
      </c>
      <c r="DN162" s="74">
        <v>1</v>
      </c>
      <c r="DO162" s="49" t="s">
        <v>3305</v>
      </c>
      <c r="DP162" s="74">
        <v>1</v>
      </c>
      <c r="DQ162" s="74">
        <v>0</v>
      </c>
      <c r="DR162" s="49">
        <v>1</v>
      </c>
      <c r="DS162" s="49"/>
      <c r="DT162" s="49">
        <v>2</v>
      </c>
      <c r="DU162" s="74">
        <v>1</v>
      </c>
      <c r="DV162" s="49" t="s">
        <v>709</v>
      </c>
      <c r="DW162" s="49">
        <v>2</v>
      </c>
      <c r="DX162" s="74">
        <v>0</v>
      </c>
      <c r="DY162" s="49">
        <v>3</v>
      </c>
      <c r="DZ162" s="49">
        <v>0</v>
      </c>
    </row>
    <row r="163" spans="1:130">
      <c r="A163" s="50">
        <v>162</v>
      </c>
      <c r="B163" s="50" t="s">
        <v>710</v>
      </c>
      <c r="C163" s="50" t="s">
        <v>711</v>
      </c>
      <c r="D163" s="72">
        <v>43279</v>
      </c>
      <c r="E163" s="49" t="s">
        <v>178</v>
      </c>
      <c r="F163" s="73">
        <v>28</v>
      </c>
      <c r="G163" s="73">
        <v>6</v>
      </c>
      <c r="H163" s="49">
        <v>2018</v>
      </c>
      <c r="I163" s="49" t="s">
        <v>712</v>
      </c>
      <c r="J163" s="49" t="s">
        <v>713</v>
      </c>
      <c r="K163" s="73">
        <v>20</v>
      </c>
      <c r="L163" s="73">
        <v>0</v>
      </c>
      <c r="M163" s="73">
        <v>0</v>
      </c>
      <c r="N163" s="74">
        <v>6</v>
      </c>
      <c r="O163" s="74">
        <v>0</v>
      </c>
      <c r="P163" s="73" t="s">
        <v>100</v>
      </c>
      <c r="Q163" s="49">
        <v>0</v>
      </c>
      <c r="R163" s="49">
        <v>0</v>
      </c>
      <c r="S163" s="73">
        <v>5</v>
      </c>
      <c r="T163" s="73">
        <v>3</v>
      </c>
      <c r="U163" s="74">
        <v>0</v>
      </c>
      <c r="V163" s="49">
        <v>38</v>
      </c>
      <c r="W163" s="49">
        <v>0</v>
      </c>
      <c r="X163" s="74">
        <v>2</v>
      </c>
      <c r="Y163" s="74">
        <v>0</v>
      </c>
      <c r="Z163" s="49">
        <v>0</v>
      </c>
      <c r="AA163" s="49"/>
      <c r="AB163" s="49">
        <v>3</v>
      </c>
      <c r="AC163" s="74">
        <v>2</v>
      </c>
      <c r="AD163" s="49" t="s">
        <v>3306</v>
      </c>
      <c r="AE163" s="49"/>
      <c r="AF163" s="74">
        <v>1</v>
      </c>
      <c r="AG163" s="49"/>
      <c r="AH163" s="49"/>
      <c r="AI163" s="74">
        <v>0</v>
      </c>
      <c r="AJ163" s="74">
        <v>0</v>
      </c>
      <c r="AK163" s="74">
        <v>0</v>
      </c>
      <c r="AL163" s="74">
        <v>2</v>
      </c>
      <c r="AM163" s="49">
        <v>0</v>
      </c>
      <c r="AN163" s="49" t="s">
        <v>100</v>
      </c>
      <c r="AO163" s="74">
        <v>0</v>
      </c>
      <c r="AP163" s="49"/>
      <c r="AQ163" s="49">
        <v>1</v>
      </c>
      <c r="AR163" s="49">
        <v>0</v>
      </c>
      <c r="AS163" s="49">
        <v>0</v>
      </c>
      <c r="AT163" s="74">
        <v>1</v>
      </c>
      <c r="AU163" s="49">
        <v>3</v>
      </c>
      <c r="AV163" s="49"/>
      <c r="AW163" s="49"/>
      <c r="AX163" s="49">
        <v>0</v>
      </c>
      <c r="AY163" s="49">
        <v>0</v>
      </c>
      <c r="AZ163" s="49">
        <v>0</v>
      </c>
      <c r="BA163" s="49">
        <v>0</v>
      </c>
      <c r="BB163" s="74">
        <v>1</v>
      </c>
      <c r="BC163" s="74">
        <v>1</v>
      </c>
      <c r="BD163" s="74">
        <v>1</v>
      </c>
      <c r="BE163" s="74">
        <v>0</v>
      </c>
      <c r="BF163" s="74">
        <v>0</v>
      </c>
      <c r="BG163" s="49"/>
      <c r="BH163" s="49">
        <v>1</v>
      </c>
      <c r="BI163" s="49">
        <v>0</v>
      </c>
      <c r="BJ163" s="74">
        <v>0</v>
      </c>
      <c r="BK163" s="49">
        <v>0</v>
      </c>
      <c r="BL163" s="74">
        <v>1</v>
      </c>
      <c r="BM163" s="49">
        <v>3</v>
      </c>
      <c r="BN163" s="49" t="s">
        <v>3097</v>
      </c>
      <c r="BO163" s="49">
        <v>1</v>
      </c>
      <c r="BP163" s="49">
        <v>0</v>
      </c>
      <c r="BQ163" s="49">
        <v>0</v>
      </c>
      <c r="BR163" s="49">
        <v>0</v>
      </c>
      <c r="BS163" s="49">
        <v>0</v>
      </c>
      <c r="BT163" s="49">
        <v>1</v>
      </c>
      <c r="BU163" s="49">
        <v>1</v>
      </c>
      <c r="BV163" s="49">
        <v>1</v>
      </c>
      <c r="BW163" s="49">
        <v>1</v>
      </c>
      <c r="BX163" s="49">
        <v>0</v>
      </c>
      <c r="BY163" s="49">
        <v>0</v>
      </c>
      <c r="BZ163" s="49">
        <v>0</v>
      </c>
      <c r="CA163" s="74">
        <v>1</v>
      </c>
      <c r="CB163" s="74">
        <v>1</v>
      </c>
      <c r="CC163" s="49">
        <v>0</v>
      </c>
      <c r="CD163" s="49">
        <v>0</v>
      </c>
      <c r="CE163" s="74">
        <v>5</v>
      </c>
      <c r="CF163" s="49">
        <v>0</v>
      </c>
      <c r="CG163" s="49">
        <v>1</v>
      </c>
      <c r="CH163" s="49">
        <v>0</v>
      </c>
      <c r="CI163" s="49">
        <v>0</v>
      </c>
      <c r="CJ163" s="49" t="s">
        <v>100</v>
      </c>
      <c r="CK163" s="49">
        <v>2</v>
      </c>
      <c r="CL163" s="49"/>
      <c r="CM163" s="49"/>
      <c r="CN163" s="49">
        <v>0</v>
      </c>
      <c r="CO163" s="49">
        <v>0</v>
      </c>
      <c r="CP163" s="49">
        <v>0</v>
      </c>
      <c r="CQ163" s="49">
        <v>0</v>
      </c>
      <c r="CR163" s="49">
        <v>0</v>
      </c>
      <c r="CS163" s="49">
        <v>0</v>
      </c>
      <c r="CT163" s="49">
        <v>1</v>
      </c>
      <c r="CU163" s="49">
        <v>0</v>
      </c>
      <c r="CV163" s="49">
        <v>0</v>
      </c>
      <c r="CW163" s="49">
        <v>0</v>
      </c>
      <c r="CX163" s="74">
        <v>1</v>
      </c>
      <c r="CY163" s="49">
        <v>0</v>
      </c>
      <c r="CZ163" s="74">
        <v>0</v>
      </c>
      <c r="DA163" s="49">
        <v>0</v>
      </c>
      <c r="DB163" s="74">
        <v>1</v>
      </c>
      <c r="DC163" s="74">
        <v>1</v>
      </c>
      <c r="DD163" s="49">
        <v>4</v>
      </c>
      <c r="DE163" s="49">
        <v>9</v>
      </c>
      <c r="DF163" s="49">
        <v>0</v>
      </c>
      <c r="DG163" s="49"/>
      <c r="DH163" s="49"/>
      <c r="DI163" s="49"/>
      <c r="DJ163" s="49">
        <v>1</v>
      </c>
      <c r="DK163" s="74">
        <v>1</v>
      </c>
      <c r="DL163" s="49" t="s">
        <v>3307</v>
      </c>
      <c r="DM163" s="74">
        <v>1</v>
      </c>
      <c r="DN163" s="49">
        <v>0</v>
      </c>
      <c r="DO163" s="49" t="s">
        <v>100</v>
      </c>
      <c r="DP163" s="74">
        <v>1</v>
      </c>
      <c r="DQ163" s="74">
        <v>0</v>
      </c>
      <c r="DR163" s="49">
        <v>0</v>
      </c>
      <c r="DS163" s="74">
        <v>1</v>
      </c>
      <c r="DT163" s="74">
        <v>1</v>
      </c>
      <c r="DU163" s="74">
        <v>1</v>
      </c>
      <c r="DV163" s="49" t="s">
        <v>506</v>
      </c>
      <c r="DW163" s="49">
        <v>2</v>
      </c>
      <c r="DX163" s="74">
        <v>0</v>
      </c>
      <c r="DY163" s="74">
        <v>1</v>
      </c>
      <c r="DZ163" s="49">
        <v>0</v>
      </c>
    </row>
    <row r="164" spans="1:130">
      <c r="A164" s="50">
        <v>163</v>
      </c>
      <c r="B164" s="50" t="s">
        <v>714</v>
      </c>
      <c r="C164" s="50" t="s">
        <v>715</v>
      </c>
      <c r="D164" s="72">
        <v>43355</v>
      </c>
      <c r="E164" s="49" t="s">
        <v>123</v>
      </c>
      <c r="F164" s="73">
        <v>12</v>
      </c>
      <c r="G164" s="74">
        <v>9</v>
      </c>
      <c r="H164" s="74">
        <v>2018</v>
      </c>
      <c r="I164" s="49" t="s">
        <v>716</v>
      </c>
      <c r="J164" s="49" t="s">
        <v>717</v>
      </c>
      <c r="K164" s="74">
        <v>5</v>
      </c>
      <c r="L164" s="73">
        <v>3</v>
      </c>
      <c r="M164" s="74">
        <v>0</v>
      </c>
      <c r="N164" s="74">
        <v>6</v>
      </c>
      <c r="O164" s="74">
        <v>1</v>
      </c>
      <c r="P164" s="74">
        <v>7</v>
      </c>
      <c r="Q164" s="49">
        <v>0</v>
      </c>
      <c r="R164" s="49">
        <v>0</v>
      </c>
      <c r="S164" s="74">
        <v>5</v>
      </c>
      <c r="T164" s="74">
        <v>0</v>
      </c>
      <c r="U164" s="74">
        <v>1</v>
      </c>
      <c r="V164" s="74">
        <v>54</v>
      </c>
      <c r="W164" s="74">
        <v>0</v>
      </c>
      <c r="X164" s="74">
        <v>2</v>
      </c>
      <c r="Y164" s="74">
        <v>1</v>
      </c>
      <c r="Z164" s="74">
        <v>0</v>
      </c>
      <c r="AA164" s="49"/>
      <c r="AB164" s="49"/>
      <c r="AC164" s="49"/>
      <c r="AD164" s="49"/>
      <c r="AE164" s="49"/>
      <c r="AF164" s="49"/>
      <c r="AG164" s="49"/>
      <c r="AH164" s="49"/>
      <c r="AI164" s="74">
        <v>3</v>
      </c>
      <c r="AJ164" s="74">
        <v>1</v>
      </c>
      <c r="AK164" s="74">
        <v>1</v>
      </c>
      <c r="AL164" s="74">
        <v>0</v>
      </c>
      <c r="AM164" s="49">
        <v>0</v>
      </c>
      <c r="AN164" s="49" t="s">
        <v>100</v>
      </c>
      <c r="AO164" s="49"/>
      <c r="AP164" s="49"/>
      <c r="AQ164" s="49">
        <v>0</v>
      </c>
      <c r="AR164" s="49">
        <v>0</v>
      </c>
      <c r="AS164" s="49"/>
      <c r="AT164" s="74">
        <v>1</v>
      </c>
      <c r="AU164" s="49">
        <v>3</v>
      </c>
      <c r="AV164" s="49"/>
      <c r="AW164" s="49"/>
      <c r="AX164" s="49">
        <v>0</v>
      </c>
      <c r="AY164" s="49">
        <v>0</v>
      </c>
      <c r="AZ164" s="49">
        <v>0</v>
      </c>
      <c r="BA164" s="49">
        <v>0</v>
      </c>
      <c r="BB164" s="49">
        <v>0</v>
      </c>
      <c r="BC164" s="74">
        <v>0</v>
      </c>
      <c r="BD164" s="49">
        <v>0</v>
      </c>
      <c r="BE164" s="49"/>
      <c r="BF164" s="49"/>
      <c r="BG164" s="49"/>
      <c r="BH164" s="49"/>
      <c r="BI164" s="49">
        <v>0</v>
      </c>
      <c r="BJ164" s="74">
        <v>1</v>
      </c>
      <c r="BK164" s="49">
        <v>0</v>
      </c>
      <c r="BL164" s="74">
        <v>1</v>
      </c>
      <c r="BM164" s="49">
        <v>2</v>
      </c>
      <c r="BN164" s="49" t="s">
        <v>3057</v>
      </c>
      <c r="BO164" s="49">
        <v>1</v>
      </c>
      <c r="BP164" s="49">
        <v>0</v>
      </c>
      <c r="BQ164" s="49">
        <v>1</v>
      </c>
      <c r="BR164" s="49">
        <v>0</v>
      </c>
      <c r="BS164" s="49">
        <v>1</v>
      </c>
      <c r="BT164" s="49">
        <v>1</v>
      </c>
      <c r="BU164" s="49">
        <v>1</v>
      </c>
      <c r="BV164" s="49">
        <v>0</v>
      </c>
      <c r="BW164" s="49">
        <v>0</v>
      </c>
      <c r="BX164" s="49">
        <v>0</v>
      </c>
      <c r="BY164" s="74">
        <v>2</v>
      </c>
      <c r="BZ164" s="49">
        <v>0</v>
      </c>
      <c r="CA164" s="49">
        <v>0</v>
      </c>
      <c r="CB164" s="49" t="s">
        <v>100</v>
      </c>
      <c r="CC164" s="49">
        <v>0</v>
      </c>
      <c r="CD164" s="49" t="s">
        <v>100</v>
      </c>
      <c r="CE164" s="49">
        <v>0</v>
      </c>
      <c r="CF164" s="49">
        <v>0</v>
      </c>
      <c r="CG164" s="49">
        <v>0</v>
      </c>
      <c r="CH164" s="49"/>
      <c r="CI164" s="49">
        <v>0</v>
      </c>
      <c r="CJ164" s="49" t="s">
        <v>100</v>
      </c>
      <c r="CK164" s="49">
        <v>0</v>
      </c>
      <c r="CL164" s="49"/>
      <c r="CM164" s="49"/>
      <c r="CN164" s="49">
        <v>0</v>
      </c>
      <c r="CO164" s="49">
        <v>0</v>
      </c>
      <c r="CP164" s="49">
        <v>0</v>
      </c>
      <c r="CQ164" s="49">
        <v>0</v>
      </c>
      <c r="CR164" s="49">
        <v>0</v>
      </c>
      <c r="CS164" s="49">
        <v>0</v>
      </c>
      <c r="CT164" s="49">
        <v>0</v>
      </c>
      <c r="CU164" s="74">
        <v>1</v>
      </c>
      <c r="CV164" s="49">
        <v>0</v>
      </c>
      <c r="CW164" s="49">
        <v>0</v>
      </c>
      <c r="CX164" s="49">
        <v>0</v>
      </c>
      <c r="CY164" s="49">
        <v>0</v>
      </c>
      <c r="CZ164" s="74">
        <v>1</v>
      </c>
      <c r="DA164" s="49">
        <v>0</v>
      </c>
      <c r="DB164" s="49">
        <v>0</v>
      </c>
      <c r="DC164" s="49">
        <v>0</v>
      </c>
      <c r="DD164" s="49"/>
      <c r="DE164" s="49"/>
      <c r="DF164" s="49"/>
      <c r="DG164" s="49"/>
      <c r="DH164" s="49"/>
      <c r="DI164" s="49"/>
      <c r="DJ164" s="49">
        <v>0</v>
      </c>
      <c r="DK164" s="49">
        <v>0</v>
      </c>
      <c r="DL164" s="49" t="s">
        <v>100</v>
      </c>
      <c r="DM164" s="74">
        <v>0</v>
      </c>
      <c r="DN164" s="49">
        <v>0</v>
      </c>
      <c r="DO164" s="49" t="s">
        <v>100</v>
      </c>
      <c r="DP164" s="49">
        <v>0</v>
      </c>
      <c r="DQ164" s="74">
        <v>0</v>
      </c>
      <c r="DR164" s="49">
        <v>0</v>
      </c>
      <c r="DS164" s="74">
        <v>1</v>
      </c>
      <c r="DT164" s="74">
        <v>1</v>
      </c>
      <c r="DU164" s="74">
        <v>0</v>
      </c>
      <c r="DV164" s="49" t="s">
        <v>100</v>
      </c>
      <c r="DW164" s="74">
        <v>0</v>
      </c>
      <c r="DX164" s="74">
        <v>0</v>
      </c>
      <c r="DY164" s="49">
        <v>2</v>
      </c>
      <c r="DZ164" s="49">
        <v>0</v>
      </c>
    </row>
    <row r="165" spans="1:130">
      <c r="A165" s="50">
        <v>164</v>
      </c>
      <c r="B165" s="50" t="s">
        <v>718</v>
      </c>
      <c r="C165" s="50" t="s">
        <v>102</v>
      </c>
      <c r="D165" s="72">
        <v>43400</v>
      </c>
      <c r="E165" s="49" t="s">
        <v>103</v>
      </c>
      <c r="F165" s="73">
        <v>27</v>
      </c>
      <c r="G165" s="74">
        <v>10</v>
      </c>
      <c r="H165" s="74">
        <v>2018</v>
      </c>
      <c r="I165" s="49" t="s">
        <v>719</v>
      </c>
      <c r="J165" s="49" t="s">
        <v>720</v>
      </c>
      <c r="K165" s="74">
        <v>38</v>
      </c>
      <c r="L165" s="73">
        <v>2</v>
      </c>
      <c r="M165" s="74">
        <v>0</v>
      </c>
      <c r="N165" s="74">
        <v>3</v>
      </c>
      <c r="O165" s="74">
        <v>0</v>
      </c>
      <c r="P165" s="73" t="s">
        <v>100</v>
      </c>
      <c r="Q165" s="49">
        <v>0</v>
      </c>
      <c r="R165" s="49">
        <v>0</v>
      </c>
      <c r="S165" s="74">
        <v>11</v>
      </c>
      <c r="T165" s="74">
        <v>6</v>
      </c>
      <c r="U165" s="74">
        <v>0</v>
      </c>
      <c r="V165" s="74">
        <v>46</v>
      </c>
      <c r="W165" s="74">
        <v>0</v>
      </c>
      <c r="X165" s="74">
        <v>0</v>
      </c>
      <c r="Y165" s="74">
        <v>0</v>
      </c>
      <c r="Z165" s="74">
        <v>0</v>
      </c>
      <c r="AA165" s="74">
        <v>1</v>
      </c>
      <c r="AB165" s="74">
        <v>0</v>
      </c>
      <c r="AC165" s="74">
        <v>0</v>
      </c>
      <c r="AD165" s="49" t="s">
        <v>3180</v>
      </c>
      <c r="AE165" s="74">
        <v>0</v>
      </c>
      <c r="AF165" s="74">
        <v>0</v>
      </c>
      <c r="AG165" s="74">
        <v>0</v>
      </c>
      <c r="AH165" s="74">
        <v>0</v>
      </c>
      <c r="AI165" s="74">
        <v>0</v>
      </c>
      <c r="AJ165" s="49">
        <v>0</v>
      </c>
      <c r="AK165" s="74">
        <v>1</v>
      </c>
      <c r="AL165" s="74">
        <v>0</v>
      </c>
      <c r="AM165" s="49">
        <v>0</v>
      </c>
      <c r="AN165" s="49" t="s">
        <v>100</v>
      </c>
      <c r="AO165" s="74">
        <v>0</v>
      </c>
      <c r="AP165" s="49"/>
      <c r="AQ165" s="74">
        <v>0</v>
      </c>
      <c r="AR165" s="49">
        <v>0</v>
      </c>
      <c r="AS165" s="74">
        <v>0</v>
      </c>
      <c r="AT165" s="49">
        <v>0</v>
      </c>
      <c r="AU165" s="49" t="s">
        <v>100</v>
      </c>
      <c r="AV165" s="49" t="s">
        <v>100</v>
      </c>
      <c r="AW165" s="49" t="s">
        <v>100</v>
      </c>
      <c r="AX165" s="49">
        <v>0</v>
      </c>
      <c r="AY165" s="49">
        <v>0</v>
      </c>
      <c r="AZ165" s="74">
        <v>1</v>
      </c>
      <c r="BA165" s="49">
        <v>1</v>
      </c>
      <c r="BB165" s="49">
        <v>0</v>
      </c>
      <c r="BC165" s="49">
        <v>0</v>
      </c>
      <c r="BD165" s="74">
        <v>0</v>
      </c>
      <c r="BE165" s="74">
        <v>1</v>
      </c>
      <c r="BF165" s="74">
        <v>1</v>
      </c>
      <c r="BG165" s="74">
        <v>3</v>
      </c>
      <c r="BH165" s="49"/>
      <c r="BI165" s="49">
        <v>0</v>
      </c>
      <c r="BJ165" s="49">
        <v>0</v>
      </c>
      <c r="BK165" s="74">
        <v>0</v>
      </c>
      <c r="BL165" s="49">
        <v>1</v>
      </c>
      <c r="BM165" s="49">
        <v>3</v>
      </c>
      <c r="BN165" s="49" t="s">
        <v>3009</v>
      </c>
      <c r="BO165" s="49">
        <v>0</v>
      </c>
      <c r="BP165" s="49">
        <v>0</v>
      </c>
      <c r="BQ165" s="49">
        <v>0</v>
      </c>
      <c r="BR165" s="49">
        <v>0</v>
      </c>
      <c r="BS165" s="49">
        <v>0</v>
      </c>
      <c r="BT165" s="49">
        <v>0</v>
      </c>
      <c r="BU165" s="49">
        <v>1</v>
      </c>
      <c r="BV165" s="49">
        <v>1</v>
      </c>
      <c r="BW165" s="49">
        <v>0</v>
      </c>
      <c r="BX165" s="49">
        <v>0</v>
      </c>
      <c r="BY165" s="74">
        <v>1</v>
      </c>
      <c r="BZ165" s="74">
        <v>0</v>
      </c>
      <c r="CA165" s="49">
        <v>0</v>
      </c>
      <c r="CB165" s="49" t="s">
        <v>100</v>
      </c>
      <c r="CC165" s="49">
        <v>0</v>
      </c>
      <c r="CD165" s="49" t="s">
        <v>100</v>
      </c>
      <c r="CE165" s="49">
        <v>0</v>
      </c>
      <c r="CF165" s="74">
        <v>1</v>
      </c>
      <c r="CG165" s="49">
        <v>0</v>
      </c>
      <c r="CH165" s="74">
        <v>1</v>
      </c>
      <c r="CI165" s="49">
        <v>0</v>
      </c>
      <c r="CJ165" s="49" t="s">
        <v>100</v>
      </c>
      <c r="CK165" s="49">
        <v>1</v>
      </c>
      <c r="CL165" s="49">
        <v>2</v>
      </c>
      <c r="CM165" s="49">
        <v>4</v>
      </c>
      <c r="CN165" s="74">
        <v>1</v>
      </c>
      <c r="CO165" s="74">
        <v>1</v>
      </c>
      <c r="CP165" s="49">
        <v>0</v>
      </c>
      <c r="CQ165" s="49">
        <v>0</v>
      </c>
      <c r="CR165" s="49">
        <v>0</v>
      </c>
      <c r="CS165" s="49">
        <v>0</v>
      </c>
      <c r="CT165" s="49">
        <v>0</v>
      </c>
      <c r="CU165" s="49">
        <v>0</v>
      </c>
      <c r="CV165" s="49">
        <v>0</v>
      </c>
      <c r="CW165" s="49">
        <v>0</v>
      </c>
      <c r="CX165" s="49">
        <v>0</v>
      </c>
      <c r="CY165" s="49">
        <v>0</v>
      </c>
      <c r="CZ165" s="74">
        <v>0</v>
      </c>
      <c r="DA165" s="49">
        <v>0</v>
      </c>
      <c r="DB165" s="74">
        <v>1</v>
      </c>
      <c r="DC165" s="74">
        <v>1</v>
      </c>
      <c r="DD165" s="49">
        <v>4</v>
      </c>
      <c r="DE165" s="49">
        <v>9</v>
      </c>
      <c r="DF165" s="49">
        <v>0</v>
      </c>
      <c r="DG165" s="49"/>
      <c r="DH165" s="49"/>
      <c r="DI165" s="49"/>
      <c r="DJ165" s="74">
        <v>1</v>
      </c>
      <c r="DK165" s="49">
        <v>0</v>
      </c>
      <c r="DL165" s="49" t="s">
        <v>100</v>
      </c>
      <c r="DM165" s="74">
        <v>0</v>
      </c>
      <c r="DN165" s="49">
        <v>0</v>
      </c>
      <c r="DO165" s="49" t="s">
        <v>100</v>
      </c>
      <c r="DP165" s="74">
        <v>0</v>
      </c>
      <c r="DQ165" s="74">
        <v>0</v>
      </c>
      <c r="DR165" s="74">
        <v>1</v>
      </c>
      <c r="DS165" s="74">
        <v>1</v>
      </c>
      <c r="DT165" s="74">
        <v>5</v>
      </c>
      <c r="DU165" s="74">
        <v>0</v>
      </c>
      <c r="DV165" s="49" t="s">
        <v>100</v>
      </c>
      <c r="DW165" s="74">
        <v>2</v>
      </c>
      <c r="DX165" s="74">
        <v>1</v>
      </c>
      <c r="DY165" s="49">
        <v>3</v>
      </c>
      <c r="DZ165" s="49">
        <v>0</v>
      </c>
    </row>
    <row r="166" spans="1:130">
      <c r="A166" s="50">
        <v>165</v>
      </c>
      <c r="B166" s="50" t="s">
        <v>721</v>
      </c>
      <c r="C166" s="50" t="s">
        <v>722</v>
      </c>
      <c r="D166" s="72">
        <v>43411</v>
      </c>
      <c r="E166" s="49" t="s">
        <v>123</v>
      </c>
      <c r="F166" s="73">
        <v>7</v>
      </c>
      <c r="G166" s="74">
        <v>11</v>
      </c>
      <c r="H166" s="74">
        <v>2018</v>
      </c>
      <c r="I166" s="49" t="s">
        <v>723</v>
      </c>
      <c r="J166" s="49" t="s">
        <v>724</v>
      </c>
      <c r="K166" s="74">
        <v>5</v>
      </c>
      <c r="L166" s="73">
        <v>3</v>
      </c>
      <c r="M166" s="74">
        <v>1</v>
      </c>
      <c r="N166" s="74">
        <v>5</v>
      </c>
      <c r="O166" s="74">
        <v>0</v>
      </c>
      <c r="P166" s="73" t="s">
        <v>100</v>
      </c>
      <c r="Q166" s="49">
        <v>0</v>
      </c>
      <c r="R166" s="49">
        <v>0</v>
      </c>
      <c r="S166" s="74">
        <v>12</v>
      </c>
      <c r="T166" s="74">
        <v>21</v>
      </c>
      <c r="U166" s="74">
        <v>0</v>
      </c>
      <c r="V166" s="74">
        <v>28</v>
      </c>
      <c r="W166" s="74">
        <v>0</v>
      </c>
      <c r="X166" s="74">
        <v>0</v>
      </c>
      <c r="Y166" s="49">
        <v>0</v>
      </c>
      <c r="Z166" s="74">
        <v>0</v>
      </c>
      <c r="AA166" s="49"/>
      <c r="AB166" s="74">
        <v>2</v>
      </c>
      <c r="AC166" s="49"/>
      <c r="AD166" s="49"/>
      <c r="AE166" s="74">
        <v>0</v>
      </c>
      <c r="AF166" s="74">
        <v>0</v>
      </c>
      <c r="AG166" s="74">
        <v>0</v>
      </c>
      <c r="AH166" s="74">
        <v>0</v>
      </c>
      <c r="AI166" s="74">
        <v>3</v>
      </c>
      <c r="AJ166" s="74">
        <v>0</v>
      </c>
      <c r="AK166" s="74">
        <v>0</v>
      </c>
      <c r="AL166" s="74">
        <v>0</v>
      </c>
      <c r="AM166" s="74">
        <v>1</v>
      </c>
      <c r="AN166" s="74">
        <v>3</v>
      </c>
      <c r="AO166" s="74">
        <v>0</v>
      </c>
      <c r="AP166" s="49"/>
      <c r="AQ166" s="74">
        <v>1</v>
      </c>
      <c r="AR166" s="49">
        <v>0</v>
      </c>
      <c r="AS166" s="74">
        <v>1</v>
      </c>
      <c r="AT166" s="74">
        <v>2</v>
      </c>
      <c r="AU166" s="49">
        <v>3</v>
      </c>
      <c r="AV166" s="49">
        <v>4</v>
      </c>
      <c r="AW166" s="49"/>
      <c r="AX166" s="74">
        <v>1</v>
      </c>
      <c r="AY166" s="49">
        <v>0</v>
      </c>
      <c r="AZ166" s="74">
        <v>0</v>
      </c>
      <c r="BA166" s="49">
        <v>0</v>
      </c>
      <c r="BB166" s="74">
        <v>1</v>
      </c>
      <c r="BC166" s="74">
        <v>0</v>
      </c>
      <c r="BD166" s="74">
        <v>0</v>
      </c>
      <c r="BE166" s="74">
        <v>1</v>
      </c>
      <c r="BF166" s="49">
        <v>0</v>
      </c>
      <c r="BG166" s="49"/>
      <c r="BH166" s="49">
        <v>1</v>
      </c>
      <c r="BI166" s="74">
        <v>1</v>
      </c>
      <c r="BJ166" s="74">
        <v>0</v>
      </c>
      <c r="BK166" s="74">
        <v>0</v>
      </c>
      <c r="BL166" s="74">
        <v>1</v>
      </c>
      <c r="BM166" s="49">
        <v>3</v>
      </c>
      <c r="BN166" s="49" t="s">
        <v>3010</v>
      </c>
      <c r="BO166" s="49">
        <v>1</v>
      </c>
      <c r="BP166" s="49">
        <v>1</v>
      </c>
      <c r="BQ166" s="49">
        <v>0</v>
      </c>
      <c r="BR166" s="49">
        <v>0</v>
      </c>
      <c r="BS166" s="49">
        <v>1</v>
      </c>
      <c r="BT166" s="49">
        <v>1</v>
      </c>
      <c r="BU166" s="49">
        <v>1</v>
      </c>
      <c r="BV166" s="49">
        <v>1</v>
      </c>
      <c r="BW166" s="49">
        <v>0</v>
      </c>
      <c r="BX166" s="49">
        <v>0</v>
      </c>
      <c r="BY166" s="74">
        <v>2</v>
      </c>
      <c r="BZ166" s="74">
        <v>0</v>
      </c>
      <c r="CA166" s="74">
        <v>0</v>
      </c>
      <c r="CB166" s="49" t="s">
        <v>100</v>
      </c>
      <c r="CC166" s="74">
        <v>0</v>
      </c>
      <c r="CD166" s="49" t="s">
        <v>100</v>
      </c>
      <c r="CE166" s="74">
        <v>5</v>
      </c>
      <c r="CF166" s="49">
        <v>0</v>
      </c>
      <c r="CG166" s="49">
        <v>0</v>
      </c>
      <c r="CH166" s="49">
        <v>0</v>
      </c>
      <c r="CI166" s="49">
        <v>0</v>
      </c>
      <c r="CJ166" s="49" t="s">
        <v>100</v>
      </c>
      <c r="CK166" s="49">
        <v>0</v>
      </c>
      <c r="CL166" s="49"/>
      <c r="CM166" s="49"/>
      <c r="CN166" s="49">
        <v>0</v>
      </c>
      <c r="CO166" s="49">
        <v>0</v>
      </c>
      <c r="CP166" s="49">
        <v>0</v>
      </c>
      <c r="CQ166" s="49">
        <v>0</v>
      </c>
      <c r="CR166" s="49">
        <v>0</v>
      </c>
      <c r="CS166" s="49">
        <v>0</v>
      </c>
      <c r="CT166" s="49">
        <v>0</v>
      </c>
      <c r="CU166" s="49">
        <v>0</v>
      </c>
      <c r="CV166" s="49">
        <v>0</v>
      </c>
      <c r="CW166" s="49">
        <v>1</v>
      </c>
      <c r="CX166" s="49">
        <v>0</v>
      </c>
      <c r="CY166" s="49">
        <v>1</v>
      </c>
      <c r="CZ166" s="74">
        <v>0</v>
      </c>
      <c r="DA166" s="49">
        <v>0</v>
      </c>
      <c r="DB166" s="74">
        <v>1</v>
      </c>
      <c r="DC166" s="49">
        <v>0</v>
      </c>
      <c r="DD166" s="49"/>
      <c r="DE166" s="49"/>
      <c r="DF166" s="49"/>
      <c r="DG166" s="49"/>
      <c r="DH166" s="49"/>
      <c r="DI166" s="49"/>
      <c r="DJ166" s="49">
        <v>0</v>
      </c>
      <c r="DK166" s="49">
        <v>0</v>
      </c>
      <c r="DL166" s="49" t="s">
        <v>100</v>
      </c>
      <c r="DM166" s="74">
        <v>0</v>
      </c>
      <c r="DN166" s="49">
        <v>0</v>
      </c>
      <c r="DO166" s="49" t="s">
        <v>100</v>
      </c>
      <c r="DP166" s="49">
        <v>0</v>
      </c>
      <c r="DQ166" s="74">
        <v>1</v>
      </c>
      <c r="DR166" s="49">
        <v>0</v>
      </c>
      <c r="DS166" s="74">
        <v>3</v>
      </c>
      <c r="DT166" s="74">
        <v>1</v>
      </c>
      <c r="DU166" s="74">
        <v>1</v>
      </c>
      <c r="DV166" s="49" t="s">
        <v>3390</v>
      </c>
      <c r="DW166" s="74">
        <v>0</v>
      </c>
      <c r="DX166" s="74">
        <v>0</v>
      </c>
      <c r="DY166" s="49">
        <v>2</v>
      </c>
      <c r="DZ166" s="49">
        <v>0</v>
      </c>
    </row>
    <row r="167" spans="1:130">
      <c r="A167" s="50">
        <v>166</v>
      </c>
      <c r="B167" s="50" t="s">
        <v>725</v>
      </c>
      <c r="C167" s="50" t="s">
        <v>726</v>
      </c>
      <c r="D167" s="72">
        <v>43488</v>
      </c>
      <c r="E167" s="49" t="s">
        <v>123</v>
      </c>
      <c r="F167" s="73">
        <v>23</v>
      </c>
      <c r="G167" s="74">
        <v>1</v>
      </c>
      <c r="H167" s="74">
        <v>2019</v>
      </c>
      <c r="I167" s="49" t="s">
        <v>727</v>
      </c>
      <c r="J167" s="49" t="s">
        <v>3308</v>
      </c>
      <c r="K167" s="74">
        <v>9</v>
      </c>
      <c r="L167" s="73">
        <v>0</v>
      </c>
      <c r="M167" s="74">
        <v>2</v>
      </c>
      <c r="N167" s="74">
        <v>4</v>
      </c>
      <c r="O167" s="74">
        <v>0</v>
      </c>
      <c r="P167" s="73" t="s">
        <v>100</v>
      </c>
      <c r="Q167" s="49">
        <v>0</v>
      </c>
      <c r="R167" s="49">
        <v>0</v>
      </c>
      <c r="S167" s="74">
        <v>5</v>
      </c>
      <c r="T167" s="74">
        <v>0</v>
      </c>
      <c r="U167" s="74">
        <v>1</v>
      </c>
      <c r="V167" s="74">
        <v>21</v>
      </c>
      <c r="W167" s="74">
        <v>0</v>
      </c>
      <c r="X167" s="74">
        <v>0</v>
      </c>
      <c r="Y167" s="74">
        <v>0</v>
      </c>
      <c r="Z167" s="74">
        <v>0</v>
      </c>
      <c r="AA167" s="49"/>
      <c r="AB167" s="74">
        <v>2</v>
      </c>
      <c r="AC167" s="49"/>
      <c r="AD167" s="49"/>
      <c r="AE167" s="74">
        <v>1</v>
      </c>
      <c r="AF167" s="74">
        <v>2</v>
      </c>
      <c r="AG167" s="74">
        <v>0</v>
      </c>
      <c r="AH167" s="74">
        <v>2</v>
      </c>
      <c r="AI167" s="74">
        <v>0</v>
      </c>
      <c r="AJ167" s="49">
        <v>0</v>
      </c>
      <c r="AK167" s="74">
        <v>0</v>
      </c>
      <c r="AL167" s="74">
        <v>0</v>
      </c>
      <c r="AM167" s="74">
        <v>2</v>
      </c>
      <c r="AN167" s="74">
        <v>0</v>
      </c>
      <c r="AO167" s="74">
        <v>0</v>
      </c>
      <c r="AP167" s="49"/>
      <c r="AQ167" s="74">
        <v>1</v>
      </c>
      <c r="AR167" s="49">
        <v>0</v>
      </c>
      <c r="AS167" s="49"/>
      <c r="AT167" s="49">
        <v>0</v>
      </c>
      <c r="AU167" s="49" t="s">
        <v>100</v>
      </c>
      <c r="AV167" s="49" t="s">
        <v>100</v>
      </c>
      <c r="AW167" s="49" t="s">
        <v>100</v>
      </c>
      <c r="AX167" s="49">
        <v>0</v>
      </c>
      <c r="AY167" s="49">
        <v>0</v>
      </c>
      <c r="AZ167" s="49">
        <v>0</v>
      </c>
      <c r="BA167" s="49">
        <v>0</v>
      </c>
      <c r="BB167" s="74">
        <v>1</v>
      </c>
      <c r="BC167" s="49"/>
      <c r="BD167" s="74">
        <v>1</v>
      </c>
      <c r="BE167" s="74">
        <v>0</v>
      </c>
      <c r="BF167" s="74">
        <v>0</v>
      </c>
      <c r="BG167" s="49"/>
      <c r="BH167" s="49">
        <v>0</v>
      </c>
      <c r="BI167" s="49">
        <v>0</v>
      </c>
      <c r="BJ167" s="49">
        <v>0</v>
      </c>
      <c r="BK167" s="74">
        <v>1</v>
      </c>
      <c r="BL167" s="49">
        <v>1</v>
      </c>
      <c r="BM167" s="49">
        <v>1</v>
      </c>
      <c r="BN167" s="49" t="s">
        <v>3098</v>
      </c>
      <c r="BO167" s="49">
        <v>1</v>
      </c>
      <c r="BP167" s="49">
        <v>0</v>
      </c>
      <c r="BQ167" s="49">
        <v>0</v>
      </c>
      <c r="BR167" s="49">
        <v>0</v>
      </c>
      <c r="BS167" s="49">
        <v>0</v>
      </c>
      <c r="BT167" s="49">
        <v>0</v>
      </c>
      <c r="BU167" s="49">
        <v>0</v>
      </c>
      <c r="BV167" s="49">
        <v>0</v>
      </c>
      <c r="BW167" s="49">
        <v>0</v>
      </c>
      <c r="BX167" s="49">
        <v>0</v>
      </c>
      <c r="BY167" s="74">
        <v>1</v>
      </c>
      <c r="BZ167" s="74">
        <v>1</v>
      </c>
      <c r="CA167" s="49"/>
      <c r="CB167" s="49" t="s">
        <v>100</v>
      </c>
      <c r="CC167" s="49"/>
      <c r="CD167" s="49">
        <v>0</v>
      </c>
      <c r="CE167" s="74">
        <v>5</v>
      </c>
      <c r="CF167" s="49">
        <v>0</v>
      </c>
      <c r="CG167" s="49"/>
      <c r="CH167" s="49"/>
      <c r="CI167" s="49">
        <v>0</v>
      </c>
      <c r="CJ167" s="49" t="s">
        <v>100</v>
      </c>
      <c r="CK167" s="49">
        <v>0</v>
      </c>
      <c r="CL167" s="49"/>
      <c r="CM167" s="49"/>
      <c r="CN167" s="49">
        <v>0</v>
      </c>
      <c r="CO167" s="49">
        <v>0</v>
      </c>
      <c r="CP167" s="49">
        <v>0</v>
      </c>
      <c r="CQ167" s="49">
        <v>0</v>
      </c>
      <c r="CR167" s="49">
        <v>0</v>
      </c>
      <c r="CS167" s="49">
        <v>0</v>
      </c>
      <c r="CT167" s="49">
        <v>0</v>
      </c>
      <c r="CU167" s="49">
        <v>0</v>
      </c>
      <c r="CV167" s="49">
        <v>0</v>
      </c>
      <c r="CW167" s="49">
        <v>0</v>
      </c>
      <c r="CX167" s="49">
        <v>0</v>
      </c>
      <c r="CY167" s="74">
        <v>1</v>
      </c>
      <c r="CZ167" s="74">
        <v>0</v>
      </c>
      <c r="DA167" s="49">
        <v>0</v>
      </c>
      <c r="DB167" s="74">
        <v>1</v>
      </c>
      <c r="DC167" s="74">
        <v>1</v>
      </c>
      <c r="DD167" s="49">
        <v>0</v>
      </c>
      <c r="DE167" s="49">
        <v>2</v>
      </c>
      <c r="DF167" s="49">
        <v>1</v>
      </c>
      <c r="DG167" s="49"/>
      <c r="DH167" s="49"/>
      <c r="DI167" s="49"/>
      <c r="DJ167" s="49"/>
      <c r="DK167" s="49">
        <v>0</v>
      </c>
      <c r="DL167" s="49" t="s">
        <v>100</v>
      </c>
      <c r="DM167" s="74">
        <v>0</v>
      </c>
      <c r="DN167" s="49">
        <v>0</v>
      </c>
      <c r="DO167" s="49" t="s">
        <v>100</v>
      </c>
      <c r="DP167" s="49">
        <v>0</v>
      </c>
      <c r="DQ167" s="74">
        <v>0</v>
      </c>
      <c r="DR167" s="74">
        <v>1</v>
      </c>
      <c r="DS167" s="74">
        <v>2</v>
      </c>
      <c r="DT167" s="74">
        <v>1</v>
      </c>
      <c r="DU167" s="74">
        <v>1</v>
      </c>
      <c r="DV167" s="49" t="s">
        <v>574</v>
      </c>
      <c r="DW167" s="74">
        <v>2</v>
      </c>
      <c r="DX167" s="74">
        <v>0</v>
      </c>
      <c r="DY167" s="74">
        <v>0</v>
      </c>
      <c r="DZ167" s="49">
        <v>0</v>
      </c>
    </row>
    <row r="168" spans="1:130">
      <c r="A168" s="50">
        <v>167</v>
      </c>
      <c r="B168" s="50" t="s">
        <v>728</v>
      </c>
      <c r="C168" s="50" t="s">
        <v>729</v>
      </c>
      <c r="D168" s="72">
        <v>43511</v>
      </c>
      <c r="E168" s="49" t="s">
        <v>157</v>
      </c>
      <c r="F168" s="73">
        <v>15</v>
      </c>
      <c r="G168" s="74">
        <v>2</v>
      </c>
      <c r="H168" s="74">
        <v>2019</v>
      </c>
      <c r="I168" s="49" t="s">
        <v>730</v>
      </c>
      <c r="J168" s="49" t="s">
        <v>321</v>
      </c>
      <c r="K168" s="74">
        <v>13</v>
      </c>
      <c r="L168" s="73">
        <v>1</v>
      </c>
      <c r="M168" s="74">
        <v>0</v>
      </c>
      <c r="N168" s="74">
        <v>6</v>
      </c>
      <c r="O168" s="74">
        <v>0</v>
      </c>
      <c r="P168" s="73" t="s">
        <v>100</v>
      </c>
      <c r="Q168" s="49">
        <v>0</v>
      </c>
      <c r="R168" s="49">
        <v>0</v>
      </c>
      <c r="S168" s="74">
        <v>5</v>
      </c>
      <c r="T168" s="74">
        <v>7</v>
      </c>
      <c r="U168" s="74">
        <v>0</v>
      </c>
      <c r="V168" s="74">
        <v>45</v>
      </c>
      <c r="W168" s="74">
        <v>0</v>
      </c>
      <c r="X168" s="74">
        <v>1</v>
      </c>
      <c r="Y168" s="49">
        <v>0</v>
      </c>
      <c r="Z168" s="74">
        <v>0</v>
      </c>
      <c r="AA168" s="49"/>
      <c r="AB168" s="49"/>
      <c r="AC168" s="49"/>
      <c r="AD168" s="49"/>
      <c r="AE168" s="49"/>
      <c r="AF168" s="74">
        <v>2</v>
      </c>
      <c r="AG168" s="49"/>
      <c r="AH168" s="49"/>
      <c r="AI168" s="74">
        <v>1</v>
      </c>
      <c r="AJ168" s="49">
        <v>0</v>
      </c>
      <c r="AK168" s="74">
        <v>0</v>
      </c>
      <c r="AL168" s="74">
        <v>0</v>
      </c>
      <c r="AM168" s="49">
        <v>0</v>
      </c>
      <c r="AN168" s="49" t="s">
        <v>100</v>
      </c>
      <c r="AO168" s="74">
        <v>0</v>
      </c>
      <c r="AP168" s="49"/>
      <c r="AQ168" s="74">
        <v>1</v>
      </c>
      <c r="AR168" s="49">
        <v>0</v>
      </c>
      <c r="AS168" s="74">
        <v>1</v>
      </c>
      <c r="AT168" s="74">
        <v>1</v>
      </c>
      <c r="AU168" s="49">
        <v>1</v>
      </c>
      <c r="AV168" s="49">
        <v>4</v>
      </c>
      <c r="AW168" s="49">
        <v>3</v>
      </c>
      <c r="AX168" s="49">
        <v>0</v>
      </c>
      <c r="AY168" s="49">
        <v>0</v>
      </c>
      <c r="AZ168" s="49">
        <v>0</v>
      </c>
      <c r="BA168" s="49">
        <v>0</v>
      </c>
      <c r="BB168" s="74">
        <v>2</v>
      </c>
      <c r="BC168" s="74">
        <v>1</v>
      </c>
      <c r="BD168" s="49">
        <v>0</v>
      </c>
      <c r="BE168" s="74">
        <v>1</v>
      </c>
      <c r="BF168" s="74">
        <v>0</v>
      </c>
      <c r="BG168" s="49"/>
      <c r="BH168" s="49">
        <v>0</v>
      </c>
      <c r="BI168" s="49">
        <v>0</v>
      </c>
      <c r="BJ168" s="49">
        <v>0</v>
      </c>
      <c r="BK168" s="74">
        <v>1</v>
      </c>
      <c r="BL168" s="74">
        <v>1</v>
      </c>
      <c r="BM168" s="49">
        <v>0</v>
      </c>
      <c r="BN168" s="49" t="s">
        <v>3099</v>
      </c>
      <c r="BO168" s="49">
        <v>1</v>
      </c>
      <c r="BP168" s="49">
        <v>0</v>
      </c>
      <c r="BQ168" s="49">
        <v>0</v>
      </c>
      <c r="BR168" s="49">
        <v>0</v>
      </c>
      <c r="BS168" s="49">
        <v>0</v>
      </c>
      <c r="BT168" s="49">
        <v>1</v>
      </c>
      <c r="BU168" s="49">
        <v>0</v>
      </c>
      <c r="BV168" s="49">
        <v>0</v>
      </c>
      <c r="BW168" s="49">
        <v>0</v>
      </c>
      <c r="BX168" s="49">
        <v>0</v>
      </c>
      <c r="BY168" s="74">
        <v>1</v>
      </c>
      <c r="BZ168" s="49">
        <v>0</v>
      </c>
      <c r="CA168" s="49">
        <v>0</v>
      </c>
      <c r="CB168" s="49" t="s">
        <v>100</v>
      </c>
      <c r="CC168" s="49">
        <v>0</v>
      </c>
      <c r="CD168" s="49" t="s">
        <v>100</v>
      </c>
      <c r="CE168" s="49">
        <v>0</v>
      </c>
      <c r="CF168" s="49">
        <v>0</v>
      </c>
      <c r="CG168" s="49">
        <v>0</v>
      </c>
      <c r="CH168" s="49">
        <v>0</v>
      </c>
      <c r="CI168" s="49">
        <v>0</v>
      </c>
      <c r="CJ168" s="49" t="s">
        <v>100</v>
      </c>
      <c r="CK168" s="49">
        <v>2</v>
      </c>
      <c r="CL168" s="49"/>
      <c r="CM168" s="49"/>
      <c r="CN168" s="49">
        <v>0</v>
      </c>
      <c r="CO168" s="49">
        <v>0</v>
      </c>
      <c r="CP168" s="49">
        <v>0</v>
      </c>
      <c r="CQ168" s="49">
        <v>0</v>
      </c>
      <c r="CR168" s="74">
        <v>1</v>
      </c>
      <c r="CS168" s="49">
        <v>0</v>
      </c>
      <c r="CT168" s="49">
        <v>0</v>
      </c>
      <c r="CU168" s="49">
        <v>0</v>
      </c>
      <c r="CV168" s="49">
        <v>0</v>
      </c>
      <c r="CW168" s="49">
        <v>0</v>
      </c>
      <c r="CX168" s="49">
        <v>0</v>
      </c>
      <c r="CY168" s="49">
        <v>0</v>
      </c>
      <c r="CZ168" s="74">
        <v>0</v>
      </c>
      <c r="DA168" s="49">
        <v>0</v>
      </c>
      <c r="DB168" s="49">
        <v>0</v>
      </c>
      <c r="DC168" s="74">
        <v>1</v>
      </c>
      <c r="DD168" s="49">
        <v>0</v>
      </c>
      <c r="DE168" s="49">
        <v>4</v>
      </c>
      <c r="DF168" s="49">
        <v>1</v>
      </c>
      <c r="DG168" s="49"/>
      <c r="DH168" s="49"/>
      <c r="DI168" s="49"/>
      <c r="DJ168" s="49">
        <v>0</v>
      </c>
      <c r="DK168" s="49">
        <v>0</v>
      </c>
      <c r="DL168" s="49" t="s">
        <v>100</v>
      </c>
      <c r="DM168" s="74">
        <v>0</v>
      </c>
      <c r="DN168" s="49">
        <v>0</v>
      </c>
      <c r="DO168" s="49" t="s">
        <v>100</v>
      </c>
      <c r="DP168" s="74">
        <v>0</v>
      </c>
      <c r="DQ168" s="74">
        <v>0</v>
      </c>
      <c r="DR168" s="74">
        <v>0</v>
      </c>
      <c r="DS168" s="74">
        <v>1</v>
      </c>
      <c r="DT168" s="74">
        <v>1</v>
      </c>
      <c r="DU168" s="74">
        <v>0</v>
      </c>
      <c r="DV168" s="49" t="s">
        <v>100</v>
      </c>
      <c r="DW168" s="74">
        <v>1</v>
      </c>
      <c r="DX168" s="74">
        <v>0</v>
      </c>
      <c r="DY168" s="49">
        <v>2</v>
      </c>
      <c r="DZ168" s="49">
        <v>0</v>
      </c>
    </row>
    <row r="169" spans="1:130">
      <c r="A169" s="50">
        <v>168</v>
      </c>
      <c r="B169" s="50" t="s">
        <v>731</v>
      </c>
      <c r="C169" s="50" t="s">
        <v>732</v>
      </c>
      <c r="D169" s="72">
        <v>43616</v>
      </c>
      <c r="E169" s="49" t="s">
        <v>157</v>
      </c>
      <c r="F169" s="73">
        <v>31</v>
      </c>
      <c r="G169" s="74">
        <v>5</v>
      </c>
      <c r="H169" s="74">
        <v>2019</v>
      </c>
      <c r="I169" s="49" t="s">
        <v>733</v>
      </c>
      <c r="J169" s="49" t="s">
        <v>734</v>
      </c>
      <c r="K169" s="74">
        <v>46</v>
      </c>
      <c r="L169" s="73">
        <v>0</v>
      </c>
      <c r="M169" s="74">
        <v>0</v>
      </c>
      <c r="N169" s="74">
        <v>6</v>
      </c>
      <c r="O169" s="74">
        <v>0</v>
      </c>
      <c r="P169" s="73" t="s">
        <v>100</v>
      </c>
      <c r="Q169" s="49">
        <v>0</v>
      </c>
      <c r="R169" s="49">
        <v>0</v>
      </c>
      <c r="S169" s="74">
        <v>12</v>
      </c>
      <c r="T169" s="74">
        <v>4</v>
      </c>
      <c r="U169" s="74">
        <v>0</v>
      </c>
      <c r="V169" s="74">
        <v>40</v>
      </c>
      <c r="W169" s="74">
        <v>0</v>
      </c>
      <c r="X169" s="74">
        <v>1</v>
      </c>
      <c r="Y169" s="74">
        <v>0</v>
      </c>
      <c r="Z169" s="74">
        <v>0</v>
      </c>
      <c r="AA169" s="49"/>
      <c r="AB169" s="74">
        <v>3</v>
      </c>
      <c r="AC169" s="49"/>
      <c r="AD169" s="49"/>
      <c r="AE169" s="49"/>
      <c r="AF169" s="49"/>
      <c r="AG169" s="49"/>
      <c r="AH169" s="49"/>
      <c r="AI169" s="74">
        <v>3</v>
      </c>
      <c r="AJ169" s="49"/>
      <c r="AK169" s="74">
        <v>1</v>
      </c>
      <c r="AL169" s="74">
        <v>2</v>
      </c>
      <c r="AM169" s="74">
        <v>1</v>
      </c>
      <c r="AN169" s="74">
        <v>5</v>
      </c>
      <c r="AO169" s="74">
        <v>0</v>
      </c>
      <c r="AP169" s="49"/>
      <c r="AQ169" s="74">
        <v>0</v>
      </c>
      <c r="AR169" s="49">
        <v>0</v>
      </c>
      <c r="AS169" s="74">
        <v>0</v>
      </c>
      <c r="AT169" s="49">
        <v>0</v>
      </c>
      <c r="AU169" s="49" t="s">
        <v>100</v>
      </c>
      <c r="AV169" s="49" t="s">
        <v>100</v>
      </c>
      <c r="AW169" s="49" t="s">
        <v>100</v>
      </c>
      <c r="AX169" s="49">
        <v>0</v>
      </c>
      <c r="AY169" s="49">
        <v>0</v>
      </c>
      <c r="AZ169" s="49">
        <v>0</v>
      </c>
      <c r="BA169" s="49">
        <v>0</v>
      </c>
      <c r="BB169" s="49">
        <v>0</v>
      </c>
      <c r="BC169" s="74">
        <v>0</v>
      </c>
      <c r="BD169" s="49"/>
      <c r="BE169" s="74">
        <v>1</v>
      </c>
      <c r="BF169" s="74">
        <v>0</v>
      </c>
      <c r="BG169" s="49"/>
      <c r="BH169" s="49"/>
      <c r="BI169" s="49">
        <v>0</v>
      </c>
      <c r="BJ169" s="49">
        <v>0</v>
      </c>
      <c r="BK169" s="74">
        <v>1</v>
      </c>
      <c r="BL169" s="74">
        <v>1</v>
      </c>
      <c r="BM169" s="49">
        <v>2</v>
      </c>
      <c r="BN169" s="49" t="s">
        <v>3004</v>
      </c>
      <c r="BO169" s="49">
        <v>1</v>
      </c>
      <c r="BP169" s="49">
        <v>1</v>
      </c>
      <c r="BQ169" s="49">
        <v>0</v>
      </c>
      <c r="BR169" s="49">
        <v>0</v>
      </c>
      <c r="BS169" s="49">
        <v>0</v>
      </c>
      <c r="BT169" s="49">
        <v>1</v>
      </c>
      <c r="BU169" s="49">
        <v>0</v>
      </c>
      <c r="BV169" s="49">
        <v>1</v>
      </c>
      <c r="BW169" s="49">
        <v>0</v>
      </c>
      <c r="BX169" s="49">
        <v>1</v>
      </c>
      <c r="BY169" s="74">
        <v>2</v>
      </c>
      <c r="BZ169" s="74">
        <v>0</v>
      </c>
      <c r="CA169" s="74">
        <v>0</v>
      </c>
      <c r="CB169" s="49" t="s">
        <v>100</v>
      </c>
      <c r="CC169" s="74">
        <v>0</v>
      </c>
      <c r="CD169" s="49" t="s">
        <v>100</v>
      </c>
      <c r="CE169" s="49">
        <v>5</v>
      </c>
      <c r="CF169" s="49">
        <v>0</v>
      </c>
      <c r="CG169" s="49">
        <v>0</v>
      </c>
      <c r="CH169" s="74">
        <v>2</v>
      </c>
      <c r="CI169" s="49">
        <v>0</v>
      </c>
      <c r="CJ169" s="49" t="s">
        <v>100</v>
      </c>
      <c r="CK169" s="49">
        <v>0</v>
      </c>
      <c r="CL169" s="49"/>
      <c r="CM169" s="49"/>
      <c r="CN169" s="49">
        <v>0</v>
      </c>
      <c r="CO169" s="49">
        <v>0</v>
      </c>
      <c r="CP169" s="49">
        <v>0</v>
      </c>
      <c r="CQ169" s="49">
        <v>0</v>
      </c>
      <c r="CR169" s="74">
        <v>1</v>
      </c>
      <c r="CS169" s="74">
        <v>1</v>
      </c>
      <c r="CT169" s="49">
        <v>0</v>
      </c>
      <c r="CU169" s="49">
        <v>0</v>
      </c>
      <c r="CV169" s="49">
        <v>0</v>
      </c>
      <c r="CW169" s="49">
        <v>0</v>
      </c>
      <c r="CX169" s="49">
        <v>0</v>
      </c>
      <c r="CY169" s="49">
        <v>0</v>
      </c>
      <c r="CZ169" s="74">
        <v>0</v>
      </c>
      <c r="DA169" s="49">
        <v>0</v>
      </c>
      <c r="DB169" s="49"/>
      <c r="DC169" s="74">
        <v>0</v>
      </c>
      <c r="DD169" s="49"/>
      <c r="DE169" s="49"/>
      <c r="DF169" s="49"/>
      <c r="DG169" s="49"/>
      <c r="DH169" s="49"/>
      <c r="DI169" s="49"/>
      <c r="DJ169" s="74">
        <v>1</v>
      </c>
      <c r="DK169" s="49">
        <v>0</v>
      </c>
      <c r="DL169" s="49" t="s">
        <v>100</v>
      </c>
      <c r="DM169" s="74">
        <v>0</v>
      </c>
      <c r="DN169" s="49">
        <v>0</v>
      </c>
      <c r="DO169" s="49" t="s">
        <v>100</v>
      </c>
      <c r="DP169" s="74">
        <v>1</v>
      </c>
      <c r="DQ169" s="74">
        <v>0</v>
      </c>
      <c r="DR169" s="74">
        <v>1</v>
      </c>
      <c r="DS169" s="74">
        <v>3</v>
      </c>
      <c r="DT169" s="74">
        <v>2</v>
      </c>
      <c r="DU169" s="74">
        <v>1</v>
      </c>
      <c r="DV169" s="49" t="s">
        <v>735</v>
      </c>
      <c r="DW169" s="74">
        <v>1</v>
      </c>
      <c r="DX169" s="74">
        <v>0</v>
      </c>
      <c r="DY169" s="49">
        <v>2</v>
      </c>
      <c r="DZ169" s="49">
        <v>0</v>
      </c>
    </row>
    <row r="170" spans="1:130">
      <c r="A170" s="50">
        <v>169</v>
      </c>
      <c r="B170" s="50" t="s">
        <v>736</v>
      </c>
      <c r="C170" s="50" t="s">
        <v>234</v>
      </c>
      <c r="D170" s="72">
        <v>43680</v>
      </c>
      <c r="E170" s="49" t="s">
        <v>103</v>
      </c>
      <c r="F170" s="73">
        <v>3</v>
      </c>
      <c r="G170" s="74">
        <v>8</v>
      </c>
      <c r="H170" s="74">
        <v>2019</v>
      </c>
      <c r="I170" s="49" t="s">
        <v>737</v>
      </c>
      <c r="J170" s="49" t="s">
        <v>166</v>
      </c>
      <c r="K170" s="74">
        <v>43</v>
      </c>
      <c r="L170" s="73">
        <v>0</v>
      </c>
      <c r="M170" s="73">
        <v>0</v>
      </c>
      <c r="N170" s="74">
        <v>4</v>
      </c>
      <c r="O170" s="74">
        <v>0</v>
      </c>
      <c r="P170" s="73" t="s">
        <v>100</v>
      </c>
      <c r="Q170" s="49">
        <v>0</v>
      </c>
      <c r="R170" s="49">
        <v>0</v>
      </c>
      <c r="S170" s="74">
        <v>23</v>
      </c>
      <c r="T170" s="74">
        <v>26</v>
      </c>
      <c r="U170" s="74">
        <v>0</v>
      </c>
      <c r="V170" s="74">
        <v>21</v>
      </c>
      <c r="W170" s="74">
        <v>0</v>
      </c>
      <c r="X170" s="74">
        <v>0</v>
      </c>
      <c r="Y170" s="74">
        <v>0</v>
      </c>
      <c r="Z170" s="49">
        <v>0</v>
      </c>
      <c r="AA170" s="49"/>
      <c r="AB170" s="74">
        <v>2</v>
      </c>
      <c r="AC170" s="49"/>
      <c r="AD170" s="49"/>
      <c r="AE170" s="49">
        <v>4</v>
      </c>
      <c r="AF170" s="74">
        <v>2</v>
      </c>
      <c r="AG170" s="74">
        <v>1</v>
      </c>
      <c r="AH170" s="49"/>
      <c r="AI170" s="49"/>
      <c r="AJ170" s="49">
        <v>0</v>
      </c>
      <c r="AK170" s="74">
        <v>0</v>
      </c>
      <c r="AL170" s="74">
        <v>0</v>
      </c>
      <c r="AM170" s="49">
        <v>0</v>
      </c>
      <c r="AN170" s="49" t="s">
        <v>100</v>
      </c>
      <c r="AO170" s="74">
        <v>0</v>
      </c>
      <c r="AP170" s="49"/>
      <c r="AQ170" s="74">
        <v>0</v>
      </c>
      <c r="AR170" s="49">
        <v>0</v>
      </c>
      <c r="AS170" s="74">
        <v>0</v>
      </c>
      <c r="AT170" s="49">
        <v>0</v>
      </c>
      <c r="AU170" s="49" t="s">
        <v>100</v>
      </c>
      <c r="AV170" s="49" t="s">
        <v>100</v>
      </c>
      <c r="AW170" s="49" t="s">
        <v>100</v>
      </c>
      <c r="AX170" s="49">
        <v>0</v>
      </c>
      <c r="AY170" s="49">
        <v>0</v>
      </c>
      <c r="AZ170" s="74">
        <v>1</v>
      </c>
      <c r="BA170" s="74">
        <v>4</v>
      </c>
      <c r="BB170" s="74">
        <v>1</v>
      </c>
      <c r="BC170" s="74">
        <v>0</v>
      </c>
      <c r="BD170" s="74">
        <v>1</v>
      </c>
      <c r="BE170" s="74">
        <v>0</v>
      </c>
      <c r="BF170" s="74">
        <v>0</v>
      </c>
      <c r="BG170" s="74">
        <v>1</v>
      </c>
      <c r="BH170" s="49">
        <v>2</v>
      </c>
      <c r="BI170" s="49">
        <v>0</v>
      </c>
      <c r="BJ170" s="49"/>
      <c r="BK170" s="74">
        <v>1</v>
      </c>
      <c r="BL170" s="49"/>
      <c r="BM170" s="49"/>
      <c r="BN170" s="49"/>
      <c r="BO170" s="49">
        <v>0</v>
      </c>
      <c r="BP170" s="49">
        <v>0</v>
      </c>
      <c r="BQ170" s="49">
        <v>0</v>
      </c>
      <c r="BR170" s="49">
        <v>0</v>
      </c>
      <c r="BS170" s="49">
        <v>0</v>
      </c>
      <c r="BT170" s="49">
        <v>0</v>
      </c>
      <c r="BU170" s="49">
        <v>0</v>
      </c>
      <c r="BV170" s="49">
        <v>0</v>
      </c>
      <c r="BW170" s="49">
        <v>0</v>
      </c>
      <c r="BX170" s="49">
        <v>0</v>
      </c>
      <c r="BY170" s="74">
        <v>2</v>
      </c>
      <c r="BZ170" s="49"/>
      <c r="CA170" s="49"/>
      <c r="CB170" s="49" t="s">
        <v>100</v>
      </c>
      <c r="CC170" s="49"/>
      <c r="CD170" s="49" t="s">
        <v>100</v>
      </c>
      <c r="CE170" s="49">
        <v>0</v>
      </c>
      <c r="CF170" s="49">
        <v>0</v>
      </c>
      <c r="CG170" s="49"/>
      <c r="CH170" s="74">
        <v>5</v>
      </c>
      <c r="CI170" s="49">
        <v>0</v>
      </c>
      <c r="CJ170" s="49" t="s">
        <v>100</v>
      </c>
      <c r="CK170" s="49">
        <v>1</v>
      </c>
      <c r="CL170" s="49"/>
      <c r="CM170" s="49"/>
      <c r="CN170" s="74">
        <v>1</v>
      </c>
      <c r="CO170" s="49">
        <v>0</v>
      </c>
      <c r="CP170" s="49">
        <v>0</v>
      </c>
      <c r="CQ170" s="49">
        <v>0</v>
      </c>
      <c r="CR170" s="49">
        <v>0</v>
      </c>
      <c r="CS170" s="49">
        <v>0</v>
      </c>
      <c r="CT170" s="49">
        <v>0</v>
      </c>
      <c r="CU170" s="49">
        <v>0</v>
      </c>
      <c r="CV170" s="49">
        <v>0</v>
      </c>
      <c r="CW170" s="49">
        <v>0</v>
      </c>
      <c r="CX170" s="49">
        <v>0</v>
      </c>
      <c r="CY170" s="49">
        <v>0</v>
      </c>
      <c r="CZ170" s="74">
        <v>0</v>
      </c>
      <c r="DA170" s="49">
        <v>0</v>
      </c>
      <c r="DB170" s="74">
        <v>1</v>
      </c>
      <c r="DC170" s="74">
        <v>1</v>
      </c>
      <c r="DD170" s="49">
        <v>4</v>
      </c>
      <c r="DE170" s="49">
        <v>9</v>
      </c>
      <c r="DF170" s="49">
        <v>1</v>
      </c>
      <c r="DG170" s="49"/>
      <c r="DH170" s="49"/>
      <c r="DI170" s="49"/>
      <c r="DJ170" s="49"/>
      <c r="DK170" s="49">
        <v>0</v>
      </c>
      <c r="DL170" s="49" t="s">
        <v>100</v>
      </c>
      <c r="DM170" s="74">
        <v>1</v>
      </c>
      <c r="DN170" s="49">
        <v>0</v>
      </c>
      <c r="DO170" s="49" t="s">
        <v>100</v>
      </c>
      <c r="DP170" s="49"/>
      <c r="DQ170" s="74">
        <v>1</v>
      </c>
      <c r="DR170" s="49"/>
      <c r="DS170" s="74">
        <v>1</v>
      </c>
      <c r="DT170" s="74">
        <v>1</v>
      </c>
      <c r="DU170" s="74">
        <v>1</v>
      </c>
      <c r="DV170" s="49" t="s">
        <v>304</v>
      </c>
      <c r="DW170" s="74">
        <v>2</v>
      </c>
      <c r="DX170" s="74">
        <v>0</v>
      </c>
      <c r="DY170" s="49">
        <v>3</v>
      </c>
      <c r="DZ170" s="49">
        <v>0</v>
      </c>
    </row>
    <row r="171" spans="1:130">
      <c r="A171" s="50">
        <v>170</v>
      </c>
      <c r="B171" s="50" t="s">
        <v>738</v>
      </c>
      <c r="C171" s="50" t="s">
        <v>739</v>
      </c>
      <c r="D171" s="72">
        <v>43681</v>
      </c>
      <c r="E171" s="49" t="s">
        <v>137</v>
      </c>
      <c r="F171" s="73">
        <v>4</v>
      </c>
      <c r="G171" s="74">
        <v>8</v>
      </c>
      <c r="H171" s="74">
        <v>2019</v>
      </c>
      <c r="I171" s="49" t="s">
        <v>740</v>
      </c>
      <c r="J171" s="49" t="s">
        <v>741</v>
      </c>
      <c r="K171" s="74">
        <v>35</v>
      </c>
      <c r="L171" s="73">
        <v>1</v>
      </c>
      <c r="M171" s="73">
        <v>0</v>
      </c>
      <c r="N171" s="74">
        <v>5</v>
      </c>
      <c r="O171" s="74">
        <v>0</v>
      </c>
      <c r="P171" s="73" t="s">
        <v>100</v>
      </c>
      <c r="Q171" s="49">
        <v>1</v>
      </c>
      <c r="R171" s="49">
        <v>1</v>
      </c>
      <c r="S171" s="74">
        <v>9</v>
      </c>
      <c r="T171" s="74">
        <v>37</v>
      </c>
      <c r="U171" s="74">
        <v>0</v>
      </c>
      <c r="V171" s="74">
        <v>24</v>
      </c>
      <c r="W171" s="74">
        <v>0</v>
      </c>
      <c r="X171" s="74">
        <v>0</v>
      </c>
      <c r="Y171" s="49">
        <v>0</v>
      </c>
      <c r="Z171" s="74">
        <v>0</v>
      </c>
      <c r="AA171" s="74">
        <v>0</v>
      </c>
      <c r="AB171" s="74">
        <v>2</v>
      </c>
      <c r="AC171" s="49"/>
      <c r="AD171" s="49"/>
      <c r="AE171" s="74">
        <v>1</v>
      </c>
      <c r="AF171" s="74">
        <v>1</v>
      </c>
      <c r="AG171" s="74">
        <v>0</v>
      </c>
      <c r="AH171" s="74">
        <v>1</v>
      </c>
      <c r="AI171" s="49"/>
      <c r="AJ171" s="49">
        <v>0</v>
      </c>
      <c r="AK171" s="49"/>
      <c r="AL171" s="74">
        <v>0</v>
      </c>
      <c r="AM171" s="49">
        <v>0</v>
      </c>
      <c r="AN171" s="49" t="s">
        <v>100</v>
      </c>
      <c r="AO171" s="74">
        <v>1</v>
      </c>
      <c r="AP171" s="49" t="s">
        <v>3309</v>
      </c>
      <c r="AQ171" s="74">
        <v>1</v>
      </c>
      <c r="AR171" s="49">
        <v>0</v>
      </c>
      <c r="AS171" s="74">
        <v>1</v>
      </c>
      <c r="AT171" s="74">
        <v>1</v>
      </c>
      <c r="AU171" s="49">
        <v>1</v>
      </c>
      <c r="AV171" s="49"/>
      <c r="AW171" s="49"/>
      <c r="AX171" s="74">
        <v>1</v>
      </c>
      <c r="AY171" s="49">
        <v>0</v>
      </c>
      <c r="AZ171" s="49">
        <v>0</v>
      </c>
      <c r="BA171" s="74">
        <v>1</v>
      </c>
      <c r="BB171" s="74">
        <v>2</v>
      </c>
      <c r="BC171" s="49"/>
      <c r="BD171" s="49"/>
      <c r="BE171" s="74">
        <v>0</v>
      </c>
      <c r="BF171" s="74">
        <v>0</v>
      </c>
      <c r="BG171" s="49"/>
      <c r="BH171" s="49">
        <v>1</v>
      </c>
      <c r="BI171" s="49">
        <v>0</v>
      </c>
      <c r="BJ171" s="49"/>
      <c r="BK171" s="49"/>
      <c r="BL171" s="49"/>
      <c r="BM171" s="49"/>
      <c r="BN171" s="49"/>
      <c r="BO171" s="49">
        <v>0</v>
      </c>
      <c r="BP171" s="49">
        <v>0</v>
      </c>
      <c r="BQ171" s="49">
        <v>0</v>
      </c>
      <c r="BR171" s="49">
        <v>0</v>
      </c>
      <c r="BS171" s="49">
        <v>0</v>
      </c>
      <c r="BT171" s="49">
        <v>0</v>
      </c>
      <c r="BU171" s="49">
        <v>0</v>
      </c>
      <c r="BV171" s="49">
        <v>0</v>
      </c>
      <c r="BW171" s="49">
        <v>0</v>
      </c>
      <c r="BX171" s="49">
        <v>0</v>
      </c>
      <c r="BY171" s="74">
        <v>1</v>
      </c>
      <c r="BZ171" s="49"/>
      <c r="CA171" s="74">
        <v>1</v>
      </c>
      <c r="CB171" s="74">
        <v>0</v>
      </c>
      <c r="CC171" s="74">
        <v>1</v>
      </c>
      <c r="CD171" s="74">
        <v>1</v>
      </c>
      <c r="CE171" s="74">
        <v>1</v>
      </c>
      <c r="CF171" s="49">
        <v>0</v>
      </c>
      <c r="CG171" s="49"/>
      <c r="CH171" s="74">
        <v>4</v>
      </c>
      <c r="CI171" s="49">
        <v>0</v>
      </c>
      <c r="CJ171" s="49" t="s">
        <v>100</v>
      </c>
      <c r="CK171" s="49">
        <v>2</v>
      </c>
      <c r="CL171" s="49"/>
      <c r="CM171" s="49"/>
      <c r="CN171" s="49">
        <v>0</v>
      </c>
      <c r="CO171" s="49">
        <v>0</v>
      </c>
      <c r="CP171" s="49">
        <v>0</v>
      </c>
      <c r="CQ171" s="49">
        <v>0</v>
      </c>
      <c r="CR171" s="49">
        <v>0</v>
      </c>
      <c r="CS171" s="49">
        <v>0</v>
      </c>
      <c r="CT171" s="49">
        <v>0</v>
      </c>
      <c r="CU171" s="49">
        <v>0</v>
      </c>
      <c r="CV171" s="49">
        <v>0</v>
      </c>
      <c r="CW171" s="49">
        <v>0</v>
      </c>
      <c r="CX171" s="49">
        <v>0</v>
      </c>
      <c r="CY171" s="74">
        <v>1</v>
      </c>
      <c r="CZ171" s="74">
        <v>0</v>
      </c>
      <c r="DA171" s="49">
        <v>0</v>
      </c>
      <c r="DB171" s="74">
        <v>1</v>
      </c>
      <c r="DC171" s="49"/>
      <c r="DD171" s="49"/>
      <c r="DE171" s="49"/>
      <c r="DF171" s="49"/>
      <c r="DG171" s="49"/>
      <c r="DH171" s="49"/>
      <c r="DI171" s="49"/>
      <c r="DJ171" s="74">
        <v>1</v>
      </c>
      <c r="DK171" s="74">
        <v>1</v>
      </c>
      <c r="DL171" s="49" t="s">
        <v>742</v>
      </c>
      <c r="DM171" s="49"/>
      <c r="DN171" s="49">
        <v>0</v>
      </c>
      <c r="DO171" s="49" t="s">
        <v>100</v>
      </c>
      <c r="DP171" s="49"/>
      <c r="DQ171" s="74">
        <v>0</v>
      </c>
      <c r="DR171" s="49"/>
      <c r="DS171" s="74">
        <v>1</v>
      </c>
      <c r="DT171" s="74">
        <v>2</v>
      </c>
      <c r="DU171" s="74">
        <v>1</v>
      </c>
      <c r="DV171" s="49" t="s">
        <v>743</v>
      </c>
      <c r="DW171" s="74">
        <v>1</v>
      </c>
      <c r="DX171" s="74">
        <v>0</v>
      </c>
      <c r="DY171" s="49">
        <v>2</v>
      </c>
      <c r="DZ171" s="49">
        <v>0</v>
      </c>
    </row>
    <row r="172" spans="1:130">
      <c r="A172" s="50">
        <v>171</v>
      </c>
      <c r="B172" s="50" t="s">
        <v>744</v>
      </c>
      <c r="C172" s="50" t="s">
        <v>745</v>
      </c>
      <c r="D172" s="72">
        <v>43708</v>
      </c>
      <c r="E172" s="49" t="s">
        <v>103</v>
      </c>
      <c r="F172" s="73">
        <v>31</v>
      </c>
      <c r="G172" s="74">
        <v>8</v>
      </c>
      <c r="H172" s="74">
        <v>2019</v>
      </c>
      <c r="I172" s="49" t="s">
        <v>746</v>
      </c>
      <c r="J172" s="49" t="s">
        <v>747</v>
      </c>
      <c r="K172" s="74">
        <v>43</v>
      </c>
      <c r="L172" s="73">
        <v>0</v>
      </c>
      <c r="M172" s="74">
        <v>0</v>
      </c>
      <c r="N172" s="74">
        <v>8</v>
      </c>
      <c r="O172" s="74">
        <v>1</v>
      </c>
      <c r="P172" s="74">
        <v>4</v>
      </c>
      <c r="Q172" s="49">
        <v>0</v>
      </c>
      <c r="R172" s="49">
        <v>0</v>
      </c>
      <c r="S172" s="74">
        <v>7</v>
      </c>
      <c r="T172" s="74">
        <v>23</v>
      </c>
      <c r="U172" s="74">
        <v>0</v>
      </c>
      <c r="V172" s="74">
        <v>36</v>
      </c>
      <c r="W172" s="74">
        <v>0</v>
      </c>
      <c r="X172" s="74">
        <v>0</v>
      </c>
      <c r="Y172" s="74">
        <v>0</v>
      </c>
      <c r="Z172" s="49">
        <v>0</v>
      </c>
      <c r="AA172" s="49"/>
      <c r="AB172" s="74">
        <v>2</v>
      </c>
      <c r="AC172" s="49"/>
      <c r="AD172" s="49"/>
      <c r="AE172" s="74">
        <v>3</v>
      </c>
      <c r="AF172" s="74">
        <v>1</v>
      </c>
      <c r="AG172" s="74">
        <v>1</v>
      </c>
      <c r="AH172" s="74">
        <v>0</v>
      </c>
      <c r="AI172" s="49"/>
      <c r="AJ172" s="49"/>
      <c r="AK172" s="74">
        <v>0</v>
      </c>
      <c r="AL172" s="74">
        <v>0</v>
      </c>
      <c r="AM172" s="49">
        <v>0</v>
      </c>
      <c r="AN172" s="49" t="s">
        <v>100</v>
      </c>
      <c r="AO172" s="74">
        <v>0</v>
      </c>
      <c r="AP172" s="49"/>
      <c r="AQ172" s="74">
        <v>1</v>
      </c>
      <c r="AR172" s="49">
        <v>0</v>
      </c>
      <c r="AS172" s="74">
        <v>1</v>
      </c>
      <c r="AT172" s="74">
        <v>2</v>
      </c>
      <c r="AU172" s="49">
        <v>3</v>
      </c>
      <c r="AV172" s="49"/>
      <c r="AW172" s="49"/>
      <c r="AX172" s="49">
        <v>0</v>
      </c>
      <c r="AY172" s="49">
        <v>0</v>
      </c>
      <c r="AZ172" s="74">
        <v>0</v>
      </c>
      <c r="BA172" s="49">
        <v>0</v>
      </c>
      <c r="BB172" s="49">
        <v>0</v>
      </c>
      <c r="BC172" s="49"/>
      <c r="BD172" s="49"/>
      <c r="BE172" s="49"/>
      <c r="BF172" s="74">
        <v>0</v>
      </c>
      <c r="BG172" s="49"/>
      <c r="BH172" s="49"/>
      <c r="BI172" s="74">
        <v>1</v>
      </c>
      <c r="BJ172" s="49"/>
      <c r="BK172" s="74">
        <v>1</v>
      </c>
      <c r="BL172" s="74">
        <v>1</v>
      </c>
      <c r="BM172" s="49">
        <v>1</v>
      </c>
      <c r="BN172" s="49" t="s">
        <v>3011</v>
      </c>
      <c r="BO172" s="49">
        <v>1</v>
      </c>
      <c r="BP172" s="49">
        <v>0</v>
      </c>
      <c r="BQ172" s="49">
        <v>0</v>
      </c>
      <c r="BR172" s="49">
        <v>0</v>
      </c>
      <c r="BS172" s="49">
        <v>0</v>
      </c>
      <c r="BT172" s="49">
        <v>1</v>
      </c>
      <c r="BU172" s="49">
        <v>1</v>
      </c>
      <c r="BV172" s="49">
        <v>0</v>
      </c>
      <c r="BW172" s="49">
        <v>0</v>
      </c>
      <c r="BX172" s="49">
        <v>0</v>
      </c>
      <c r="BY172" s="74">
        <v>1</v>
      </c>
      <c r="BZ172" s="74">
        <v>1</v>
      </c>
      <c r="CA172" s="74">
        <v>1</v>
      </c>
      <c r="CB172" s="74">
        <v>1</v>
      </c>
      <c r="CC172" s="49"/>
      <c r="CD172" s="74">
        <v>0</v>
      </c>
      <c r="CE172" s="74">
        <v>2</v>
      </c>
      <c r="CF172" s="74">
        <v>2</v>
      </c>
      <c r="CG172" s="49"/>
      <c r="CH172" s="74">
        <v>4</v>
      </c>
      <c r="CI172" s="49"/>
      <c r="CJ172" s="49" t="s">
        <v>100</v>
      </c>
      <c r="CK172" s="49">
        <v>0</v>
      </c>
      <c r="CL172" s="49"/>
      <c r="CM172" s="49"/>
      <c r="CN172" s="49">
        <v>0</v>
      </c>
      <c r="CO172" s="49">
        <v>0</v>
      </c>
      <c r="CP172" s="49">
        <v>0</v>
      </c>
      <c r="CQ172" s="49">
        <v>0</v>
      </c>
      <c r="CR172" s="49">
        <v>0</v>
      </c>
      <c r="CS172" s="49">
        <v>0</v>
      </c>
      <c r="CT172" s="49">
        <v>0</v>
      </c>
      <c r="CU172" s="49">
        <v>0</v>
      </c>
      <c r="CV172" s="49">
        <v>0</v>
      </c>
      <c r="CW172" s="49">
        <v>0</v>
      </c>
      <c r="CX172" s="49">
        <v>0</v>
      </c>
      <c r="CY172" s="74">
        <v>1</v>
      </c>
      <c r="CZ172" s="74">
        <v>0</v>
      </c>
      <c r="DA172" s="49">
        <v>1</v>
      </c>
      <c r="DB172" s="74">
        <v>1</v>
      </c>
      <c r="DC172" s="74">
        <v>0</v>
      </c>
      <c r="DD172" s="49"/>
      <c r="DE172" s="49"/>
      <c r="DF172" s="49"/>
      <c r="DG172" s="49"/>
      <c r="DH172" s="49"/>
      <c r="DI172" s="49"/>
      <c r="DJ172" s="49"/>
      <c r="DK172" s="49">
        <v>0</v>
      </c>
      <c r="DL172" s="49" t="s">
        <v>100</v>
      </c>
      <c r="DM172" s="74">
        <v>0</v>
      </c>
      <c r="DN172" s="49">
        <v>0</v>
      </c>
      <c r="DO172" s="49" t="s">
        <v>100</v>
      </c>
      <c r="DP172" s="74">
        <v>0</v>
      </c>
      <c r="DQ172" s="74">
        <v>0</v>
      </c>
      <c r="DR172" s="49"/>
      <c r="DS172" s="74">
        <v>1</v>
      </c>
      <c r="DT172" s="74">
        <v>1</v>
      </c>
      <c r="DU172" s="74">
        <v>0</v>
      </c>
      <c r="DV172" s="49" t="s">
        <v>100</v>
      </c>
      <c r="DW172" s="74">
        <v>1</v>
      </c>
      <c r="DX172" s="74">
        <v>0</v>
      </c>
      <c r="DY172" s="49">
        <v>2</v>
      </c>
      <c r="DZ172" s="49">
        <v>0</v>
      </c>
    </row>
    <row r="173" spans="1:130">
      <c r="A173" s="50">
        <v>172</v>
      </c>
      <c r="B173" s="50" t="s">
        <v>889</v>
      </c>
      <c r="C173" s="50" t="s">
        <v>890</v>
      </c>
      <c r="D173" s="72">
        <v>43809</v>
      </c>
      <c r="E173" s="49" t="s">
        <v>203</v>
      </c>
      <c r="F173" s="49">
        <v>10</v>
      </c>
      <c r="G173" s="74">
        <v>12</v>
      </c>
      <c r="H173" s="74">
        <v>2019</v>
      </c>
      <c r="I173" s="49" t="s">
        <v>891</v>
      </c>
      <c r="J173" s="49" t="s">
        <v>3310</v>
      </c>
      <c r="K173" s="49" t="s">
        <v>3391</v>
      </c>
      <c r="L173" s="74">
        <v>2</v>
      </c>
      <c r="M173" s="74">
        <v>0</v>
      </c>
      <c r="N173" s="74">
        <v>4</v>
      </c>
      <c r="O173" s="74">
        <v>1</v>
      </c>
      <c r="P173" s="74">
        <v>8</v>
      </c>
      <c r="Q173" s="49">
        <v>0</v>
      </c>
      <c r="R173" s="49">
        <v>0</v>
      </c>
      <c r="S173" s="74">
        <v>4</v>
      </c>
      <c r="T173" s="74">
        <v>3</v>
      </c>
      <c r="U173" s="74">
        <v>0</v>
      </c>
      <c r="V173" s="74">
        <v>47</v>
      </c>
      <c r="W173" s="74">
        <v>0</v>
      </c>
      <c r="X173" s="74">
        <v>1</v>
      </c>
      <c r="Y173" s="49">
        <v>0</v>
      </c>
      <c r="Z173" s="74">
        <v>0</v>
      </c>
      <c r="AA173" s="74">
        <v>5</v>
      </c>
      <c r="AB173" s="49"/>
      <c r="AC173" s="49"/>
      <c r="AD173" s="49"/>
      <c r="AE173" s="74">
        <v>3</v>
      </c>
      <c r="AF173" s="74">
        <v>1</v>
      </c>
      <c r="AG173" s="74">
        <v>1</v>
      </c>
      <c r="AH173" s="74">
        <v>0</v>
      </c>
      <c r="AI173" s="74">
        <v>1</v>
      </c>
      <c r="AJ173" s="49">
        <v>0</v>
      </c>
      <c r="AK173" s="74">
        <v>0</v>
      </c>
      <c r="AL173" s="74">
        <v>0</v>
      </c>
      <c r="AM173" s="74">
        <v>1</v>
      </c>
      <c r="AN173" s="74">
        <v>0</v>
      </c>
      <c r="AO173" s="74">
        <v>0</v>
      </c>
      <c r="AP173" s="49"/>
      <c r="AQ173" s="74">
        <v>1</v>
      </c>
      <c r="AR173" s="74">
        <v>1</v>
      </c>
      <c r="AS173" s="74">
        <v>1</v>
      </c>
      <c r="AT173" s="74">
        <v>1</v>
      </c>
      <c r="AU173" s="49">
        <v>3</v>
      </c>
      <c r="AV173" s="49"/>
      <c r="AW173" s="49"/>
      <c r="AX173" s="49">
        <v>0</v>
      </c>
      <c r="AY173" s="49">
        <v>0</v>
      </c>
      <c r="AZ173" s="49">
        <v>0</v>
      </c>
      <c r="BA173" s="74">
        <v>1</v>
      </c>
      <c r="BB173" s="49">
        <v>0</v>
      </c>
      <c r="BC173" s="49"/>
      <c r="BD173" s="49"/>
      <c r="BE173" s="74">
        <v>1</v>
      </c>
      <c r="BF173" s="49"/>
      <c r="BG173" s="74">
        <v>3</v>
      </c>
      <c r="BH173" s="49">
        <v>0</v>
      </c>
      <c r="BI173" s="49">
        <v>0</v>
      </c>
      <c r="BJ173" s="74">
        <v>0</v>
      </c>
      <c r="BK173" s="49">
        <v>0</v>
      </c>
      <c r="BL173" s="74">
        <v>1</v>
      </c>
      <c r="BM173" s="49">
        <v>3</v>
      </c>
      <c r="BN173" s="49" t="s">
        <v>3100</v>
      </c>
      <c r="BO173" s="49">
        <v>0</v>
      </c>
      <c r="BP173" s="49">
        <v>1</v>
      </c>
      <c r="BQ173" s="49">
        <v>0</v>
      </c>
      <c r="BR173" s="49">
        <v>0</v>
      </c>
      <c r="BS173" s="49">
        <v>1</v>
      </c>
      <c r="BT173" s="49">
        <v>1</v>
      </c>
      <c r="BU173" s="74">
        <v>1</v>
      </c>
      <c r="BV173" s="49">
        <v>1</v>
      </c>
      <c r="BW173" s="49">
        <v>1</v>
      </c>
      <c r="BX173" s="49">
        <v>0</v>
      </c>
      <c r="BY173" s="74">
        <v>2</v>
      </c>
      <c r="BZ173" s="49">
        <v>0</v>
      </c>
      <c r="CA173" s="49">
        <v>0</v>
      </c>
      <c r="CB173" s="49" t="s">
        <v>100</v>
      </c>
      <c r="CC173" s="49">
        <v>0</v>
      </c>
      <c r="CD173" s="49" t="s">
        <v>100</v>
      </c>
      <c r="CE173" s="49">
        <v>0</v>
      </c>
      <c r="CF173" s="49">
        <v>0</v>
      </c>
      <c r="CG173" s="49">
        <v>0</v>
      </c>
      <c r="CH173" s="74">
        <v>3</v>
      </c>
      <c r="CI173" s="49">
        <v>0</v>
      </c>
      <c r="CJ173" s="49" t="s">
        <v>100</v>
      </c>
      <c r="CK173" s="49">
        <v>1</v>
      </c>
      <c r="CL173" s="49">
        <v>4</v>
      </c>
      <c r="CM173" s="49"/>
      <c r="CN173" s="74">
        <v>1</v>
      </c>
      <c r="CO173" s="74">
        <v>1</v>
      </c>
      <c r="CP173" s="49">
        <v>0</v>
      </c>
      <c r="CQ173" s="49">
        <v>0</v>
      </c>
      <c r="CR173" s="49">
        <v>0</v>
      </c>
      <c r="CS173" s="49">
        <v>0</v>
      </c>
      <c r="CT173" s="49">
        <v>0</v>
      </c>
      <c r="CU173" s="49">
        <v>0</v>
      </c>
      <c r="CV173" s="49">
        <v>0</v>
      </c>
      <c r="CW173" s="49">
        <v>0</v>
      </c>
      <c r="CX173" s="49">
        <v>0</v>
      </c>
      <c r="CY173" s="49">
        <v>0</v>
      </c>
      <c r="CZ173" s="49">
        <v>0</v>
      </c>
      <c r="DA173" s="49">
        <v>0</v>
      </c>
      <c r="DB173" s="74">
        <v>1</v>
      </c>
      <c r="DC173" s="49">
        <v>0</v>
      </c>
      <c r="DD173" s="49"/>
      <c r="DE173" s="49"/>
      <c r="DF173" s="49"/>
      <c r="DG173" s="49"/>
      <c r="DH173" s="49"/>
      <c r="DI173" s="49"/>
      <c r="DJ173" s="74">
        <v>1</v>
      </c>
      <c r="DK173" s="49">
        <v>0</v>
      </c>
      <c r="DL173" s="49" t="s">
        <v>100</v>
      </c>
      <c r="DM173" s="74">
        <v>1</v>
      </c>
      <c r="DN173" s="49">
        <v>0</v>
      </c>
      <c r="DO173" s="49" t="s">
        <v>100</v>
      </c>
      <c r="DP173" s="74">
        <v>1</v>
      </c>
      <c r="DQ173" s="74">
        <v>0</v>
      </c>
      <c r="DR173" s="49"/>
      <c r="DS173" s="74">
        <v>3</v>
      </c>
      <c r="DT173" s="74">
        <v>5</v>
      </c>
      <c r="DU173" s="74">
        <v>1</v>
      </c>
      <c r="DV173" s="49" t="s">
        <v>3311</v>
      </c>
      <c r="DW173" s="74">
        <v>1</v>
      </c>
      <c r="DX173" s="74">
        <v>0</v>
      </c>
      <c r="DY173" s="74">
        <v>2</v>
      </c>
      <c r="DZ173" s="74">
        <v>0</v>
      </c>
    </row>
    <row r="174" spans="1:130">
      <c r="A174" s="50">
        <v>173</v>
      </c>
      <c r="B174" s="50" t="s">
        <v>892</v>
      </c>
      <c r="C174" s="50" t="s">
        <v>893</v>
      </c>
      <c r="D174" s="72">
        <v>43809</v>
      </c>
      <c r="E174" s="49" t="s">
        <v>203</v>
      </c>
      <c r="F174" s="49">
        <v>10</v>
      </c>
      <c r="G174" s="74">
        <v>12</v>
      </c>
      <c r="H174" s="74">
        <v>2019</v>
      </c>
      <c r="I174" s="49" t="s">
        <v>894</v>
      </c>
      <c r="J174" s="49" t="s">
        <v>3310</v>
      </c>
      <c r="K174" s="49" t="s">
        <v>3391</v>
      </c>
      <c r="L174" s="74">
        <v>2</v>
      </c>
      <c r="M174" s="74">
        <v>0</v>
      </c>
      <c r="N174" s="74">
        <v>4</v>
      </c>
      <c r="O174" s="74">
        <v>1</v>
      </c>
      <c r="P174" s="74">
        <v>8</v>
      </c>
      <c r="Q174" s="49">
        <v>0</v>
      </c>
      <c r="R174" s="49">
        <v>0</v>
      </c>
      <c r="S174" s="74">
        <v>4</v>
      </c>
      <c r="T174" s="74">
        <v>3</v>
      </c>
      <c r="U174" s="74">
        <v>0</v>
      </c>
      <c r="V174" s="74">
        <v>50</v>
      </c>
      <c r="W174" s="74">
        <v>1</v>
      </c>
      <c r="X174" s="74">
        <v>1</v>
      </c>
      <c r="Y174" s="74">
        <v>0</v>
      </c>
      <c r="Z174" s="74">
        <v>0</v>
      </c>
      <c r="AA174" s="74">
        <v>5</v>
      </c>
      <c r="AB174" s="49"/>
      <c r="AC174" s="49"/>
      <c r="AD174" s="49"/>
      <c r="AE174" s="49"/>
      <c r="AF174" s="74">
        <v>2</v>
      </c>
      <c r="AG174" s="49"/>
      <c r="AH174" s="49"/>
      <c r="AI174" s="74">
        <v>1</v>
      </c>
      <c r="AJ174" s="49">
        <v>0</v>
      </c>
      <c r="AK174" s="74">
        <v>0</v>
      </c>
      <c r="AL174" s="74">
        <v>2</v>
      </c>
      <c r="AM174" s="49">
        <v>0</v>
      </c>
      <c r="AN174" s="49" t="s">
        <v>100</v>
      </c>
      <c r="AO174" s="74">
        <v>3</v>
      </c>
      <c r="AP174" s="49" t="s">
        <v>3312</v>
      </c>
      <c r="AQ174" s="74">
        <v>0</v>
      </c>
      <c r="AR174" s="74">
        <v>1</v>
      </c>
      <c r="AS174" s="74">
        <v>1</v>
      </c>
      <c r="AT174" s="74">
        <v>0</v>
      </c>
      <c r="AU174" s="49" t="s">
        <v>100</v>
      </c>
      <c r="AV174" s="49" t="s">
        <v>100</v>
      </c>
      <c r="AW174" s="49" t="s">
        <v>100</v>
      </c>
      <c r="AX174" s="49">
        <v>0</v>
      </c>
      <c r="AY174" s="49">
        <v>0</v>
      </c>
      <c r="AZ174" s="49">
        <v>0</v>
      </c>
      <c r="BA174" s="74">
        <v>1</v>
      </c>
      <c r="BB174" s="49">
        <v>0</v>
      </c>
      <c r="BC174" s="74">
        <v>0</v>
      </c>
      <c r="BD174" s="49"/>
      <c r="BE174" s="74">
        <v>0</v>
      </c>
      <c r="BF174" s="74">
        <v>0</v>
      </c>
      <c r="BG174" s="49"/>
      <c r="BH174" s="49">
        <v>0</v>
      </c>
      <c r="BI174" s="49">
        <v>0</v>
      </c>
      <c r="BJ174" s="74">
        <v>0</v>
      </c>
      <c r="BK174" s="49">
        <v>0</v>
      </c>
      <c r="BL174" s="74">
        <v>1</v>
      </c>
      <c r="BM174" s="49">
        <v>3</v>
      </c>
      <c r="BN174" s="49" t="s">
        <v>3058</v>
      </c>
      <c r="BO174" s="49">
        <v>1</v>
      </c>
      <c r="BP174" s="49">
        <v>1</v>
      </c>
      <c r="BQ174" s="49">
        <v>0</v>
      </c>
      <c r="BR174" s="49">
        <v>0</v>
      </c>
      <c r="BS174" s="49">
        <v>0</v>
      </c>
      <c r="BT174" s="49">
        <v>0</v>
      </c>
      <c r="BU174" s="49">
        <v>0</v>
      </c>
      <c r="BV174" s="74">
        <v>1</v>
      </c>
      <c r="BW174" s="49">
        <v>0</v>
      </c>
      <c r="BX174" s="49">
        <v>0</v>
      </c>
      <c r="BY174" s="74">
        <v>2</v>
      </c>
      <c r="BZ174" s="49">
        <v>0</v>
      </c>
      <c r="CA174" s="49">
        <v>0</v>
      </c>
      <c r="CB174" s="49" t="s">
        <v>100</v>
      </c>
      <c r="CC174" s="49">
        <v>0</v>
      </c>
      <c r="CD174" s="49" t="s">
        <v>100</v>
      </c>
      <c r="CE174" s="49">
        <v>0</v>
      </c>
      <c r="CF174" s="49">
        <v>0</v>
      </c>
      <c r="CG174" s="49">
        <v>0</v>
      </c>
      <c r="CH174" s="49">
        <v>0</v>
      </c>
      <c r="CI174" s="74">
        <v>1</v>
      </c>
      <c r="CJ174" s="49" t="s">
        <v>359</v>
      </c>
      <c r="CK174" s="49">
        <v>1</v>
      </c>
      <c r="CL174" s="49">
        <v>4</v>
      </c>
      <c r="CM174" s="49"/>
      <c r="CN174" s="74">
        <v>1</v>
      </c>
      <c r="CO174" s="74">
        <v>1</v>
      </c>
      <c r="CP174" s="49">
        <v>0</v>
      </c>
      <c r="CQ174" s="49">
        <v>0</v>
      </c>
      <c r="CR174" s="49">
        <v>0</v>
      </c>
      <c r="CS174" s="49">
        <v>0</v>
      </c>
      <c r="CT174" s="49">
        <v>0</v>
      </c>
      <c r="CU174" s="49">
        <v>0</v>
      </c>
      <c r="CV174" s="49">
        <v>0</v>
      </c>
      <c r="CW174" s="49">
        <v>0</v>
      </c>
      <c r="CX174" s="49">
        <v>0</v>
      </c>
      <c r="CY174" s="49">
        <v>0</v>
      </c>
      <c r="CZ174" s="49">
        <v>0</v>
      </c>
      <c r="DA174" s="49">
        <v>0</v>
      </c>
      <c r="DB174" s="74">
        <v>0</v>
      </c>
      <c r="DC174" s="49">
        <v>0</v>
      </c>
      <c r="DD174" s="49"/>
      <c r="DE174" s="49"/>
      <c r="DF174" s="49"/>
      <c r="DG174" s="49"/>
      <c r="DH174" s="49"/>
      <c r="DI174" s="49"/>
      <c r="DJ174" s="74">
        <v>1</v>
      </c>
      <c r="DK174" s="49">
        <v>0</v>
      </c>
      <c r="DL174" s="49" t="s">
        <v>100</v>
      </c>
      <c r="DM174" s="74">
        <v>1</v>
      </c>
      <c r="DN174" s="49">
        <v>0</v>
      </c>
      <c r="DO174" s="49" t="s">
        <v>100</v>
      </c>
      <c r="DP174" s="74">
        <v>1</v>
      </c>
      <c r="DQ174" s="74">
        <v>0</v>
      </c>
      <c r="DR174" s="74">
        <v>0</v>
      </c>
      <c r="DS174" s="74">
        <v>1</v>
      </c>
      <c r="DT174" s="74">
        <v>5</v>
      </c>
      <c r="DU174" s="74">
        <v>1</v>
      </c>
      <c r="DV174" s="49" t="s">
        <v>3311</v>
      </c>
      <c r="DW174" s="74">
        <v>1</v>
      </c>
      <c r="DX174" s="74">
        <v>0</v>
      </c>
      <c r="DY174" s="74">
        <v>2</v>
      </c>
      <c r="DZ174" s="74">
        <v>0</v>
      </c>
    </row>
    <row r="175" spans="1:130">
      <c r="A175" s="50">
        <v>174</v>
      </c>
      <c r="B175" s="50" t="s">
        <v>895</v>
      </c>
      <c r="C175" s="50" t="s">
        <v>481</v>
      </c>
      <c r="D175" s="72">
        <v>43887</v>
      </c>
      <c r="E175" s="49" t="s">
        <v>123</v>
      </c>
      <c r="F175" s="49">
        <v>26</v>
      </c>
      <c r="G175" s="74">
        <v>2</v>
      </c>
      <c r="H175" s="74">
        <v>2020</v>
      </c>
      <c r="I175" s="49" t="s">
        <v>3313</v>
      </c>
      <c r="J175" s="49" t="s">
        <v>3314</v>
      </c>
      <c r="K175" s="49" t="s">
        <v>3392</v>
      </c>
      <c r="L175" s="74">
        <v>1</v>
      </c>
      <c r="M175" s="74">
        <v>0</v>
      </c>
      <c r="N175" s="74">
        <v>6</v>
      </c>
      <c r="O175" s="74">
        <v>0</v>
      </c>
      <c r="P175" s="49" t="s">
        <v>100</v>
      </c>
      <c r="Q175" s="49">
        <v>0</v>
      </c>
      <c r="R175" s="49">
        <v>0</v>
      </c>
      <c r="S175" s="74">
        <v>5</v>
      </c>
      <c r="T175" s="74">
        <v>0</v>
      </c>
      <c r="U175" s="74">
        <v>0</v>
      </c>
      <c r="V175" s="74">
        <v>51</v>
      </c>
      <c r="W175" s="74">
        <v>0</v>
      </c>
      <c r="X175" s="74">
        <v>1</v>
      </c>
      <c r="Y175" s="49">
        <v>0</v>
      </c>
      <c r="Z175" s="74">
        <v>0</v>
      </c>
      <c r="AA175" s="49"/>
      <c r="AB175" s="74">
        <v>2</v>
      </c>
      <c r="AC175" s="49"/>
      <c r="AD175" s="49"/>
      <c r="AE175" s="49"/>
      <c r="AF175" s="74">
        <v>2</v>
      </c>
      <c r="AG175" s="49"/>
      <c r="AH175" s="49"/>
      <c r="AI175" s="74">
        <v>2</v>
      </c>
      <c r="AJ175" s="74">
        <v>1</v>
      </c>
      <c r="AK175" s="74">
        <v>1</v>
      </c>
      <c r="AL175" s="74">
        <v>0</v>
      </c>
      <c r="AM175" s="74">
        <v>1</v>
      </c>
      <c r="AN175" s="74">
        <v>4</v>
      </c>
      <c r="AO175" s="74">
        <v>1</v>
      </c>
      <c r="AP175" s="49" t="s">
        <v>3315</v>
      </c>
      <c r="AQ175" s="49" t="s">
        <v>806</v>
      </c>
      <c r="AR175" s="49">
        <v>0</v>
      </c>
      <c r="AS175" s="49" t="s">
        <v>806</v>
      </c>
      <c r="AT175" s="49" t="s">
        <v>806</v>
      </c>
      <c r="AU175" s="49">
        <v>1</v>
      </c>
      <c r="AV175" s="49"/>
      <c r="AW175" s="49"/>
      <c r="AX175" s="49">
        <v>0</v>
      </c>
      <c r="AY175" s="49">
        <v>0</v>
      </c>
      <c r="AZ175" s="49">
        <v>0</v>
      </c>
      <c r="BA175" s="49">
        <v>0</v>
      </c>
      <c r="BB175" s="49">
        <v>0</v>
      </c>
      <c r="BC175" s="74">
        <v>0</v>
      </c>
      <c r="BD175" s="74">
        <v>1</v>
      </c>
      <c r="BE175" s="49"/>
      <c r="BF175" s="49"/>
      <c r="BG175" s="49"/>
      <c r="BH175" s="49"/>
      <c r="BI175" s="74">
        <v>1</v>
      </c>
      <c r="BJ175" s="74">
        <v>0</v>
      </c>
      <c r="BK175" s="74">
        <v>0</v>
      </c>
      <c r="BL175" s="74">
        <v>1</v>
      </c>
      <c r="BM175" s="49">
        <v>3</v>
      </c>
      <c r="BN175" s="49" t="s">
        <v>3101</v>
      </c>
      <c r="BO175" s="49">
        <v>1</v>
      </c>
      <c r="BP175" s="49">
        <v>0</v>
      </c>
      <c r="BQ175" s="49">
        <v>0</v>
      </c>
      <c r="BR175" s="49">
        <v>0</v>
      </c>
      <c r="BS175" s="49">
        <v>0</v>
      </c>
      <c r="BT175" s="49">
        <v>1</v>
      </c>
      <c r="BU175" s="49">
        <v>0</v>
      </c>
      <c r="BV175" s="49">
        <v>0</v>
      </c>
      <c r="BW175" s="49">
        <v>0</v>
      </c>
      <c r="BX175" s="49">
        <v>1</v>
      </c>
      <c r="BY175" s="74">
        <v>2</v>
      </c>
      <c r="BZ175" s="49">
        <v>0</v>
      </c>
      <c r="CA175" s="49">
        <v>0</v>
      </c>
      <c r="CB175" s="49" t="s">
        <v>100</v>
      </c>
      <c r="CC175" s="49">
        <v>0</v>
      </c>
      <c r="CD175" s="49" t="s">
        <v>100</v>
      </c>
      <c r="CE175" s="49">
        <v>5</v>
      </c>
      <c r="CF175" s="49">
        <v>0</v>
      </c>
      <c r="CG175" s="49">
        <v>0</v>
      </c>
      <c r="CH175" s="74">
        <v>1</v>
      </c>
      <c r="CI175" s="74">
        <v>1</v>
      </c>
      <c r="CJ175" s="49" t="s">
        <v>3316</v>
      </c>
      <c r="CK175" s="49">
        <v>0</v>
      </c>
      <c r="CL175" s="49"/>
      <c r="CM175" s="49"/>
      <c r="CN175" s="49">
        <v>0</v>
      </c>
      <c r="CO175" s="49">
        <v>0</v>
      </c>
      <c r="CP175" s="49">
        <v>0</v>
      </c>
      <c r="CQ175" s="49">
        <v>0</v>
      </c>
      <c r="CR175" s="74">
        <v>0</v>
      </c>
      <c r="CS175" s="49">
        <v>0</v>
      </c>
      <c r="CT175" s="49">
        <v>0</v>
      </c>
      <c r="CU175" s="49">
        <v>0</v>
      </c>
      <c r="CV175" s="49">
        <v>1</v>
      </c>
      <c r="CW175" s="49">
        <v>0</v>
      </c>
      <c r="CX175" s="49">
        <v>0</v>
      </c>
      <c r="CY175" s="74">
        <v>1</v>
      </c>
      <c r="CZ175" s="74">
        <v>0</v>
      </c>
      <c r="DA175" s="49">
        <v>1</v>
      </c>
      <c r="DB175" s="49">
        <v>0</v>
      </c>
      <c r="DC175" s="49">
        <v>0</v>
      </c>
      <c r="DD175" s="49"/>
      <c r="DE175" s="49"/>
      <c r="DF175" s="49"/>
      <c r="DG175" s="49"/>
      <c r="DH175" s="49"/>
      <c r="DI175" s="49"/>
      <c r="DJ175" s="49">
        <v>0</v>
      </c>
      <c r="DK175" s="49">
        <v>0</v>
      </c>
      <c r="DL175" s="49" t="s">
        <v>100</v>
      </c>
      <c r="DM175" s="74">
        <v>0</v>
      </c>
      <c r="DN175" s="49">
        <v>0</v>
      </c>
      <c r="DO175" s="49" t="s">
        <v>100</v>
      </c>
      <c r="DP175" s="49"/>
      <c r="DQ175" s="74">
        <v>0</v>
      </c>
      <c r="DR175" s="74">
        <v>1</v>
      </c>
      <c r="DS175" s="74">
        <v>2</v>
      </c>
      <c r="DT175" s="74">
        <v>2</v>
      </c>
      <c r="DU175" s="74">
        <v>1</v>
      </c>
      <c r="DV175" s="49" t="s">
        <v>735</v>
      </c>
      <c r="DW175" s="74">
        <v>0</v>
      </c>
      <c r="DX175" s="74">
        <v>0</v>
      </c>
      <c r="DY175" s="74">
        <v>2</v>
      </c>
      <c r="DZ175" s="74">
        <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DZ358"/>
  <sheetViews>
    <sheetView workbookViewId="0">
      <pane xSplit="3" ySplit="2" topLeftCell="D3" activePane="bottomRight" state="frozen"/>
      <selection pane="topRight" activeCell="D1" sqref="D1"/>
      <selection pane="bottomLeft" activeCell="A3" sqref="A3"/>
      <selection pane="bottomRight"/>
    </sheetView>
  </sheetViews>
  <sheetFormatPr baseColWidth="10" defaultColWidth="14.5" defaultRowHeight="15" customHeight="1"/>
  <cols>
    <col min="1" max="1" width="7.5" style="182" customWidth="1"/>
    <col min="2" max="3" width="19.5" style="114" customWidth="1"/>
    <col min="4" max="4" width="20.5" style="114" customWidth="1"/>
    <col min="5" max="5" width="12.6640625" style="114" customWidth="1"/>
    <col min="6" max="8" width="9.1640625" style="114" customWidth="1"/>
    <col min="9" max="9" width="40.6640625" style="114" customWidth="1"/>
    <col min="10" max="13" width="9.1640625" style="114" customWidth="1"/>
    <col min="14" max="14" width="10" style="114" customWidth="1"/>
    <col min="15" max="40" width="9.1640625" style="114" customWidth="1"/>
    <col min="41" max="42" width="14.5" style="114"/>
    <col min="43" max="45" width="9.1640625" style="114" customWidth="1"/>
    <col min="46" max="50" width="15.6640625" style="114" customWidth="1"/>
    <col min="51" max="53" width="9.1640625" style="114" customWidth="1"/>
    <col min="54" max="54" width="14.5" style="114"/>
    <col min="55" max="63" width="9.1640625" style="114" customWidth="1"/>
    <col min="64" max="65" width="9.1640625" style="95" customWidth="1"/>
    <col min="66" max="66" width="19.33203125" style="114" customWidth="1"/>
    <col min="67" max="67" width="15.83203125" style="114" customWidth="1"/>
    <col min="68" max="70" width="12.5" style="114" customWidth="1"/>
    <col min="71" max="71" width="13.6640625" style="114" customWidth="1"/>
    <col min="72" max="73" width="13.83203125" style="114" customWidth="1"/>
    <col min="74" max="74" width="14.5" style="114" customWidth="1"/>
    <col min="75" max="75" width="15.83203125" style="114" customWidth="1"/>
    <col min="76" max="76" width="15.1640625" style="114" customWidth="1"/>
    <col min="77" max="88" width="9.1640625" style="114" customWidth="1"/>
    <col min="89" max="91" width="13.6640625" style="176" customWidth="1"/>
    <col min="92" max="92" width="9.1640625" style="95" customWidth="1"/>
    <col min="93" max="93" width="12.6640625" style="95" customWidth="1"/>
    <col min="94" max="94" width="10.6640625" style="95" customWidth="1"/>
    <col min="95" max="96" width="13.6640625" style="95" customWidth="1"/>
    <col min="97" max="97" width="12.1640625" style="95" customWidth="1"/>
    <col min="98" max="98" width="9.1640625" style="95" customWidth="1"/>
    <col min="99" max="99" width="13.5" style="95" customWidth="1"/>
    <col min="100" max="100" width="12.5" style="95" customWidth="1"/>
    <col min="101" max="101" width="8.6640625" style="95" customWidth="1"/>
    <col min="102" max="102" width="9.1640625" style="95" customWidth="1"/>
    <col min="103" max="103" width="10.5" style="95" customWidth="1"/>
    <col min="104" max="104" width="10.6640625" style="95" customWidth="1"/>
    <col min="105" max="105" width="15.33203125" style="114" customWidth="1"/>
    <col min="106" max="107" width="9.1640625" style="114" customWidth="1"/>
    <col min="108" max="110" width="12.1640625" style="114" customWidth="1"/>
    <col min="111" max="113" width="13" style="114" customWidth="1"/>
    <col min="114" max="121" width="9.1640625" style="114" customWidth="1"/>
    <col min="122" max="122" width="15.6640625" style="114" customWidth="1"/>
    <col min="123" max="123" width="14.5" style="114"/>
    <col min="124" max="124" width="9.1640625" style="114" customWidth="1"/>
    <col min="125" max="125" width="11.1640625" style="114" customWidth="1"/>
    <col min="126" max="130" width="9.1640625" style="114" customWidth="1"/>
    <col min="131" max="16384" width="14.5" style="114"/>
  </cols>
  <sheetData>
    <row r="1" spans="1:130" s="22" customFormat="1" ht="16">
      <c r="A1" s="58" t="s">
        <v>21</v>
      </c>
      <c r="B1" s="34" t="s">
        <v>22</v>
      </c>
      <c r="C1" s="34"/>
      <c r="D1" s="36" t="s">
        <v>23</v>
      </c>
      <c r="E1" s="36"/>
      <c r="F1" s="36"/>
      <c r="G1" s="36"/>
      <c r="H1" s="36"/>
      <c r="I1" s="37" t="s">
        <v>24</v>
      </c>
      <c r="J1" s="37"/>
      <c r="K1" s="37"/>
      <c r="L1" s="37"/>
      <c r="M1" s="37"/>
      <c r="N1" s="37"/>
      <c r="O1" s="37"/>
      <c r="P1" s="37"/>
      <c r="Q1" s="37"/>
      <c r="R1" s="37"/>
      <c r="S1" s="38" t="s">
        <v>25</v>
      </c>
      <c r="T1" s="38"/>
      <c r="U1" s="38"/>
      <c r="V1" s="39" t="s">
        <v>3393</v>
      </c>
      <c r="W1" s="39"/>
      <c r="X1" s="39"/>
      <c r="Y1" s="39"/>
      <c r="Z1" s="39"/>
      <c r="AA1" s="39"/>
      <c r="AB1" s="39"/>
      <c r="AC1" s="39"/>
      <c r="AD1" s="39"/>
      <c r="AE1" s="39"/>
      <c r="AF1" s="39"/>
      <c r="AG1" s="39"/>
      <c r="AH1" s="39"/>
      <c r="AI1" s="39"/>
      <c r="AJ1" s="39"/>
      <c r="AK1" s="39"/>
      <c r="AL1" s="39"/>
      <c r="AM1" s="39"/>
      <c r="AN1" s="39"/>
      <c r="AO1" s="39"/>
      <c r="AP1" s="39"/>
      <c r="AQ1" s="40" t="s">
        <v>26</v>
      </c>
      <c r="AR1" s="40"/>
      <c r="AS1" s="40"/>
      <c r="AT1" s="40"/>
      <c r="AU1" s="40"/>
      <c r="AV1" s="40"/>
      <c r="AW1" s="40"/>
      <c r="AX1" s="40"/>
      <c r="AY1" s="40"/>
      <c r="AZ1" s="40"/>
      <c r="BA1" s="40"/>
      <c r="BB1" s="40"/>
      <c r="BC1" s="40"/>
      <c r="BD1" s="41" t="s">
        <v>27</v>
      </c>
      <c r="BE1" s="41"/>
      <c r="BF1" s="41"/>
      <c r="BG1" s="41"/>
      <c r="BH1" s="41"/>
      <c r="BI1" s="41"/>
      <c r="BJ1" s="41"/>
      <c r="BK1" s="41"/>
      <c r="BL1" s="41"/>
      <c r="BM1" s="41"/>
      <c r="BN1" s="41"/>
      <c r="BO1" s="41"/>
      <c r="BP1" s="41"/>
      <c r="BQ1" s="41"/>
      <c r="BR1" s="41"/>
      <c r="BS1" s="41"/>
      <c r="BT1" s="41"/>
      <c r="BU1" s="41"/>
      <c r="BV1" s="41"/>
      <c r="BW1" s="41"/>
      <c r="BX1" s="41"/>
      <c r="BY1" s="23" t="s">
        <v>28</v>
      </c>
      <c r="BZ1" s="23"/>
      <c r="CA1" s="23"/>
      <c r="CB1" s="23"/>
      <c r="CC1" s="23"/>
      <c r="CD1" s="23"/>
      <c r="CE1" s="23"/>
      <c r="CF1" s="23"/>
      <c r="CG1" s="23"/>
      <c r="CH1" s="23"/>
      <c r="CI1" s="23"/>
      <c r="CJ1" s="23"/>
      <c r="CK1" s="42" t="s">
        <v>29</v>
      </c>
      <c r="CL1" s="42"/>
      <c r="CM1" s="42"/>
      <c r="CN1" s="42"/>
      <c r="CO1" s="42"/>
      <c r="CP1" s="42"/>
      <c r="CQ1" s="42"/>
      <c r="CR1" s="42"/>
      <c r="CS1" s="42"/>
      <c r="CT1" s="42"/>
      <c r="CU1" s="42"/>
      <c r="CV1" s="42"/>
      <c r="CW1" s="42"/>
      <c r="CX1" s="42"/>
      <c r="CY1" s="42"/>
      <c r="CZ1" s="42"/>
      <c r="DA1" s="42"/>
      <c r="DB1" s="43" t="s">
        <v>30</v>
      </c>
      <c r="DC1" s="43"/>
      <c r="DD1" s="43"/>
      <c r="DE1" s="43"/>
      <c r="DF1" s="43"/>
      <c r="DG1" s="43"/>
      <c r="DH1" s="43"/>
      <c r="DI1" s="43"/>
      <c r="DJ1" s="43"/>
      <c r="DK1" s="43"/>
      <c r="DL1" s="43"/>
      <c r="DM1" s="43"/>
      <c r="DN1" s="43"/>
      <c r="DO1" s="43"/>
      <c r="DP1" s="43"/>
      <c r="DQ1" s="43"/>
      <c r="DR1" s="44" t="s">
        <v>31</v>
      </c>
      <c r="DS1" s="44"/>
      <c r="DT1" s="44"/>
      <c r="DU1" s="44"/>
      <c r="DV1" s="44"/>
      <c r="DW1" s="46" t="s">
        <v>32</v>
      </c>
      <c r="DX1" s="46"/>
      <c r="DY1" s="46"/>
      <c r="DZ1" s="46"/>
    </row>
    <row r="2" spans="1:130" s="95" customFormat="1" ht="50.25" customHeight="1">
      <c r="A2" s="90" t="s">
        <v>21</v>
      </c>
      <c r="B2" s="90" t="s">
        <v>33</v>
      </c>
      <c r="C2" s="90" t="s">
        <v>34</v>
      </c>
      <c r="D2" s="91" t="s">
        <v>35</v>
      </c>
      <c r="E2" s="91" t="s">
        <v>36</v>
      </c>
      <c r="F2" s="91" t="s">
        <v>37</v>
      </c>
      <c r="G2" s="91" t="s">
        <v>38</v>
      </c>
      <c r="H2" s="91" t="s">
        <v>39</v>
      </c>
      <c r="I2" s="91" t="s">
        <v>40</v>
      </c>
      <c r="J2" s="91" t="s">
        <v>41</v>
      </c>
      <c r="K2" s="91" t="s">
        <v>42</v>
      </c>
      <c r="L2" s="91" t="s">
        <v>43</v>
      </c>
      <c r="M2" s="91" t="s">
        <v>44</v>
      </c>
      <c r="N2" s="91" t="s">
        <v>24</v>
      </c>
      <c r="O2" s="91" t="s">
        <v>45</v>
      </c>
      <c r="P2" s="91" t="s">
        <v>46</v>
      </c>
      <c r="Q2" s="92" t="s">
        <v>47</v>
      </c>
      <c r="R2" s="92" t="s">
        <v>2950</v>
      </c>
      <c r="S2" s="91" t="s">
        <v>48</v>
      </c>
      <c r="T2" s="91" t="s">
        <v>49</v>
      </c>
      <c r="U2" s="91" t="s">
        <v>50</v>
      </c>
      <c r="V2" s="91" t="s">
        <v>51</v>
      </c>
      <c r="W2" s="91" t="s">
        <v>52</v>
      </c>
      <c r="X2" s="91" t="s">
        <v>53</v>
      </c>
      <c r="Y2" s="91" t="s">
        <v>54</v>
      </c>
      <c r="Z2" s="91" t="s">
        <v>55</v>
      </c>
      <c r="AA2" s="91" t="s">
        <v>56</v>
      </c>
      <c r="AB2" s="91" t="s">
        <v>57</v>
      </c>
      <c r="AC2" s="93" t="s">
        <v>748</v>
      </c>
      <c r="AD2" s="93" t="s">
        <v>749</v>
      </c>
      <c r="AE2" s="93" t="s">
        <v>750</v>
      </c>
      <c r="AF2" s="93" t="s">
        <v>751</v>
      </c>
      <c r="AG2" s="93" t="s">
        <v>752</v>
      </c>
      <c r="AH2" s="93" t="s">
        <v>753</v>
      </c>
      <c r="AI2" s="91" t="s">
        <v>58</v>
      </c>
      <c r="AJ2" s="91" t="s">
        <v>59</v>
      </c>
      <c r="AK2" s="91" t="s">
        <v>60</v>
      </c>
      <c r="AL2" s="91" t="s">
        <v>754</v>
      </c>
      <c r="AM2" s="91" t="s">
        <v>61</v>
      </c>
      <c r="AN2" s="91" t="s">
        <v>755</v>
      </c>
      <c r="AO2" s="93" t="s">
        <v>756</v>
      </c>
      <c r="AP2" s="93" t="s">
        <v>757</v>
      </c>
      <c r="AQ2" s="91" t="s">
        <v>62</v>
      </c>
      <c r="AR2" s="91" t="s">
        <v>63</v>
      </c>
      <c r="AS2" s="91" t="s">
        <v>758</v>
      </c>
      <c r="AT2" s="93" t="s">
        <v>759</v>
      </c>
      <c r="AU2" s="93" t="s">
        <v>760</v>
      </c>
      <c r="AV2" s="93" t="s">
        <v>761</v>
      </c>
      <c r="AW2" s="93" t="s">
        <v>762</v>
      </c>
      <c r="AX2" s="93" t="s">
        <v>763</v>
      </c>
      <c r="AY2" s="91" t="s">
        <v>65</v>
      </c>
      <c r="AZ2" s="91" t="s">
        <v>764</v>
      </c>
      <c r="BA2" s="93" t="s">
        <v>765</v>
      </c>
      <c r="BB2" s="93" t="s">
        <v>800</v>
      </c>
      <c r="BC2" s="91" t="s">
        <v>66</v>
      </c>
      <c r="BD2" s="91" t="s">
        <v>67</v>
      </c>
      <c r="BE2" s="91" t="s">
        <v>766</v>
      </c>
      <c r="BF2" s="91" t="s">
        <v>68</v>
      </c>
      <c r="BG2" s="91" t="s">
        <v>767</v>
      </c>
      <c r="BH2" s="93" t="s">
        <v>768</v>
      </c>
      <c r="BI2" s="91" t="s">
        <v>769</v>
      </c>
      <c r="BJ2" s="91" t="s">
        <v>770</v>
      </c>
      <c r="BK2" s="91" t="s">
        <v>771</v>
      </c>
      <c r="BL2" s="91" t="s">
        <v>3059</v>
      </c>
      <c r="BM2" s="91" t="s">
        <v>3060</v>
      </c>
      <c r="BN2" s="93" t="s">
        <v>3061</v>
      </c>
      <c r="BO2" s="93" t="s">
        <v>772</v>
      </c>
      <c r="BP2" s="93" t="s">
        <v>773</v>
      </c>
      <c r="BQ2" s="93" t="s">
        <v>3049</v>
      </c>
      <c r="BR2" s="93" t="s">
        <v>3050</v>
      </c>
      <c r="BS2" s="93" t="s">
        <v>774</v>
      </c>
      <c r="BT2" s="93" t="s">
        <v>775</v>
      </c>
      <c r="BU2" s="93" t="s">
        <v>776</v>
      </c>
      <c r="BV2" s="93" t="s">
        <v>777</v>
      </c>
      <c r="BW2" s="93" t="s">
        <v>778</v>
      </c>
      <c r="BX2" s="93" t="s">
        <v>2755</v>
      </c>
      <c r="BY2" s="91" t="s">
        <v>71</v>
      </c>
      <c r="BZ2" s="91" t="s">
        <v>72</v>
      </c>
      <c r="CA2" s="91" t="s">
        <v>73</v>
      </c>
      <c r="CB2" s="93" t="s">
        <v>779</v>
      </c>
      <c r="CC2" s="91" t="s">
        <v>74</v>
      </c>
      <c r="CD2" s="93" t="s">
        <v>780</v>
      </c>
      <c r="CE2" s="91" t="s">
        <v>75</v>
      </c>
      <c r="CF2" s="93" t="s">
        <v>781</v>
      </c>
      <c r="CG2" s="91" t="s">
        <v>76</v>
      </c>
      <c r="CH2" s="91" t="s">
        <v>77</v>
      </c>
      <c r="CI2" s="91" t="s">
        <v>782</v>
      </c>
      <c r="CJ2" s="92" t="s">
        <v>783</v>
      </c>
      <c r="CK2" s="91" t="s">
        <v>3110</v>
      </c>
      <c r="CL2" s="91" t="s">
        <v>3111</v>
      </c>
      <c r="CM2" s="91" t="s">
        <v>3112</v>
      </c>
      <c r="CN2" s="91" t="s">
        <v>2964</v>
      </c>
      <c r="CO2" s="91" t="s">
        <v>2953</v>
      </c>
      <c r="CP2" s="91" t="s">
        <v>2954</v>
      </c>
      <c r="CQ2" s="91" t="s">
        <v>2955</v>
      </c>
      <c r="CR2" s="91" t="s">
        <v>2957</v>
      </c>
      <c r="CS2" s="91" t="s">
        <v>2956</v>
      </c>
      <c r="CT2" s="91" t="s">
        <v>2958</v>
      </c>
      <c r="CU2" s="91" t="s">
        <v>2959</v>
      </c>
      <c r="CV2" s="91" t="s">
        <v>2960</v>
      </c>
      <c r="CW2" s="91" t="s">
        <v>2961</v>
      </c>
      <c r="CX2" s="91" t="s">
        <v>2962</v>
      </c>
      <c r="CY2" s="91" t="s">
        <v>2963</v>
      </c>
      <c r="CZ2" s="91" t="s">
        <v>784</v>
      </c>
      <c r="DA2" s="94" t="s">
        <v>785</v>
      </c>
      <c r="DB2" s="91" t="s">
        <v>786</v>
      </c>
      <c r="DC2" s="91" t="s">
        <v>787</v>
      </c>
      <c r="DD2" s="93" t="s">
        <v>788</v>
      </c>
      <c r="DE2" s="93" t="s">
        <v>789</v>
      </c>
      <c r="DF2" s="93" t="s">
        <v>790</v>
      </c>
      <c r="DG2" s="93" t="s">
        <v>791</v>
      </c>
      <c r="DH2" s="93" t="s">
        <v>792</v>
      </c>
      <c r="DI2" s="93" t="s">
        <v>793</v>
      </c>
      <c r="DJ2" s="91" t="s">
        <v>794</v>
      </c>
      <c r="DK2" s="91" t="s">
        <v>795</v>
      </c>
      <c r="DL2" s="92" t="s">
        <v>796</v>
      </c>
      <c r="DM2" s="91" t="s">
        <v>797</v>
      </c>
      <c r="DN2" s="93" t="s">
        <v>798</v>
      </c>
      <c r="DO2" s="93" t="s">
        <v>799</v>
      </c>
      <c r="DP2" s="91" t="s">
        <v>82</v>
      </c>
      <c r="DQ2" s="91" t="s">
        <v>83</v>
      </c>
      <c r="DR2" s="91" t="s">
        <v>64</v>
      </c>
      <c r="DS2" s="93" t="s">
        <v>3317</v>
      </c>
      <c r="DT2" s="91" t="s">
        <v>801</v>
      </c>
      <c r="DU2" s="91" t="s">
        <v>803</v>
      </c>
      <c r="DV2" s="91" t="s">
        <v>804</v>
      </c>
      <c r="DW2" s="91" t="s">
        <v>805</v>
      </c>
      <c r="DX2" s="91" t="s">
        <v>90</v>
      </c>
      <c r="DY2" s="92" t="s">
        <v>91</v>
      </c>
      <c r="DZ2" s="91" t="s">
        <v>92</v>
      </c>
    </row>
    <row r="3" spans="1:130" ht="50.25" customHeight="1">
      <c r="A3" s="96">
        <v>1</v>
      </c>
      <c r="B3" s="97" t="s">
        <v>93</v>
      </c>
      <c r="C3" s="97" t="s">
        <v>94</v>
      </c>
      <c r="D3" s="98">
        <v>24320</v>
      </c>
      <c r="E3" s="48" t="s">
        <v>95</v>
      </c>
      <c r="F3" s="99">
        <v>1</v>
      </c>
      <c r="G3" s="100">
        <v>8</v>
      </c>
      <c r="H3" s="101">
        <v>1966</v>
      </c>
      <c r="I3" s="48" t="s">
        <v>96</v>
      </c>
      <c r="J3" s="101" t="str">
        <f>HYPERLINK("https://www.npr.org/sections/health-shots/2016/07/29/487767127/gun-violence-and-mental-health-laws-50-years-after-texas-tower-sniper","Austin")</f>
        <v>Austin</v>
      </c>
      <c r="K3" s="100" t="str">
        <f>HYPERLINK("https://www.npr.org/sections/health-shots/2016/07/29/487767127/gun-violence-and-mental-health-laws-50-years-after-texas-tower-sniper","43")</f>
        <v>43</v>
      </c>
      <c r="L3" s="102" t="str">
        <f>HYPERLINK("https://www.npr.org/sections/health-shots/2016/07/29/487767127/gun-violence-and-mental-health-laws-50-years-after-texas-tower-sniper","0")</f>
        <v>0</v>
      </c>
      <c r="M3" s="102">
        <v>0</v>
      </c>
      <c r="N3" s="100" t="str">
        <f>HYPERLINK("https://www.washingtonpost.com/news/retropolis/wp/2017/10/02/from-the-ut-tower-to-a-las-vegas-hotel-the-carnage-when-shooters-take-aim-from-above/?utm_term=.07d26fdf05b8","1")</f>
        <v>1</v>
      </c>
      <c r="O3" s="100">
        <v>1</v>
      </c>
      <c r="P3" s="100" t="str">
        <f>HYPERLINK("https://www.washingtonpost.com/news/retropolis/wp/2017/10/02/from-the-ut-tower-to-a-las-vegas-hotel-the-carnage-when-shooters-take-aim-from-above/","7")</f>
        <v>7</v>
      </c>
      <c r="Q3" s="103">
        <v>1</v>
      </c>
      <c r="R3" s="103">
        <v>2</v>
      </c>
      <c r="S3" s="100" t="str">
        <f>HYPERLINK("http://behindthetower.org/the-victims/","15")</f>
        <v>15</v>
      </c>
      <c r="T3" s="100" t="str">
        <f>HYPERLINK("http://behindthetower.org/the-victims/","31")</f>
        <v>31</v>
      </c>
      <c r="U3" s="104" t="str">
        <f>HYPERLINK("https://www.washingtonpost.com/sf/local/2016/07/31/the-loaded-legacy-of-the-ut-tower-shooting/?hpid=hp_rhp-top-table-main_uttower-0840pm%3Ahomepage%2Fstory&amp;tid=a_inl&amp;utm_term=.bcb722c5350e","0")</f>
        <v>0</v>
      </c>
      <c r="V3" s="101" t="str">
        <f>HYPERLINK("https://www.npr.org/sections/health-shots/2016/07/29/487767127/gun-violence-and-mental-health-laws-50-years-after-texas-tower-sniper","25")</f>
        <v>25</v>
      </c>
      <c r="W3" s="104">
        <v>0</v>
      </c>
      <c r="X3" s="104">
        <v>0</v>
      </c>
      <c r="Y3" s="105" t="str">
        <f>HYPERLINK("http://behindthetower.org/the-victims/","0")</f>
        <v>0</v>
      </c>
      <c r="Z3" s="104" t="str">
        <f>HYPERLINK("https://www.npr.org/sections/health-shots/2016/07/29/487767127/gun-violence-and-mental-health-laws-50-years-after-texas-tower-sniper","0")</f>
        <v>0</v>
      </c>
      <c r="AA3" s="104" t="str">
        <f>HYPERLINK("https://web.archive.org/web/20110708154138/http://alt.cimedia.com/statesman/specialreports/whitman/leduc.pdf","1")</f>
        <v>1</v>
      </c>
      <c r="AB3" s="104">
        <v>2</v>
      </c>
      <c r="AC3" s="101" t="str">
        <f>HYPERLINK("https://www.npr.org/sections/health-shots/2016/07/29/487767127/gun-violence-and-mental-health-laws-50-years-after-texas-tower-sniper","0")</f>
        <v>0</v>
      </c>
      <c r="AD3" s="101" t="str">
        <f>HYPERLINK("https://www.npr.org/sections/health-shots/2016/07/29/487767127/gun-violence-and-mental-health-laws-50-years-after-texas-tower-sniper","1.9 GPA")</f>
        <v>1.9 GPA</v>
      </c>
      <c r="AE3" s="104" t="str">
        <f>HYPERLINK("https://legacy.lib.utexas.edu/taro/aushc/00489/ahc-00489.html","1")</f>
        <v>1</v>
      </c>
      <c r="AF3" s="104" t="str">
        <f>HYPERLINK("https://legacy.lib.utexas.edu/taro/aushc/00489/ahc-00489.html","2")</f>
        <v>2</v>
      </c>
      <c r="AG3" s="104" t="str">
        <f>HYPERLINK("https://legacy.lib.utexas.edu/taro/aushc/00489/ahc-00489.html","0")</f>
        <v>0</v>
      </c>
      <c r="AH3" s="104" t="str">
        <f>HYPERLINK("https://legacy.lib.utexas.edu/taro/aushc/00489/ahc-00489.html","2")</f>
        <v>2</v>
      </c>
      <c r="AI3" s="104" t="s">
        <v>807</v>
      </c>
      <c r="AJ3" s="104" t="s">
        <v>809</v>
      </c>
      <c r="AK3" s="104" t="str">
        <f>HYPERLINK("https://web.archive.org/web/20110708154138/http://alt.cimedia.com/statesman/specialreports/whitman/leduc.pdf","0")</f>
        <v>0</v>
      </c>
      <c r="AL3" s="51"/>
      <c r="AM3" s="104" t="s">
        <v>806</v>
      </c>
      <c r="AN3" s="104" t="s">
        <v>810</v>
      </c>
      <c r="AO3" s="101">
        <v>3</v>
      </c>
      <c r="AP3" s="51" t="s">
        <v>811</v>
      </c>
      <c r="AQ3" s="104" t="str">
        <f>HYPERLINK("https://web.archive.org/web/20110708154138/http://alt.cimedia.com/statesman/specialreports/whitman/leduc.pdf","1")</f>
        <v>1</v>
      </c>
      <c r="AR3" s="106" t="s">
        <v>809</v>
      </c>
      <c r="AS3" s="104" t="s">
        <v>806</v>
      </c>
      <c r="AT3" s="105" t="str">
        <f>HYPERLINK("https://archive.nytimes.com/www.nytimes.com/library/national/080366tx-shoot.html","1")</f>
        <v>1</v>
      </c>
      <c r="AU3" s="105">
        <v>1</v>
      </c>
      <c r="AV3" s="48"/>
      <c r="AW3" s="48"/>
      <c r="AX3" s="48">
        <v>0</v>
      </c>
      <c r="AY3" s="106" t="s">
        <v>809</v>
      </c>
      <c r="AZ3" s="106" t="s">
        <v>809</v>
      </c>
      <c r="BA3" s="106" t="s">
        <v>809</v>
      </c>
      <c r="BB3" s="107">
        <v>3</v>
      </c>
      <c r="BC3" s="104" t="s">
        <v>809</v>
      </c>
      <c r="BD3" s="106" t="s">
        <v>809</v>
      </c>
      <c r="BE3" s="101">
        <v>0</v>
      </c>
      <c r="BF3" s="104" t="str">
        <f>HYPERLINK("https://archive.nytimes.com/www.nytimes.com/library/national/080366tx-shoot.html","0")</f>
        <v>0</v>
      </c>
      <c r="BG3" s="104" t="str">
        <f>HYPERLINK("https://web.archive.org/web/20110708154138/http://alt.cimedia.com/statesman/specialreports/whitman/leduc.pdf","1")</f>
        <v>1</v>
      </c>
      <c r="BH3" s="106" t="s">
        <v>806</v>
      </c>
      <c r="BI3" s="101">
        <v>1</v>
      </c>
      <c r="BJ3" s="104" t="str">
        <f>HYPERLINK("https://archive.nytimes.com/www.nytimes.com/library/national/080366tx-shoot.html","0")</f>
        <v>0</v>
      </c>
      <c r="BK3" s="104"/>
      <c r="BL3" s="108">
        <v>1</v>
      </c>
      <c r="BM3" s="109">
        <v>2</v>
      </c>
      <c r="BN3" s="110" t="s">
        <v>3146</v>
      </c>
      <c r="BO3" s="111">
        <v>1</v>
      </c>
      <c r="BP3" s="111">
        <v>1</v>
      </c>
      <c r="BQ3" s="111">
        <v>1</v>
      </c>
      <c r="BR3" s="111">
        <v>0</v>
      </c>
      <c r="BS3" s="111">
        <v>1</v>
      </c>
      <c r="BT3" s="111">
        <v>1</v>
      </c>
      <c r="BU3" s="111">
        <v>0</v>
      </c>
      <c r="BV3" s="111">
        <v>0</v>
      </c>
      <c r="BW3" s="111">
        <v>0</v>
      </c>
      <c r="BX3" s="110">
        <v>0</v>
      </c>
      <c r="BY3" s="106" t="s">
        <v>807</v>
      </c>
      <c r="BZ3" s="106" t="s">
        <v>809</v>
      </c>
      <c r="CA3" s="104" t="s">
        <v>806</v>
      </c>
      <c r="CB3" s="104" t="str">
        <f>HYPERLINK("https://archive.nytimes.com/www.nytimes.com/library/national/080366tx-shoot.html","0")</f>
        <v>0</v>
      </c>
      <c r="CC3" s="104" t="s">
        <v>809</v>
      </c>
      <c r="CD3" s="104" t="str">
        <f>HYPERLINK("https://archive.nytimes.com/www.nytimes.com/library/national/080366tx-shoot.html","1")</f>
        <v>1</v>
      </c>
      <c r="CE3" s="104" t="str">
        <f>HYPERLINK("https://www.npr.org/sections/health-shots/2016/07/29/487767127/gun-violence-and-mental-health-laws-50-years-after-texas-tower-sniper","1")</f>
        <v>1</v>
      </c>
      <c r="CF3" s="112" t="s">
        <v>809</v>
      </c>
      <c r="CG3" s="106" t="s">
        <v>809</v>
      </c>
      <c r="CH3" s="105" t="str">
        <f>HYPERLINK("http://www.npr.org/sections/health-shots/2016/07/29/487767127/gun-violence-and-mental-health-laws-50-years-after-texas-tower-sniper","3")</f>
        <v>3</v>
      </c>
      <c r="CI3" s="105" t="str">
        <f>HYPERLINK("https://www.npr.org/sections/health-shots/2016/07/29/487767127/gun-violence-and-mental-health-laws-50-years-after-texas-tower-sniper","1")</f>
        <v>1</v>
      </c>
      <c r="CJ3" s="101" t="str">
        <f>HYPERLINK("https://www.npr.org/sections/health-shots/2016/07/29/487767127/gun-violence-and-mental-health-laws-50-years-after-texas-tower-sniper","brain tumor")</f>
        <v>brain tumor</v>
      </c>
      <c r="CK3" s="113">
        <v>0</v>
      </c>
      <c r="CL3" s="113"/>
      <c r="CM3" s="113">
        <v>0</v>
      </c>
      <c r="CN3" s="110">
        <v>0</v>
      </c>
      <c r="CO3" s="110">
        <v>0</v>
      </c>
      <c r="CP3" s="110">
        <v>0</v>
      </c>
      <c r="CQ3" s="110">
        <v>0</v>
      </c>
      <c r="CR3" s="110">
        <v>0</v>
      </c>
      <c r="CS3" s="110">
        <v>0</v>
      </c>
      <c r="CT3" s="110">
        <v>0</v>
      </c>
      <c r="CU3" s="110">
        <v>0</v>
      </c>
      <c r="CV3" s="110">
        <v>0</v>
      </c>
      <c r="CW3" s="110">
        <v>0</v>
      </c>
      <c r="CX3" s="110">
        <v>0</v>
      </c>
      <c r="CY3" s="109">
        <v>1</v>
      </c>
      <c r="CZ3" s="108" t="str">
        <f>HYPERLINK("https://www.washingtonpost.com/sf/local/2016/07/31/the-loaded-legacy-of-the-ut-tower-shooting/?hpid=hp_rhp-top-table-main_uttower-0840pm%3Ahomepage%2Fstory&amp;tid=a_inl&amp;utm_term=.bcb722c5350e","1")</f>
        <v>1</v>
      </c>
      <c r="DA3" s="51">
        <v>0</v>
      </c>
      <c r="DB3" s="51">
        <v>2</v>
      </c>
      <c r="DC3" s="101" t="str">
        <f>HYPERLINK("https://archive.nytimes.com/www.nytimes.com/library/national/080366tx-shoot.html","1")</f>
        <v>1</v>
      </c>
      <c r="DD3" s="51" t="s">
        <v>809</v>
      </c>
      <c r="DE3" s="51" t="s">
        <v>809</v>
      </c>
      <c r="DF3" s="51">
        <v>1</v>
      </c>
      <c r="DG3" s="107"/>
      <c r="DH3" s="107"/>
      <c r="DI3" s="107"/>
      <c r="DJ3" s="106" t="s">
        <v>809</v>
      </c>
      <c r="DK3" s="104" t="s">
        <v>806</v>
      </c>
      <c r="DL3" s="104" t="str">
        <f>HYPERLINK("https://www.washingtonpost.com/sf/local/2016/07/31/the-loaded-legacy-of-the-ut-tower-shooting/?hpid=hp_rhp-top-table-main_uttower-0840pm%3Ahomepage%2Fstory&amp;tid=a_inl&amp;utm_term=.27d7d917dc8e","Robert Smith killed 5 people a few months after this shooting and said he was inspired by Whitman.")</f>
        <v>Robert Smith killed 5 people a few months after this shooting and said he was inspired by Whitman.</v>
      </c>
      <c r="DM3" s="104" t="str">
        <f>HYPERLINK("https://www.washingtonpost.com/sf/local/2016/07/31/the-loaded-legacy-of-the-ut-tower-shooting/?hpid=hp_rhp-top-table-main_uttower-0840pm%3Ahomepage%2Fstory&amp;tid=a_inl&amp;utm_term=.bcb722c5350e","1")</f>
        <v>1</v>
      </c>
      <c r="DN3" s="51">
        <v>0</v>
      </c>
      <c r="DO3" s="51" t="s">
        <v>100</v>
      </c>
      <c r="DP3" s="101">
        <v>1</v>
      </c>
      <c r="DQ3" s="101" t="str">
        <f>HYPERLINK("https://www.washingtonpost.com/sf/local/2016/07/31/the-loaded-legacy-of-the-ut-tower-shooting/?hpid=hp_rhp-top-table-main_uttower-0840pm%3Ahomepage%2Fstory&amp;tid=a_inl&amp;utm_term=.bcb722c5350e","0")</f>
        <v>0</v>
      </c>
      <c r="DR3" s="105" t="str">
        <f>HYPERLINK("https://web.archive.org/web/20110708154138/http://alt.cimedia.com/statesman/specialreports/whitman/leduc.pdf","1")</f>
        <v>1</v>
      </c>
      <c r="DS3" s="101" t="str">
        <f>HYPERLINK("https://www.npr.org/sections/health-shots/2016/07/29/487767127/gun-violence-and-mental-health-laws-50-years-after-texas-tower-sniper","3")</f>
        <v>3</v>
      </c>
      <c r="DT3" s="101">
        <v>7</v>
      </c>
      <c r="DU3" s="104" t="s">
        <v>806</v>
      </c>
      <c r="DV3" s="105" t="s">
        <v>812</v>
      </c>
      <c r="DW3" s="104" t="s">
        <v>806</v>
      </c>
      <c r="DX3" s="104" t="str">
        <f>HYPERLINK("https://www.washingtonpost.com/sf/local/2016/07/31/the-loaded-legacy-of-the-ut-tower-shooting/?hpid=hp_rhp-top-table-main_uttower-0840pm%3Ahomepage%2Fstory&amp;tid=a_inl&amp;utm_term=.bcb722c5350e","0")</f>
        <v>0</v>
      </c>
      <c r="DY3" s="48">
        <v>2</v>
      </c>
      <c r="DZ3" s="48">
        <v>0</v>
      </c>
    </row>
    <row r="4" spans="1:130" ht="50.25" customHeight="1">
      <c r="A4" s="96">
        <v>2</v>
      </c>
      <c r="B4" s="97" t="s">
        <v>101</v>
      </c>
      <c r="C4" s="97" t="s">
        <v>102</v>
      </c>
      <c r="D4" s="98">
        <v>24423</v>
      </c>
      <c r="E4" s="48" t="s">
        <v>103</v>
      </c>
      <c r="F4" s="99">
        <v>12</v>
      </c>
      <c r="G4" s="100" t="str">
        <f>HYPERLINK("http://www.nydailynews.com/news/crime/beauty-salon-massacre-article-1.273663","11")</f>
        <v>11</v>
      </c>
      <c r="H4" s="101" t="str">
        <f>HYPERLINK("http://www.nydailynews.com/news/crime/beauty-salon-massacre-article-1.273663","1966")</f>
        <v>1966</v>
      </c>
      <c r="I4" s="48" t="s">
        <v>104</v>
      </c>
      <c r="J4" s="101" t="str">
        <f>HYPERLINK("http://www.nydailynews.com/news/crime/beauty-salon-massacre-article-1.273663","Mesa")</f>
        <v>Mesa</v>
      </c>
      <c r="K4" s="100" t="str">
        <f>HYPERLINK("http://www.nydailynews.com/news/crime/beauty-salon-massacre-article-1.273663","3")</f>
        <v>3</v>
      </c>
      <c r="L4" s="102">
        <v>3</v>
      </c>
      <c r="M4" s="102">
        <v>0</v>
      </c>
      <c r="N4" s="100" t="str">
        <f>HYPERLINK("https://news.google.com/newspapers?nid=2245&amp;dat=19661114&amp;id=HGgzAAAAIBAJ&amp;sjid=pzIHAAAAIBAJ&amp;pg=6913,3595575","4")</f>
        <v>4</v>
      </c>
      <c r="O4" s="100" t="str">
        <f>HYPERLINK("https://news.google.com/newspapers?nid=2245&amp;dat=19661114&amp;id=HGgzAAAAIBAJ&amp;sjid=pzIHAAAAIBAJ&amp;pg=6913,3595575","0")</f>
        <v>0</v>
      </c>
      <c r="P4" s="99" t="s">
        <v>100</v>
      </c>
      <c r="Q4" s="103">
        <v>0</v>
      </c>
      <c r="R4" s="103">
        <v>0</v>
      </c>
      <c r="S4" s="100" t="str">
        <f>HYPERLINK("https://news.google.com/newspapers?nid=2245&amp;dat=19661114&amp;id=HGgzAAAAIBAJ&amp;sjid=pzIHAAAAIBAJ&amp;pg=6913,3595575","5")</f>
        <v>5</v>
      </c>
      <c r="T4" s="100" t="str">
        <f t="shared" ref="T4" si="0">HYPERLINK("https://news.google.com/newspapers?nid=2245&amp;dat=19661114&amp;id=HGgzAAAAIBAJ&amp;sjid=pzIHAAAAIBAJ&amp;pg=6913,3595575","2")</f>
        <v>2</v>
      </c>
      <c r="U4" s="105" t="str">
        <f>HYPERLINK("https://news.google.com/newspapers?nid=2245&amp;dat=19661114&amp;id=HGgzAAAAIBAJ&amp;sjid=pzIHAAAAIBAJ&amp;pg=6913,3595575","0")</f>
        <v>0</v>
      </c>
      <c r="V4" s="105" t="str">
        <f>HYPERLINK("http://www.nydailynews.com/news/crime/beauty-salon-massacre-article-1.273663","18")</f>
        <v>18</v>
      </c>
      <c r="W4" s="105" t="str">
        <f>HYPERLINK("http://www.nydailynews.com/news/crime/beauty-salon-massacre-article-1.273663","0")</f>
        <v>0</v>
      </c>
      <c r="X4" s="105" t="str">
        <f>HYPERLINK("https://news.google.com/newspapers?nid=2245&amp;dat=19661114&amp;id=HGgzAAAAIBAJ&amp;sjid=pzIHAAAAIBAJ&amp;pg=6913,3595575","0")</f>
        <v>0</v>
      </c>
      <c r="Y4" s="48">
        <v>0</v>
      </c>
      <c r="Z4" s="105" t="str">
        <f>HYPERLINK("https://schoolshooters.info/sites/default/files/smith_analysis_1.0.pdf","0")</f>
        <v>0</v>
      </c>
      <c r="AA4" s="105" t="str">
        <f>HYPERLINK("http://www.nydailynews.com/news/crime/beauty-salon-massacre-article-1.273663","0")</f>
        <v>0</v>
      </c>
      <c r="AB4" s="105">
        <v>0</v>
      </c>
      <c r="AC4" s="101" t="str">
        <f>HYPERLINK("https://www.nydailynews.com/news/crime/beauty-salon-massacre-article-1.273663","2")</f>
        <v>2</v>
      </c>
      <c r="AD4" s="101" t="str">
        <f>HYPERLINK("https://www.nydailynews.com/news/crime/beauty-salon-massacre-article-1.273663","good grades, on student council")</f>
        <v>good grades, on student council</v>
      </c>
      <c r="AE4" s="105" t="str">
        <f t="shared" ref="AE4:AF4" si="1">HYPERLINK("https://www.nydailynews.com/news/crime/beauty-salon-massacre-article-1.273663","1")</f>
        <v>1</v>
      </c>
      <c r="AF4" s="105" t="str">
        <f t="shared" si="1"/>
        <v>1</v>
      </c>
      <c r="AG4" s="105" t="str">
        <f>HYPERLINK("https://www.nydailynews.com/news/crime/beauty-salon-massacre-article-1.273663","0")</f>
        <v>0</v>
      </c>
      <c r="AH4" s="105" t="str">
        <f>HYPERLINK("https://www.nydailynews.com/news/crime/beauty-salon-massacre-article-1.273663","1")</f>
        <v>1</v>
      </c>
      <c r="AI4" s="105" t="str">
        <f>HYPERLINK("http://www.nydailynews.com/news/crime/beauty-salon-massacre-article-1.273663","0")</f>
        <v>0</v>
      </c>
      <c r="AJ4" s="48">
        <v>0</v>
      </c>
      <c r="AK4" s="48">
        <v>0</v>
      </c>
      <c r="AL4" s="48"/>
      <c r="AM4" s="105" t="str">
        <f>HYPERLINK("https://www.nydailynews.com/news/crime/beauty-salon-massacre-article-1.273663","0")</f>
        <v>0</v>
      </c>
      <c r="AN4" s="48" t="s">
        <v>100</v>
      </c>
      <c r="AO4" s="101" t="str">
        <f>HYPERLINK("https://www.nydailynews.com/news/crime/beauty-salon-massacre-article-1.273663","0")</f>
        <v>0</v>
      </c>
      <c r="AP4" s="54"/>
      <c r="AQ4" s="48">
        <v>0</v>
      </c>
      <c r="AR4" s="48">
        <v>0</v>
      </c>
      <c r="AS4" s="51">
        <v>0</v>
      </c>
      <c r="AT4" s="48">
        <v>0</v>
      </c>
      <c r="AU4" s="48" t="s">
        <v>100</v>
      </c>
      <c r="AV4" s="48" t="s">
        <v>100</v>
      </c>
      <c r="AW4" s="48" t="s">
        <v>100</v>
      </c>
      <c r="AX4" s="48">
        <v>0</v>
      </c>
      <c r="AY4" s="48">
        <v>0</v>
      </c>
      <c r="AZ4" s="48">
        <v>0</v>
      </c>
      <c r="BA4" s="48">
        <v>0</v>
      </c>
      <c r="BB4" s="107">
        <v>3</v>
      </c>
      <c r="BC4" s="105" t="str">
        <f>HYPERLINK("https://www.nydailynews.com/news/crime/beauty-salon-massacre-article-1.273663","0")</f>
        <v>0</v>
      </c>
      <c r="BD4" s="105" t="str">
        <f>HYPERLINK("https://www.nydailynews.com/news/crime/beauty-salon-massacre-article-1.273663","1")</f>
        <v>1</v>
      </c>
      <c r="BE4" s="105" t="str">
        <f t="shared" ref="BE4:BF4" si="2">HYPERLINK("https://www.nydailynews.com/news/crime/beauty-salon-massacre-article-1.273663","0")</f>
        <v>0</v>
      </c>
      <c r="BF4" s="101" t="str">
        <f t="shared" si="2"/>
        <v>0</v>
      </c>
      <c r="BG4" s="101" t="str">
        <f>HYPERLINK("https://www.nydailynews.com/news/crime/beauty-salon-massacre-article-1.273663","3")</f>
        <v>3</v>
      </c>
      <c r="BH4" s="51">
        <v>1</v>
      </c>
      <c r="BI4" s="48">
        <v>0</v>
      </c>
      <c r="BJ4" s="105" t="str">
        <f>HYPERLINK("https://www.nydailynews.com/news/crime/beauty-salon-massacre-article-1.273663","0")</f>
        <v>0</v>
      </c>
      <c r="BK4" s="51">
        <v>0</v>
      </c>
      <c r="BL4" s="108" t="str">
        <f>HYPERLINK("https://www.nydailynews.com/news/crime/beauty-salon-massacre-article-1.273663","1")</f>
        <v>1</v>
      </c>
      <c r="BM4" s="109">
        <v>3</v>
      </c>
      <c r="BN4" s="115" t="s">
        <v>2984</v>
      </c>
      <c r="BO4" s="116">
        <v>0</v>
      </c>
      <c r="BP4" s="116">
        <v>0</v>
      </c>
      <c r="BQ4" s="116">
        <v>0</v>
      </c>
      <c r="BR4" s="116">
        <v>0</v>
      </c>
      <c r="BS4" s="116">
        <v>0</v>
      </c>
      <c r="BT4" s="115">
        <v>0</v>
      </c>
      <c r="BU4" s="111">
        <v>0</v>
      </c>
      <c r="BV4" s="110">
        <v>1</v>
      </c>
      <c r="BW4" s="116">
        <v>0</v>
      </c>
      <c r="BX4" s="116">
        <v>0</v>
      </c>
      <c r="BY4" s="105" t="str">
        <f>HYPERLINK("https://news.google.com/newspapers?nid=2245&amp;dat=19661114&amp;id=HGgzAAAAIBAJ&amp;sjid=pzIHAAAAIBAJ&amp;pg=6913,3595575","1")</f>
        <v>1</v>
      </c>
      <c r="BZ4" s="51">
        <v>0</v>
      </c>
      <c r="CA4" s="51">
        <v>0</v>
      </c>
      <c r="CB4" s="48" t="s">
        <v>100</v>
      </c>
      <c r="CC4" s="48">
        <v>0</v>
      </c>
      <c r="CD4" s="48" t="s">
        <v>100</v>
      </c>
      <c r="CE4" s="105" t="str">
        <f>HYPERLINK("https://schoolshooters.info/sites/default/files/smith_analysis_1.0.pdf","2")</f>
        <v>2</v>
      </c>
      <c r="CF4" s="52">
        <v>0</v>
      </c>
      <c r="CG4" s="48">
        <v>0</v>
      </c>
      <c r="CH4" s="48">
        <v>0</v>
      </c>
      <c r="CI4" s="48">
        <v>0</v>
      </c>
      <c r="CJ4" s="51" t="s">
        <v>100</v>
      </c>
      <c r="CK4" s="117">
        <v>4</v>
      </c>
      <c r="CL4" s="117">
        <v>2</v>
      </c>
      <c r="CM4" s="117"/>
      <c r="CN4" s="110">
        <v>0</v>
      </c>
      <c r="CO4" s="110">
        <v>0</v>
      </c>
      <c r="CP4" s="108" t="str">
        <f>HYPERLINK("https://schoolshooters.info/sites/default/files/smith_analysis_1.0.pdf","1")</f>
        <v>1</v>
      </c>
      <c r="CQ4" s="110">
        <v>0</v>
      </c>
      <c r="CR4" s="110">
        <v>0</v>
      </c>
      <c r="CS4" s="110">
        <v>0</v>
      </c>
      <c r="CT4" s="110">
        <v>0</v>
      </c>
      <c r="CU4" s="110">
        <v>0</v>
      </c>
      <c r="CV4" s="110">
        <v>0</v>
      </c>
      <c r="CW4" s="118" t="str">
        <f>HYPERLINK("https://www.nydailynews.com/news/crime/beauty-salon-massacre-article-1.273663","1")</f>
        <v>1</v>
      </c>
      <c r="CX4" s="116">
        <v>0</v>
      </c>
      <c r="CY4" s="116">
        <v>0</v>
      </c>
      <c r="CZ4" s="108" t="str">
        <f>HYPERLINK("https://news.google.com/newspapers?nid=2245&amp;dat=19661114&amp;id=HGgzAAAAIBAJ&amp;sjid=pzIHAAAAIBAJ&amp;pg=6913,3595575","0")</f>
        <v>0</v>
      </c>
      <c r="DA4" s="48">
        <v>0</v>
      </c>
      <c r="DB4" s="48">
        <v>2</v>
      </c>
      <c r="DC4" s="101" t="str">
        <f>HYPERLINK("https://www.nydailynews.com/news/crime/beauty-salon-massacre-article-1.273663","0")</f>
        <v>0</v>
      </c>
      <c r="DD4" s="48"/>
      <c r="DE4" s="48"/>
      <c r="DF4" s="48"/>
      <c r="DG4" s="48"/>
      <c r="DH4" s="48"/>
      <c r="DI4" s="48"/>
      <c r="DJ4" s="105" t="str">
        <f t="shared" ref="DJ4:DK4" si="3">HYPERLINK("http://www.nydailynews.com/news/crime/beauty-salon-massacre-article-1.273663","1")</f>
        <v>1</v>
      </c>
      <c r="DK4" s="105" t="str">
        <f t="shared" si="3"/>
        <v>1</v>
      </c>
      <c r="DL4" s="101" t="str">
        <f>HYPERLINK("https://www.nydailynews.com/news/crime/beauty-salon-massacre-article-1.273663","Happened a few months after the Charles Whitman mass shooting, which Smith appeared to emulate.")</f>
        <v>Happened a few months after the Charles Whitman mass shooting, which Smith appeared to emulate.</v>
      </c>
      <c r="DM4" s="105" t="str">
        <f>HYPERLINK("https://www.nydailynews.com/news/crime/beauty-salon-massacre-article-1.273663","0")</f>
        <v>0</v>
      </c>
      <c r="DN4" s="51">
        <v>0</v>
      </c>
      <c r="DO4" s="51" t="s">
        <v>100</v>
      </c>
      <c r="DP4" s="101" t="str">
        <f>HYPERLINK("https://news.google.com/newspapers?nid=2245&amp;dat=19661114&amp;id=HGgzAAAAIBAJ&amp;sjid=pzIHAAAAIBAJ&amp;pg=6913,3595575","1")</f>
        <v>1</v>
      </c>
      <c r="DQ4" s="101" t="str">
        <f>HYPERLINK("https://www.nydailynews.com/news/crime/beauty-salon-massacre-article-1.273663","1")</f>
        <v>1</v>
      </c>
      <c r="DR4" s="48">
        <v>0</v>
      </c>
      <c r="DS4" s="101" t="str">
        <f>HYPERLINK("https://www.nydailynews.com/news/crime/beauty-salon-massacre-article-1.273663","1")</f>
        <v>1</v>
      </c>
      <c r="DT4" s="105" t="str">
        <f t="shared" ref="DT4" si="4">HYPERLINK("http://www.nydailynews.com/news/crime/beauty-salon-massacre-article-1.273663","1")</f>
        <v>1</v>
      </c>
      <c r="DU4" s="105" t="str">
        <f>HYPERLINK("https://www.nydailynews.com/news/crime/beauty-salon-massacre-article-1.273663","1")</f>
        <v>1</v>
      </c>
      <c r="DV4" s="105" t="str">
        <f>HYPERLINK("https://www.nydailynews.com/news/crime/beauty-salon-massacre-article-1.273663","knife, nylon cord")</f>
        <v>knife, nylon cord</v>
      </c>
      <c r="DW4" s="105" t="str">
        <f>HYPERLINK("http://www.nydailynews.com/news/crime/beauty-salon-massacre-article-1.273663","2")</f>
        <v>2</v>
      </c>
      <c r="DX4" s="105" t="str">
        <f>HYPERLINK("https://news.google.com/newspapers?nid=2245&amp;dat=19661114&amp;id=HGgzAAAAIBAJ&amp;sjid=pzIHAAAAIBAJ&amp;pg=6913,3595575","0")</f>
        <v>0</v>
      </c>
      <c r="DY4" s="105" t="str">
        <f>HYPERLINK("https://schoolshooters.info/sites/default/files/smith_analysis_1.0.pdf","1")</f>
        <v>1</v>
      </c>
      <c r="DZ4" s="105" t="str">
        <f>HYPERLINK("https://www.nydailynews.com/news/crime/beauty-salon-massacre-article-1.273663","1")</f>
        <v>1</v>
      </c>
    </row>
    <row r="5" spans="1:130" ht="50.25" customHeight="1">
      <c r="A5" s="96">
        <v>3</v>
      </c>
      <c r="B5" s="97" t="s">
        <v>108</v>
      </c>
      <c r="C5" s="97" t="s">
        <v>109</v>
      </c>
      <c r="D5" s="98">
        <v>24768</v>
      </c>
      <c r="E5" s="48" t="s">
        <v>95</v>
      </c>
      <c r="F5" s="119">
        <v>23</v>
      </c>
      <c r="G5" s="102">
        <v>10</v>
      </c>
      <c r="H5" s="101">
        <v>1967</v>
      </c>
      <c r="I5" s="48" t="s">
        <v>110</v>
      </c>
      <c r="J5" s="101" t="s">
        <v>111</v>
      </c>
      <c r="K5" s="102" t="str">
        <f>HYPERLINK("https://www.nydailynews.com/news/crime/experts-clueless-man-fatally-shot-50-years-article-1.3548519","38")</f>
        <v>38</v>
      </c>
      <c r="L5" s="102">
        <v>2</v>
      </c>
      <c r="M5" s="102">
        <v>2</v>
      </c>
      <c r="N5" s="102" t="str">
        <f>HYPERLINK("http://www.lockhaven.com/news/community/2017/10/the-fury-of-leo-held/","6")</f>
        <v>6</v>
      </c>
      <c r="O5" s="102">
        <v>1</v>
      </c>
      <c r="P5" s="102" t="str">
        <f>HYPERLINK("http://www.lockhaven.com/news/community/2017/10/the-fury-of-leo-held/","7")</f>
        <v>7</v>
      </c>
      <c r="Q5" s="103">
        <v>0</v>
      </c>
      <c r="R5" s="103">
        <v>0</v>
      </c>
      <c r="S5" s="102">
        <v>6</v>
      </c>
      <c r="T5" s="102">
        <v>6</v>
      </c>
      <c r="U5" s="101" t="str">
        <f>HYPERLINK("http://www.lockhaven.com/news/community/2017/10/the-fury-of-leo-held/","0")</f>
        <v>0</v>
      </c>
      <c r="V5" s="101">
        <v>39</v>
      </c>
      <c r="W5" s="101">
        <v>0</v>
      </c>
      <c r="X5" s="101">
        <v>0</v>
      </c>
      <c r="Y5" s="105">
        <v>0</v>
      </c>
      <c r="Z5" s="101" t="str">
        <f>HYPERLINK("https://www.nydailynews.com/news/crime/experts-clueless-man-fatally-shot-50-years-article-1.3548519","0")</f>
        <v>0</v>
      </c>
      <c r="AA5" s="101" t="str">
        <f>HYPERLINK("https://www.newspapers.com/image/?clipping_id=13890105&amp;fcfToken=eyJhbGciOiJIUzI1NiIsInR5cCI6IkpXVCJ9.eyJmcmVlLXZpZXctaWQiOjU4MzM2NjIsImlhdCI6MTU2NTExNjA2NiwiZXhwIjoxNTY1MjAyNDY2fQ.TAFI0xLuQfGIpOmVY3AQJK7xaZKpUmv6tssVA6Cpkz4","1")</f>
        <v>1</v>
      </c>
      <c r="AB5" s="101">
        <v>2</v>
      </c>
      <c r="AC5" s="51"/>
      <c r="AD5" s="51"/>
      <c r="AE5" s="51"/>
      <c r="AF5" s="101" t="str">
        <f>HYPERLINK("https://books.google.com/books?id=N8i3DAAAQBAJ&amp;pg=PA97&amp;lpg=PA97&amp;dq=leo+held+family&amp;source=bl&amp;ots=tbHebi-yvo&amp;sig=ACfU3U154fGWqVbx2V89HqECzGicGzjBPw&amp;hl=en&amp;sa=X&amp;ved=2ahUKEwiMsdOi3_TnAhVJXK0KHVtWAMYQ6AEwB3oECAoQAQ#v=snippet&amp;q=edna&amp;f=false","2")</f>
        <v>2</v>
      </c>
      <c r="AG5" s="51"/>
      <c r="AH5" s="51"/>
      <c r="AI5" s="101">
        <v>2</v>
      </c>
      <c r="AJ5" s="101">
        <v>1</v>
      </c>
      <c r="AK5" s="101">
        <v>1</v>
      </c>
      <c r="AL5" s="101" t="str">
        <f>HYPERLINK("https://www.newspapers.com/image/?clipping_id=13890105&amp;fcfToken=eyJhbGciOiJIUzI1NiIsInR5cCI6IkpXVCJ9.eyJmcmVlLXZpZXctaWQiOjU4MzM2NjIsImlhdCI6MTU2NTExNjA2NiwiZXhwIjoxNTY1MjAyNDY2fQ.TAFI0xLuQfGIpOmVY3AQJK7xaZKpUmv6tssVA6Cpkz4","2")</f>
        <v>2</v>
      </c>
      <c r="AM5" s="101">
        <v>1</v>
      </c>
      <c r="AN5" s="101">
        <v>0</v>
      </c>
      <c r="AO5" s="101">
        <v>2</v>
      </c>
      <c r="AP5" s="120" t="s">
        <v>814</v>
      </c>
      <c r="AQ5" s="101">
        <v>1</v>
      </c>
      <c r="AR5" s="51">
        <v>0</v>
      </c>
      <c r="AS5" s="101">
        <v>1</v>
      </c>
      <c r="AT5" s="48">
        <v>0</v>
      </c>
      <c r="AU5" s="48" t="s">
        <v>100</v>
      </c>
      <c r="AV5" s="48" t="s">
        <v>100</v>
      </c>
      <c r="AW5" s="48" t="s">
        <v>100</v>
      </c>
      <c r="AX5" s="48">
        <v>0</v>
      </c>
      <c r="AY5" s="51">
        <v>0</v>
      </c>
      <c r="AZ5" s="51">
        <v>0</v>
      </c>
      <c r="BA5" s="51">
        <v>0</v>
      </c>
      <c r="BB5" s="107">
        <v>3</v>
      </c>
      <c r="BC5" s="101">
        <v>0</v>
      </c>
      <c r="BD5" s="101" t="str">
        <f>HYPERLINK("https://wnep.com/2017/10/23/50-years-since-mass-shooting-in-clinton-county/","1")</f>
        <v>1</v>
      </c>
      <c r="BE5" s="101">
        <v>0</v>
      </c>
      <c r="BF5" s="51">
        <v>0</v>
      </c>
      <c r="BG5" s="51"/>
      <c r="BH5" s="51">
        <v>1</v>
      </c>
      <c r="BI5" s="51">
        <v>0</v>
      </c>
      <c r="BJ5" s="101" t="str">
        <f>HYPERLINK("https://www.nydailynews.com/news/crime/experts-clueless-man-fatally-shot-50-years-article-1.3548519","0")</f>
        <v>0</v>
      </c>
      <c r="BK5" s="101">
        <v>1</v>
      </c>
      <c r="BL5" s="108">
        <v>1</v>
      </c>
      <c r="BM5" s="109">
        <v>2</v>
      </c>
      <c r="BN5" s="110" t="s">
        <v>2967</v>
      </c>
      <c r="BO5" s="111">
        <v>0</v>
      </c>
      <c r="BP5" s="111">
        <v>0</v>
      </c>
      <c r="BQ5" s="111">
        <v>0</v>
      </c>
      <c r="BR5" s="111">
        <v>0</v>
      </c>
      <c r="BS5" s="111">
        <v>0</v>
      </c>
      <c r="BT5" s="111">
        <v>1</v>
      </c>
      <c r="BU5" s="111">
        <v>0</v>
      </c>
      <c r="BV5" s="111">
        <v>1</v>
      </c>
      <c r="BW5" s="111">
        <v>1</v>
      </c>
      <c r="BX5" s="111">
        <v>1</v>
      </c>
      <c r="BY5" s="101" t="str">
        <f>HYPERLINK("https://www.nydailynews.com/news/crime/experts-clueless-man-fatally-shot-50-years-article-1.3548519","2")</f>
        <v>2</v>
      </c>
      <c r="BZ5" s="51">
        <v>0</v>
      </c>
      <c r="CA5" s="51">
        <v>0</v>
      </c>
      <c r="CB5" s="51" t="s">
        <v>100</v>
      </c>
      <c r="CC5" s="51">
        <v>0</v>
      </c>
      <c r="CD5" s="51" t="s">
        <v>100</v>
      </c>
      <c r="CE5" s="101">
        <v>5</v>
      </c>
      <c r="CF5" s="107">
        <v>0</v>
      </c>
      <c r="CG5" s="51">
        <v>0</v>
      </c>
      <c r="CH5" s="101">
        <v>0</v>
      </c>
      <c r="CI5" s="51">
        <v>0</v>
      </c>
      <c r="CJ5" s="51" t="s">
        <v>100</v>
      </c>
      <c r="CK5" s="113">
        <v>0</v>
      </c>
      <c r="CL5" s="113"/>
      <c r="CM5" s="113"/>
      <c r="CN5" s="121">
        <v>0</v>
      </c>
      <c r="CO5" s="110">
        <v>0</v>
      </c>
      <c r="CP5" s="110">
        <v>0</v>
      </c>
      <c r="CQ5" s="110">
        <v>0</v>
      </c>
      <c r="CR5" s="110">
        <v>0</v>
      </c>
      <c r="CS5" s="110">
        <v>0</v>
      </c>
      <c r="CT5" s="110">
        <v>0</v>
      </c>
      <c r="CU5" s="110">
        <v>0</v>
      </c>
      <c r="CV5" s="108" t="str">
        <f>HYPERLINK("https://www.nydailynews.com/news/crime/experts-clueless-man-fatally-shot-50-years-article-1.3548519","1")</f>
        <v>1</v>
      </c>
      <c r="CW5" s="110">
        <v>0</v>
      </c>
      <c r="CX5" s="110">
        <v>0</v>
      </c>
      <c r="CY5" s="110">
        <v>0</v>
      </c>
      <c r="CZ5" s="108" t="str">
        <f>HYPERLINK("https://www.nydailynews.com/news/crime/experts-clueless-man-fatally-shot-50-years-article-1.3548519","0")</f>
        <v>0</v>
      </c>
      <c r="DA5" s="101">
        <v>1</v>
      </c>
      <c r="DB5" s="51">
        <v>2</v>
      </c>
      <c r="DC5" s="101">
        <v>0</v>
      </c>
      <c r="DD5" s="51"/>
      <c r="DE5" s="51"/>
      <c r="DF5" s="51"/>
      <c r="DG5" s="51"/>
      <c r="DH5" s="51"/>
      <c r="DI5" s="51"/>
      <c r="DJ5" s="51">
        <v>0</v>
      </c>
      <c r="DK5" s="51">
        <v>0</v>
      </c>
      <c r="DL5" s="48" t="s">
        <v>100</v>
      </c>
      <c r="DM5" s="101" t="str">
        <f>HYPERLINK("https://www.nydailynews.com/news/crime/experts-clueless-man-fatally-shot-50-years-article-1.3548519","0")</f>
        <v>0</v>
      </c>
      <c r="DN5" s="51">
        <v>0</v>
      </c>
      <c r="DO5" s="51" t="s">
        <v>100</v>
      </c>
      <c r="DP5" s="101" t="str">
        <f t="shared" ref="DP5:DQ5" si="5">HYPERLINK("https://www.nydailynews.com/news/crime/experts-clueless-man-fatally-shot-50-years-article-1.3548519","0")</f>
        <v>0</v>
      </c>
      <c r="DQ5" s="101" t="str">
        <f t="shared" si="5"/>
        <v>0</v>
      </c>
      <c r="DR5" s="105">
        <v>1</v>
      </c>
      <c r="DS5" s="101" t="str">
        <f>HYPERLINK("https://www.google.com/books/edition/Day_of_Rage/LEgSiLnmgYoC?hl=en&amp;gbpv=1&amp;dq=%22leo+held%22+gun+enthusiast&amp;pg=PA12&amp;printsec=frontcover","3")</f>
        <v>3</v>
      </c>
      <c r="DT5" s="101">
        <v>2</v>
      </c>
      <c r="DU5" s="101" t="str">
        <f>HYPERLINK("https://www.nydailynews.com/news/crime/experts-clueless-man-fatally-shot-50-years-article-1.3548519","1")</f>
        <v>1</v>
      </c>
      <c r="DV5" s="101" t="str">
        <f>HYPERLINK("https://www.nydailynews.com/news/crime/experts-clueless-man-fatally-shot-50-years-article-1.3548519","holster")</f>
        <v>holster</v>
      </c>
      <c r="DW5" s="101">
        <v>1</v>
      </c>
      <c r="DX5" s="101" t="str">
        <f>HYPERLINK("http://www.lockhaven.com/news/community/2017/10/the-fury-of-leo-held/","0")</f>
        <v>0</v>
      </c>
      <c r="DY5" s="48">
        <v>2</v>
      </c>
      <c r="DZ5" s="48">
        <v>0</v>
      </c>
    </row>
    <row r="6" spans="1:130" ht="50.25" customHeight="1">
      <c r="A6" s="96">
        <v>4</v>
      </c>
      <c r="B6" s="97" t="s">
        <v>113</v>
      </c>
      <c r="C6" s="97" t="s">
        <v>114</v>
      </c>
      <c r="D6" s="98">
        <v>24913</v>
      </c>
      <c r="E6" s="48" t="s">
        <v>103</v>
      </c>
      <c r="F6" s="119">
        <v>16</v>
      </c>
      <c r="G6" s="102" t="str">
        <f>HYPERLINK("https://news.google.com/newspapers?id=ZRgMAAAAIBAJ&amp;sjid=rlwDAAAAIBAJ&amp;pg=6550,4991780&amp;dq=&amp;hl=en","3")</f>
        <v>3</v>
      </c>
      <c r="H6" s="101" t="str">
        <f>HYPERLINK("https://news.google.com/newspapers?id=ZRgMAAAAIBAJ&amp;sjid=rlwDAAAAIBAJ&amp;pg=6550,4991780&amp;dq=&amp;hl=en","1968")</f>
        <v>1968</v>
      </c>
      <c r="I6" s="48" t="s">
        <v>115</v>
      </c>
      <c r="J6" s="101" t="str">
        <f>HYPERLINK("https://news.google.com/newspapers?id=ZRgMAAAAIBAJ&amp;sjid=rlwDAAAAIBAJ&amp;pg=6550,4991780&amp;dq=&amp;hl=en","Ironwood")</f>
        <v>Ironwood</v>
      </c>
      <c r="K6" s="102">
        <v>22</v>
      </c>
      <c r="L6" s="119">
        <v>0</v>
      </c>
      <c r="M6" s="102" t="str">
        <f>HYPERLINK("https://news.google.com/newspapers?id=ZRgMAAAAIBAJ&amp;sjid=rlwDAAAAIBAJ&amp;pg=6550,4991780&amp;dq=&amp;hl=en","2")</f>
        <v>2</v>
      </c>
      <c r="N6" s="102" t="str">
        <f>HYPERLINK("https://news.google.com/newspapers?id=ZRgMAAAAIBAJ&amp;sjid=rlwDAAAAIBAJ&amp;pg=6550,4991780&amp;dq=&amp;hl=en","5")</f>
        <v>5</v>
      </c>
      <c r="O6" s="102" t="str">
        <f>HYPERLINK("https://newspaperarchive.com/other-articles-clipping-mar-21-1968-48914/","1")</f>
        <v>1</v>
      </c>
      <c r="P6" s="102" t="str">
        <f>HYPERLINK("https://news.google.com/newspapers?id=ZRgMAAAAIBAJ&amp;sjid=rlwDAAAAIBAJ&amp;pg=6550,4991780&amp;dq=&amp;hl=en","7")</f>
        <v>7</v>
      </c>
      <c r="Q6" s="103">
        <v>0</v>
      </c>
      <c r="R6" s="103">
        <v>0</v>
      </c>
      <c r="S6" s="102" t="str">
        <f>HYPERLINK("https://cdnc.ucr.edu/cgi-bin/cdnc?a=d&amp;d=MT19680319.2.34&amp;e=-------en--20--1--txt-txIN--------1","7")</f>
        <v>7</v>
      </c>
      <c r="T6" s="102">
        <v>2</v>
      </c>
      <c r="U6" s="101" t="str">
        <f>HYPERLINK("https://newspaperarchive.com/other-articles-clipping-mar-21-1968-48914/","0")</f>
        <v>0</v>
      </c>
      <c r="V6" s="101">
        <v>56</v>
      </c>
      <c r="W6" s="101" t="str">
        <f>HYPERLINK("https://news.google.com/newspapers?id=ZRgMAAAAIBAJ&amp;sjid=rlwDAAAAIBAJ&amp;pg=6550,4991780&amp;dq=&amp;hl=en","0")</f>
        <v>0</v>
      </c>
      <c r="X6" s="101"/>
      <c r="Y6" s="48">
        <v>0</v>
      </c>
      <c r="Z6" s="101" t="str">
        <f>HYPERLINK("https://www.mlive.com/news/2016/09/love_of_guns_a_key_factor_in_n.html","0")</f>
        <v>0</v>
      </c>
      <c r="AA6" s="51"/>
      <c r="AB6" s="51"/>
      <c r="AC6" s="51"/>
      <c r="AD6" s="51"/>
      <c r="AE6" s="51"/>
      <c r="AF6" s="51"/>
      <c r="AG6" s="51"/>
      <c r="AH6" s="51"/>
      <c r="AI6" s="101" t="str">
        <f>HYPERLINK("https://www.mlive.com/news/2016/09/love_of_guns_a_key_factor_in_n.html","0")</f>
        <v>0</v>
      </c>
      <c r="AJ6" s="51">
        <v>0</v>
      </c>
      <c r="AK6" s="101">
        <v>1</v>
      </c>
      <c r="AL6" s="101" t="str">
        <f>HYPERLINK("https://news.google.com/newspapers?id=ZRgMAAAAIBAJ&amp;sjid=rlwDAAAAIBAJ&amp;pg=6550,4991780&amp;dq=&amp;hl=en","0")</f>
        <v>0</v>
      </c>
      <c r="AM6" s="51">
        <v>0</v>
      </c>
      <c r="AN6" s="48" t="s">
        <v>100</v>
      </c>
      <c r="AO6" s="101" t="str">
        <f>HYPERLINK("https://news.google.com/newspapers?id=ZRgMAAAAIBAJ&amp;sjid=rlwDAAAAIBAJ&amp;pg=6550,4991780&amp;dq=&amp;hl=en","0")</f>
        <v>0</v>
      </c>
      <c r="AP6" s="54"/>
      <c r="AQ6" s="51">
        <v>0</v>
      </c>
      <c r="AR6" s="51">
        <v>0</v>
      </c>
      <c r="AS6" s="51">
        <v>0</v>
      </c>
      <c r="AT6" s="48">
        <v>0</v>
      </c>
      <c r="AU6" s="48" t="s">
        <v>100</v>
      </c>
      <c r="AV6" s="48" t="s">
        <v>100</v>
      </c>
      <c r="AW6" s="48" t="s">
        <v>100</v>
      </c>
      <c r="AX6" s="48">
        <v>0</v>
      </c>
      <c r="AY6" s="51">
        <v>0</v>
      </c>
      <c r="AZ6" s="51">
        <v>0</v>
      </c>
      <c r="BA6" s="51">
        <v>0</v>
      </c>
      <c r="BB6" s="107">
        <v>3</v>
      </c>
      <c r="BC6" s="51">
        <v>0</v>
      </c>
      <c r="BD6" s="51">
        <v>0</v>
      </c>
      <c r="BE6" s="51"/>
      <c r="BF6" s="51"/>
      <c r="BG6" s="51"/>
      <c r="BH6" s="51"/>
      <c r="BI6" s="51">
        <v>0</v>
      </c>
      <c r="BJ6" s="101">
        <v>1</v>
      </c>
      <c r="BK6" s="51">
        <v>0</v>
      </c>
      <c r="BL6" s="108">
        <v>0</v>
      </c>
      <c r="BM6" s="108" t="s">
        <v>100</v>
      </c>
      <c r="BN6" s="115"/>
      <c r="BO6" s="110">
        <v>0</v>
      </c>
      <c r="BP6" s="110">
        <v>0</v>
      </c>
      <c r="BQ6" s="110">
        <v>0</v>
      </c>
      <c r="BR6" s="110">
        <v>0</v>
      </c>
      <c r="BS6" s="110">
        <v>0</v>
      </c>
      <c r="BT6" s="110">
        <v>0</v>
      </c>
      <c r="BU6" s="110">
        <v>0</v>
      </c>
      <c r="BV6" s="110">
        <v>0</v>
      </c>
      <c r="BW6" s="110">
        <v>0</v>
      </c>
      <c r="BX6" s="110">
        <v>0</v>
      </c>
      <c r="BY6" s="51">
        <v>0</v>
      </c>
      <c r="BZ6" s="51">
        <v>0</v>
      </c>
      <c r="CA6" s="51">
        <v>0</v>
      </c>
      <c r="CB6" s="51" t="s">
        <v>100</v>
      </c>
      <c r="CC6" s="51">
        <v>0</v>
      </c>
      <c r="CD6" s="51" t="s">
        <v>100</v>
      </c>
      <c r="CE6" s="51">
        <v>0</v>
      </c>
      <c r="CF6" s="107">
        <v>0</v>
      </c>
      <c r="CG6" s="51">
        <v>0</v>
      </c>
      <c r="CH6" s="101" t="str">
        <f>HYPERLINK("https://casetext.com/case/people-v-pearson-271","5")</f>
        <v>5</v>
      </c>
      <c r="CI6" s="51">
        <v>0</v>
      </c>
      <c r="CJ6" s="51" t="s">
        <v>100</v>
      </c>
      <c r="CK6" s="113">
        <v>0</v>
      </c>
      <c r="CL6" s="113"/>
      <c r="CM6" s="113"/>
      <c r="CN6" s="110">
        <v>0</v>
      </c>
      <c r="CO6" s="110">
        <v>0</v>
      </c>
      <c r="CP6" s="110">
        <v>0</v>
      </c>
      <c r="CQ6" s="110">
        <v>0</v>
      </c>
      <c r="CR6" s="110">
        <v>0</v>
      </c>
      <c r="CS6" s="110">
        <v>0</v>
      </c>
      <c r="CT6" s="110">
        <v>0</v>
      </c>
      <c r="CU6" s="108" t="str">
        <f t="shared" ref="CU6" si="6">HYPERLINK("https://www.mlive.com/news/2016/09/love_of_guns_a_key_factor_in_n.html","1")</f>
        <v>1</v>
      </c>
      <c r="CV6" s="110">
        <v>0</v>
      </c>
      <c r="CW6" s="110">
        <v>0</v>
      </c>
      <c r="CX6" s="110">
        <v>0</v>
      </c>
      <c r="CY6" s="110">
        <v>0</v>
      </c>
      <c r="CZ6" s="108" t="str">
        <f t="shared" ref="CZ6" si="7">HYPERLINK("https://www.mlive.com/news/2016/09/love_of_guns_a_key_factor_in_n.html","1")</f>
        <v>1</v>
      </c>
      <c r="DA6" s="51">
        <v>0</v>
      </c>
      <c r="DB6" s="51">
        <v>2</v>
      </c>
      <c r="DC6" s="51">
        <v>0</v>
      </c>
      <c r="DD6" s="51"/>
      <c r="DE6" s="51"/>
      <c r="DF6" s="51"/>
      <c r="DG6" s="51"/>
      <c r="DH6" s="51"/>
      <c r="DI6" s="51"/>
      <c r="DJ6" s="51">
        <v>0</v>
      </c>
      <c r="DK6" s="51">
        <v>0</v>
      </c>
      <c r="DL6" s="48" t="s">
        <v>100</v>
      </c>
      <c r="DM6" s="101" t="str">
        <f>HYPERLINK("https://newspaperarchive.com/other-articles-clipping-mar-21-1968-48914/","0")</f>
        <v>0</v>
      </c>
      <c r="DN6" s="51">
        <v>0</v>
      </c>
      <c r="DO6" s="51" t="s">
        <v>100</v>
      </c>
      <c r="DP6" s="51">
        <v>0</v>
      </c>
      <c r="DQ6" s="101" t="str">
        <f>HYPERLINK("https://newspaperarchive.com/other-articles-clipping-mar-21-1968-48914/","0")</f>
        <v>0</v>
      </c>
      <c r="DR6" s="48">
        <v>0</v>
      </c>
      <c r="DS6" s="51"/>
      <c r="DT6" s="101" t="str">
        <f>HYPERLINK("https://news.google.com/newspapers?id=ZRgMAAAAIBAJ&amp;sjid=rlwDAAAAIBAJ&amp;pg=6550,4991780&amp;dq=&amp;hl=en","1")</f>
        <v>1</v>
      </c>
      <c r="DU6" s="101" t="str">
        <f>HYPERLINK("https://cdnc.ucr.edu/cgi-bin/cdnc?a=d&amp;d=MT19680319.2.34&amp;e=-------en--20--1--txt-txIN--------1","0")</f>
        <v>0</v>
      </c>
      <c r="DV6" s="48" t="s">
        <v>100</v>
      </c>
      <c r="DW6" s="101" t="str">
        <f>HYPERLINK("https://newspaperarchive.com/other-articles-clipping-mar-21-1968-48914/","2")</f>
        <v>2</v>
      </c>
      <c r="DX6" s="101" t="str">
        <f>HYPERLINK("https://newspaperarchive.com/other-articles-clipping-mar-21-1968-48914/","0")</f>
        <v>0</v>
      </c>
      <c r="DY6" s="105" t="str">
        <f>HYPERLINK("https://casetext.com/case/people-v-pearson-271","0")</f>
        <v>0</v>
      </c>
      <c r="DZ6" s="105" t="str">
        <f>HYPERLINK("https://newspaperarchive.com/daily-globe-jun-04-1970-p-10/","3")</f>
        <v>3</v>
      </c>
    </row>
    <row r="7" spans="1:130" ht="50.25" customHeight="1">
      <c r="A7" s="96">
        <v>5</v>
      </c>
      <c r="B7" s="97" t="s">
        <v>117</v>
      </c>
      <c r="C7" s="97" t="s">
        <v>118</v>
      </c>
      <c r="D7" s="98">
        <v>25298</v>
      </c>
      <c r="E7" s="48" t="s">
        <v>103</v>
      </c>
      <c r="F7" s="119">
        <v>5</v>
      </c>
      <c r="G7" s="102" t="str">
        <f>HYPERLINK("https://cdnc.ucr.edu/cgi-bin/cdnc?a=d&amp;d=DS19690407.2.35&amp;e=-------en--20--1--txt-txIN--------1","4")</f>
        <v>4</v>
      </c>
      <c r="H7" s="101" t="str">
        <f>HYPERLINK("https://cdnc.ucr.edu/cgi-bin/cdnc?a=d&amp;d=DS19690407.2.35&amp;e=-------en--20--1--txt-txIN--------1","1969")</f>
        <v>1969</v>
      </c>
      <c r="I7" s="48" t="s">
        <v>119</v>
      </c>
      <c r="J7" s="101" t="str">
        <f>HYPERLINK("https://newspaperarchive.com/baltimore-afro-american-apr-08-1969-p-1/","Harrisburg")</f>
        <v>Harrisburg</v>
      </c>
      <c r="K7" s="102" t="str">
        <f>HYPERLINK("https://cdnc.ucr.edu/cgi-bin/cdnc?a=d&amp;d=DS19690407.2.35&amp;e=-------en--20--1--txt-txIN--------1","38")</f>
        <v>38</v>
      </c>
      <c r="L7" s="102" t="str">
        <f>HYPERLINK("https://cdnc.ucr.edu/cgi-bin/cdnc?a=d&amp;d=DS19690407.2.35&amp;e=-------en--20--1--txt-txIN--------1","2")</f>
        <v>2</v>
      </c>
      <c r="M7" s="102" t="str">
        <f>HYPERLINK("http://worldpopulationreview.com/us-cities/harrisburg-population/","0")</f>
        <v>0</v>
      </c>
      <c r="N7" s="122">
        <v>8</v>
      </c>
      <c r="O7" s="100">
        <v>0</v>
      </c>
      <c r="P7" s="99" t="s">
        <v>100</v>
      </c>
      <c r="Q7" s="103">
        <v>0</v>
      </c>
      <c r="R7" s="103">
        <v>0</v>
      </c>
      <c r="S7" s="102" t="str">
        <f>HYPERLINK("https://www.newspapers.com/clip/5320885/the-express/","4")</f>
        <v>4</v>
      </c>
      <c r="T7" s="102">
        <v>17</v>
      </c>
      <c r="U7" s="51"/>
      <c r="V7" s="101">
        <v>31</v>
      </c>
      <c r="W7" s="101" t="str">
        <f>HYPERLINK("https://cdnc.ucr.edu/cgi-bin/cdnc?a=d&amp;d=DS19690407.2.35&amp;e=-------en--20--1--txt-txIN--------1","0")</f>
        <v>0</v>
      </c>
      <c r="X7" s="101">
        <v>1</v>
      </c>
      <c r="Y7" s="48">
        <v>0</v>
      </c>
      <c r="Z7" s="101">
        <v>0</v>
      </c>
      <c r="AA7" s="101">
        <v>1</v>
      </c>
      <c r="AB7" s="101">
        <v>2</v>
      </c>
      <c r="AC7" s="101" t="str">
        <f>HYPERLINK("https://news.google.com/newspapers?id=G8daAAAAIBAJ&amp;sjid=z2wDAAAAIBAJ&amp;pg=6070,782221","2")</f>
        <v>2</v>
      </c>
      <c r="AD7" s="101" t="str">
        <f>HYPERLINK("https://news.google.com/newspapers?id=G8daAAAAIBAJ&amp;sjid=z2wDAAAAIBAJ&amp;pg=6070,782221","brilliant, attended several colleges")</f>
        <v>brilliant, attended several colleges</v>
      </c>
      <c r="AE7" s="101" t="str">
        <f t="shared" ref="AE7:AH7" si="8">HYPERLINK("https://timesmachine.nytimes.com/timesmachine/1969/04/06/90085329.html?pageNumber=45","0")</f>
        <v>0</v>
      </c>
      <c r="AF7" s="101" t="str">
        <f t="shared" si="8"/>
        <v>0</v>
      </c>
      <c r="AG7" s="101" t="str">
        <f t="shared" si="8"/>
        <v>0</v>
      </c>
      <c r="AH7" s="101" t="str">
        <f t="shared" si="8"/>
        <v>0</v>
      </c>
      <c r="AI7" s="101">
        <v>2</v>
      </c>
      <c r="AJ7" s="101">
        <v>1</v>
      </c>
      <c r="AK7" s="101" t="str">
        <f>HYPERLINK("https://books.google.com.au/books?id=8TgDAAAAMBAJ&amp;pg=PA46&amp;lpg=PA46&amp;dq=donald+lambright+%2B+shooting&amp;source=bl&amp;ots=Aato8f0Juy&amp;sig=HU7GC0ZCYmFZI1jtR93xfr2pDk0&amp;hl=en&amp;sa=X&amp;redir_esc=y#v=onepage&amp;q&amp;f=false","0")</f>
        <v>0</v>
      </c>
      <c r="AL7" s="101">
        <v>2</v>
      </c>
      <c r="AM7" s="101">
        <v>1</v>
      </c>
      <c r="AN7" s="101">
        <v>2</v>
      </c>
      <c r="AO7" s="101" t="str">
        <f>HYPERLINK("https://books.google.com.au/books?id=8TgDAAAAMBAJ&amp;pg=PA46&amp;lpg=PA46&amp;dq=donald+lambright+%2B+shooting&amp;source=bl&amp;ots=Aato8f0Juy&amp;sig=HU7GC0ZCYmFZI1jtR93xfr2pDk0&amp;hl=en&amp;sa=X&amp;redir_esc=y#v=onepage&amp;q&amp;f=false","2")</f>
        <v>2</v>
      </c>
      <c r="AP7" s="101" t="str">
        <f>HYPERLINK("https://books.google.com.au/books?id=8TgDAAAAMBAJ&amp;pg=PA46&amp;lpg=PA46&amp;dq=donald+lambright+%2B+shooting&amp;source=bl&amp;ots=Aato8f0Juy&amp;sig=HU7GC0ZCYmFZI1jtR93xfr2pDk0&amp;hl=en&amp;sa=X&amp;redir_esc=y#v=onepage&amp;q&amp;f=false","black groups")</f>
        <v>black groups</v>
      </c>
      <c r="AQ7" s="51">
        <v>0</v>
      </c>
      <c r="AR7" s="51">
        <v>0</v>
      </c>
      <c r="AS7" s="51">
        <v>0</v>
      </c>
      <c r="AT7" s="105" t="str">
        <f>HYPERLINK("https://books.google.com/books?id=8TgDAAAAMBAJ&amp;pg=PA47&amp;lpg=PA46&amp;focus=viewport&amp;dq=donald+lambright+%2B+shooting#v=onepage&amp;q=donald%20lambright%20%2B%20shooting&amp;f=false","3")</f>
        <v>3</v>
      </c>
      <c r="AU7" s="105">
        <v>3</v>
      </c>
      <c r="AV7" s="48"/>
      <c r="AW7" s="48"/>
      <c r="AX7" s="48">
        <v>0</v>
      </c>
      <c r="AY7" s="51">
        <v>0</v>
      </c>
      <c r="AZ7" s="101">
        <v>0</v>
      </c>
      <c r="BA7" s="101" t="str">
        <f>HYPERLINK("https://books.google.com.au/books?id=8TgDAAAAMBAJ&amp;pg=PA46&amp;lpg=PA46&amp;dq=donald+lambright+%2B+shooting&amp;source=bl&amp;ots=Aato8f0Juy&amp;sig=HU7GC0ZCYmFZI1jtR93xfr2pDk0&amp;hl=en&amp;sa=X&amp;redir_esc=y#v=onepage&amp;q&amp;f=false","2")</f>
        <v>2</v>
      </c>
      <c r="BB7" s="107">
        <v>3</v>
      </c>
      <c r="BC7" s="51">
        <v>0</v>
      </c>
      <c r="BD7" s="101" t="str">
        <f>HYPERLINK("https://newspaperarchive.com/baltimore-afro-american-apr-15-1969-p-1/","1")</f>
        <v>1</v>
      </c>
      <c r="BE7" s="101">
        <v>0</v>
      </c>
      <c r="BF7" s="101" t="str">
        <f>HYPERLINK("https://cdnc.ucr.edu/cgi-bin/cdnc?a=d&amp;d=DS19690407.2.35&amp;e=-------en--20--1--txt-txIN--------1","0")</f>
        <v>0</v>
      </c>
      <c r="BG7" s="51"/>
      <c r="BH7" s="101" t="str">
        <f>HYPERLINK("https://books.google.com.au/books?id=8TgDAAAAMBAJ&amp;pg=PA46&amp;lpg=PA46&amp;dq=donald+lambright+%2B+shooting&amp;source=bl&amp;ots=Aato8f0Juy&amp;sig=HU7GC0ZCYmFZI1jtR93xfr2pDk0&amp;hl=en&amp;sa=X&amp;redir_esc=y#v=onepage&amp;q&amp;f=false","1")</f>
        <v>1</v>
      </c>
      <c r="BI7" s="101" t="str">
        <f>HYPERLINK("https://newspaperarchive.com/baltimore-afro-american-apr-15-1969-p-1/","1")</f>
        <v>1</v>
      </c>
      <c r="BJ7" s="101">
        <v>0</v>
      </c>
      <c r="BK7" s="101" t="str">
        <f>HYPERLINK("https://books.google.com.au/books?id=8TgDAAAAMBAJ&amp;pg=PA46&amp;lpg=PA46&amp;dq=donald+lambright+%2B+shooting&amp;source=bl&amp;ots=Aato8f0Juy&amp;sig=HU7GC0ZCYmFZI1jtR93xfr2pDk0&amp;hl=en&amp;sa=X&amp;redir_esc=y#v=onepage&amp;q&amp;f=false","1")</f>
        <v>1</v>
      </c>
      <c r="BL7" s="108">
        <v>1</v>
      </c>
      <c r="BM7" s="109">
        <v>0</v>
      </c>
      <c r="BN7" s="110" t="s">
        <v>2985</v>
      </c>
      <c r="BO7" s="111">
        <v>1</v>
      </c>
      <c r="BP7" s="111">
        <v>0</v>
      </c>
      <c r="BQ7" s="111">
        <v>0</v>
      </c>
      <c r="BR7" s="111">
        <v>0</v>
      </c>
      <c r="BS7" s="111">
        <v>0</v>
      </c>
      <c r="BT7" s="111">
        <v>1</v>
      </c>
      <c r="BU7" s="111">
        <v>0</v>
      </c>
      <c r="BV7" s="111">
        <v>0</v>
      </c>
      <c r="BW7" s="111">
        <v>1</v>
      </c>
      <c r="BX7" s="111">
        <v>1</v>
      </c>
      <c r="BY7" s="101" t="str">
        <f>HYPERLINK("https://newspaperarchive.com/baltimore-afro-american-apr-15-1969-p-1/","1")</f>
        <v>1</v>
      </c>
      <c r="BZ7" s="101" t="str">
        <f t="shared" ref="BZ7:CA7" si="9">HYPERLINK("https://newspaperarchive.com/athens-messenger-apr-07-1969-p-1/","0")</f>
        <v>0</v>
      </c>
      <c r="CA7" s="101" t="str">
        <f t="shared" si="9"/>
        <v>0</v>
      </c>
      <c r="CB7" s="51" t="s">
        <v>100</v>
      </c>
      <c r="CC7" s="101" t="str">
        <f>HYPERLINK("https://newspaperarchive.com/athens-messenger-apr-07-1969-p-1/","0")</f>
        <v>0</v>
      </c>
      <c r="CD7" s="51" t="s">
        <v>100</v>
      </c>
      <c r="CE7" s="101" t="str">
        <f>HYPERLINK("https://books.google.com.au/books?id=8TgDAAAAMBAJ&amp;pg=PA46&amp;lpg=PA46&amp;dq=donald+lambright+%2B+shooting&amp;source=bl&amp;ots=Aato8f0Juy&amp;sig=HU7GC0ZCYmFZI1jtR93xfr2pDk0&amp;hl=en&amp;sa=X&amp;redir_esc=y#v=onepage&amp;q&amp;f=false","2")</f>
        <v>2</v>
      </c>
      <c r="CF7" s="101">
        <v>0</v>
      </c>
      <c r="CG7" s="51">
        <v>0</v>
      </c>
      <c r="CH7" s="51">
        <v>0</v>
      </c>
      <c r="CI7" s="51">
        <v>0</v>
      </c>
      <c r="CJ7" s="51" t="s">
        <v>100</v>
      </c>
      <c r="CK7" s="117">
        <v>1</v>
      </c>
      <c r="CL7" s="117"/>
      <c r="CM7" s="117"/>
      <c r="CN7" s="111">
        <v>0</v>
      </c>
      <c r="CO7" s="110">
        <v>0</v>
      </c>
      <c r="CP7" s="110">
        <v>0</v>
      </c>
      <c r="CQ7" s="110">
        <v>0</v>
      </c>
      <c r="CR7" s="110">
        <v>0</v>
      </c>
      <c r="CS7" s="110">
        <v>0</v>
      </c>
      <c r="CT7" s="110">
        <v>0</v>
      </c>
      <c r="CU7" s="110">
        <v>0</v>
      </c>
      <c r="CV7" s="108">
        <v>0</v>
      </c>
      <c r="CW7" s="110">
        <v>0</v>
      </c>
      <c r="CX7" s="109">
        <v>1</v>
      </c>
      <c r="CY7" s="108">
        <v>0</v>
      </c>
      <c r="CZ7" s="108">
        <v>1</v>
      </c>
      <c r="DA7" s="101">
        <v>1</v>
      </c>
      <c r="DB7" s="51">
        <v>2</v>
      </c>
      <c r="DC7" s="51">
        <v>0</v>
      </c>
      <c r="DD7" s="51"/>
      <c r="DE7" s="51"/>
      <c r="DF7" s="51"/>
      <c r="DG7" s="51"/>
      <c r="DH7" s="51"/>
      <c r="DI7" s="51"/>
      <c r="DJ7" s="51">
        <v>0</v>
      </c>
      <c r="DK7" s="51">
        <v>0</v>
      </c>
      <c r="DL7" s="48" t="s">
        <v>100</v>
      </c>
      <c r="DM7" s="101" t="str">
        <f>HYPERLINK("https://books.google.com.au/books?id=8TgDAAAAMBAJ&amp;pg=PA46&amp;lpg=PA46&amp;dq=donald+lambright+%2B+shooting&amp;source=bl&amp;ots=Aato8f0Juy&amp;sig=HU7GC0ZCYmFZI1jtR93xfr2pDk0&amp;hl=en&amp;sa=X&amp;redir_esc=y#v=onepage&amp;q&amp;f=false","0")</f>
        <v>0</v>
      </c>
      <c r="DN7" s="51">
        <v>0</v>
      </c>
      <c r="DO7" s="51" t="s">
        <v>100</v>
      </c>
      <c r="DP7" s="51">
        <v>0</v>
      </c>
      <c r="DQ7" s="101">
        <v>0</v>
      </c>
      <c r="DR7" s="48">
        <v>0</v>
      </c>
      <c r="DS7" s="101" t="str">
        <f>HYPERLINK("https://cdnc.ucr.edu/cgi-bin/cdnc?a=d&amp;d=DS19690407.2.35&amp;e=-------en--20--1--txt-txIN--------1","3")</f>
        <v>3</v>
      </c>
      <c r="DT7" s="101">
        <v>2</v>
      </c>
      <c r="DU7" s="101" t="str">
        <f>HYPERLINK("https://newspaperarchive.com/corbin-daily-tribune-apr-07-1969-p-1/","0")</f>
        <v>0</v>
      </c>
      <c r="DV7" s="48" t="s">
        <v>100</v>
      </c>
      <c r="DW7" s="101" t="str">
        <f t="shared" ref="DW7:DX7" si="10">HYPERLINK("https://books.google.com.au/books?id=8TgDAAAAMBAJ&amp;pg=PA46&amp;lpg=PA46&amp;dq=donald+lambright+%2B+shooting&amp;source=bl&amp;ots=Aato8f0Juy&amp;sig=HU7GC0ZCYmFZI1jtR93xfr2pDk0&amp;hl=en&amp;sa=X&amp;redir_esc=y#v=onepage&amp;q&amp;f=false","0")</f>
        <v>0</v>
      </c>
      <c r="DX7" s="101" t="str">
        <f t="shared" si="10"/>
        <v>0</v>
      </c>
      <c r="DY7" s="105" t="str">
        <f>HYPERLINK("https://cdnc.ucr.edu/cgi-bin/cdnc?a=d&amp;d=DS19690407.2.35&amp;e=-------en--20--1--txt-txIN--------1","2")</f>
        <v>2</v>
      </c>
      <c r="DZ7" s="48">
        <v>0</v>
      </c>
    </row>
    <row r="8" spans="1:130" ht="50.25" customHeight="1">
      <c r="A8" s="96">
        <v>6</v>
      </c>
      <c r="B8" s="97" t="s">
        <v>121</v>
      </c>
      <c r="C8" s="97" t="s">
        <v>122</v>
      </c>
      <c r="D8" s="98">
        <v>25834</v>
      </c>
      <c r="E8" s="48" t="s">
        <v>123</v>
      </c>
      <c r="F8" s="119">
        <v>23</v>
      </c>
      <c r="G8" s="102">
        <v>9</v>
      </c>
      <c r="H8" s="101">
        <v>1970</v>
      </c>
      <c r="I8" s="48" t="s">
        <v>124</v>
      </c>
      <c r="J8" s="101" t="s">
        <v>125</v>
      </c>
      <c r="K8" s="102">
        <v>32</v>
      </c>
      <c r="L8" s="102" t="str">
        <f>HYPERLINK("https://news.google.com/newspapers?id=Ve1OAAAAIBAJ&amp;sjid=xwEEAAAAIBAJ&amp;pg=4643,3113670&amp;dq=albany+ny+department+of+labor+employees+shot+murdered&amp;hl=en","2")</f>
        <v>2</v>
      </c>
      <c r="M8" s="102" t="str">
        <f>HYPERLINK("https://news.google.com/newspapers?id=Ve1OAAAAIBAJ&amp;sjid=xwEEAAAAIBAJ&amp;pg=4643,3113670&amp;dq=albany+ny+department+of+labor+employees+shot+murdered&amp;hl=en","0")</f>
        <v>0</v>
      </c>
      <c r="N8" s="102" t="str">
        <f>HYPERLINK("https://www.nytimes.com/1970/09/24/archives/state-employe-kills-4-coworkers-and-himself-in-albany-office.html","6")</f>
        <v>6</v>
      </c>
      <c r="O8" s="102" t="str">
        <f>HYPERLINK("https://www.nytimes.com/1970/09/24/archives/state-employe-kills-4-coworkers-and-himself-in-albany-office.html","0")</f>
        <v>0</v>
      </c>
      <c r="P8" s="99" t="s">
        <v>100</v>
      </c>
      <c r="Q8" s="103">
        <v>0</v>
      </c>
      <c r="R8" s="103">
        <v>0</v>
      </c>
      <c r="S8" s="102">
        <v>4</v>
      </c>
      <c r="T8" s="102" t="str">
        <f>HYPERLINK("https://www.nytimes.com/1970/09/24/archives/state-employe-kills-4-coworkers-and-himself-in-albany-office.html","0")</f>
        <v>0</v>
      </c>
      <c r="U8" s="101" t="str">
        <f>HYPERLINK("https://cdnc.ucr.edu/cgi-bin/cdnc?a=d&amp;d=DS19700924.2.23&amp;e=-------en--20--1--txt-txIN--------1","0")</f>
        <v>0</v>
      </c>
      <c r="V8" s="101">
        <v>25</v>
      </c>
      <c r="W8" s="101">
        <v>0</v>
      </c>
      <c r="X8" s="101">
        <v>0</v>
      </c>
      <c r="Y8" s="48">
        <v>0</v>
      </c>
      <c r="Z8" s="51">
        <v>0</v>
      </c>
      <c r="AA8" s="101" t="str">
        <f>HYPERLINK("http://web.archive.org/web/20160820143545/http://www.ghe101library.com/non-fiction-articles/fishers-burkean-analysis-of-a-multiple-murder","1")</f>
        <v>1</v>
      </c>
      <c r="AB8" s="101" t="str">
        <f>HYPERLINK("https://www.nytimes.com/1970/09/24/archives/state-employe-kills-4-coworkers-and-himself-in-albany-office.html","4")</f>
        <v>4</v>
      </c>
      <c r="AC8" s="101" t="str">
        <f>HYPERLINK("http://web.archive.org/web/20160820143545/http://www.ghe101library.com/non-fiction-articles/fishers-burkean-analysis-of-a-multiple-murder","2")</f>
        <v>2</v>
      </c>
      <c r="AD8" s="101" t="str">
        <f>HYPERLINK("http://web.archive.org/web/20160820143545/http://www.ghe101library.com/non-fiction-articles/fishers-burkean-analysis-of-a-multiple-murder","completed graduate school and scored first on a tough administrative analyst exam")</f>
        <v>completed graduate school and scored first on a tough administrative analyst exam</v>
      </c>
      <c r="AE8" s="51"/>
      <c r="AF8" s="51"/>
      <c r="AG8" s="51"/>
      <c r="AH8" s="51"/>
      <c r="AI8" s="101" t="str">
        <f>HYPERLINK("https://www.nytimes.com/1970/09/24/archives/state-employe-kills-4-coworkers-and-himself-in-albany-office.html","0")</f>
        <v>0</v>
      </c>
      <c r="AJ8" s="101" t="str">
        <f>HYPERLINK("https://cdnc.ucr.edu/cgi-bin/cdnc?a=d&amp;d=DS19700924.2.23&amp;e=-------en--20--1--txt-txIN--------1","0")</f>
        <v>0</v>
      </c>
      <c r="AK8" s="101" t="str">
        <f>HYPERLINK("https://www.nytimes.com/1970/09/24/archives/state-employe-kills-4-coworkers-and-himself-in-albany-office.html","1")</f>
        <v>1</v>
      </c>
      <c r="AL8" s="101" t="str">
        <f>HYPERLINK("https://cdnc.ucr.edu/?a=d&amp;d=DS19700924.2.23&amp;e=-------en--20--1--txt-txIN--------1","1")</f>
        <v>1</v>
      </c>
      <c r="AM8" s="51">
        <v>0</v>
      </c>
      <c r="AN8" s="48" t="s">
        <v>100</v>
      </c>
      <c r="AO8" s="101" t="str">
        <f>HYPERLINK("https://cdnc.ucr.edu/cgi-bin/cdnc?a=d&amp;d=DS19700924.2.23&amp;e=-------en--20--1--txt-txIN--------1","0")</f>
        <v>0</v>
      </c>
      <c r="AP8" s="54"/>
      <c r="AQ8" s="51">
        <v>0</v>
      </c>
      <c r="AR8" s="51">
        <v>0</v>
      </c>
      <c r="AS8" s="101">
        <v>0</v>
      </c>
      <c r="AT8" s="48">
        <v>0</v>
      </c>
      <c r="AU8" s="48" t="s">
        <v>100</v>
      </c>
      <c r="AV8" s="48" t="s">
        <v>100</v>
      </c>
      <c r="AW8" s="48" t="s">
        <v>100</v>
      </c>
      <c r="AX8" s="48">
        <v>0</v>
      </c>
      <c r="AY8" s="51">
        <v>0</v>
      </c>
      <c r="AZ8" s="51">
        <v>0</v>
      </c>
      <c r="BA8" s="51">
        <v>0</v>
      </c>
      <c r="BB8" s="107">
        <v>3</v>
      </c>
      <c r="BC8" s="101" t="str">
        <f>HYPERLINK("http://web.archive.org/web/20160820143545/http://www.ghe101library.com/non-fiction-articles/fishers-burkean-analysis-of-a-multiple-murder","0")</f>
        <v>0</v>
      </c>
      <c r="BD8" s="101" t="str">
        <f>HYPERLINK("http://web.archive.org/web/20160820143545/http://www.ghe101library.com/non-fiction-articles/fishers-burkean-analysis-of-a-multiple-murder","1")</f>
        <v>1</v>
      </c>
      <c r="BE8" s="101" t="str">
        <f t="shared" ref="BE8:BF8" si="11">HYPERLINK("https://newspaperarchive.com/daily-review-oct-23-1970-p-20/","0")</f>
        <v>0</v>
      </c>
      <c r="BF8" s="101" t="str">
        <f t="shared" si="11"/>
        <v>0</v>
      </c>
      <c r="BG8" s="101" t="str">
        <f>HYPERLINK("http://web.archive.org/web/20160820143545/http://www.ghe101library.com/non-fiction-articles/fishers-burkean-analysis-of-a-multiple-murder","3")</f>
        <v>3</v>
      </c>
      <c r="BH8" s="51">
        <v>1</v>
      </c>
      <c r="BI8" s="101">
        <v>0</v>
      </c>
      <c r="BJ8" s="101" t="str">
        <f>HYPERLINK("https://cdnc.ucr.edu/cgi-bin/cdnc?a=d&amp;d=DS19700924.2.23&amp;e=-------en--20--1--txt-txIN--------1","0")</f>
        <v>0</v>
      </c>
      <c r="BK8" s="101" t="str">
        <f>HYPERLINK("http://web.archive.org/web/20160820143545/http://www.ghe101library.com/non-fiction-articles/fishers-burkean-analysis-of-a-multiple-murder","1")</f>
        <v>1</v>
      </c>
      <c r="BL8" s="108" t="str">
        <f>HYPERLINK("https://newspaperarchive.com/daily-review-oct-23-1970-p-20/","0")</f>
        <v>0</v>
      </c>
      <c r="BM8" s="108" t="s">
        <v>100</v>
      </c>
      <c r="BN8" s="110"/>
      <c r="BO8" s="110"/>
      <c r="BP8" s="110">
        <v>0</v>
      </c>
      <c r="BQ8" s="110">
        <v>0</v>
      </c>
      <c r="BR8" s="110">
        <v>0</v>
      </c>
      <c r="BS8" s="110">
        <v>0</v>
      </c>
      <c r="BT8" s="110">
        <v>0</v>
      </c>
      <c r="BU8" s="110">
        <v>0</v>
      </c>
      <c r="BV8" s="110">
        <v>0</v>
      </c>
      <c r="BW8" s="110">
        <v>0</v>
      </c>
      <c r="BX8" s="110">
        <v>0</v>
      </c>
      <c r="BY8" s="101" t="str">
        <f>HYPERLINK("https://cdnc.ucr.edu/cgi-bin/cdnc?a=d&amp;d=DS19700924.2.23&amp;e=-------en--20--1--txt-txIN--------1","2")</f>
        <v>2</v>
      </c>
      <c r="BZ8" s="51">
        <v>0</v>
      </c>
      <c r="CA8" s="51">
        <v>0</v>
      </c>
      <c r="CB8" s="51" t="s">
        <v>100</v>
      </c>
      <c r="CC8" s="51">
        <v>0</v>
      </c>
      <c r="CD8" s="51" t="s">
        <v>100</v>
      </c>
      <c r="CE8" s="51">
        <v>0</v>
      </c>
      <c r="CF8" s="107">
        <v>0</v>
      </c>
      <c r="CG8" s="51">
        <v>0</v>
      </c>
      <c r="CH8" s="101" t="str">
        <f>HYPERLINK("http://web.archive.org/web/20160820143545/http://www.ghe101library.com/non-fiction-articles/fishers-burkean-analysis-of-a-multiple-murder","0")</f>
        <v>0</v>
      </c>
      <c r="CI8" s="101" t="str">
        <f>HYPERLINK("https://www.nytimes.com/1970/09/24/archives/state-employe-kills-4-coworkers-and-himself-in-albany-office.html","1")</f>
        <v>1</v>
      </c>
      <c r="CJ8" s="123" t="str">
        <f>HYPERLINK("http://web.archive.org/web/20160820143545/http://www.ghe101library.com/non-fiction-articles/fishers-burkean-analysis-of-a-multiple-murder","stomach issues and jaw corrective surgery")</f>
        <v>stomach issues and jaw corrective surgery</v>
      </c>
      <c r="CK8" s="117">
        <v>2</v>
      </c>
      <c r="CL8" s="117"/>
      <c r="CM8" s="117"/>
      <c r="CN8" s="110">
        <v>0</v>
      </c>
      <c r="CO8" s="110">
        <v>0</v>
      </c>
      <c r="CP8" s="109" t="str">
        <f>HYPERLINK("https://newspaperarchive.com/daily-review-oct-23-1970-p-20/","1")</f>
        <v>1</v>
      </c>
      <c r="CQ8" s="110">
        <v>0</v>
      </c>
      <c r="CR8" s="109">
        <v>1</v>
      </c>
      <c r="CS8" s="110">
        <v>0</v>
      </c>
      <c r="CT8" s="110">
        <v>0</v>
      </c>
      <c r="CU8" s="110">
        <v>0</v>
      </c>
      <c r="CV8" s="108">
        <v>0</v>
      </c>
      <c r="CW8" s="110">
        <v>0</v>
      </c>
      <c r="CX8" s="110">
        <v>0</v>
      </c>
      <c r="CY8" s="108">
        <v>0</v>
      </c>
      <c r="CZ8" s="108" t="str">
        <f>HYPERLINK("https://www.nytimes.com/1970/09/24/archives/state-employe-kills-4-coworkers-and-himself-in-albany-office.html","0")</f>
        <v>0</v>
      </c>
      <c r="DA8" s="51">
        <v>0</v>
      </c>
      <c r="DB8" s="51">
        <v>2</v>
      </c>
      <c r="DC8" s="51">
        <v>0</v>
      </c>
      <c r="DD8" s="51"/>
      <c r="DE8" s="51"/>
      <c r="DF8" s="51"/>
      <c r="DG8" s="51"/>
      <c r="DH8" s="51"/>
      <c r="DI8" s="51"/>
      <c r="DJ8" s="51">
        <v>0</v>
      </c>
      <c r="DK8" s="51">
        <v>0</v>
      </c>
      <c r="DL8" s="48" t="s">
        <v>100</v>
      </c>
      <c r="DM8" s="101" t="str">
        <f>HYPERLINK("http://web.archive.org/web/20160820143545/http://www.ghe101library.com/non-fiction-articles/fishers-burkean-analysis-of-a-multiple-murder","1")</f>
        <v>1</v>
      </c>
      <c r="DN8" s="51">
        <v>0</v>
      </c>
      <c r="DO8" s="51" t="s">
        <v>100</v>
      </c>
      <c r="DP8" s="51">
        <v>0</v>
      </c>
      <c r="DQ8" s="101" t="str">
        <f>HYPERLINK("https://cdnc.ucr.edu/cgi-bin/cdnc?a=d&amp;d=DS19700924.2.23&amp;e=-------en--20--1--txt-txIN--------1","0")</f>
        <v>0</v>
      </c>
      <c r="DR8" s="48">
        <v>0</v>
      </c>
      <c r="DS8" s="101">
        <v>2</v>
      </c>
      <c r="DT8" s="101">
        <v>1</v>
      </c>
      <c r="DU8" s="101" t="str">
        <f>HYPERLINK("http://web.archive.org/web/20160820143545/http://www.ghe101library.com/non-fiction-articles/fishers-burkean-analysis-of-a-multiple-murder","1")</f>
        <v>1</v>
      </c>
      <c r="DV8" s="101" t="str">
        <f>HYPERLINK("http://web.archive.org/web/20160820143545/http://www.ghe101library.com/non-fiction-articles/fishers-burkean-analysis-of-a-multiple-murder","ear plugs")</f>
        <v>ear plugs</v>
      </c>
      <c r="DW8" s="101" t="str">
        <f>HYPERLINK("https://www.nytimes.com/1970/09/24/archives/state-employe-kills-4-coworkers-and-himself-in-albany-office.html","0")</f>
        <v>0</v>
      </c>
      <c r="DX8" s="101" t="str">
        <f>HYPERLINK("https://cdnc.ucr.edu/cgi-bin/cdnc?a=d&amp;d=DS19700924.2.23&amp;e=-------en--20--1--txt-txIN--------1","0")</f>
        <v>0</v>
      </c>
      <c r="DY8" s="105" t="str">
        <f>HYPERLINK("https://www.nytimes.com/1970/09/24/archives/state-employe-kills-4-coworkers-and-himself-in-albany-office.html","2")</f>
        <v>2</v>
      </c>
      <c r="DZ8" s="48">
        <v>0</v>
      </c>
    </row>
    <row r="9" spans="1:130" ht="50.25" customHeight="1">
      <c r="A9" s="96">
        <v>7</v>
      </c>
      <c r="B9" s="97" t="s">
        <v>127</v>
      </c>
      <c r="C9" s="97" t="s">
        <v>128</v>
      </c>
      <c r="D9" s="98">
        <v>26448</v>
      </c>
      <c r="E9" s="48" t="s">
        <v>95</v>
      </c>
      <c r="F9" s="119">
        <v>29</v>
      </c>
      <c r="G9" s="102" t="str">
        <f>HYPERLINK("https://www.nytimes.com/1972/05/31/archives/gunmans-motive-remains-mystery-police-say-shootings-were-not-linked.html","5")</f>
        <v>5</v>
      </c>
      <c r="H9" s="101" t="str">
        <f>HYPERLINK("https://www.nytimes.com/1972/05/31/archives/gunmans-motive-remains-mystery-police-say-shootings-were-not-linked.html","1972")</f>
        <v>1972</v>
      </c>
      <c r="I9" s="48" t="s">
        <v>129</v>
      </c>
      <c r="J9" s="101" t="s">
        <v>130</v>
      </c>
      <c r="K9" s="102">
        <v>33</v>
      </c>
      <c r="L9" s="119">
        <v>0</v>
      </c>
      <c r="M9" s="102" t="str">
        <f>HYPERLINK("http://www.city-data.com/city/Raleigh-North-Carolina.html","0")</f>
        <v>0</v>
      </c>
      <c r="N9" s="102" t="str">
        <f>HYPERLINK("https://www.nytimes.com/1972/05/30/archives/gunman-slays-3-in-shopping-mall-wounds-8-and-then-kills-himself.html","4")</f>
        <v>4</v>
      </c>
      <c r="O9" s="102" t="str">
        <f>HYPERLINK("https://www.nytimes.com/1972/05/30/archives/gunman-slays-3-in-shopping-mall-wounds-8-and-then-kills-himself.html","0")</f>
        <v>0</v>
      </c>
      <c r="P9" s="99" t="s">
        <v>100</v>
      </c>
      <c r="Q9" s="103">
        <v>0</v>
      </c>
      <c r="R9" s="103">
        <v>0</v>
      </c>
      <c r="S9" s="102" t="str">
        <f>HYPERLINK("https://abc11.com/business/north-hills-mall-from-1960-to-now/4913105/","4")</f>
        <v>4</v>
      </c>
      <c r="T9" s="102" t="str">
        <f>HYPERLINK("https://abc11.com/business/north-hills-mall-from-1960-to-now/4913105/","5")</f>
        <v>5</v>
      </c>
      <c r="U9" s="101" t="str">
        <f>HYPERLINK("https://www.nytimes.com/1972/05/31/archives/gunmans-motive-remains-mystery-police-say-shootings-were-not-linked.html","0")</f>
        <v>0</v>
      </c>
      <c r="V9" s="101">
        <v>22</v>
      </c>
      <c r="W9" s="101" t="str">
        <f>HYPERLINK("https://www.nytimes.com/1972/05/31/archives/gunmans-motive-remains-mystery-police-say-shootings-were-not-linked.html","0")</f>
        <v>0</v>
      </c>
      <c r="X9" s="101" t="str">
        <f>HYPERLINK("https://www.nytimes.com/1972/05/31/archives/gunmans-motive-remains-mystery-police-say-shootings-were-not-linked.html","1")</f>
        <v>1</v>
      </c>
      <c r="Y9" s="48">
        <v>0</v>
      </c>
      <c r="Z9" s="101" t="str">
        <f>HYPERLINK("https://www.nytimes.com/1972/05/31/archives/gunmans-motive-remains-mystery-police-say-shootings-were-not-linked.html","0")</f>
        <v>0</v>
      </c>
      <c r="AA9" s="51"/>
      <c r="AB9" s="101" t="str">
        <f>HYPERLINK("https://www.nytimes.com/1972/05/30/archives/gunman-slays-3-in-shopping-mall-wounds-8-and-then-kills-himself.html","1")</f>
        <v>1</v>
      </c>
      <c r="AC9" s="101" t="str">
        <f>HYPERLINK("https://www.nytimes.com/1972/05/30/archives/gunman-slays-3-in-shopping-mall-wounds-8-and-then-kills-himself.html","0")</f>
        <v>0</v>
      </c>
      <c r="AD9" s="101" t="str">
        <f>HYPERLINK("https://www.nytimes.com/1972/05/30/archives/gunman-slays-3-in-shopping-mall-wounds-8-and-then-kills-himself.html","average grades, failed a lot of courses")</f>
        <v>average grades, failed a lot of courses</v>
      </c>
      <c r="AE9" s="51"/>
      <c r="AF9" s="51"/>
      <c r="AG9" s="51"/>
      <c r="AH9" s="51"/>
      <c r="AI9" s="101" t="str">
        <f>HYPERLINK("https://www.nytimes.com/1972/05/31/archives/gunmans-motive-remains-mystery-police-say-shootings-were-not-linked.html","2")</f>
        <v>2</v>
      </c>
      <c r="AJ9" s="101" t="str">
        <f>HYPERLINK("https://www.nytimes.com/1972/05/30/archives/gunman-slays-3-in-shopping-mall-wounds-8-and-then-kills-himself.html","0")</f>
        <v>0</v>
      </c>
      <c r="AK9" s="101" t="str">
        <f>HYPERLINK("https://www.nytimes.com/1972/05/30/archives/gunman-slays-3-in-shopping-mall-wounds-8-and-then-kills-himself.html","1")</f>
        <v>1</v>
      </c>
      <c r="AL9" s="101" t="str">
        <f>HYPERLINK("https://www.nytimes.com/1972/05/30/archives/gunman-slays-3-in-shopping-mall-wounds-8-and-then-kills-himself.html","0")</f>
        <v>0</v>
      </c>
      <c r="AM9" s="101">
        <v>0</v>
      </c>
      <c r="AN9" s="48" t="s">
        <v>100</v>
      </c>
      <c r="AO9" s="101" t="str">
        <f>HYPERLINK("https://www.nytimes.com/1972/05/30/archives/gunman-slays-3-in-shopping-mall-wounds-8-and-then-kills-himself.html","3")</f>
        <v>3</v>
      </c>
      <c r="AP9" s="124" t="str">
        <f>HYPERLINK("https://www.nytimes.com/1972/05/30/archives/gunman-slays-3-in-shopping-mall-wounds-8-and-then-kills-himself.html","varsity sports in high school, no involvement as an adult")</f>
        <v>varsity sports in high school, no involvement as an adult</v>
      </c>
      <c r="AQ9" s="101">
        <v>1</v>
      </c>
      <c r="AR9" s="51">
        <v>0</v>
      </c>
      <c r="AS9" s="101">
        <v>1</v>
      </c>
      <c r="AT9" s="48">
        <v>0</v>
      </c>
      <c r="AU9" s="48" t="s">
        <v>100</v>
      </c>
      <c r="AV9" s="48" t="s">
        <v>100</v>
      </c>
      <c r="AW9" s="48" t="s">
        <v>100</v>
      </c>
      <c r="AX9" s="48">
        <v>0</v>
      </c>
      <c r="AY9" s="51">
        <v>0</v>
      </c>
      <c r="AZ9" s="51">
        <v>0</v>
      </c>
      <c r="BA9" s="51">
        <v>0</v>
      </c>
      <c r="BB9" s="107">
        <v>3</v>
      </c>
      <c r="BC9" s="51">
        <v>0</v>
      </c>
      <c r="BD9" s="101" t="str">
        <f>HYPERLINK("https://www.nytimes.com/1972/05/30/archives/gunman-slays-3-in-shopping-mall-wounds-8-and-then-kills-himself.html","1")</f>
        <v>1</v>
      </c>
      <c r="BE9" s="101" t="str">
        <f t="shared" ref="BE9:BF9" si="12">HYPERLINK("https://www.nytimes.com/1972/05/31/archives/gunmans-motive-remains-mystery-police-say-shootings-were-not-linked.html","0")</f>
        <v>0</v>
      </c>
      <c r="BF9" s="101" t="str">
        <f t="shared" si="12"/>
        <v>0</v>
      </c>
      <c r="BG9" s="51"/>
      <c r="BH9" s="51">
        <v>0</v>
      </c>
      <c r="BI9" s="101">
        <v>1</v>
      </c>
      <c r="BJ9" s="51">
        <v>0</v>
      </c>
      <c r="BK9" s="101" t="str">
        <f>HYPERLINK("https://www.nytimes.com/1972/05/31/archives/gunmans-motive-remains-mystery-police-say-shootings-were-not-linked.html","1")</f>
        <v>1</v>
      </c>
      <c r="BL9" s="108">
        <v>1</v>
      </c>
      <c r="BM9" s="109">
        <v>0</v>
      </c>
      <c r="BN9" s="115" t="s">
        <v>3062</v>
      </c>
      <c r="BO9" s="110">
        <v>1</v>
      </c>
      <c r="BP9" s="116">
        <v>0</v>
      </c>
      <c r="BQ9" s="116">
        <v>1</v>
      </c>
      <c r="BR9" s="116">
        <v>0</v>
      </c>
      <c r="BS9" s="116">
        <v>0</v>
      </c>
      <c r="BT9" s="116">
        <v>0</v>
      </c>
      <c r="BU9" s="116">
        <v>0</v>
      </c>
      <c r="BV9" s="110">
        <v>1</v>
      </c>
      <c r="BW9" s="116">
        <v>0</v>
      </c>
      <c r="BX9" s="116">
        <v>0</v>
      </c>
      <c r="BY9" s="101" t="str">
        <f>HYPERLINK("https://www.nytimes.com/1972/05/30/archives/gunman-slays-3-in-shopping-mall-wounds-8-and-then-kills-himself.html","2")</f>
        <v>2</v>
      </c>
      <c r="BZ9" s="101">
        <v>0</v>
      </c>
      <c r="CA9" s="101">
        <v>0</v>
      </c>
      <c r="CB9" s="51" t="s">
        <v>100</v>
      </c>
      <c r="CC9" s="51">
        <v>0</v>
      </c>
      <c r="CD9" s="51" t="s">
        <v>100</v>
      </c>
      <c r="CE9" s="101" t="str">
        <f>HYPERLINK("https://www.nytimes.com/1972/05/31/archives/gunmans-motive-remains-mystery-police-say-shootings-were-not-linked.html","1")</f>
        <v>1</v>
      </c>
      <c r="CF9" s="107">
        <v>0</v>
      </c>
      <c r="CG9" s="51">
        <v>0</v>
      </c>
      <c r="CH9" s="101">
        <v>0</v>
      </c>
      <c r="CI9" s="101">
        <v>0</v>
      </c>
      <c r="CJ9" s="51" t="s">
        <v>100</v>
      </c>
      <c r="CK9" s="117">
        <v>1</v>
      </c>
      <c r="CL9" s="117"/>
      <c r="CM9" s="117"/>
      <c r="CN9" s="108">
        <v>0</v>
      </c>
      <c r="CO9" s="110">
        <v>0</v>
      </c>
      <c r="CP9" s="110">
        <v>0</v>
      </c>
      <c r="CQ9" s="110">
        <v>0</v>
      </c>
      <c r="CR9" s="110">
        <v>0</v>
      </c>
      <c r="CS9" s="110">
        <v>0</v>
      </c>
      <c r="CT9" s="108" t="str">
        <f>HYPERLINK("https://newspaperarchive.com/murder-clipping-may-31-1972-173463/","1")</f>
        <v>1</v>
      </c>
      <c r="CU9" s="110">
        <v>0</v>
      </c>
      <c r="CV9" s="110">
        <v>0</v>
      </c>
      <c r="CW9" s="110">
        <v>0</v>
      </c>
      <c r="CX9" s="110">
        <v>0</v>
      </c>
      <c r="CY9" s="110">
        <v>0</v>
      </c>
      <c r="CZ9" s="108" t="str">
        <f>HYPERLINK("https://newspaperarchive.com/murder-clipping-may-31-1972-173463/","0")</f>
        <v>0</v>
      </c>
      <c r="DA9" s="51">
        <v>0</v>
      </c>
      <c r="DB9" s="51">
        <v>2</v>
      </c>
      <c r="DC9" s="101" t="str">
        <f>HYPERLINK("https://www.nytimes.com/1972/05/31/archives/gunmans-motive-remains-mystery-police-say-shootings-were-not-linked.html","0")</f>
        <v>0</v>
      </c>
      <c r="DD9" s="51"/>
      <c r="DE9" s="51"/>
      <c r="DF9" s="51"/>
      <c r="DG9" s="51"/>
      <c r="DH9" s="51"/>
      <c r="DI9" s="51"/>
      <c r="DJ9" s="51">
        <v>0</v>
      </c>
      <c r="DK9" s="51">
        <v>0</v>
      </c>
      <c r="DL9" s="48" t="s">
        <v>100</v>
      </c>
      <c r="DM9" s="101" t="str">
        <f>HYPERLINK("https://www.nytimes.com/1972/05/31/archives/gunmans-motive-remains-mystery-police-say-shootings-were-not-linked.html","0")</f>
        <v>0</v>
      </c>
      <c r="DN9" s="51">
        <v>0</v>
      </c>
      <c r="DO9" s="51" t="s">
        <v>100</v>
      </c>
      <c r="DP9" s="101" t="str">
        <f t="shared" ref="DP9:DQ9" si="13">HYPERLINK("https://www.nytimes.com/1972/05/30/archives/gunman-slays-3-in-shopping-mall-wounds-8-and-then-kills-himself.html","0")</f>
        <v>0</v>
      </c>
      <c r="DQ9" s="101" t="str">
        <f t="shared" si="13"/>
        <v>0</v>
      </c>
      <c r="DR9" s="48">
        <v>0</v>
      </c>
      <c r="DS9" s="101" t="str">
        <f>HYPERLINK("https://legeros.com/history/stories/north-hills/","0")</f>
        <v>0</v>
      </c>
      <c r="DT9" s="101" t="str">
        <f>HYPERLINK("https://www.nytimes.com/1972/05/30/archives/gunman-slays-3-in-shopping-mall-wounds-8-and-then-kills-himself.html","1")</f>
        <v>1</v>
      </c>
      <c r="DU9" s="101" t="str">
        <f>HYPERLINK("https://www.nytimes.com/1972/05/30/archives/gunman-slays-3-in-shopping-mall-wounds-8-and-then-kills-himself.html","0")</f>
        <v>0</v>
      </c>
      <c r="DV9" s="48" t="s">
        <v>100</v>
      </c>
      <c r="DW9" s="101" t="str">
        <f t="shared" ref="DW9:DX9" si="14">HYPERLINK("https://www.nytimes.com/1972/05/31/archives/gunmans-motive-remains-mystery-police-say-shootings-were-not-linked.html","0")</f>
        <v>0</v>
      </c>
      <c r="DX9" s="101" t="str">
        <f t="shared" si="14"/>
        <v>0</v>
      </c>
      <c r="DY9" s="105" t="str">
        <f>HYPERLINK("https://www.nytimes.com/1972/05/31/archives/gunmans-motive-remains-mystery-police-say-shootings-were-not-linked.html","2")</f>
        <v>2</v>
      </c>
      <c r="DZ9" s="48">
        <v>0</v>
      </c>
    </row>
    <row r="10" spans="1:130" ht="50.25" customHeight="1">
      <c r="A10" s="96">
        <v>8</v>
      </c>
      <c r="B10" s="97" t="s">
        <v>131</v>
      </c>
      <c r="C10" s="97" t="s">
        <v>132</v>
      </c>
      <c r="D10" s="98">
        <v>26471</v>
      </c>
      <c r="E10" s="48" t="s">
        <v>123</v>
      </c>
      <c r="F10" s="119">
        <v>21</v>
      </c>
      <c r="G10" s="102" t="str">
        <f>HYPERLINK("https://www.nytimes.com/1972/06/23/archives/anger-with-employment-agency-is-cited-as-gunmans-motivation-for.html","6")</f>
        <v>6</v>
      </c>
      <c r="H10" s="101" t="str">
        <f>HYPERLINK("https://www.nytimes.com/1972/06/23/archives/anger-with-employment-agency-is-cited-as-gunmans-motivation-for.html","1972")</f>
        <v>1972</v>
      </c>
      <c r="I10" s="48" t="s">
        <v>133</v>
      </c>
      <c r="J10" s="101" t="str">
        <f>HYPERLINK("https://www.pressofatlanticcity.com/acrossnj/looking-back-cherry-hill-massacre-remembered/article_959ee198-9a6b-11e0-a19f-001cc4c03286.html","Cherry Hill")</f>
        <v>Cherry Hill</v>
      </c>
      <c r="K10" s="102" t="str">
        <f>HYPERLINK("https://www.nytimes.com/1972/06/23/archives/anger-with-employment-agency-is-cited-as-gunmans-motivation-for.html","30")</f>
        <v>30</v>
      </c>
      <c r="L10" s="119">
        <v>2</v>
      </c>
      <c r="M10" s="102">
        <v>1</v>
      </c>
      <c r="N10" s="102" t="str">
        <f>HYPERLINK("https://www.pressofatlanticcity.com/acrossnj/looking-back-cherry-hill-massacre-remembered/article_959ee198-9a6b-11e0-a19f-001cc4c03286.html","6")</f>
        <v>6</v>
      </c>
      <c r="O10" s="102" t="str">
        <f>HYPERLINK("https://www.nytimes.com/1972/07/09/archives/slayer-of-6-in-cherry-hill-dies-2-of-6-wounded-still-in-hospital.html","0")</f>
        <v>0</v>
      </c>
      <c r="P10" s="99" t="s">
        <v>100</v>
      </c>
      <c r="Q10" s="103">
        <v>0</v>
      </c>
      <c r="R10" s="103">
        <v>0</v>
      </c>
      <c r="S10" s="102" t="str">
        <f>HYPERLINK("https://www.nytimes.com/1972/06/23/archives/anger-with-employment-agency-is-cited-as-gunmans-motivation-for.html","6")</f>
        <v>6</v>
      </c>
      <c r="T10" s="102">
        <v>6</v>
      </c>
      <c r="U10" s="101" t="str">
        <f>HYPERLINK("https://news.google.com/newspapers?nid=2002&amp;dat=19720622&amp;id=CbAiAAAAIBAJ&amp;sjid=FLMFAAAAIBAJ&amp;pg=5232,1749134&amp;hl=en","0")</f>
        <v>0</v>
      </c>
      <c r="V10" s="101" t="str">
        <f>HYPERLINK("https://www.pressofatlanticcity.com/acrossnj/looking-back-cherry-hill-massacre-remembered/article_959ee198-9a6b-11e0-a19f-001cc4c03286.html","33")</f>
        <v>33</v>
      </c>
      <c r="W10" s="101" t="str">
        <f>HYPERLINK("https://www.nytimes.com/1972/06/23/archives/anger-with-employment-agency-is-cited-as-gunmans-motivation-for.html","0")</f>
        <v>0</v>
      </c>
      <c r="X10" s="101">
        <v>0</v>
      </c>
      <c r="Y10" s="101" t="str">
        <f>HYPERLINK("https://www.nytimes.com/1972/06/23/archives/anger-with-employment-agency-is-cited-as-gunmans-motivation-for.html","0")</f>
        <v>0</v>
      </c>
      <c r="Z10" s="51">
        <v>0</v>
      </c>
      <c r="AA10" s="101" t="str">
        <f>HYPERLINK("https://news.google.com/newspapers?nid=2002&amp;dat=19720622&amp;id=CbAiAAAAIBAJ&amp;sjid=FLMFAAAAIBAJ&amp;pg=5232,1749134&amp;hl=en","1")</f>
        <v>1</v>
      </c>
      <c r="AB10" s="101" t="str">
        <f>HYPERLINK("https://www.nytimes.com/1972/06/23/archives/anger-with-employment-agency-is-cited-as-gunmans-motivation-for.html","2")</f>
        <v>2</v>
      </c>
      <c r="AC10" s="51"/>
      <c r="AD10" s="51"/>
      <c r="AE10" s="101" t="str">
        <f t="shared" ref="AE10:AF10" si="15">HYPERLINK("https://www.newspapers.com/image/?clipping_id=33633453&amp;fcfToken=eyJhbGciOiJIUzI1NiIsInR5cCI6IkpXVCJ9.eyJmcmVlLXZpZXctaWQiOjE4MDM0MzkzOCwiaWF0IjoxNTgzNTA5NTE4LCJleHAiOjE1ODM1OTU5MTh9.XS5TJ4esLPNHNfvEpGmfEbqi-6moc9U4csVN4E57LKE","1")</f>
        <v>1</v>
      </c>
      <c r="AF10" s="101" t="str">
        <f t="shared" si="15"/>
        <v>1</v>
      </c>
      <c r="AG10" s="101" t="str">
        <f>HYPERLINK("https://www.newspapers.com/image/?clipping_id=33633453&amp;fcfToken=eyJhbGciOiJIUzI1NiIsInR5cCI6IkpXVCJ9.eyJmcmVlLXZpZXctaWQiOjE4MDM0MzkzOCwiaWF0IjoxNTgzNTA5NTE4LCJleHAiOjE1ODM1OTU5MTh9.XS5TJ4esLPNHNfvEpGmfEbqi-6moc9U4csVN4E57LKE","0")</f>
        <v>0</v>
      </c>
      <c r="AH10" s="101" t="str">
        <f>HYPERLINK("https://www.newspapers.com/image/?clipping_id=33633453&amp;fcfToken=eyJhbGciOiJIUzI1NiIsInR5cCI6IkpXVCJ9.eyJmcmVlLXZpZXctaWQiOjE4MDM0MzkzOCwiaWF0IjoxNTgzNTA5NTE4LCJleHAiOjE1ODM1OTU5MTh9.XS5TJ4esLPNHNfvEpGmfEbqi-6moc9U4csVN4E57LKE","1")</f>
        <v>1</v>
      </c>
      <c r="AI10" s="51"/>
      <c r="AJ10" s="51"/>
      <c r="AK10" s="101" t="str">
        <f>HYPERLINK("https://www.nytimes.com/1972/06/23/archives/anger-with-employment-agency-is-cited-as-gunmans-motivation-for.html","1")</f>
        <v>1</v>
      </c>
      <c r="AL10" s="101" t="str">
        <f>HYPERLINK("https://www.nytimes.com/1972/06/23/archives/anger-with-employment-agency-is-cited-as-gunmans-motivation-for.html","0")</f>
        <v>0</v>
      </c>
      <c r="AM10" s="101" t="str">
        <f>HYPERLINK("https://www.nytimes.com/1972/06/23/archives/anger-with-employment-agency-is-cited-as-gunmans-motivation-for.html","1")</f>
        <v>1</v>
      </c>
      <c r="AN10" s="101" t="str">
        <f>HYPERLINK("https://www.nytimes.com/1972/06/23/archives/anger-with-employment-agency-is-cited-as-gunmans-motivation-for.html","0")</f>
        <v>0</v>
      </c>
      <c r="AO10" s="101" t="str">
        <f>HYPERLINK("https://news.google.com/newspapers?nid=2002&amp;dat=19720622&amp;id=CbAiAAAAIBAJ&amp;sjid=FLMFAAAAIBAJ&amp;pg=5232,1749134&amp;hl=en","1")</f>
        <v>1</v>
      </c>
      <c r="AP10" s="101" t="str">
        <f>HYPERLINK("https://news.google.com/newspapers?nid=2002&amp;dat=19720622&amp;id=CbAiAAAAIBAJ&amp;sjid=FLMFAAAAIBAJ&amp;pg=5232,1749134&amp;hl=en","church")</f>
        <v>church</v>
      </c>
      <c r="AQ10" s="101" t="str">
        <f>HYPERLINK("https://www.nytimes.com/1972/06/23/archives/anger-with-employment-agency-is-cited-as-gunmans-motivation-for.html","1")</f>
        <v>1</v>
      </c>
      <c r="AR10" s="51">
        <v>0</v>
      </c>
      <c r="AS10" s="51">
        <v>0</v>
      </c>
      <c r="AT10" s="51">
        <v>0</v>
      </c>
      <c r="AU10" s="51" t="s">
        <v>100</v>
      </c>
      <c r="AV10" s="51" t="s">
        <v>100</v>
      </c>
      <c r="AW10" s="51" t="s">
        <v>100</v>
      </c>
      <c r="AX10" s="51">
        <v>0</v>
      </c>
      <c r="AY10" s="51">
        <v>0</v>
      </c>
      <c r="AZ10" s="51">
        <v>0</v>
      </c>
      <c r="BA10" s="51">
        <v>0</v>
      </c>
      <c r="BB10" s="107">
        <v>3</v>
      </c>
      <c r="BC10" s="51">
        <v>0</v>
      </c>
      <c r="BD10" s="51">
        <v>0</v>
      </c>
      <c r="BE10" s="101" t="str">
        <f t="shared" ref="BE10:BF10" si="16">HYPERLINK("https://www.newspapers.com/image/?clipping_id=33633453&amp;fcfToken=eyJhbGciOiJIUzI1NiIsInR5cCI6IkpXVCJ9.eyJmcmVlLXZpZXctaWQiOjE4MDM0MzkzOCwiaWF0IjoxNTgzNTA5NTE4LCJleHAiOjE1ODM1OTU5MTh9.XS5TJ4esLPNHNfvEpGmfEbqi-6moc9U4csVN4E57LKE","0")</f>
        <v>0</v>
      </c>
      <c r="BF10" s="101" t="str">
        <f t="shared" si="16"/>
        <v>0</v>
      </c>
      <c r="BG10" s="51"/>
      <c r="BH10" s="51">
        <v>1</v>
      </c>
      <c r="BI10" s="51"/>
      <c r="BJ10" s="51">
        <v>0</v>
      </c>
      <c r="BK10" s="101" t="str">
        <f>HYPERLINK("https://www.nytimes.com/1972/06/23/archives/anger-with-employment-agency-is-cited-as-gunmans-motivation-for.html","1")</f>
        <v>1</v>
      </c>
      <c r="BL10" s="108">
        <v>0</v>
      </c>
      <c r="BM10" s="108" t="s">
        <v>100</v>
      </c>
      <c r="BN10" s="110"/>
      <c r="BO10" s="110">
        <v>0</v>
      </c>
      <c r="BP10" s="110">
        <v>0</v>
      </c>
      <c r="BQ10" s="110">
        <v>0</v>
      </c>
      <c r="BR10" s="110">
        <v>0</v>
      </c>
      <c r="BS10" s="110">
        <v>0</v>
      </c>
      <c r="BT10" s="110">
        <v>0</v>
      </c>
      <c r="BU10" s="110">
        <v>0</v>
      </c>
      <c r="BV10" s="110">
        <v>0</v>
      </c>
      <c r="BW10" s="110">
        <v>0</v>
      </c>
      <c r="BX10" s="110">
        <v>0</v>
      </c>
      <c r="BY10" s="101" t="str">
        <f>HYPERLINK("https://news.google.com/newspapers?nid=2002&amp;dat=19720622&amp;id=CbAiAAAAIBAJ&amp;sjid=FLMFAAAAIBAJ&amp;pg=5232,1749134&amp;hl=en","2")</f>
        <v>2</v>
      </c>
      <c r="BZ10" s="51">
        <v>0</v>
      </c>
      <c r="CA10" s="51">
        <v>0</v>
      </c>
      <c r="CB10" s="51" t="s">
        <v>100</v>
      </c>
      <c r="CC10" s="51">
        <v>0</v>
      </c>
      <c r="CD10" s="51" t="s">
        <v>100</v>
      </c>
      <c r="CE10" s="51">
        <v>0</v>
      </c>
      <c r="CF10" s="107">
        <v>0</v>
      </c>
      <c r="CG10" s="51">
        <v>0</v>
      </c>
      <c r="CH10" s="51">
        <v>0</v>
      </c>
      <c r="CI10" s="51">
        <v>0</v>
      </c>
      <c r="CJ10" s="51" t="s">
        <v>100</v>
      </c>
      <c r="CK10" s="113">
        <v>0</v>
      </c>
      <c r="CL10" s="113"/>
      <c r="CM10" s="113"/>
      <c r="CN10" s="110">
        <v>0</v>
      </c>
      <c r="CO10" s="110">
        <v>0</v>
      </c>
      <c r="CP10" s="110">
        <v>0</v>
      </c>
      <c r="CQ10" s="110">
        <v>0</v>
      </c>
      <c r="CR10" s="108" t="str">
        <f>HYPERLINK("https://www.nytimes.com/1972/06/23/archives/anger-with-employment-agency-is-cited-as-gunmans-motivation-for.html","1")</f>
        <v>1</v>
      </c>
      <c r="CS10" s="110">
        <v>0</v>
      </c>
      <c r="CT10" s="110">
        <v>0</v>
      </c>
      <c r="CU10" s="110">
        <v>0</v>
      </c>
      <c r="CV10" s="110">
        <v>0</v>
      </c>
      <c r="CW10" s="110">
        <v>0</v>
      </c>
      <c r="CX10" s="110">
        <v>0</v>
      </c>
      <c r="CY10" s="110">
        <v>0</v>
      </c>
      <c r="CZ10" s="108" t="str">
        <f>HYPERLINK("https://www.nytimes.com/1972/06/23/archives/anger-with-employment-agency-is-cited-as-gunmans-motivation-for.html","0")</f>
        <v>0</v>
      </c>
      <c r="DA10" s="51">
        <v>0</v>
      </c>
      <c r="DB10" s="51">
        <v>2</v>
      </c>
      <c r="DC10" s="51">
        <v>0</v>
      </c>
      <c r="DD10" s="51"/>
      <c r="DE10" s="51"/>
      <c r="DF10" s="51"/>
      <c r="DG10" s="51"/>
      <c r="DH10" s="51"/>
      <c r="DI10" s="51"/>
      <c r="DJ10" s="51">
        <v>0</v>
      </c>
      <c r="DK10" s="51">
        <v>0</v>
      </c>
      <c r="DL10" s="48" t="s">
        <v>100</v>
      </c>
      <c r="DM10" s="101" t="str">
        <f>HYPERLINK("https://www.nytimes.com/1972/06/23/archives/anger-with-employment-agency-is-cited-as-gunmans-motivation-for.html","0")</f>
        <v>0</v>
      </c>
      <c r="DN10" s="51">
        <v>0</v>
      </c>
      <c r="DO10" s="51" t="s">
        <v>100</v>
      </c>
      <c r="DP10" s="51">
        <v>0</v>
      </c>
      <c r="DQ10" s="101" t="str">
        <f>HYPERLINK("https://www.nytimes.com/1972/06/23/archives/anger-with-employment-agency-is-cited-as-gunmans-motivation-for.html","0")</f>
        <v>0</v>
      </c>
      <c r="DR10" s="101" t="str">
        <f>HYPERLINK("https://www.nytimes.com/1972/06/23/archives/anger-with-employment-agency-is-cited-as-gunmans-motivation-for.html","0")</f>
        <v>0</v>
      </c>
      <c r="DS10" s="101" t="str">
        <f>HYPERLINK("https://www.nytimes.com/1972/06/23/archives/anger-with-employment-agency-is-cited-as-gunmans-motivation-for.html","3")</f>
        <v>3</v>
      </c>
      <c r="DT10" s="101" t="str">
        <f>HYPERLINK("https://www.nytimes.com/1972/06/23/archives/anger-with-employment-agency-is-cited-as-gunmans-motivation-for.html","2")</f>
        <v>2</v>
      </c>
      <c r="DU10" s="101" t="str">
        <f>HYPERLINK("https://www.nytimes.com/1972/06/23/archives/anger-with-employment-agency-is-cited-as-gunmans-motivation-for.html","0")</f>
        <v>0</v>
      </c>
      <c r="DV10" s="48" t="s">
        <v>100</v>
      </c>
      <c r="DW10" s="101" t="str">
        <f>HYPERLINK("https://www.nytimes.com/1972/07/09/archives/slayer-of-6-in-cherry-hill-dies-2-of-6-wounded-still-in-hospital.html","0")</f>
        <v>0</v>
      </c>
      <c r="DX10" s="101" t="str">
        <f>HYPERLINK("https://news.google.com/newspapers?nid=2002&amp;dat=19720622&amp;id=CbAiAAAAIBAJ&amp;sjid=FLMFAAAAIBAJ&amp;pg=5232,1749134&amp;hl=en","0")</f>
        <v>0</v>
      </c>
      <c r="DY10" s="101" t="str">
        <f>HYPERLINK("https://www.nytimes.com/1972/07/09/archives/slayer-of-6-in-cherry-hill-dies-2-of-6-wounded-still-in-hospital.html","2")</f>
        <v>2</v>
      </c>
      <c r="DZ10" s="48">
        <v>0</v>
      </c>
    </row>
    <row r="11" spans="1:130" ht="50.25" customHeight="1">
      <c r="A11" s="96">
        <v>9</v>
      </c>
      <c r="B11" s="97" t="s">
        <v>135</v>
      </c>
      <c r="C11" s="97" t="s">
        <v>136</v>
      </c>
      <c r="D11" s="98">
        <v>26671</v>
      </c>
      <c r="E11" s="48" t="s">
        <v>137</v>
      </c>
      <c r="F11" s="99">
        <v>7</v>
      </c>
      <c r="G11" s="100" t="str">
        <f>HYPERLINK("https://www.chicagotribune.com/news/ct-xpm-2003-01-05-0301050324-story.html","1")</f>
        <v>1</v>
      </c>
      <c r="H11" s="105" t="str">
        <f>HYPERLINK("https://www.theadvocate.com/baton_rouge/news/alton_sterling/article_3ec11610-4575-11e6-90fd-973d772ce8e6.html","1973")</f>
        <v>1973</v>
      </c>
      <c r="I11" s="48" t="s">
        <v>138</v>
      </c>
      <c r="J11" s="105" t="str">
        <f>HYPERLINK("https://www.theadvocate.com/baton_rouge/news/alton_sterling/article_3ec11610-4575-11e6-90fd-973d772ce8e6.html","New Orleans ")</f>
        <v xml:space="preserve">New Orleans </v>
      </c>
      <c r="K11" s="100" t="str">
        <f>HYPERLINK("https://www.theadvocate.com/baton_rouge/news/alton_sterling/article_3ec11610-4575-11e6-90fd-973d772ce8e6.html","18")</f>
        <v>18</v>
      </c>
      <c r="L11" s="100" t="str">
        <f>HYPERLINK("https://www.theadvocate.com/baton_rouge/news/alton_sterling/article_3ec11610-4575-11e6-90fd-973d772ce8e6.html","0")</f>
        <v>0</v>
      </c>
      <c r="M11" s="100" t="str">
        <f>HYPERLINK("https://ronfranscell.com/2018/01/essex/","0")</f>
        <v>0</v>
      </c>
      <c r="N11" s="125" t="str">
        <f>HYPERLINK("http://www.crimemagazine.com/sniper-mark-essex","7")</f>
        <v>7</v>
      </c>
      <c r="O11" s="100" t="str">
        <f>HYPERLINK("http://www.crimemagazine.com/sniper-mark-essex","1")</f>
        <v>1</v>
      </c>
      <c r="P11" s="100" t="str">
        <f>HYPERLINK("http://www.crimemagazine.com/sniper-mark-essex","4")</f>
        <v>4</v>
      </c>
      <c r="Q11" s="103">
        <v>0</v>
      </c>
      <c r="R11" s="103">
        <v>0</v>
      </c>
      <c r="S11" s="100" t="str">
        <f>HYPERLINK("http://www.emporiagazette.com/area_news/article_3f60aa5c-4aa4-11e6-b41e-b708c6c69693.html","7")</f>
        <v>7</v>
      </c>
      <c r="T11" s="100" t="str">
        <f>HYPERLINK("http://www.emporiagazette.com/area_news/article_3f60aa5c-4aa4-11e6-b41e-b708c6c69693.html","8")</f>
        <v>8</v>
      </c>
      <c r="U11" s="105" t="str">
        <f>HYPERLINK("http://www.crimemagazine.com/sniper-mark-essex","0")</f>
        <v>0</v>
      </c>
      <c r="V11" s="105" t="str">
        <f>HYPERLINK("https://www.nytimes.com/1973/01/10/archives/new-orleans-sniper-identifiedrifle-linked-to-killing-of-rookie-new.html","23")</f>
        <v>23</v>
      </c>
      <c r="W11" s="105" t="str">
        <f>HYPERLINK("https://www.chicagotribune.com/news/ct-xpm-2003-01-05-0301050324-story.html","0")</f>
        <v>0</v>
      </c>
      <c r="X11" s="105" t="str">
        <f>HYPERLINK("https://www.theadvocate.com/baton_rouge/news/alton_sterling/article_3ec11610-4575-11e6-90fd-973d772ce8e6.html","1")</f>
        <v>1</v>
      </c>
      <c r="Y11" s="105" t="str">
        <f>HYPERLINK("http://www.crimemagazine.com/sniper-mark-essex","0")</f>
        <v>0</v>
      </c>
      <c r="Z11" s="48">
        <v>0</v>
      </c>
      <c r="AA11" s="105" t="str">
        <f>HYPERLINK("http://www.emporiagazette.com/area_news/article_3f60aa5c-4aa4-11e6-b41e-b708c6c69693.html","1")</f>
        <v>1</v>
      </c>
      <c r="AB11" s="105" t="str">
        <f>HYPERLINK("http://www.emporiagazette.com/area_news/article_3f60aa5c-4aa4-11e6-b41e-b708c6c69693.html","2")</f>
        <v>2</v>
      </c>
      <c r="AC11" s="101" t="str">
        <f>HYPERLINK("http://www.emporiagazette.com/area_news/article_3f60aa5c-4aa4-11e6-b41e-b708c6c69693.html","1")</f>
        <v>1</v>
      </c>
      <c r="AD11" s="101" t="str">
        <f>HYPERLINK("http://www.emporiagazette.com/area_news/article_3f60aa5c-4aa4-11e6-b41e-b708c6c69693.html","average")</f>
        <v>average</v>
      </c>
      <c r="AE11" s="126">
        <v>2</v>
      </c>
      <c r="AF11" s="126">
        <v>4</v>
      </c>
      <c r="AG11" s="126">
        <v>1</v>
      </c>
      <c r="AH11" s="126">
        <v>3</v>
      </c>
      <c r="AI11" s="48">
        <v>0</v>
      </c>
      <c r="AJ11" s="48">
        <v>0</v>
      </c>
      <c r="AK11" s="48">
        <v>0</v>
      </c>
      <c r="AL11" s="48">
        <v>0</v>
      </c>
      <c r="AM11" s="105" t="str">
        <f t="shared" ref="AM11:AN11" si="17">HYPERLINK("https://www.chicagotribune.com/news/ct-xpm-2003-01-05-0301050324-story.html","1")</f>
        <v>1</v>
      </c>
      <c r="AN11" s="105" t="str">
        <f t="shared" si="17"/>
        <v>1</v>
      </c>
      <c r="AO11" s="101" t="str">
        <f>HYPERLINK("http://www.emporiagazette.com/area_news/article_3f60aa5c-4aa4-11e6-b41e-b708c6c69693.html","2")</f>
        <v>2</v>
      </c>
      <c r="AP11" s="101" t="str">
        <f>HYPERLINK("http://www.emporiagazette.com/area_news/article_3f60aa5c-4aa4-11e6-b41e-b708c6c69693.html","Cub Scouts, band")</f>
        <v>Cub Scouts, band</v>
      </c>
      <c r="AQ11" s="105" t="str">
        <f>HYPERLINK("https://ronfranscell.com/2018/01/07/essex/","1")</f>
        <v>1</v>
      </c>
      <c r="AR11" s="105" t="str">
        <f t="shared" ref="AR11:AS11" si="18">HYPERLINK("http://www.crimemagazine.com/sniper-mark-essex","1")</f>
        <v>1</v>
      </c>
      <c r="AS11" s="101" t="str">
        <f t="shared" si="18"/>
        <v>1</v>
      </c>
      <c r="AT11" s="48">
        <v>0</v>
      </c>
      <c r="AU11" s="48" t="s">
        <v>100</v>
      </c>
      <c r="AV11" s="48" t="s">
        <v>100</v>
      </c>
      <c r="AW11" s="48" t="s">
        <v>100</v>
      </c>
      <c r="AX11" s="48">
        <v>0</v>
      </c>
      <c r="AY11" s="48">
        <v>0</v>
      </c>
      <c r="AZ11" s="48">
        <v>0</v>
      </c>
      <c r="BA11" s="105" t="str">
        <f>HYPERLINK("http://www.emporiagazette.com/area_news/article_3f60aa5c-4aa4-11e6-b41e-b708c6c69693.html","2")</f>
        <v>2</v>
      </c>
      <c r="BB11" s="51">
        <v>3</v>
      </c>
      <c r="BC11" s="105" t="str">
        <f>HYPERLINK("http://www.emporiagazette.com/area_news/article_3f60aa5c-4aa4-11e6-b41e-b708c6c69693.html","0")</f>
        <v>0</v>
      </c>
      <c r="BD11" s="105" t="str">
        <f>HYPERLINK("http://www.crimemagazine.com/sniper-mark-essex","1")</f>
        <v>1</v>
      </c>
      <c r="BE11" s="105" t="str">
        <f t="shared" ref="BE11:BF11" si="19">HYPERLINK("http://www.emporiagazette.com/area_news/article_3f60aa5c-4aa4-11e6-b41e-b708c6c69693.html","0")</f>
        <v>0</v>
      </c>
      <c r="BF11" s="105" t="str">
        <f t="shared" si="19"/>
        <v>0</v>
      </c>
      <c r="BG11" s="48"/>
      <c r="BH11" s="48">
        <v>1</v>
      </c>
      <c r="BI11" s="105" t="str">
        <f>HYPERLINK("http://www.crimemagazine.com/sniper-mark-essex","1")</f>
        <v>1</v>
      </c>
      <c r="BJ11" s="48">
        <v>0</v>
      </c>
      <c r="BK11" s="48">
        <v>0</v>
      </c>
      <c r="BL11" s="127" t="str">
        <f>HYPERLINK("http://www.crimemagazine.com/sniper-mark-essex","1")</f>
        <v>1</v>
      </c>
      <c r="BM11" s="127">
        <v>3</v>
      </c>
      <c r="BN11" s="115" t="s">
        <v>2986</v>
      </c>
      <c r="BO11" s="111">
        <v>1</v>
      </c>
      <c r="BP11" s="111">
        <v>0</v>
      </c>
      <c r="BQ11" s="111">
        <v>0</v>
      </c>
      <c r="BR11" s="111">
        <v>0</v>
      </c>
      <c r="BS11" s="111">
        <v>1</v>
      </c>
      <c r="BT11" s="111">
        <v>1</v>
      </c>
      <c r="BU11" s="111">
        <v>1</v>
      </c>
      <c r="BV11" s="111">
        <v>1</v>
      </c>
      <c r="BW11" s="111">
        <v>1</v>
      </c>
      <c r="BX11" s="111">
        <v>0</v>
      </c>
      <c r="BY11" s="105" t="str">
        <f>HYPERLINK("http://www.crimemagazine.com/sniper-mark-essex","2")</f>
        <v>2</v>
      </c>
      <c r="BZ11" s="48">
        <v>0</v>
      </c>
      <c r="CA11" s="48">
        <v>0</v>
      </c>
      <c r="CB11" s="48" t="s">
        <v>100</v>
      </c>
      <c r="CC11" s="105" t="str">
        <f>HYPERLINK("http://www.emporiagazette.com/area_news/article_3f60aa5c-4aa4-11e6-b41e-b708c6c69693.html","1")</f>
        <v>1</v>
      </c>
      <c r="CD11" s="105" t="str">
        <f>HYPERLINK("http://www.emporiagazette.com/area_news/article_3f60aa5c-4aa4-11e6-b41e-b708c6c69693.html","0")</f>
        <v>0</v>
      </c>
      <c r="CE11" s="105">
        <v>5</v>
      </c>
      <c r="CF11" s="52">
        <v>0</v>
      </c>
      <c r="CG11" s="48">
        <v>0</v>
      </c>
      <c r="CH11" s="126">
        <v>2</v>
      </c>
      <c r="CI11" s="48">
        <v>0</v>
      </c>
      <c r="CJ11" s="51" t="s">
        <v>100</v>
      </c>
      <c r="CK11" s="128">
        <v>1</v>
      </c>
      <c r="CL11" s="128">
        <v>4</v>
      </c>
      <c r="CM11" s="129"/>
      <c r="CN11" s="127">
        <v>2</v>
      </c>
      <c r="CO11" s="116">
        <v>0</v>
      </c>
      <c r="CP11" s="116">
        <v>0</v>
      </c>
      <c r="CQ11" s="116">
        <v>0</v>
      </c>
      <c r="CR11" s="116">
        <v>0</v>
      </c>
      <c r="CS11" s="116">
        <v>0</v>
      </c>
      <c r="CT11" s="116">
        <v>0</v>
      </c>
      <c r="CU11" s="116">
        <v>0</v>
      </c>
      <c r="CV11" s="116">
        <v>0</v>
      </c>
      <c r="CW11" s="116">
        <v>0</v>
      </c>
      <c r="CX11" s="116">
        <v>0</v>
      </c>
      <c r="CY11" s="116">
        <v>0</v>
      </c>
      <c r="CZ11" s="118" t="str">
        <f>HYPERLINK("http://www.emporiagazette.com/area_news/article_3f60aa5c-4aa4-11e6-b41e-b708c6c69693.html","0")</f>
        <v>0</v>
      </c>
      <c r="DA11" s="48">
        <v>0</v>
      </c>
      <c r="DB11" s="48">
        <v>2</v>
      </c>
      <c r="DC11" s="105" t="str">
        <f>HYPERLINK("http://www.crimemagazine.com/sniper-mark-essex","1")</f>
        <v>1</v>
      </c>
      <c r="DD11" s="51">
        <v>1</v>
      </c>
      <c r="DE11" s="107">
        <v>9</v>
      </c>
      <c r="DF11" s="107">
        <v>1</v>
      </c>
      <c r="DG11" s="107">
        <v>1</v>
      </c>
      <c r="DH11" s="107">
        <v>1</v>
      </c>
      <c r="DI11" s="107">
        <v>0</v>
      </c>
      <c r="DJ11" s="48">
        <v>0</v>
      </c>
      <c r="DK11" s="48">
        <v>0</v>
      </c>
      <c r="DL11" s="48" t="s">
        <v>100</v>
      </c>
      <c r="DM11" s="105" t="str">
        <f>HYPERLINK("http://www.crimemagazine.com/sniper-mark-essex","0")</f>
        <v>0</v>
      </c>
      <c r="DN11" s="48">
        <v>0</v>
      </c>
      <c r="DO11" s="48" t="s">
        <v>100</v>
      </c>
      <c r="DP11" s="105" t="str">
        <f>HYPERLINK("http://www.crimemagazine.com/sniper-mark-essex","1")</f>
        <v>1</v>
      </c>
      <c r="DQ11" s="105" t="str">
        <f>HYPERLINK("http://www.emporiagazette.com/area_news/article_3f60aa5c-4aa4-11e6-b41e-b708c6c69693.html","0")</f>
        <v>0</v>
      </c>
      <c r="DR11" s="48">
        <v>0</v>
      </c>
      <c r="DS11" s="101" t="str">
        <f>HYPERLINK("http://www.emporiagazette.com/area_news/article_3f60aa5c-4aa4-11e6-b41e-b708c6c69693.html","3")</f>
        <v>3</v>
      </c>
      <c r="DT11" s="105" t="str">
        <f>HYPERLINK("https://www.nytimes.com/1973/01/10/archives/new-orleans-sniper-identifiedrifle-linked-to-killing-of-rookie-new.html","1")</f>
        <v>1</v>
      </c>
      <c r="DU11" s="105" t="str">
        <f>HYPERLINK("https://www.nytimes.com/1973/01/10/archives/new-orleans-sniper-identifiedrifle-linked-to-killing-of-rookie-new.html","1")</f>
        <v>1</v>
      </c>
      <c r="DV11" s="105" t="str">
        <f>HYPERLINK("https://www.nytimes.com/1973/01/10/archives/new-orleans-sniper-identifiedrifle-linked-to-killing-of-rookie-new.html","cherry bombs, firecrackers")</f>
        <v>cherry bombs, firecrackers</v>
      </c>
      <c r="DW11" s="105" t="str">
        <f>HYPERLINK("http://www.emporiagazette.com/area_news/article_3f60aa5c-4aa4-11e6-b41e-b708c6c69693.html","1")</f>
        <v>1</v>
      </c>
      <c r="DX11" s="105" t="str">
        <f>HYPERLINK("http://www.crimemagazine.com/sniper-mark-essex","0")</f>
        <v>0</v>
      </c>
      <c r="DY11" s="105" t="str">
        <f>HYPERLINK("http://www.emporiagazette.com/area_news/article_3f60aa5c-4aa4-11e6-b41e-b708c6c69693.html","2")</f>
        <v>2</v>
      </c>
      <c r="DZ11" s="48">
        <v>0</v>
      </c>
    </row>
    <row r="12" spans="1:130" ht="50.25" customHeight="1">
      <c r="A12" s="96">
        <v>10</v>
      </c>
      <c r="B12" s="96" t="s">
        <v>140</v>
      </c>
      <c r="C12" s="97" t="s">
        <v>102</v>
      </c>
      <c r="D12" s="98">
        <v>27455</v>
      </c>
      <c r="E12" s="48" t="s">
        <v>137</v>
      </c>
      <c r="F12" s="119">
        <v>2</v>
      </c>
      <c r="G12" s="102" t="str">
        <f>HYPERLINK("https://cdnc.ucr.edu/cgi-bin/cdnc?a=d&amp;d=DS19750303.2.21&amp;e=-------en--20--1--txt-txIN--------1","3")</f>
        <v>3</v>
      </c>
      <c r="H12" s="101" t="str">
        <f>HYPERLINK("https://news.google.com/newspapers?id=cJ0fAAAAIBAJ&amp;sjid=gdUEAAAAIBAJ&amp;pg=5479,565719&amp;hl=en","1975")</f>
        <v>1975</v>
      </c>
      <c r="I12" s="48" t="s">
        <v>141</v>
      </c>
      <c r="J12" s="101" t="str">
        <f>HYPERLINK("https://news.google.com/newspapers?id=CJRPAAAAIBAJ&amp;sjid=RVIDAAAAIBAJ&amp;pg=3521,4360795&amp;hl=en","Smith River")</f>
        <v>Smith River</v>
      </c>
      <c r="K12" s="102" t="str">
        <f>HYPERLINK("https://news.google.com/newspapers?id=cJ0fAAAAIBAJ&amp;sjid=gdUEAAAAIBAJ&amp;pg=5479,565719&amp;hl=en","5")</f>
        <v>5</v>
      </c>
      <c r="L12" s="102" t="str">
        <f>HYPERLINK("https://news.google.com/newspapers?id=CJRPAAAAIBAJ&amp;sjid=RVIDAAAAIBAJ&amp;pg=3521,4360795&amp;hl=en","3")</f>
        <v>3</v>
      </c>
      <c r="M12" s="102" t="str">
        <f>HYPERLINK("https://newspaperarchive.com/press-telegram-mar-03-1975-p-1/","2")</f>
        <v>2</v>
      </c>
      <c r="N12" s="102" t="str">
        <f>HYPERLINK("https://newspaperarchive.com/press-telegram-mar-03-1975-p-1/","7")</f>
        <v>7</v>
      </c>
      <c r="O12" s="102">
        <v>0</v>
      </c>
      <c r="P12" s="99" t="s">
        <v>100</v>
      </c>
      <c r="Q12" s="130"/>
      <c r="R12" s="130"/>
      <c r="S12" s="102" t="str">
        <f>HYPERLINK("https://newspaperarchive.com/press-telegram-mar-03-1975-p-1/","5")</f>
        <v>5</v>
      </c>
      <c r="T12" s="102" t="str">
        <f>HYPERLINK("https://newspaperarchive.com/press-telegram-mar-03-1975-p-1/","1")</f>
        <v>1</v>
      </c>
      <c r="U12" s="101" t="str">
        <f>HYPERLINK("https://cdnc.ucr.edu/cgi-bin/cdnc?a=d&amp;d=DS19750303.2.21&amp;e=-------en--20--1--txt-txIN--------1","0")</f>
        <v>0</v>
      </c>
      <c r="V12" s="101" t="str">
        <f>HYPERLINK("https://cdnc.ucr.edu/cgi-bin/cdnc?a=d&amp;d=DS19750303.2.21&amp;e=-------en--20--1--txt-txIN--------1","21")</f>
        <v>21</v>
      </c>
      <c r="W12" s="101" t="str">
        <f>HYPERLINK("https://news.google.com/newspapers?id=cJ0fAAAAIBAJ&amp;sjid=gdUEAAAAIBAJ&amp;pg=5479,565719&amp;hl=en","0")</f>
        <v>0</v>
      </c>
      <c r="X12" s="101" t="str">
        <f>HYPERLINK("https://newspaperarchive.com/press-telegram-mar-03-1975-p-1/","0")</f>
        <v>0</v>
      </c>
      <c r="Y12" s="48">
        <v>0</v>
      </c>
      <c r="Z12" s="51">
        <v>0</v>
      </c>
      <c r="AA12" s="51"/>
      <c r="AB12" s="51" t="s">
        <v>818</v>
      </c>
      <c r="AC12" s="51"/>
      <c r="AD12" s="51"/>
      <c r="AE12" s="51"/>
      <c r="AF12" s="51"/>
      <c r="AG12" s="51"/>
      <c r="AH12" s="51"/>
      <c r="AI12" s="101">
        <v>0</v>
      </c>
      <c r="AJ12" s="51">
        <v>0</v>
      </c>
      <c r="AK12" s="101" t="str">
        <f>HYPERLINK("https://cdnc.ucr.edu/cgi-bin/cdnc?a=d&amp;d=DS19750303.2.21&amp;e=-------en--20--1--txt-txIN--------1","0")</f>
        <v>0</v>
      </c>
      <c r="AL12" s="101" t="str">
        <f>HYPERLINK("https://news.google.com/newspapers?id=CJRPAAAAIBAJ&amp;sjid=RVIDAAAAIBAJ&amp;pg=3521,4360795&amp;hl=en","0")</f>
        <v>0</v>
      </c>
      <c r="AM12" s="51">
        <v>0</v>
      </c>
      <c r="AN12" s="48" t="s">
        <v>100</v>
      </c>
      <c r="AO12" s="51"/>
      <c r="AP12" s="51"/>
      <c r="AQ12" s="101" t="str">
        <f>HYPERLINK("https://cdnc.ucr.edu/cgi-bin/cdnc?a=d&amp;d=DS19750303.2.21&amp;e=-------en--20--1--txt-txIN--------1","1")</f>
        <v>1</v>
      </c>
      <c r="AR12" s="101">
        <v>0</v>
      </c>
      <c r="AS12" s="101" t="str">
        <f>HYPERLINK("https://cdnc.ucr.edu/cgi-bin/cdnc?a=d&amp;d=DS19750303.2.21&amp;e=-------en--20--1--txt-txIN--------1","1")</f>
        <v>1</v>
      </c>
      <c r="AT12" s="107">
        <v>0</v>
      </c>
      <c r="AU12" s="107" t="s">
        <v>100</v>
      </c>
      <c r="AV12" s="107" t="s">
        <v>100</v>
      </c>
      <c r="AW12" s="107" t="s">
        <v>100</v>
      </c>
      <c r="AX12" s="51">
        <v>0</v>
      </c>
      <c r="AY12" s="51">
        <v>0</v>
      </c>
      <c r="AZ12" s="51">
        <v>0</v>
      </c>
      <c r="BA12" s="51">
        <v>0</v>
      </c>
      <c r="BB12" s="51">
        <v>3</v>
      </c>
      <c r="BC12" s="51"/>
      <c r="BD12" s="51"/>
      <c r="BE12" s="101">
        <v>1</v>
      </c>
      <c r="BF12" s="101" t="str">
        <f>HYPERLINK("https://news.google.com/newspapers?id=CJRPAAAAIBAJ&amp;sjid=RVIDAAAAIBAJ&amp;pg=3521,4360795&amp;hl=en","1")</f>
        <v>1</v>
      </c>
      <c r="BG12" s="101" t="str">
        <f>HYPERLINK("https://news.google.com/newspapers?id=CJRPAAAAIBAJ&amp;sjid=RVIDAAAAIBAJ&amp;pg=3521,4360795&amp;hl=en","3")</f>
        <v>3</v>
      </c>
      <c r="BH12" s="51"/>
      <c r="BI12" s="51">
        <v>0</v>
      </c>
      <c r="BJ12" s="101">
        <v>0</v>
      </c>
      <c r="BK12" s="101" t="str">
        <f>HYPERLINK("https://cdnc.ucr.edu/cgi-bin/cdnc?a=d&amp;d=DS19750303.2.21&amp;e=-------en--20--1--txt-txIN--------1","1")</f>
        <v>1</v>
      </c>
      <c r="BL12" s="108" t="str">
        <f>HYPERLINK("https://news.google.com/newspapers?id=CJRPAAAAIBAJ&amp;sjid=RVIDAAAAIBAJ&amp;pg=3521,4360795&amp;hl=en","1")</f>
        <v>1</v>
      </c>
      <c r="BM12" s="109">
        <v>1</v>
      </c>
      <c r="BN12" s="115" t="s">
        <v>3063</v>
      </c>
      <c r="BO12" s="111">
        <v>1</v>
      </c>
      <c r="BP12" s="111">
        <v>0</v>
      </c>
      <c r="BQ12" s="111">
        <v>1</v>
      </c>
      <c r="BR12" s="111">
        <v>0</v>
      </c>
      <c r="BS12" s="111">
        <v>0</v>
      </c>
      <c r="BT12" s="111">
        <v>0</v>
      </c>
      <c r="BU12" s="111">
        <v>0</v>
      </c>
      <c r="BV12" s="111">
        <v>0</v>
      </c>
      <c r="BW12" s="111">
        <v>0</v>
      </c>
      <c r="BX12" s="111">
        <v>0</v>
      </c>
      <c r="BY12" s="101" t="str">
        <f>HYPERLINK("https://news.google.com/newspapers?id=CJRPAAAAIBAJ&amp;sjid=RVIDAAAAIBAJ&amp;pg=3521,4360795&amp;hl=en","1")</f>
        <v>1</v>
      </c>
      <c r="BZ12" s="101">
        <v>0</v>
      </c>
      <c r="CA12" s="101">
        <v>0</v>
      </c>
      <c r="CB12" s="51" t="s">
        <v>100</v>
      </c>
      <c r="CC12" s="101">
        <v>0</v>
      </c>
      <c r="CD12" s="51" t="s">
        <v>100</v>
      </c>
      <c r="CE12" s="101" t="str">
        <f>HYPERLINK("https://news.google.com/newspapers?id=CJRPAAAAIBAJ&amp;sjid=RVIDAAAAIBAJ&amp;pg=3521,4360795&amp;hl=en","5")</f>
        <v>5</v>
      </c>
      <c r="CF12" s="101" t="str">
        <f>HYPERLINK("https://news.google.com/newspapers?id=CJRPAAAAIBAJ&amp;sjid=RVIDAAAAIBAJ&amp;pg=3521,4360795&amp;hl=en","1")</f>
        <v>1</v>
      </c>
      <c r="CG12" s="51">
        <v>0</v>
      </c>
      <c r="CH12" s="51"/>
      <c r="CI12" s="51">
        <v>0</v>
      </c>
      <c r="CJ12" s="51" t="s">
        <v>100</v>
      </c>
      <c r="CK12" s="113">
        <v>0</v>
      </c>
      <c r="CL12" s="113"/>
      <c r="CM12" s="113"/>
      <c r="CN12" s="110">
        <v>0</v>
      </c>
      <c r="CO12" s="110">
        <v>0</v>
      </c>
      <c r="CP12" s="110">
        <v>0</v>
      </c>
      <c r="CQ12" s="110">
        <v>0</v>
      </c>
      <c r="CR12" s="110">
        <v>0</v>
      </c>
      <c r="CS12" s="110">
        <v>0</v>
      </c>
      <c r="CT12" s="110">
        <v>0</v>
      </c>
      <c r="CU12" s="110">
        <v>0</v>
      </c>
      <c r="CV12" s="110">
        <v>0</v>
      </c>
      <c r="CW12" s="110">
        <v>0</v>
      </c>
      <c r="CX12" s="110">
        <v>0</v>
      </c>
      <c r="CY12" s="108" t="str">
        <f>HYPERLINK("https://news.google.com/newspapers?id=CJRPAAAAIBAJ&amp;sjid=RVIDAAAAIBAJ&amp;pg=3521,4360795&amp;hl=en","1")</f>
        <v>1</v>
      </c>
      <c r="CZ12" s="108" t="str">
        <f>HYPERLINK("https://cdnc.ucr.edu/cgi-bin/cdnc?a=d&amp;d=DS19750303.2.21&amp;e=-------en--20--1--txt-txIN--------1","0")</f>
        <v>0</v>
      </c>
      <c r="DA12" s="51">
        <v>0</v>
      </c>
      <c r="DB12" s="51">
        <v>2</v>
      </c>
      <c r="DC12" s="101">
        <v>0</v>
      </c>
      <c r="DD12" s="51"/>
      <c r="DE12" s="51"/>
      <c r="DF12" s="51"/>
      <c r="DG12" s="51"/>
      <c r="DH12" s="51"/>
      <c r="DI12" s="51"/>
      <c r="DJ12" s="51">
        <v>0</v>
      </c>
      <c r="DK12" s="51">
        <v>0</v>
      </c>
      <c r="DL12" s="48" t="s">
        <v>100</v>
      </c>
      <c r="DM12" s="101" t="str">
        <f>HYPERLINK("https://cdnc.ucr.edu/cgi-bin/cdnc?a=d&amp;d=DS19750303.2.21&amp;e=-------en--20--1--txt-txIN--------1","0")</f>
        <v>0</v>
      </c>
      <c r="DN12" s="51">
        <v>0</v>
      </c>
      <c r="DO12" s="51" t="s">
        <v>100</v>
      </c>
      <c r="DP12" s="51">
        <v>0</v>
      </c>
      <c r="DQ12" s="101" t="str">
        <f>HYPERLINK("https://newspaperarchive.com/press-telegram-mar-03-1975-p-1/","0")</f>
        <v>0</v>
      </c>
      <c r="DR12" s="101">
        <v>0</v>
      </c>
      <c r="DS12" s="51"/>
      <c r="DT12" s="101" t="str">
        <f>HYPERLINK("https://cdnc.ucr.edu/cgi-bin/cdnc?a=d&amp;d=DS19750303.2.21&amp;e=-------en--20--1--txt-txIN--------1","1")</f>
        <v>1</v>
      </c>
      <c r="DU12" s="101" t="str">
        <f>HYPERLINK("https://cdnc.ucr.edu/cgi-bin/cdnc?a=d&amp;d=DS19750303.2.21&amp;e=-------en--20--1--txt-txIN--------1","0")</f>
        <v>0</v>
      </c>
      <c r="DV12" s="48" t="s">
        <v>100</v>
      </c>
      <c r="DW12" s="101" t="str">
        <f>HYPERLINK("https://news.google.com/newspapers?id=CJRPAAAAIBAJ&amp;sjid=RVIDAAAAIBAJ&amp;pg=3521,4360795&amp;hl=en","2")</f>
        <v>2</v>
      </c>
      <c r="DX12" s="101" t="str">
        <f>HYPERLINK("https://cdnc.ucr.edu/cgi-bin/cdnc?a=d&amp;d=DS19750303.2.21&amp;e=-------en--20--1--txt-txIN--------1","1")</f>
        <v>1</v>
      </c>
      <c r="DY12" s="101" t="str">
        <f>HYPERLINK("https://newspaperarchive.com/bakersfield-californian-sep-01-1975-p-4/","1")</f>
        <v>1</v>
      </c>
      <c r="DZ12" s="52">
        <v>0</v>
      </c>
    </row>
    <row r="13" spans="1:130" ht="50.25" customHeight="1">
      <c r="A13" s="96">
        <v>11</v>
      </c>
      <c r="B13" s="97" t="s">
        <v>143</v>
      </c>
      <c r="C13" s="97" t="s">
        <v>144</v>
      </c>
      <c r="D13" s="98">
        <v>27953</v>
      </c>
      <c r="E13" s="48" t="s">
        <v>95</v>
      </c>
      <c r="F13" s="119">
        <v>12</v>
      </c>
      <c r="G13" s="102" t="str">
        <f>HYPERLINK("https://www.latimes.com/socal/weekend/news/tn-wknd-et-0703-cal-state-fullerton-memorial-20160702-story.html","7")</f>
        <v>7</v>
      </c>
      <c r="H13" s="101" t="str">
        <f>HYPERLINK("https://www.latimes.com/socal/weekend/news/tn-wknd-et-0703-cal-state-fullerton-memorial-20160702-story.html","1976")</f>
        <v>1976</v>
      </c>
      <c r="I13" s="48" t="s">
        <v>145</v>
      </c>
      <c r="J13" s="101" t="str">
        <f>HYPERLINK("http://cdm.sos.mo.gov/cdm/ref/collection/colmo7/id/21753","Fullerton")</f>
        <v>Fullerton</v>
      </c>
      <c r="K13" s="102" t="str">
        <f>HYPERLINK("https://www.latimes.com/socal/weekend/news/tn-wknd-et-0703-cal-state-fullerton-memorial-20160702-story.html","5")</f>
        <v>5</v>
      </c>
      <c r="L13" s="119">
        <v>3</v>
      </c>
      <c r="M13" s="119">
        <v>0</v>
      </c>
      <c r="N13" s="102" t="str">
        <f>HYPERLINK("https://www.latimes.com/socal/weekend/news/tn-wknd-et-0703-cal-state-fullerton-memorial-20160702-story.html","1")</f>
        <v>1</v>
      </c>
      <c r="O13" s="102" t="str">
        <f>HYPERLINK("https://www.latimes.com/socal/weekend/news/tn-wknd-et-0703-cal-state-fullerton-memorial-20160702-story.html","0")</f>
        <v>0</v>
      </c>
      <c r="P13" s="99" t="s">
        <v>100</v>
      </c>
      <c r="Q13" s="103">
        <v>0</v>
      </c>
      <c r="R13" s="103">
        <v>0</v>
      </c>
      <c r="S13" s="102" t="str">
        <f>HYPERLINK("https://www.latimes.com/socal/weekend/news/tn-wknd-et-0703-cal-state-fullerton-memorial-20160702-story.html","7")</f>
        <v>7</v>
      </c>
      <c r="T13" s="102">
        <v>2</v>
      </c>
      <c r="U13" s="101" t="str">
        <f>HYPERLINK("https://www.latimes.com/socal/weekend/news/tn-wknd-et-0703-cal-state-fullerton-memorial-20160702-story.html","0")</f>
        <v>0</v>
      </c>
      <c r="V13" s="101" t="str">
        <f>HYPERLINK("http://cdm.sos.mo.gov/cdm/ref/collection/colmo7/id/21753","37")</f>
        <v>37</v>
      </c>
      <c r="W13" s="101" t="str">
        <f>HYPERLINK("https://www.latimes.com/socal/weekend/news/tn-wknd-et-0703-cal-state-fullerton-memorial-20160702-story.html","0")</f>
        <v>0</v>
      </c>
      <c r="X13" s="101" t="str">
        <f>HYPERLINK("https://www.ocregister.com/2006/05/20/shootings-recall-csuf-ordeal-31-years-ago/","0")</f>
        <v>0</v>
      </c>
      <c r="Y13" s="48">
        <v>0</v>
      </c>
      <c r="Z13" s="101" t="str">
        <f>HYPERLINK("https://dailytitan.com/2017/08/cal-state-fullerton-massacre-shooting-edward-charles-allaway-mental-hospital-1976/","0")</f>
        <v>0</v>
      </c>
      <c r="AA13" s="101" t="str">
        <f>HYPERLINK("https://www.ocregister.com/2006/05/20/shootings-recall-csuf-ordeal-31-years-ago/","1")</f>
        <v>1</v>
      </c>
      <c r="AB13" s="51" t="s">
        <v>818</v>
      </c>
      <c r="AC13" s="51"/>
      <c r="AD13" s="51"/>
      <c r="AE13" s="101" t="str">
        <f t="shared" ref="AE13:AG13" si="20">HYPERLINK("https://books.google.com/books?id=MfQ1BgAAQBAJ&amp;pg=PA121&amp;lpg=PA121&amp;dq=edward+allaway&amp;source=bl&amp;ots=Nos2RW1YYa&amp;sig=ACfU3U2Y4xbqx6iCdC1VIPfbKJwREofHuA&amp;hl=en&amp;sa=X&amp;ved=2ahUKEwir44qO_YrjAhXPQc0KHSe8CN04ChDoATAIegQICBAB#v=onepage&amp;q=edward%20allaway&amp;f=false","3")</f>
        <v>3</v>
      </c>
      <c r="AF13" s="101" t="str">
        <f t="shared" si="20"/>
        <v>3</v>
      </c>
      <c r="AG13" s="101" t="str">
        <f t="shared" si="20"/>
        <v>3</v>
      </c>
      <c r="AH13" s="101" t="str">
        <f>HYPERLINK("https://books.google.com/books?id=MfQ1BgAAQBAJ&amp;pg=PA121&amp;lpg=PA121&amp;dq=edward+allaway&amp;source=bl&amp;ots=Nos2RW1YYa&amp;sig=ACfU3U2Y4xbqx6iCdC1VIPfbKJwREofHuA&amp;hl=en&amp;sa=X&amp;ved=2ahUKEwir44qO_YrjAhXPQc0KHSe8CN04ChDoATAIegQICBAB#v=onepage&amp;q=edward%20allaway&amp;f=false","0")</f>
        <v>0</v>
      </c>
      <c r="AI13" s="101" t="str">
        <f>HYPERLINK("https://dailytitan.com/2017/08/cal-state-fullerton-massacre-shooting-edward-charles-allaway-mental-hospital-1976/","3")</f>
        <v>3</v>
      </c>
      <c r="AJ13" s="51">
        <v>0</v>
      </c>
      <c r="AK13" s="101" t="str">
        <f>HYPERLINK("https://www.latimes.com/socal/weekend/news/tn-wknd-et-0703-cal-state-fullerton-memorial-20160702-story.html","1")</f>
        <v>1</v>
      </c>
      <c r="AL13" s="101">
        <v>0</v>
      </c>
      <c r="AM13" s="101" t="str">
        <f>HYPERLINK("https://www.latimes.com/socal/weekend/news/tn-wknd-et-0703-cal-state-fullerton-memorial-20160702-story.html","1")</f>
        <v>1</v>
      </c>
      <c r="AN13" s="101" t="str">
        <f>HYPERLINK("https://www.latimes.com/socal/weekend/news/tn-wknd-et-0703-cal-state-fullerton-memorial-20160702-story.html","3")</f>
        <v>3</v>
      </c>
      <c r="AO13" s="101" t="str">
        <f>HYPERLINK("https://www.latimes.com/archives/la-xpm-1986-07-06-me-23088-story.html","3")</f>
        <v>3</v>
      </c>
      <c r="AP13" s="101" t="str">
        <f>HYPERLINK("https://www.latimes.com/archives/la-xpm-1986-07-06-me-23088-story.html","former Sunday School teacher, no recent involvement")</f>
        <v>former Sunday School teacher, no recent involvement</v>
      </c>
      <c r="AQ13" s="101" t="str">
        <f>HYPERLINK("https://books.google.com/books?id=MfQ1BgAAQBAJ&amp;pg=PA121&amp;lpg=PA121&amp;dq=edward+allaway&amp;source=bl&amp;ots=Nos2RW1YYa&amp;sig=ACfU3U2Y4xbqx6iCdC1VIPfbKJwREofHuA&amp;hl=en&amp;sa=X&amp;ved=2ahUKEwir44qO_YrjAhXPQc0KHSe8CN04ChDoATAIegQICBAB#v=onepage&amp;q=edward%20allaway&amp;f=false","1")</f>
        <v>1</v>
      </c>
      <c r="AR13" s="51">
        <v>0</v>
      </c>
      <c r="AS13" s="101">
        <v>1</v>
      </c>
      <c r="AT13" s="105" t="str">
        <f>HYPERLINK("https://www.ocregister.com/2010/07/16/release-blocked-for-countys-worst-mass-killer/","1")</f>
        <v>1</v>
      </c>
      <c r="AU13" s="105">
        <v>2</v>
      </c>
      <c r="AV13" s="105">
        <v>4</v>
      </c>
      <c r="AW13" s="48"/>
      <c r="AX13" s="105" t="str">
        <f>HYPERLINK("https://www.ocregister.com/2010/07/16/release-blocked-for-countys-worst-mass-killer/","1")</f>
        <v>1</v>
      </c>
      <c r="AY13" s="51">
        <v>0</v>
      </c>
      <c r="AZ13" s="51">
        <v>0</v>
      </c>
      <c r="BA13" s="51">
        <v>0</v>
      </c>
      <c r="BB13" s="51">
        <v>3</v>
      </c>
      <c r="BC13" s="51">
        <v>0</v>
      </c>
      <c r="BD13" s="51">
        <v>0</v>
      </c>
      <c r="BE13" s="101" t="str">
        <f>HYPERLINK("https://books.google.com/books?id=MfQ1BgAAQBAJ&amp;pg=PA121&amp;lpg=PA121&amp;dq=edward+allaway&amp;source=bl&amp;ots=Nos2RW1YYa&amp;sig=ACfU3U2Y4xbqx6iCdC1VIPfbKJwREofHuA&amp;hl=en&amp;sa=X&amp;ved=2ahUKEwir44qO_YrjAhXPQc0KHSe8CN04ChDoATAIegQICBAB#v=onepage&amp;q=edward%20allaway&amp;f=false","0")</f>
        <v>0</v>
      </c>
      <c r="BF13" s="51">
        <v>0</v>
      </c>
      <c r="BG13" s="101" t="str">
        <f>HYPERLINK("https://books.google.com/books?id=MfQ1BgAAQBAJ&amp;pg=PA121&amp;lpg=PA121&amp;dq=edward+allaway&amp;source=bl&amp;ots=Nos2RW1YYa&amp;sig=ACfU3U2Y4xbqx6iCdC1VIPfbKJwREofHuA&amp;hl=en&amp;sa=X&amp;ved=2ahUKEwir44qO_YrjAhXPQc0KHSe8CN04ChDoATAIegQICBAB#v=onepage&amp;q=edward%20allaway&amp;f=false","3")</f>
        <v>3</v>
      </c>
      <c r="BH13" s="51">
        <v>0</v>
      </c>
      <c r="BI13" s="51">
        <v>0</v>
      </c>
      <c r="BJ13" s="101" t="str">
        <f>HYPERLINK("https://dailytitan.com/2017/08/cal-state-fullerton-massacre-shooting-edward-charles-allaway-mental-hospital-1976/","1")</f>
        <v>1</v>
      </c>
      <c r="BK13" s="101">
        <v>0</v>
      </c>
      <c r="BL13" s="109">
        <v>1</v>
      </c>
      <c r="BM13" s="109">
        <v>2</v>
      </c>
      <c r="BN13" s="110" t="s">
        <v>2987</v>
      </c>
      <c r="BO13" s="115">
        <v>1</v>
      </c>
      <c r="BP13" s="115">
        <v>0</v>
      </c>
      <c r="BQ13" s="115">
        <v>0</v>
      </c>
      <c r="BR13" s="115">
        <v>0</v>
      </c>
      <c r="BS13" s="115">
        <v>1</v>
      </c>
      <c r="BT13" s="115">
        <v>1</v>
      </c>
      <c r="BU13" s="115">
        <v>1</v>
      </c>
      <c r="BV13" s="115">
        <v>1</v>
      </c>
      <c r="BW13" s="115">
        <v>1</v>
      </c>
      <c r="BX13" s="115">
        <v>1</v>
      </c>
      <c r="BY13" s="101" t="str">
        <f>HYPERLINK("https://books.google.com/books?id=MfQ1BgAAQBAJ&amp;pg=PA121&amp;lpg=PA121&amp;dq=edward+allaway&amp;source=bl&amp;ots=Nos2RW1YYa&amp;sig=ACfU3U2Y4xbqx6iCdC1VIPfbKJwREofHuA&amp;hl=en&amp;sa=X&amp;ved=2ahUKEwir44qO_YrjAhXPQc0KHSe8CN04ChDoATAIegQICBAB#v=onepage&amp;q=edward%20allaway&amp;f=false","1")</f>
        <v>1</v>
      </c>
      <c r="BZ13" s="101" t="str">
        <f>HYPERLINK("https://www.latimes.com/archives/la-xpm-1986-07-06-me-23088-story.html","1")</f>
        <v>1</v>
      </c>
      <c r="CA13" s="51">
        <v>0</v>
      </c>
      <c r="CB13" s="51" t="s">
        <v>100</v>
      </c>
      <c r="CC13" s="51">
        <v>0</v>
      </c>
      <c r="CD13" s="101" t="str">
        <f>HYPERLINK("https://www.latimes.com/archives/la-xpm-1986-07-06-me-23088-story.html","0")</f>
        <v>0</v>
      </c>
      <c r="CE13" s="101" t="str">
        <f>HYPERLINK("https://books.google.com/books?id=cmTxCQAAQBAJ&amp;pg=PA16&amp;lpg=PA16&amp;dq=edward+allaway&amp;source=bl&amp;ots=eXVzO0cUuB&amp;sig=ACfU3U0_z6Dy0R34gVCKSVDZarjCfDLyOQ&amp;hl=en&amp;sa=X&amp;ved=2ahUKEwir44qO_YrjAhXPQc0KHSe8CN04ChDoATAMegQIBxAB#v=onepage&amp;q=edward%20allaway&amp;f=false","2")</f>
        <v>2</v>
      </c>
      <c r="CF13" s="101" t="str">
        <f>HYPERLINK("https://dailytitan.com/2017/08/cal-state-fullerton-massacre-shooting-edward-charles-allaway-mental-hospital-1976/","2")</f>
        <v>2</v>
      </c>
      <c r="CG13" s="51">
        <v>0</v>
      </c>
      <c r="CH13" s="51">
        <v>0</v>
      </c>
      <c r="CI13" s="51">
        <v>0</v>
      </c>
      <c r="CJ13" s="51" t="s">
        <v>100</v>
      </c>
      <c r="CK13" s="117">
        <v>3</v>
      </c>
      <c r="CL13" s="117"/>
      <c r="CM13" s="117"/>
      <c r="CN13" s="110">
        <v>0</v>
      </c>
      <c r="CO13" s="110">
        <v>0</v>
      </c>
      <c r="CP13" s="110">
        <v>0</v>
      </c>
      <c r="CQ13" s="109">
        <v>1</v>
      </c>
      <c r="CR13" s="110">
        <v>0</v>
      </c>
      <c r="CS13" s="110">
        <v>0</v>
      </c>
      <c r="CT13" s="110">
        <v>0</v>
      </c>
      <c r="CU13" s="110">
        <v>0</v>
      </c>
      <c r="CV13" s="110">
        <v>0</v>
      </c>
      <c r="CW13" s="110">
        <v>0</v>
      </c>
      <c r="CX13" s="109">
        <v>1</v>
      </c>
      <c r="CY13" s="110">
        <v>0</v>
      </c>
      <c r="CZ13" s="108" t="str">
        <f>HYPERLINK("https://www.latimes.com/archives/la-xpm-1986-07-06-me-23088-story.html","0")</f>
        <v>0</v>
      </c>
      <c r="DA13" s="101" t="str">
        <f>HYPERLINK("https://www.ocregister.com/2010/07/16/release-blocked-for-countys-worst-mass-killer/","3")</f>
        <v>3</v>
      </c>
      <c r="DB13" s="51">
        <v>2</v>
      </c>
      <c r="DC13" s="101" t="str">
        <f>HYPERLINK("https://www.latimes.com/archives/la-xpm-1986-07-06-me-23088-story.html","0")</f>
        <v>0</v>
      </c>
      <c r="DD13" s="51"/>
      <c r="DE13" s="51"/>
      <c r="DF13" s="51"/>
      <c r="DG13" s="51"/>
      <c r="DH13" s="51"/>
      <c r="DI13" s="51"/>
      <c r="DJ13" s="51">
        <v>0</v>
      </c>
      <c r="DK13" s="51">
        <v>0</v>
      </c>
      <c r="DL13" s="48" t="s">
        <v>100</v>
      </c>
      <c r="DM13" s="101" t="str">
        <f>HYPERLINK("https://books.google.com/books?id=MfQ1BgAAQBAJ&amp;pg=PA121&amp;lpg=PA121&amp;dq=edward+allaway&amp;source=bl&amp;ots=Nos2RW1YYa&amp;sig=ACfU3U2Y4xbqx6iCdC1VIPfbKJwREofHuA&amp;hl=en&amp;sa=X&amp;ved=2ahUKEwir44qO_YrjAhXPQc0KHSe8CN04ChDoATAIegQICBAB#v=onepage&amp;q=edward%20allaway&amp;f=false","0")</f>
        <v>0</v>
      </c>
      <c r="DN13" s="51">
        <v>0</v>
      </c>
      <c r="DO13" s="51" t="s">
        <v>100</v>
      </c>
      <c r="DP13" s="101" t="str">
        <f t="shared" ref="DP13:DQ13" si="21">HYPERLINK("https://www.latimes.com/archives/la-xpm-1986-07-06-me-23088-story.html","0")</f>
        <v>0</v>
      </c>
      <c r="DQ13" s="101" t="str">
        <f t="shared" si="21"/>
        <v>0</v>
      </c>
      <c r="DR13" s="48">
        <v>0</v>
      </c>
      <c r="DS13" s="101" t="str">
        <f>HYPERLINK("https://www.latimes.com/socal/weekend/news/tn-wknd-et-0703-cal-state-fullerton-memorial-20160702-story.html","3")</f>
        <v>3</v>
      </c>
      <c r="DT13" s="101" t="str">
        <f>HYPERLINK("https://www.latimes.com/socal/weekend/news/tn-wknd-et-0703-cal-state-fullerton-memorial-20160702-story.html","1")</f>
        <v>1</v>
      </c>
      <c r="DU13" s="101" t="str">
        <f>HYPERLINK("https://www.latimes.com/socal/weekend/news/tn-wknd-et-0703-cal-state-fullerton-memorial-20160702-story.html","0")</f>
        <v>0</v>
      </c>
      <c r="DV13" s="48" t="s">
        <v>100</v>
      </c>
      <c r="DW13" s="101" t="str">
        <f>HYPERLINK("https://www.latimes.com/socal/weekend/news/tn-wknd-et-0703-cal-state-fullerton-memorial-20160702-story.html","2")</f>
        <v>2</v>
      </c>
      <c r="DX13" s="101" t="str">
        <f>HYPERLINK("https://books.google.com/books?id=MfQ1BgAAQBAJ&amp;pg=PA121&amp;lpg=PA121&amp;dq=edward+allaway&amp;source=bl&amp;ots=Nos2RW1YYa&amp;sig=ACfU3U2Y4xbqx6iCdC1VIPfbKJwREofHuA&amp;hl=en&amp;sa=X&amp;ved=2ahUKEwir44qO_YrjAhXPQc0KHSe8CN04ChDoATAIegQICBAB#v=onepage&amp;q=edward%20allaway&amp;f=false","0")</f>
        <v>0</v>
      </c>
      <c r="DY13" s="105" t="str">
        <f>HYPERLINK("https://www.ocregister.com/2010/07/16/release-blocked-for-countys-worst-mass-killer/","1")</f>
        <v>1</v>
      </c>
      <c r="DZ13" s="105" t="str">
        <f>HYPERLINK("https://www.latimes.com/local/lanow/la-me-ln-fullerton-killer-transfer-20160819-snap-story.html","4")</f>
        <v>4</v>
      </c>
    </row>
    <row r="14" spans="1:130" ht="50.25" customHeight="1">
      <c r="A14" s="96">
        <v>12</v>
      </c>
      <c r="B14" s="96" t="s">
        <v>147</v>
      </c>
      <c r="C14" s="97" t="s">
        <v>148</v>
      </c>
      <c r="D14" s="98">
        <v>28170</v>
      </c>
      <c r="E14" s="48" t="s">
        <v>95</v>
      </c>
      <c r="F14" s="119">
        <v>14</v>
      </c>
      <c r="G14" s="102" t="str">
        <f>HYPERLINK("https://www.nytimes.com/1977/02/15/archives/nazi-admirer-also-wounds-5-in-wild-attack-followed-by-a-siege-at.html","2")</f>
        <v>2</v>
      </c>
      <c r="H14" s="101">
        <v>1977</v>
      </c>
      <c r="I14" s="48" t="s">
        <v>149</v>
      </c>
      <c r="J14" s="101" t="s">
        <v>820</v>
      </c>
      <c r="K14" s="102">
        <v>32</v>
      </c>
      <c r="L14" s="119">
        <v>2</v>
      </c>
      <c r="M14" s="102" t="str">
        <f>HYPERLINK("https://www.washingtonpost.com/archive/politics/1977/02/15/vengeful-nazi-follower-kills-5-commits-suicide/3ff6cfb8-81bf-4620-b90b-20962fb17232/?utm_term=.5f09cf511917","1")</f>
        <v>1</v>
      </c>
      <c r="N14" s="119">
        <v>6</v>
      </c>
      <c r="O14" s="102" t="str">
        <f>HYPERLINK("https://www.nydailynews.com/news/crime/rochelle-sniper-kills-1977-article-1.2973348","0")</f>
        <v>0</v>
      </c>
      <c r="P14" s="99" t="s">
        <v>100</v>
      </c>
      <c r="Q14" s="103">
        <v>0</v>
      </c>
      <c r="R14" s="103">
        <v>0</v>
      </c>
      <c r="S14" s="102">
        <v>5</v>
      </c>
      <c r="T14" s="102">
        <v>5</v>
      </c>
      <c r="U14" s="101" t="str">
        <f>HYPERLINK("https://www.nytimes.com/1977/02/15/archives/nazi-admirer-also-wounds-5-in-wild-attack-followed-by-a-siege-at.html","0")</f>
        <v>0</v>
      </c>
      <c r="V14" s="101">
        <v>33</v>
      </c>
      <c r="W14" s="101">
        <v>0</v>
      </c>
      <c r="X14" s="101" t="str">
        <f>HYPERLINK("https://www.nydailynews.com/news/crime/rochelle-sniper-kills-1977-article-1.2973348","0")</f>
        <v>0</v>
      </c>
      <c r="Y14" s="101" t="str">
        <f>HYPERLINK("https://www.nytimes.com/1977/02/15/archives/cowan-was-nice-man-to-some-in-new-rochelle-but-to-others-real.html","0")</f>
        <v>0</v>
      </c>
      <c r="Z14" s="51"/>
      <c r="AA14" s="101" t="str">
        <f>HYPERLINK("https://www.nytimes.com/1977/02/15/archives/cowan-was-nice-man-to-some-in-new-rochelle-but-to-others-real.html","1")</f>
        <v>1</v>
      </c>
      <c r="AB14" s="101" t="str">
        <f t="shared" ref="AB14:AC14" si="22">HYPERLINK("https://www.nytimes.com/1977/02/15/archives/cowan-was-nice-man-to-some-in-new-rochelle-but-to-others-real.html","2")</f>
        <v>2</v>
      </c>
      <c r="AC14" s="101" t="str">
        <f t="shared" si="22"/>
        <v>2</v>
      </c>
      <c r="AD14" s="101" t="str">
        <f>HYPERLINK("https://www.nytimes.com/1977/02/15/archives/cowan-was-nice-man-to-some-in-new-rochelle-but-to-others-real.html","brillant, top quarter of his class")</f>
        <v>brillant, top quarter of his class</v>
      </c>
      <c r="AE14" s="51"/>
      <c r="AF14" s="101" t="str">
        <f>HYPERLINK("https://www.nytimes.com/1977/02/15/archives/cowan-was-nice-man-to-some-in-new-rochelle-but-to-others-real.html","2")</f>
        <v>2</v>
      </c>
      <c r="AG14" s="51"/>
      <c r="AH14" s="51"/>
      <c r="AI14" s="101">
        <v>0</v>
      </c>
      <c r="AJ14" s="51">
        <v>0</v>
      </c>
      <c r="AK14" s="101" t="str">
        <f>HYPERLINK("https://www.nydailynews.com/news/crime/rochelle-sniper-kills-1977-article-1.2973348","1")</f>
        <v>1</v>
      </c>
      <c r="AL14" s="101" t="str">
        <f>HYPERLINK("https://www.nydailynews.com/news/crime/rochelle-sniper-kills-1977-article-1.2973348","0")</f>
        <v>0</v>
      </c>
      <c r="AM14" s="101">
        <v>1</v>
      </c>
      <c r="AN14" s="101" t="str">
        <f>HYPERLINK("https://www.nytimes.com/1977/02/15/archives/nazi-admirer-also-wounds-5-in-wild-attack-followed-by-a-siege-at.html","0")</f>
        <v>0</v>
      </c>
      <c r="AO14" s="101" t="str">
        <f>HYPERLINK("https://www.nytimes.com/1977/02/15/archives/cowan-was-nice-man-to-some-in-new-rochelle-but-to-others-real.html","2")</f>
        <v>2</v>
      </c>
      <c r="AP14" s="101" t="str">
        <f>HYPERLINK("https://www.nytimes.com/1977/02/15/archives/cowan-was-nice-man-to-some-in-new-rochelle-but-to-others-real.html","neighborhood community")</f>
        <v>neighborhood community</v>
      </c>
      <c r="AQ14" s="101" t="str">
        <f>HYPERLINK("https://www.nytimes.com/1977/02/15/archives/cowan-was-nice-man-to-some-in-new-rochelle-but-to-others-real.html","1")</f>
        <v>1</v>
      </c>
      <c r="AR14" s="51">
        <v>0</v>
      </c>
      <c r="AS14" s="101">
        <v>0</v>
      </c>
      <c r="AT14" s="51">
        <v>0</v>
      </c>
      <c r="AU14" s="51" t="s">
        <v>100</v>
      </c>
      <c r="AV14" s="51" t="s">
        <v>100</v>
      </c>
      <c r="AW14" s="51" t="s">
        <v>100</v>
      </c>
      <c r="AX14" s="51">
        <v>0</v>
      </c>
      <c r="AY14" s="101">
        <v>0</v>
      </c>
      <c r="AZ14" s="101" t="str">
        <f>HYPERLINK("https://www.nytimes.com/1977/02/15/archives/nazi-admirer-also-wounds-5-in-wild-attack-followed-by-a-siege-at.html","0")</f>
        <v>0</v>
      </c>
      <c r="BA14" s="101">
        <v>1</v>
      </c>
      <c r="BB14" s="107">
        <v>3</v>
      </c>
      <c r="BC14" s="101">
        <v>0</v>
      </c>
      <c r="BD14" s="51">
        <v>0</v>
      </c>
      <c r="BE14" s="101" t="str">
        <f t="shared" ref="BE14:BF14" si="23">HYPERLINK("https://www.nytimes.com/1977/02/15/archives/nazi-admirer-also-wounds-5-in-wild-attack-followed-by-a-siege-at.html","0")</f>
        <v>0</v>
      </c>
      <c r="BF14" s="101" t="str">
        <f t="shared" si="23"/>
        <v>0</v>
      </c>
      <c r="BG14" s="48"/>
      <c r="BH14" s="48">
        <v>1</v>
      </c>
      <c r="BI14" s="51">
        <v>0</v>
      </c>
      <c r="BJ14" s="51">
        <v>0</v>
      </c>
      <c r="BK14" s="101" t="str">
        <f>HYPERLINK("https://www.nydailynews.com/news/crime/rochelle-sniper-kills-1977-article-1.2973348","1")</f>
        <v>1</v>
      </c>
      <c r="BL14" s="108">
        <v>0</v>
      </c>
      <c r="BM14" s="108" t="s">
        <v>100</v>
      </c>
      <c r="BN14" s="131"/>
      <c r="BO14" s="132"/>
      <c r="BP14" s="132">
        <v>0</v>
      </c>
      <c r="BQ14" s="132">
        <v>0</v>
      </c>
      <c r="BR14" s="132">
        <v>0</v>
      </c>
      <c r="BS14" s="132">
        <v>0</v>
      </c>
      <c r="BT14" s="132">
        <v>0</v>
      </c>
      <c r="BU14" s="132">
        <v>0</v>
      </c>
      <c r="BV14" s="132">
        <v>0</v>
      </c>
      <c r="BW14" s="132">
        <v>0</v>
      </c>
      <c r="BX14" s="132">
        <v>0</v>
      </c>
      <c r="BY14" s="101" t="str">
        <f>HYPERLINK("https://www.nytimes.com/1977/02/15/archives/nazi-admirer-also-wounds-5-in-wild-attack-followed-by-a-siege-at.html","0")</f>
        <v>0</v>
      </c>
      <c r="BZ14" s="51">
        <v>0</v>
      </c>
      <c r="CA14" s="51">
        <v>0</v>
      </c>
      <c r="CB14" s="51" t="s">
        <v>100</v>
      </c>
      <c r="CC14" s="51">
        <v>0</v>
      </c>
      <c r="CD14" s="51" t="s">
        <v>100</v>
      </c>
      <c r="CE14" s="51">
        <v>0</v>
      </c>
      <c r="CF14" s="107">
        <v>0</v>
      </c>
      <c r="CG14" s="51">
        <v>0</v>
      </c>
      <c r="CH14" s="101">
        <v>1</v>
      </c>
      <c r="CI14" s="51">
        <v>0</v>
      </c>
      <c r="CJ14" s="51" t="s">
        <v>100</v>
      </c>
      <c r="CK14" s="117">
        <v>1</v>
      </c>
      <c r="CL14" s="113"/>
      <c r="CM14" s="113"/>
      <c r="CN14" s="108" t="str">
        <f t="shared" ref="CN14" si="24">HYPERLINK("https://www.nytimes.com/1977/02/15/archives/nazi-admirer-also-wounds-5-in-wild-attack-followed-by-a-siege-at.html","1")</f>
        <v>1</v>
      </c>
      <c r="CO14" s="108">
        <v>0</v>
      </c>
      <c r="CP14" s="108">
        <v>0</v>
      </c>
      <c r="CQ14" s="110">
        <v>0</v>
      </c>
      <c r="CR14" s="109">
        <v>1</v>
      </c>
      <c r="CS14" s="108">
        <v>0</v>
      </c>
      <c r="CT14" s="110">
        <v>0</v>
      </c>
      <c r="CU14" s="108">
        <v>0</v>
      </c>
      <c r="CV14" s="111">
        <v>0</v>
      </c>
      <c r="CW14" s="110">
        <v>0</v>
      </c>
      <c r="CX14" s="110">
        <v>0</v>
      </c>
      <c r="CY14" s="110">
        <v>0</v>
      </c>
      <c r="CZ14" s="108" t="str">
        <f>HYPERLINK("https://www.nytimes.com/1977/02/15/archives/nazi-admirer-also-wounds-5-in-wild-attack-followed-by-a-siege-at.html","0")</f>
        <v>0</v>
      </c>
      <c r="DA14" s="51">
        <v>0</v>
      </c>
      <c r="DB14" s="51">
        <v>2</v>
      </c>
      <c r="DC14" s="101">
        <v>1</v>
      </c>
      <c r="DD14" s="51">
        <v>0</v>
      </c>
      <c r="DE14" s="51">
        <v>4</v>
      </c>
      <c r="DF14" s="51">
        <v>0</v>
      </c>
      <c r="DG14" s="51"/>
      <c r="DH14" s="51"/>
      <c r="DI14" s="51"/>
      <c r="DJ14" s="101" t="str">
        <f>HYPERLINK("https://www.nytimes.com/1977/02/15/archives/nazi-admirer-also-wounds-5-in-wild-attack-followed-by-a-siege-at.html","1")</f>
        <v>1</v>
      </c>
      <c r="DK14" s="51">
        <v>0</v>
      </c>
      <c r="DL14" s="48" t="s">
        <v>100</v>
      </c>
      <c r="DM14" s="101" t="str">
        <f>HYPERLINK("https://www.nytimes.com/1977/02/15/archives/nazi-admirer-also-wounds-5-in-wild-attack-followed-by-a-siege-at.html","0")</f>
        <v>0</v>
      </c>
      <c r="DN14" s="51">
        <v>0</v>
      </c>
      <c r="DO14" s="51" t="s">
        <v>100</v>
      </c>
      <c r="DP14" s="101">
        <v>0</v>
      </c>
      <c r="DQ14" s="101" t="str">
        <f>HYPERLINK("https://www.nytimes.com/1977/02/15/archives/nazi-admirer-also-wounds-5-in-wild-attack-followed-by-a-siege-at.html","0")</f>
        <v>0</v>
      </c>
      <c r="DR14" s="101" t="str">
        <f>HYPERLINK("https://www.nytimes.com/1977/02/15/archives/cowan-was-nice-man-to-some-in-new-rochelle-but-to-others-real.html","1")</f>
        <v>1</v>
      </c>
      <c r="DS14" s="101" t="str">
        <f>HYPERLINK("https://www.nytimes.com/1977/02/15/archives/cowan-was-nice-man-to-some-in-new-rochelle-but-to-others-real.html","3")</f>
        <v>3</v>
      </c>
      <c r="DT14" s="101" t="str">
        <f>HYPERLINK("http://www.nytimes.com/1977/02/15/archives/nazi-admirer-also-wounds-5-in-wild-attack-followed-by-a-siege-at.html","5")</f>
        <v>5</v>
      </c>
      <c r="DU14" s="101" t="s">
        <v>806</v>
      </c>
      <c r="DV14" s="101" t="s">
        <v>150</v>
      </c>
      <c r="DW14" s="101">
        <v>0</v>
      </c>
      <c r="DX14" s="101" t="str">
        <f>HYPERLINK("https://www.nytimes.com/1977/02/15/archives/nazi-admirer-also-wounds-5-in-wild-attack-followed-by-a-siege-at.html","0")</f>
        <v>0</v>
      </c>
      <c r="DY14" s="101">
        <v>2</v>
      </c>
      <c r="DZ14" s="48">
        <v>0</v>
      </c>
    </row>
    <row r="15" spans="1:130" ht="50.25" customHeight="1">
      <c r="A15" s="96">
        <v>13</v>
      </c>
      <c r="B15" s="96" t="s">
        <v>151</v>
      </c>
      <c r="C15" s="97" t="s">
        <v>152</v>
      </c>
      <c r="D15" s="98">
        <v>28329</v>
      </c>
      <c r="E15" s="48" t="s">
        <v>103</v>
      </c>
      <c r="F15" s="99">
        <v>23</v>
      </c>
      <c r="G15" s="100" t="str">
        <f>HYPERLINK("https://www.oregonlive.com/politics/index.ssf/2015/10/mass_shootings_in_oregon_a_lis.html","7")</f>
        <v>7</v>
      </c>
      <c r="H15" s="101" t="str">
        <f>HYPERLINK("https://www.oregonlive.com/politics/index.ssf/2015/10/mass_shootings_in_oregon_a_lis.html","1977")</f>
        <v>1977</v>
      </c>
      <c r="I15" s="48" t="s">
        <v>153</v>
      </c>
      <c r="J15" s="101" t="str">
        <f>HYPERLINK("https://www.oregonlive.com/politics/index.ssf/2015/10/mass_shootings_in_oregon_a_lis.html","Klamath Falls")</f>
        <v>Klamath Falls</v>
      </c>
      <c r="K15" s="100" t="str">
        <f>HYPERLINK("https://www.oregonlive.com/politics/index.ssf/2015/10/mass_shootings_in_oregon_a_lis.html","37")</f>
        <v>37</v>
      </c>
      <c r="L15" s="99">
        <v>3</v>
      </c>
      <c r="M15" s="102">
        <v>2</v>
      </c>
      <c r="N15" s="100" t="str">
        <f>HYPERLINK("https://books.google.com/books?id=sdd3ihupC_AC&amp;pg=PA102&amp;lpg=PA102&amp;dq=dewitt+henry+Oregon&amp;source=bl&amp;ots=z5RZDR5AY0&amp;sig=fkhOTQ4bBGZ_KfVqm4tp6TfvhBU&amp;hl=en&amp;sa=X&amp;ved=0ahUKEwj05J7qyZvZAhVKIqwKHRZADU44ChDoAQhZMA8#v=onepage&amp;q=dewitt%20henry%20Oregon&amp;f=false","5")</f>
        <v>5</v>
      </c>
      <c r="O15" s="100">
        <v>0</v>
      </c>
      <c r="P15" s="99" t="s">
        <v>100</v>
      </c>
      <c r="Q15" s="103">
        <v>0</v>
      </c>
      <c r="R15" s="103">
        <v>0</v>
      </c>
      <c r="S15" s="100" t="str">
        <f>HYPERLINK("https://www.heraldandnews.com/state-s-worst-mass-murder-in-kf-years-ago/article_47caaa64-e90d-5bd5-ab4e-5427e93598d2.html","6")</f>
        <v>6</v>
      </c>
      <c r="T15" s="100">
        <v>2</v>
      </c>
      <c r="U15" s="105" t="str">
        <f>HYPERLINK("https://books.google.com/books?id=sdd3ihupC_AC&amp;pg=PA102&amp;lpg=PA102&amp;dq=dewitt+henry+Oregon&amp;source=bl&amp;ots=z5RZDR5AY0&amp;sig=fkhOTQ4bBGZ_KfVqm4tp6TfvhBU&amp;hl=en&amp;sa=X&amp;ved=0ahUKEwj05J7qyZvZAhVKIqwKHRZADU44ChDoAQhZMA8#v=onepage&amp;q=dewitt%20henry%20Oregon&amp;f=false","0")</f>
        <v>0</v>
      </c>
      <c r="V15" s="105" t="str">
        <f>HYPERLINK("https://www.oregonlive.com/politics/index.ssf/2015/10/mass_shootings_in_oregon_a_lis.html","26")</f>
        <v>26</v>
      </c>
      <c r="W15" s="105" t="str">
        <f>HYPERLINK("https://www.oregonlive.com/politics/index.ssf/2015/10/mass_shootings_in_oregon_a_lis.html","0")</f>
        <v>0</v>
      </c>
      <c r="X15" s="105" t="str">
        <f>HYPERLINK("http://docpub.state.or.us/OOS/searchCriteria.jsf","0")</f>
        <v>0</v>
      </c>
      <c r="Y15" s="48">
        <v>0</v>
      </c>
      <c r="Z15" s="105" t="str">
        <f>HYPERLINK("https://www.heraldandnews.com/state-s-worst-mass-murder-in-kf-years-ago/article_47caaa64-e90d-5bd5-ab4e-5427e93598d2.html","0")</f>
        <v>0</v>
      </c>
      <c r="AA15" s="105" t="str">
        <f>HYPERLINK("https://news.google.com/newspapers?id=GqYSAAAAIBAJ&amp;sjid=J_cDAAAAIBAJ&amp;pg=3721%2C2599062","0")</f>
        <v>0</v>
      </c>
      <c r="AB15" s="48"/>
      <c r="AC15" s="101" t="str">
        <f>HYPERLINK("https://newspaperarchive.com/murder-clipping-jul-25-1977-175277/","2")</f>
        <v>2</v>
      </c>
      <c r="AD15" s="101" t="str">
        <f>HYPERLINK("https://newspaperarchive.com/murder-clipping-jul-25-1977-175277/","honor student")</f>
        <v>honor student</v>
      </c>
      <c r="AE15" s="48"/>
      <c r="AF15" s="48"/>
      <c r="AG15" s="48"/>
      <c r="AH15" s="48"/>
      <c r="AI15" s="105" t="str">
        <f>HYPERLINK("https://www.heraldandnews.com/state-s-worst-mass-murder-in-kf-years-ago/article_47caaa64-e90d-5bd5-ab4e-5427e93598d2.html","3")</f>
        <v>3</v>
      </c>
      <c r="AJ15" s="48">
        <v>0</v>
      </c>
      <c r="AK15" s="105" t="str">
        <f t="shared" ref="AK15:AL15" si="25">HYPERLINK("https://books.google.com/books?id=sdd3ihupC_AC&amp;pg=PA102&amp;lpg=PA102&amp;dq=dewitt+henry+Oregon&amp;source=bl&amp;ots=z5RZDR5AY0&amp;sig=fkhOTQ4bBGZ_KfVqm4tp6TfvhBU&amp;hl=en&amp;sa=X&amp;ved=0ahUKEwj05J7qyZvZAhVKIqwKHRZADU44ChDoAQhZMA8#v=onepage&amp;q=dewitt%20henry%20Oregon&amp;f=false","0")</f>
        <v>0</v>
      </c>
      <c r="AL15" s="105" t="str">
        <f t="shared" si="25"/>
        <v>0</v>
      </c>
      <c r="AM15" s="105" t="str">
        <f t="shared" ref="AM15:AN15" si="26">HYPERLINK("https://www.heraldandnews.com/state-s-worst-mass-murder-in-kf-years-ago/article_47caaa64-e90d-5bd5-ab4e-5427e93598d2.html","1")</f>
        <v>1</v>
      </c>
      <c r="AN15" s="105" t="str">
        <f t="shared" si="26"/>
        <v>1</v>
      </c>
      <c r="AO15" s="123">
        <v>0</v>
      </c>
      <c r="AP15" s="54"/>
      <c r="AQ15" s="48">
        <v>0</v>
      </c>
      <c r="AR15" s="48">
        <v>0</v>
      </c>
      <c r="AS15" s="101" t="str">
        <f t="shared" ref="AS15:AT15" si="27">HYPERLINK("https://newspaperarchive.com/murder-clipping-jul-25-1977-175277/","1")</f>
        <v>1</v>
      </c>
      <c r="AT15" s="105" t="str">
        <f t="shared" si="27"/>
        <v>1</v>
      </c>
      <c r="AU15" s="105">
        <v>4</v>
      </c>
      <c r="AV15" s="48"/>
      <c r="AW15" s="48"/>
      <c r="AX15" s="48">
        <v>0</v>
      </c>
      <c r="AY15" s="48">
        <v>0</v>
      </c>
      <c r="AZ15" s="48">
        <v>0</v>
      </c>
      <c r="BA15" s="48">
        <v>0</v>
      </c>
      <c r="BB15" s="107">
        <v>3</v>
      </c>
      <c r="BC15" s="48">
        <v>0</v>
      </c>
      <c r="BD15" s="48">
        <v>0</v>
      </c>
      <c r="BE15" s="48">
        <v>0</v>
      </c>
      <c r="BF15" s="51"/>
      <c r="BG15" s="51"/>
      <c r="BH15" s="51">
        <v>1</v>
      </c>
      <c r="BI15" s="48">
        <v>0</v>
      </c>
      <c r="BJ15" s="105" t="str">
        <f t="shared" ref="BJ15:BK15" si="28">HYPERLINK("https://books.google.com/books?id=sdd3ihupC_AC&amp;pg=PA102&amp;lpg=PA102&amp;dq=dewitt+henry+Oregon&amp;source=bl&amp;ots=z5RZDR5AY0&amp;sig=fkhOTQ4bBGZ_KfVqm4tp6TfvhBU&amp;hl=en&amp;sa=X&amp;ved=0ahUKEwj05J7qyZvZAhVKIqwKHRZADU44ChDoAQhZMA8#v=onepage&amp;q=dewitt%20henry%20Oregon&amp;f=false","1")</f>
        <v>1</v>
      </c>
      <c r="BK15" s="101" t="str">
        <f t="shared" si="28"/>
        <v>1</v>
      </c>
      <c r="BL15" s="108">
        <v>1</v>
      </c>
      <c r="BM15" s="109">
        <v>1</v>
      </c>
      <c r="BN15" s="113" t="s">
        <v>2988</v>
      </c>
      <c r="BO15" s="132">
        <v>1</v>
      </c>
      <c r="BP15" s="132">
        <v>1</v>
      </c>
      <c r="BQ15" s="132">
        <v>1</v>
      </c>
      <c r="BR15" s="132">
        <v>0</v>
      </c>
      <c r="BS15" s="132">
        <v>0</v>
      </c>
      <c r="BT15" s="132">
        <v>1</v>
      </c>
      <c r="BU15" s="132">
        <v>0</v>
      </c>
      <c r="BV15" s="132">
        <v>1</v>
      </c>
      <c r="BW15" s="132">
        <v>0</v>
      </c>
      <c r="BX15" s="132">
        <v>0</v>
      </c>
      <c r="BY15" s="105" t="str">
        <f>HYPERLINK("https://www.heraldandnews.com/state-s-worst-mass-murder-in-kf-years-ago/article_47caaa64-e90d-5bd5-ab4e-5427e93598d2.html","1")</f>
        <v>1</v>
      </c>
      <c r="BZ15" s="51">
        <v>0</v>
      </c>
      <c r="CA15" s="51">
        <v>0</v>
      </c>
      <c r="CB15" s="48" t="s">
        <v>100</v>
      </c>
      <c r="CC15" s="48">
        <v>0</v>
      </c>
      <c r="CD15" s="48" t="s">
        <v>100</v>
      </c>
      <c r="CE15" s="48">
        <v>0</v>
      </c>
      <c r="CF15" s="52">
        <v>0</v>
      </c>
      <c r="CG15" s="48">
        <v>0</v>
      </c>
      <c r="CH15" s="105">
        <v>4</v>
      </c>
      <c r="CI15" s="105">
        <v>1</v>
      </c>
      <c r="CJ15" s="101" t="s">
        <v>3102</v>
      </c>
      <c r="CK15" s="113">
        <v>0</v>
      </c>
      <c r="CL15" s="113"/>
      <c r="CM15" s="113"/>
      <c r="CN15" s="110">
        <v>0</v>
      </c>
      <c r="CO15" s="110">
        <v>0</v>
      </c>
      <c r="CP15" s="110">
        <v>0</v>
      </c>
      <c r="CQ15" s="110">
        <v>0</v>
      </c>
      <c r="CR15" s="110">
        <v>0</v>
      </c>
      <c r="CS15" s="109">
        <v>1</v>
      </c>
      <c r="CT15" s="110">
        <v>0</v>
      </c>
      <c r="CU15" s="110">
        <v>0</v>
      </c>
      <c r="CV15" s="109">
        <v>1</v>
      </c>
      <c r="CW15" s="116">
        <v>0</v>
      </c>
      <c r="CX15" s="118">
        <v>0</v>
      </c>
      <c r="CY15" s="116">
        <v>0</v>
      </c>
      <c r="CZ15" s="108" t="str">
        <f>HYPERLINK("https://kobi5.com/news/regional-news/roseburg-shootings-trigger-mass-murder-memories-in-klamath-falls-2417/","0")</f>
        <v>0</v>
      </c>
      <c r="DA15" s="48">
        <v>0</v>
      </c>
      <c r="DB15" s="48">
        <v>2</v>
      </c>
      <c r="DC15" s="101" t="str">
        <f>HYPERLINK("https://books.google.com/books?id=sdd3ihupC_AC&amp;pg=PA102&amp;lpg=PA102&amp;dq=dewitt+henry+Oregon&amp;source=bl&amp;ots=z5RZDR5AY0&amp;sig=fkhOTQ4bBGZ_KfVqm4tp6TfvhBU&amp;hl=en&amp;sa=X&amp;ved=0ahUKEwj05J7qyZvZAhVKIqwKHRZADU44ChDoAQhZMA8#v=onepage&amp;q=dewitt%20henry%20Oregon&amp;f=false","1")</f>
        <v>1</v>
      </c>
      <c r="DD15" s="51">
        <v>0</v>
      </c>
      <c r="DE15" s="51">
        <v>8</v>
      </c>
      <c r="DF15" s="51">
        <v>1</v>
      </c>
      <c r="DG15" s="51"/>
      <c r="DH15" s="51"/>
      <c r="DI15" s="51"/>
      <c r="DJ15" s="48">
        <v>0</v>
      </c>
      <c r="DK15" s="48">
        <v>0</v>
      </c>
      <c r="DL15" s="48" t="s">
        <v>100</v>
      </c>
      <c r="DM15" s="105" t="str">
        <f>HYPERLINK("https://books.google.com/books?id=sdd3ihupC_AC&amp;pg=PA102&amp;lpg=PA102&amp;dq=dewitt+henry+Oregon&amp;source=bl&amp;ots=z5RZDR5AY0&amp;sig=fkhOTQ4bBGZ_KfVqm4tp6TfvhBU&amp;hl=en&amp;sa=X&amp;ved=0ahUKEwj05J7qyZvZAhVKIqwKHRZADU44ChDoAQhZMA8#v=onepage&amp;q=dewitt%20henry%20Oregon&amp;f=false","0")</f>
        <v>0</v>
      </c>
      <c r="DN15" s="51">
        <v>0</v>
      </c>
      <c r="DO15" s="51" t="s">
        <v>100</v>
      </c>
      <c r="DP15" s="101">
        <v>0</v>
      </c>
      <c r="DQ15" s="101" t="str">
        <f>HYPERLINK("https://books.google.com/books?id=sdd3ihupC_AC&amp;pg=PA102&amp;lpg=PA102&amp;dq=dewitt+henry+Oregon&amp;source=bl&amp;ots=z5RZDR5AY0&amp;sig=fkhOTQ4bBGZ_KfVqm4tp6TfvhBU&amp;hl=en&amp;sa=X&amp;ved=0ahUKEwj05J7qyZvZAhVKIqwKHRZADU44ChDoAQhZMA8#v=onepage&amp;q=dewitt%20henry%20Oregon&amp;f=false","0")</f>
        <v>0</v>
      </c>
      <c r="DR15" s="48">
        <v>0</v>
      </c>
      <c r="DS15" s="101" t="str">
        <f>HYPERLINK("https://www.heraldandnews.com/state-s-worst-mass-murder-in-kf-years-ago/article_47caaa64-e90d-5bd5-ab4e-5427e93598d2.html","3")</f>
        <v>3</v>
      </c>
      <c r="DT15" s="105" t="str">
        <f>HYPERLINK("https://books.google.com/books?id=sdd3ihupC_AC&amp;pg=PA102&amp;lpg=PA102&amp;dq=dewitt+henry+Oregon&amp;source=bl&amp;ots=z5RZDR5AY0&amp;sig=fkhOTQ4bBGZ_KfVqm4tp6TfvhBU&amp;hl=en&amp;sa=X&amp;ved=0ahUKEwj05J7qyZvZAhVKIqwKHRZADU44ChDoAQhZMA8#v=onepage&amp;q=dewitt%20henry%20Oregon&amp;f=false","1")</f>
        <v>1</v>
      </c>
      <c r="DU15" s="105" t="str">
        <f>HYPERLINK("https://books.google.com/books?id=sdd3ihupC_AC&amp;pg=PA102&amp;lpg=PA102&amp;dq=dewitt+henry+Oregon&amp;source=bl&amp;ots=z5RZDR5AY0&amp;sig=fkhOTQ4bBGZ_KfVqm4tp6TfvhBU&amp;hl=en&amp;sa=X&amp;ved=0ahUKEwj05J7qyZvZAhVKIqwKHRZADU44ChDoAQhZMA8#v=onepage&amp;q=dewitt%20henry%20Oregon&amp;f=false","0")</f>
        <v>0</v>
      </c>
      <c r="DV15" s="48" t="s">
        <v>100</v>
      </c>
      <c r="DW15" s="105" t="str">
        <f>HYPERLINK("https://www.heraldandnews.com/state-s-worst-mass-murder-in-kf-years-ago/article_47caaa64-e90d-5bd5-ab4e-5427e93598d2.html","2")</f>
        <v>2</v>
      </c>
      <c r="DX15" s="105" t="str">
        <f>HYPERLINK("https://wallawallaunionbulletin.newspaperarchive.com/walla-walla-union-bulletin/1977-07-24/page-6/","1")</f>
        <v>1</v>
      </c>
      <c r="DY15" s="105">
        <v>1</v>
      </c>
      <c r="DZ15" s="133" t="str">
        <f>HYPERLINK("https://www.heraldandnews.com/state-s-worst-mass-murder-in-kf-years-ago/article_47caaa64-e90d-5bd5-ab4e-5427e93598d2.html","2")</f>
        <v>2</v>
      </c>
    </row>
    <row r="16" spans="1:130" ht="50.25" customHeight="1">
      <c r="A16" s="96">
        <v>14</v>
      </c>
      <c r="B16" s="97" t="s">
        <v>155</v>
      </c>
      <c r="C16" s="97" t="s">
        <v>156</v>
      </c>
      <c r="D16" s="98">
        <v>28363</v>
      </c>
      <c r="E16" s="48" t="s">
        <v>157</v>
      </c>
      <c r="F16" s="99">
        <v>26</v>
      </c>
      <c r="G16" s="100" t="str">
        <f>HYPERLINK("https://www.nytimes.com/1977/08/27/archives/sniper-slays-6-in-jersey-and-then-takes-own-life-6areswinihjersey.html","8")</f>
        <v>8</v>
      </c>
      <c r="H16" s="105" t="str">
        <f>HYPERLINK("https://www.nytimes.com/1977/08/27/archives/sniper-slays-6-in-jersey-and-then-takes-own-life-6areswinihjersey.html","1977")</f>
        <v>1977</v>
      </c>
      <c r="I16" s="48" t="s">
        <v>158</v>
      </c>
      <c r="J16" s="105" t="str">
        <f>HYPERLINK("https://www.nytimes.com/1977/08/27/archives/sniper-slays-6-in-jersey-and-then-takes-own-life-6areswinihjersey.html","Hackettstown ")</f>
        <v xml:space="preserve">Hackettstown </v>
      </c>
      <c r="K16" s="100" t="str">
        <f>HYPERLINK("https://www.nytimes.com/1977/08/27/archives/sniper-slays-6-in-jersey-and-then-takes-own-life-6areswinihjersey.html","30")</f>
        <v>30</v>
      </c>
      <c r="L16" s="100" t="str">
        <f t="shared" ref="L16:M16" si="29">HYPERLINK("https://www.nytimes.com/1977/08/27/archives/sniper-slays-6-in-jersey-and-then-takes-own-life-6areswinihjersey.html","2")</f>
        <v>2</v>
      </c>
      <c r="M16" s="100" t="str">
        <f t="shared" si="29"/>
        <v>2</v>
      </c>
      <c r="N16" s="125">
        <v>8</v>
      </c>
      <c r="O16" s="100" t="str">
        <f>HYPERLINK("https://news.google.com/newspapers?nid=1891&amp;dat=19770827&amp;id=3d4pAAAAIBAJ&amp;sjid=KtYEAAAAIBAJ&amp;pg=3878,3973758","1")</f>
        <v>1</v>
      </c>
      <c r="P16" s="125">
        <v>8</v>
      </c>
      <c r="Q16" s="103">
        <v>0</v>
      </c>
      <c r="R16" s="103">
        <v>0</v>
      </c>
      <c r="S16" s="100" t="str">
        <f>HYPERLINK("https://www.nytimes.com/1977/08/27/archives/sniper-slays-6-in-jersey-and-then-takes-own-life-6areswinihjersey.html","6")</f>
        <v>6</v>
      </c>
      <c r="T16" s="100" t="str">
        <f>HYPERLINK("https://news.google.com/newspapers?nid=1891&amp;dat=19770827&amp;id=3d4pAAAAIBAJ&amp;sjid=KtYEAAAAIBAJ&amp;pg=3878,3973758","0")</f>
        <v>0</v>
      </c>
      <c r="U16" s="105" t="str">
        <f>HYPERLINK("https://www.nytimes.com/1977/08/28/archives/police-feel-sniper-killed-6-at-random-authorities-at-loss-for-a.html","0")</f>
        <v>0</v>
      </c>
      <c r="V16" s="105" t="str">
        <f>HYPERLINK("https://www.nytimes.com/1977/08/27/archives/sniper-slays-6-in-jersey-and-then-takes-own-life-6areswinihjersey.html","20")</f>
        <v>20</v>
      </c>
      <c r="W16" s="105" t="str">
        <f>HYPERLINK("https://www.nytimes.com/1977/08/27/archives/sniper-slays-6-in-jersey-and-then-takes-own-life-6areswinihjersey.html","0")</f>
        <v>0</v>
      </c>
      <c r="X16" s="105" t="str">
        <f>HYPERLINK("http://fultonhistory.com/Newspapers%2021/Hackettstown%20NJ%20Gazette/Hackettstown%20NJ%20%20Star%20Gazette%201976-1977/Hackettstown%20NJ%20%20Star%20Gazette%201976-1977%20-%200579.pdf","0")</f>
        <v>0</v>
      </c>
      <c r="Y16" s="105">
        <v>0</v>
      </c>
      <c r="Z16" s="48">
        <v>0</v>
      </c>
      <c r="AA16" s="105" t="str">
        <f>HYPERLINK("http://fultonhistory.com/Newspapers%2021/Hackettstown%20NJ%20Gazette/Hackettstown%20NJ%20%20Star%20Gazette%201976-1977/Hackettstown%20NJ%20%20Star%20Gazette%201976-1977%20-%200579.pdf","1")</f>
        <v>1</v>
      </c>
      <c r="AB16" s="105" t="str">
        <f>HYPERLINK("https://www.newspapers.com/image/?clipping_id=36355384&amp;fcfToken=eyJhbGciOiJIUzI1NiIsInR5cCI6IkpXVCJ9.eyJmcmVlLXZpZXctaWQiOjI4Mzg5NTg1OSwiaWF0IjoxNTg4OTQ4NjE1LCJleHAiOjE1ODkwMzUwMTV9.G02FlBOTJQrutYl1YCXBl2MZWPyhcGuua9CWIULXzB0","1")</f>
        <v>1</v>
      </c>
      <c r="AC16" s="51"/>
      <c r="AD16" s="51"/>
      <c r="AE16" s="105" t="str">
        <f>HYPERLINK("https://www.nytimes.com/1977/08/28/archives/police-feel-sniper-killed-6-at-random-authorities-at-loss-for-a.html","2")</f>
        <v>2</v>
      </c>
      <c r="AF16" s="105" t="str">
        <f>HYPERLINK("https://www.nytimes.com/1977/08/28/archives/jersey-suspect-termed-troubled.html","3")</f>
        <v>3</v>
      </c>
      <c r="AG16" s="105" t="str">
        <f>HYPERLINK("https://www.nytimes.com/1977/08/28/archives/police-feel-sniper-killed-6-at-random-authorities-at-loss-for-a.html","1")</f>
        <v>1</v>
      </c>
      <c r="AH16" s="105" t="str">
        <f>HYPERLINK("https://www.nytimes.com/1977/08/28/archives/police-feel-sniper-killed-6-at-random-authorities-at-loss-for-a.html","2")</f>
        <v>2</v>
      </c>
      <c r="AI16" s="48">
        <v>0</v>
      </c>
      <c r="AJ16" s="48">
        <v>0</v>
      </c>
      <c r="AK16" s="105" t="str">
        <f>HYPERLINK("https://www.nytimes.com/1977/08/30/archives/suspect-in-jersey-sniper-killings-had-extensive-psychiatric-record.html","1")</f>
        <v>1</v>
      </c>
      <c r="AL16" s="105" t="str">
        <f>HYPERLINK("https://www.nytimes.com/1977/08/30/archives/suspect-in-jersey-sniper-killings-had-extensive-psychiatric-record.html","0")</f>
        <v>0</v>
      </c>
      <c r="AM16" s="105" t="str">
        <f>HYPERLINK("https://www.nytimes.com/1977/08/30/archives/suspect-in-jersey-sniper-killings-had-extensive-psychiatric-record.html","2")</f>
        <v>2</v>
      </c>
      <c r="AN16" s="105" t="str">
        <f>HYPERLINK("https://www.nytimes.com/1977/08/30/archives/suspect-in-jersey-sniper-killings-had-extensive-psychiatric-record.html","3")</f>
        <v>3</v>
      </c>
      <c r="AO16" s="101" t="str">
        <f>HYPERLINK("https://www.nytimes.com/1977/08/27/archives/sniper-slays-6-in-jersey-and-then-takes-own-life-6areswinihjersey.html","1")</f>
        <v>1</v>
      </c>
      <c r="AP16" s="124" t="str">
        <f>HYPERLINK("https://www.nytimes.com/1977/08/27/archives/sniper-slays-6-in-jersey-and-then-takes-own-life-6areswinihjersey.html","boxing tournaments")</f>
        <v>boxing tournaments</v>
      </c>
      <c r="AQ16" s="105" t="str">
        <f>HYPERLINK("https://www.nytimes.com/1977/08/30/archives/suspect-in-jersey-sniper-killings-had-extensive-psychiatric-record.html","1")</f>
        <v>1</v>
      </c>
      <c r="AR16" s="48">
        <v>0</v>
      </c>
      <c r="AS16" s="101" t="str">
        <f>HYPERLINK("https://www.nytimes.com/1977/08/29/archives/quarrels-at-home-cited-as-cause-in-jersey-shootings.html","1")</f>
        <v>1</v>
      </c>
      <c r="AT16" s="48">
        <v>0</v>
      </c>
      <c r="AU16" s="48" t="s">
        <v>100</v>
      </c>
      <c r="AV16" s="48" t="s">
        <v>100</v>
      </c>
      <c r="AW16" s="48" t="s">
        <v>100</v>
      </c>
      <c r="AX16" s="48">
        <v>0</v>
      </c>
      <c r="AY16" s="48">
        <v>0</v>
      </c>
      <c r="AZ16" s="48">
        <v>0</v>
      </c>
      <c r="BA16" s="48">
        <v>0</v>
      </c>
      <c r="BB16" s="107">
        <v>3</v>
      </c>
      <c r="BC16" s="48">
        <v>0</v>
      </c>
      <c r="BD16" s="48">
        <v>0</v>
      </c>
      <c r="BE16" s="105" t="str">
        <f t="shared" ref="BE16:BF16" si="30">HYPERLINK("https://www.nytimes.com/1977/08/29/archives/quarrels-at-home-cited-as-cause-in-jersey-shootings.html","0")</f>
        <v>0</v>
      </c>
      <c r="BF16" s="105" t="str">
        <f t="shared" si="30"/>
        <v>0</v>
      </c>
      <c r="BG16" s="48"/>
      <c r="BH16" s="48"/>
      <c r="BI16" s="48"/>
      <c r="BJ16" s="48">
        <v>0</v>
      </c>
      <c r="BK16" s="48">
        <v>0</v>
      </c>
      <c r="BL16" s="118" t="str">
        <f>HYPERLINK("https://www.nytimes.com/1977/08/30/archives/suspect-in-jersey-sniper-killings-had-extensive-psychiatric-record.html","1")</f>
        <v>1</v>
      </c>
      <c r="BM16" s="127">
        <v>3</v>
      </c>
      <c r="BN16" s="131" t="s">
        <v>3021</v>
      </c>
      <c r="BO16" s="132">
        <v>1</v>
      </c>
      <c r="BP16" s="132">
        <v>0</v>
      </c>
      <c r="BQ16" s="132">
        <v>0</v>
      </c>
      <c r="BR16" s="132">
        <v>0</v>
      </c>
      <c r="BS16" s="132">
        <v>1</v>
      </c>
      <c r="BT16" s="132">
        <v>1</v>
      </c>
      <c r="BU16" s="132">
        <v>1</v>
      </c>
      <c r="BV16" s="132">
        <v>0</v>
      </c>
      <c r="BW16" s="132">
        <v>0</v>
      </c>
      <c r="BX16" s="132">
        <v>0</v>
      </c>
      <c r="BY16" s="48">
        <v>0</v>
      </c>
      <c r="BZ16" s="105" t="str">
        <f t="shared" ref="BZ16:CA16" si="31">HYPERLINK("https://www.nytimes.com/1977/08/30/archives/suspect-in-jersey-sniper-killings-had-extensive-psychiatric-record.html","1")</f>
        <v>1</v>
      </c>
      <c r="CA16" s="105" t="str">
        <f t="shared" si="31"/>
        <v>1</v>
      </c>
      <c r="CB16" s="105" t="str">
        <f>HYPERLINK("https://www.nytimes.com/1977/08/30/archives/suspect-in-jersey-sniper-killings-had-extensive-psychiatric-record.html","2")</f>
        <v>2</v>
      </c>
      <c r="CC16" s="48">
        <v>0</v>
      </c>
      <c r="CD16" s="105" t="str">
        <f>HYPERLINK("https://www.nytimes.com/1977/08/30/archives/suspect-in-jersey-sniper-killings-had-extensive-psychiatric-record.html","0")</f>
        <v>0</v>
      </c>
      <c r="CE16" s="105" t="str">
        <f>HYPERLINK("https://www.nytimes.com/1977/08/30/archives/suspect-in-jersey-sniper-killings-had-extensive-psychiatric-record.html","5")</f>
        <v>5</v>
      </c>
      <c r="CF16" s="52">
        <v>0</v>
      </c>
      <c r="CG16" s="48">
        <v>0</v>
      </c>
      <c r="CH16" s="105" t="str">
        <f>HYPERLINK("https://www.nytimes.com/1977/08/30/archives/suspect-in-jersey-sniper-killings-had-extensive-psychiatric-record.html","5")</f>
        <v>5</v>
      </c>
      <c r="CI16" s="126">
        <v>1</v>
      </c>
      <c r="CJ16" s="123" t="s">
        <v>2982</v>
      </c>
      <c r="CK16" s="129">
        <v>0</v>
      </c>
      <c r="CL16" s="129"/>
      <c r="CM16" s="129"/>
      <c r="CN16" s="116">
        <v>0</v>
      </c>
      <c r="CO16" s="116">
        <v>0</v>
      </c>
      <c r="CP16" s="116">
        <v>0</v>
      </c>
      <c r="CQ16" s="116">
        <v>0</v>
      </c>
      <c r="CR16" s="116">
        <v>0</v>
      </c>
      <c r="CS16" s="116">
        <v>0</v>
      </c>
      <c r="CT16" s="116">
        <v>0</v>
      </c>
      <c r="CU16" s="116">
        <v>0</v>
      </c>
      <c r="CV16" s="118">
        <v>0</v>
      </c>
      <c r="CW16" s="116">
        <v>0</v>
      </c>
      <c r="CX16" s="127">
        <v>1</v>
      </c>
      <c r="CY16" s="118">
        <v>0</v>
      </c>
      <c r="CZ16" s="118" t="str">
        <f>HYPERLINK("https://www.nytimes.com/1977/08/28/archives/police-feel-sniper-killed-6-at-random-authorities-at-loss-for-a.html","0")</f>
        <v>0</v>
      </c>
      <c r="DA16" s="48">
        <v>0</v>
      </c>
      <c r="DB16" s="48">
        <v>2</v>
      </c>
      <c r="DC16" s="48">
        <v>0</v>
      </c>
      <c r="DD16" s="48"/>
      <c r="DE16" s="48"/>
      <c r="DF16" s="48"/>
      <c r="DG16" s="48"/>
      <c r="DH16" s="48"/>
      <c r="DI16" s="48"/>
      <c r="DJ16" s="48">
        <v>0</v>
      </c>
      <c r="DK16" s="48">
        <v>0</v>
      </c>
      <c r="DL16" s="48" t="s">
        <v>100</v>
      </c>
      <c r="DM16" s="105" t="str">
        <f>HYPERLINK("https://www.nytimes.com/1977/08/29/archives/quarrels-at-home-cited-as-cause-in-jersey-shootings.html","0")</f>
        <v>0</v>
      </c>
      <c r="DN16" s="48">
        <v>0</v>
      </c>
      <c r="DO16" s="48" t="s">
        <v>100</v>
      </c>
      <c r="DP16" s="105">
        <v>0</v>
      </c>
      <c r="DQ16" s="105" t="str">
        <f>HYPERLINK("https://www.nytimes.com/1977/08/28/archives/police-feel-sniper-killed-6-at-random-authorities-at-loss-for-a.html","0")</f>
        <v>0</v>
      </c>
      <c r="DR16" s="48">
        <v>0</v>
      </c>
      <c r="DS16" s="101" t="str">
        <f>HYPERLINK("https://www.nytimes.com/1977/08/30/archives/suspect-in-jersey-sniper-killings-had-extensive-psychiatric-record.html","2")</f>
        <v>2</v>
      </c>
      <c r="DT16" s="105" t="str">
        <f>HYPERLINK("https://www.nytimes.com/1977/08/29/archives/quarrels-at-home-cited-as-cause-in-jersey-shootings.html","1")</f>
        <v>1</v>
      </c>
      <c r="DU16" s="105" t="str">
        <f>HYPERLINK("https://www.nytimes.com/1977/08/28/archives/police-feel-sniper-killed-6-at-random-authorities-at-loss-for-a.html","0")</f>
        <v>0</v>
      </c>
      <c r="DV16" s="48" t="s">
        <v>100</v>
      </c>
      <c r="DW16" s="105">
        <v>0</v>
      </c>
      <c r="DX16" s="105" t="str">
        <f>HYPERLINK("https://www.nytimes.com/1977/08/28/archives/police-feel-sniper-killed-6-at-random-authorities-at-loss-for-a.html","0")</f>
        <v>0</v>
      </c>
      <c r="DY16" s="134" t="s">
        <v>821</v>
      </c>
      <c r="DZ16" s="48">
        <v>0</v>
      </c>
    </row>
    <row r="17" spans="1:130" ht="50.25" customHeight="1">
      <c r="A17" s="96">
        <v>15</v>
      </c>
      <c r="B17" s="97" t="s">
        <v>159</v>
      </c>
      <c r="C17" s="97" t="s">
        <v>160</v>
      </c>
      <c r="D17" s="98">
        <v>28658</v>
      </c>
      <c r="E17" s="48" t="s">
        <v>103</v>
      </c>
      <c r="F17" s="119">
        <v>17</v>
      </c>
      <c r="G17" s="102">
        <v>6</v>
      </c>
      <c r="H17" s="101">
        <v>1978</v>
      </c>
      <c r="I17" s="48" t="s">
        <v>161</v>
      </c>
      <c r="J17" s="101" t="s">
        <v>162</v>
      </c>
      <c r="K17" s="102">
        <v>39</v>
      </c>
      <c r="L17" s="102" t="str">
        <f>HYPERLINK("https://www.upi.com/Archives/1987/09/02/Former-cook-convicted-in-restaurant-massacre/2502557553600/","2")</f>
        <v>2</v>
      </c>
      <c r="M17" s="119">
        <v>0</v>
      </c>
      <c r="N17" s="102" t="str">
        <f>HYPERLINK("https://www.nytimes.com/1978/06/19/archives/new-jersey-pages-rhode-island-cook-is-arraigned-in-4-shooting.html","6")</f>
        <v>6</v>
      </c>
      <c r="O17" s="102" t="str">
        <f>HYPERLINK("https://www.upi.com/Archives/1987/09/02/Former-cook-convicted-in-restaurant-massacre/2502557553600/","0")</f>
        <v>0</v>
      </c>
      <c r="P17" s="99" t="s">
        <v>100</v>
      </c>
      <c r="Q17" s="103">
        <v>0</v>
      </c>
      <c r="R17" s="103">
        <v>0</v>
      </c>
      <c r="S17" s="102" t="str">
        <f>HYPERLINK("https://www.providencejournal.com/news/20180707/40-years-ago-his-mother-was-killed-by-gunman-in-warwick-restaurant-now-every-mass-shooting-takes-him-back-to-1978","5")</f>
        <v>5</v>
      </c>
      <c r="T17" s="100">
        <v>0</v>
      </c>
      <c r="U17" s="105" t="str">
        <f>HYPERLINK("https://www.upi.com/Archives/1987/09/02/Former-cook-convicted-in-restaurant-massacre/2502557553600/","0")</f>
        <v>0</v>
      </c>
      <c r="V17" s="101">
        <v>48</v>
      </c>
      <c r="W17" s="101">
        <v>0</v>
      </c>
      <c r="X17" s="101" t="str">
        <f>HYPERLINK("https://www.nytimes.com/1978/06/19/archives/new-jersey-pages-rhode-island-cook-is-arraigned-in-4-shooting.html","3")</f>
        <v>3</v>
      </c>
      <c r="Y17" s="101">
        <v>1</v>
      </c>
      <c r="Z17" s="101">
        <v>0</v>
      </c>
      <c r="AA17" s="51"/>
      <c r="AB17" s="51" t="s">
        <v>818</v>
      </c>
      <c r="AC17" s="51"/>
      <c r="AD17" s="51"/>
      <c r="AE17" s="51"/>
      <c r="AF17" s="101" t="str">
        <f>HYPERLINK("http://www.tributes.com/obituary/show/Young-Gan-Chin-86668973","2")</f>
        <v>2</v>
      </c>
      <c r="AG17" s="51"/>
      <c r="AH17" s="51"/>
      <c r="AI17" s="101">
        <v>2</v>
      </c>
      <c r="AJ17" s="101">
        <v>1</v>
      </c>
      <c r="AK17" s="101">
        <v>1</v>
      </c>
      <c r="AL17" s="101" t="str">
        <f>HYPERLINK("https://www.upi.com/Archives/1987/09/02/Former-cook-convicted-in-restaurant-massacre/2502557553600/","0")</f>
        <v>0</v>
      </c>
      <c r="AM17" s="51">
        <v>0</v>
      </c>
      <c r="AN17" s="48" t="s">
        <v>100</v>
      </c>
      <c r="AO17" s="123">
        <v>0</v>
      </c>
      <c r="AP17" s="54"/>
      <c r="AQ17" s="101">
        <v>0</v>
      </c>
      <c r="AR17" s="51">
        <v>0</v>
      </c>
      <c r="AS17" s="51">
        <v>0</v>
      </c>
      <c r="AT17" s="51">
        <v>0</v>
      </c>
      <c r="AU17" s="51" t="s">
        <v>100</v>
      </c>
      <c r="AV17" s="51" t="s">
        <v>100</v>
      </c>
      <c r="AW17" s="51" t="s">
        <v>100</v>
      </c>
      <c r="AX17" s="51">
        <v>0</v>
      </c>
      <c r="AY17" s="51">
        <v>0</v>
      </c>
      <c r="AZ17" s="51">
        <v>0</v>
      </c>
      <c r="BA17" s="51">
        <v>0</v>
      </c>
      <c r="BB17" s="107">
        <v>3</v>
      </c>
      <c r="BC17" s="51">
        <v>0</v>
      </c>
      <c r="BD17" s="51">
        <v>0</v>
      </c>
      <c r="BE17" s="51"/>
      <c r="BF17" s="51"/>
      <c r="BG17" s="51"/>
      <c r="BH17" s="51"/>
      <c r="BI17" s="51">
        <v>0</v>
      </c>
      <c r="BJ17" s="101">
        <v>0</v>
      </c>
      <c r="BK17" s="101">
        <v>0</v>
      </c>
      <c r="BL17" s="108">
        <v>1</v>
      </c>
      <c r="BM17" s="108">
        <v>3</v>
      </c>
      <c r="BN17" s="113" t="s">
        <v>3051</v>
      </c>
      <c r="BO17" s="132">
        <v>0</v>
      </c>
      <c r="BP17" s="132">
        <v>0</v>
      </c>
      <c r="BQ17" s="132">
        <v>0</v>
      </c>
      <c r="BR17" s="132">
        <v>0</v>
      </c>
      <c r="BS17" s="132">
        <v>0</v>
      </c>
      <c r="BT17" s="132">
        <v>1</v>
      </c>
      <c r="BU17" s="132">
        <v>0</v>
      </c>
      <c r="BV17" s="132">
        <v>1</v>
      </c>
      <c r="BW17" s="132">
        <v>1</v>
      </c>
      <c r="BX17" s="132">
        <v>1</v>
      </c>
      <c r="BY17" s="101" t="str">
        <f>HYPERLINK("https://www.upi.com/Archives/1987/09/02/Former-cook-convicted-in-restaurant-massacre/2502557553600/","0")</f>
        <v>0</v>
      </c>
      <c r="BZ17" s="51">
        <v>0</v>
      </c>
      <c r="CA17" s="51">
        <v>0</v>
      </c>
      <c r="CB17" s="51" t="s">
        <v>100</v>
      </c>
      <c r="CC17" s="51">
        <v>0</v>
      </c>
      <c r="CD17" s="51" t="s">
        <v>100</v>
      </c>
      <c r="CE17" s="101" t="str">
        <f>HYPERLINK("https://www.upi.com/Archives/1987/09/02/Former-cook-convicted-in-restaurant-massacre/2502557553600/","2")</f>
        <v>2</v>
      </c>
      <c r="CF17" s="107">
        <v>0</v>
      </c>
      <c r="CG17" s="51">
        <v>0</v>
      </c>
      <c r="CH17" s="51">
        <v>0</v>
      </c>
      <c r="CI17" s="51">
        <v>0</v>
      </c>
      <c r="CJ17" s="51" t="s">
        <v>100</v>
      </c>
      <c r="CK17" s="113">
        <v>0</v>
      </c>
      <c r="CL17" s="113"/>
      <c r="CM17" s="113"/>
      <c r="CN17" s="110">
        <v>0</v>
      </c>
      <c r="CO17" s="110">
        <v>0</v>
      </c>
      <c r="CP17" s="110">
        <v>0</v>
      </c>
      <c r="CQ17" s="110">
        <v>0</v>
      </c>
      <c r="CR17" s="110">
        <v>0</v>
      </c>
      <c r="CS17" s="110">
        <v>0</v>
      </c>
      <c r="CT17" s="110">
        <v>0</v>
      </c>
      <c r="CU17" s="110">
        <v>0</v>
      </c>
      <c r="CV17" s="111">
        <v>0</v>
      </c>
      <c r="CW17" s="110">
        <v>0</v>
      </c>
      <c r="CX17" s="109">
        <v>1</v>
      </c>
      <c r="CY17" s="110">
        <v>0</v>
      </c>
      <c r="CZ17" s="108" t="str">
        <f>HYPERLINK("https://www.apnews.com/91c81760d41b44106d3ee88fd61c918b","0")</f>
        <v>0</v>
      </c>
      <c r="DA17" s="101" t="str">
        <f>HYPERLINK("https://www.providencejournal.com/news/20180707/40-years-ago-his-mother-was-killed-by-gunman-in-warwick-restaurant-now-every-mass-shooting-takes-him-back-to-1978","3")</f>
        <v>3</v>
      </c>
      <c r="DB17" s="51">
        <v>2</v>
      </c>
      <c r="DC17" s="101" t="str">
        <f>HYPERLINK("https://www.providencejournal.com/news/20180707/40-years-ago-his-mother-was-killed-by-gunman-in-warwick-restaurant-now-every-mass-shooting-takes-him-back-to-1978","0")</f>
        <v>0</v>
      </c>
      <c r="DD17" s="51"/>
      <c r="DE17" s="51"/>
      <c r="DF17" s="51"/>
      <c r="DG17" s="51"/>
      <c r="DH17" s="51"/>
      <c r="DI17" s="51"/>
      <c r="DJ17" s="51">
        <v>0</v>
      </c>
      <c r="DK17" s="51">
        <v>0</v>
      </c>
      <c r="DL17" s="48" t="s">
        <v>100</v>
      </c>
      <c r="DM17" s="101" t="str">
        <f>HYPERLINK("https://www.apnews.com/91c81760d41b44106d3ee88fd61c918b","0")</f>
        <v>0</v>
      </c>
      <c r="DN17" s="51">
        <v>0</v>
      </c>
      <c r="DO17" s="51" t="s">
        <v>100</v>
      </c>
      <c r="DP17" s="101" t="str">
        <f t="shared" ref="DP17:DQ17" si="32">HYPERLINK("https://www.upi.com/Archives/1987/09/02/Former-cook-convicted-in-restaurant-massacre/2502557553600/","0")</f>
        <v>0</v>
      </c>
      <c r="DQ17" s="101" t="str">
        <f t="shared" si="32"/>
        <v>0</v>
      </c>
      <c r="DR17" s="101" t="str">
        <f>HYPERLINK("https://www.upi.com/Archives/1987/09/02/Former-cook-convicted-in-restaurant-massacre/2502557553600/","0")</f>
        <v>0</v>
      </c>
      <c r="DS17" s="101" t="str">
        <f>HYPERLINK("https://www.upi.com/Archives/1987/09/02/Former-cook-convicted-in-restaurant-massacre/2502557553600/","0")</f>
        <v>0</v>
      </c>
      <c r="DT17" s="101" t="str">
        <f>HYPERLINK("https://www.upi.com/Archives/1987/09/02/Former-cook-convicted-in-restaurant-massacre/2502557553600/","1")</f>
        <v>1</v>
      </c>
      <c r="DU17" s="101" t="str">
        <f>HYPERLINK("https://www.upi.com/Archives/1987/09/02/Former-cook-convicted-in-restaurant-massacre/2502557553600/","0")</f>
        <v>0</v>
      </c>
      <c r="DV17" s="48" t="s">
        <v>100</v>
      </c>
      <c r="DW17" s="105">
        <v>2</v>
      </c>
      <c r="DX17" s="105" t="str">
        <f>HYPERLINK("https://www.upi.com/Archives/1987/09/02/Former-cook-convicted-in-restaurant-massacre/2502557553600/","0")</f>
        <v>0</v>
      </c>
      <c r="DY17" s="101" t="str">
        <f>HYPERLINK("https://www.apnews.com/91c81760d41b44106d3ee88fd61c918b","1")</f>
        <v>1</v>
      </c>
      <c r="DZ17" s="133" t="str">
        <f>HYPERLINK("https://www.upi.com/Archives/1987/09/02/Former-cook-convicted-in-restaurant-massacre/2502557553600/","4")</f>
        <v>4</v>
      </c>
    </row>
    <row r="18" spans="1:130" ht="50.25" customHeight="1">
      <c r="A18" s="96">
        <v>16</v>
      </c>
      <c r="B18" s="97" t="s">
        <v>163</v>
      </c>
      <c r="C18" s="97" t="s">
        <v>164</v>
      </c>
      <c r="D18" s="98">
        <v>29254</v>
      </c>
      <c r="E18" s="48" t="s">
        <v>137</v>
      </c>
      <c r="F18" s="119">
        <v>3</v>
      </c>
      <c r="G18" s="102" t="str">
        <f>HYPERLINK("http://fultonhistory.com/Newspaper%2011/Geneva%20NY%20Finger%20Lake%20Times/Geneva%20NY%20Finger%20Lake%20Times%201980%20Feb%201980/Geneva%20NY%20Finger%20Lake%20Times%201980%20Feb%201980%20-%200064.pdf","2")</f>
        <v>2</v>
      </c>
      <c r="H18" s="101" t="str">
        <f>HYPERLINK("http://fultonhistory.com/Newspaper%2011/Geneva%20NY%20Finger%20Lake%20Times/Geneva%20NY%20Finger%20Lake%20Times%201980%20Feb%201980/Geneva%20NY%20Finger%20Lake%20Times%201980%20Feb%201980%20-%200064.pdf","1980")</f>
        <v>1980</v>
      </c>
      <c r="I18" s="48" t="s">
        <v>165</v>
      </c>
      <c r="J18" s="101" t="str">
        <f>HYPERLINK("http://fultonhistory.com/Newspaper%2011/Geneva%20NY%20Finger%20Lake%20Times/Geneva%20NY%20Finger%20Lake%20Times%201980%20Feb%201980/Geneva%20NY%20Finger%20Lake%20Times%201980%20Feb%201980%20-%200064.pdf","El Paso")</f>
        <v>El Paso</v>
      </c>
      <c r="K18" s="102" t="str">
        <f>HYPERLINK("http://fultonhistory.com/Newspaper%2011/Geneva%20NY%20Finger%20Lake%20Times/Geneva%20NY%20Finger%20Lake%20Times%201980%20Feb%201980/Geneva%20NY%20Finger%20Lake%20Times%201980%20Feb%201980%20-%200064.pdf","43")</f>
        <v>43</v>
      </c>
      <c r="L18" s="119">
        <v>0</v>
      </c>
      <c r="M18" s="102" t="str">
        <f>HYPERLINK("https://www.elpasotexas.gov/","0")</f>
        <v>0</v>
      </c>
      <c r="N18" s="102" t="str">
        <f>HYPERLINK("http://fultonhistory.com/Newspaper%2011/Geneva%20NY%20Finger%20Lake%20Times/Geneva%20NY%20Finger%20Lake%20Times%201980%20Feb%201980/Geneva%20NY%20Finger%20Lake%20Times%201980%20Feb%201980%20-%200064.pdf","5")</f>
        <v>5</v>
      </c>
      <c r="O18" s="102" t="str">
        <f>HYPERLINK("http://fultonhistory.com/Newspaper%2011/Geneva%20NY%20Finger%20Lake%20Times/Geneva%20NY%20Finger%20Lake%20Times%201980%20Feb%201980/Geneva%20NY%20Finger%20Lake%20Times%201980%20Feb%201980%20-%200064.pdf","0")</f>
        <v>0</v>
      </c>
      <c r="P18" s="99" t="s">
        <v>100</v>
      </c>
      <c r="Q18" s="103">
        <v>0</v>
      </c>
      <c r="R18" s="103">
        <v>0</v>
      </c>
      <c r="S18" s="102" t="str">
        <f>HYPERLINK("https://www.caller.com/story/news/2017/11/07/texas-church-shooting-latest-line-deadly-attacks/841385001/","5")</f>
        <v>5</v>
      </c>
      <c r="T18" s="102">
        <v>3</v>
      </c>
      <c r="U18" s="101" t="str">
        <f>HYPERLINK("https://www.caller.com/story/news/2017/11/07/texas-church-shooting-latest-line-deadly-attacks/841385001/","0")</f>
        <v>0</v>
      </c>
      <c r="V18" s="101" t="str">
        <f>HYPERLINK("http://fultonhistory.com/Newspaper%2011/Geneva%20NY%20Finger%20Lake%20Times/Geneva%20NY%20Finger%20Lake%20Times%201980%20Feb%201980/Geneva%20NY%20Finger%20Lake%20Times%201980%20Feb%201980%20-%200064.pdf","21")</f>
        <v>21</v>
      </c>
      <c r="W18" s="101" t="str">
        <f>HYPERLINK("http://fultonhistory.com/Newspaper%2011/Geneva%20NY%20Finger%20Lake%20Times/Geneva%20NY%20Finger%20Lake%20Times%201980%20Feb%201980/Geneva%20NY%20Finger%20Lake%20Times%201980%20Feb%201980%20-%200064.pdf","0")</f>
        <v>0</v>
      </c>
      <c r="X18" s="101" t="str">
        <f>HYPERLINK("https://www.texastribune.org/library/data/texas-prisons/inmates/barry-raymond-chvarak/1097990/","0")</f>
        <v>0</v>
      </c>
      <c r="Y18" s="48">
        <v>0</v>
      </c>
      <c r="Z18" s="51">
        <v>0</v>
      </c>
      <c r="AA18" s="51"/>
      <c r="AB18" s="101" t="str">
        <f>HYPERLINK("https://www.kxan.com/wp-content/uploads/sites/40/2019/11/Full-psychological-report-rotated.pdf","0")</f>
        <v>0</v>
      </c>
      <c r="AC18" s="51"/>
      <c r="AD18" s="51"/>
      <c r="AE18" s="101" t="str">
        <f>HYPERLINK("https://www.myhighplains.com/texas-mass-violence/two-mass-shootings-in-one-texas-town-decades-apart/?utm_medium=social&amp;utm_source=facebook_Fox_14_News","4")</f>
        <v>4</v>
      </c>
      <c r="AF18" s="101" t="str">
        <f>HYPERLINK("https://www.myhighplains.com/texas-mass-violence/two-mass-shootings-in-one-texas-town-decades-apart/?utm_medium=social&amp;utm_source=facebook_Fox_14_News","1")</f>
        <v>1</v>
      </c>
      <c r="AG18" s="51"/>
      <c r="AH18" s="51"/>
      <c r="AI18" s="51"/>
      <c r="AJ18" s="51"/>
      <c r="AK18" s="51"/>
      <c r="AL18" s="51"/>
      <c r="AM18" s="51">
        <v>0</v>
      </c>
      <c r="AN18" s="48" t="s">
        <v>100</v>
      </c>
      <c r="AO18" s="51"/>
      <c r="AP18" s="51"/>
      <c r="AQ18" s="51"/>
      <c r="AR18" s="51">
        <v>0</v>
      </c>
      <c r="AS18" s="51"/>
      <c r="AT18" s="48">
        <v>0</v>
      </c>
      <c r="AU18" s="48" t="s">
        <v>100</v>
      </c>
      <c r="AV18" s="48" t="s">
        <v>100</v>
      </c>
      <c r="AW18" s="48" t="s">
        <v>100</v>
      </c>
      <c r="AX18" s="48">
        <v>0</v>
      </c>
      <c r="AY18" s="51">
        <v>0</v>
      </c>
      <c r="AZ18" s="51">
        <v>0</v>
      </c>
      <c r="BA18" s="51">
        <v>0</v>
      </c>
      <c r="BB18" s="51">
        <v>3</v>
      </c>
      <c r="BC18" s="51"/>
      <c r="BD18" s="51"/>
      <c r="BE18" s="51"/>
      <c r="BF18" s="51"/>
      <c r="BG18" s="51"/>
      <c r="BH18" s="51">
        <v>0</v>
      </c>
      <c r="BI18" s="101" t="str">
        <f>HYPERLINK("https://www.kxan.com/wp-content/uploads/sites/40/2019/11/chavarak_confession_rotated.pdf","1")</f>
        <v>1</v>
      </c>
      <c r="BJ18" s="51"/>
      <c r="BK18" s="51"/>
      <c r="BL18" s="108"/>
      <c r="BM18" s="108"/>
      <c r="BN18" s="135"/>
      <c r="BO18" s="135">
        <v>0</v>
      </c>
      <c r="BP18" s="135">
        <v>0</v>
      </c>
      <c r="BQ18" s="135">
        <v>0</v>
      </c>
      <c r="BR18" s="135">
        <v>0</v>
      </c>
      <c r="BS18" s="135">
        <v>0</v>
      </c>
      <c r="BT18" s="135">
        <v>0</v>
      </c>
      <c r="BU18" s="135">
        <v>0</v>
      </c>
      <c r="BV18" s="135">
        <v>0</v>
      </c>
      <c r="BW18" s="135">
        <v>0</v>
      </c>
      <c r="BX18" s="135">
        <v>0</v>
      </c>
      <c r="BY18" s="51"/>
      <c r="BZ18" s="101">
        <v>0</v>
      </c>
      <c r="CA18" s="51">
        <v>0</v>
      </c>
      <c r="CB18" s="51" t="s">
        <v>100</v>
      </c>
      <c r="CC18" s="51">
        <v>0</v>
      </c>
      <c r="CD18" s="51" t="s">
        <v>100</v>
      </c>
      <c r="CE18" s="101" t="str">
        <f>HYPERLINK("https://www.kxan.com/wp-content/uploads/sites/40/2019/11/Full-psychological-report-rotated.pdf","0")</f>
        <v>0</v>
      </c>
      <c r="CF18" s="107">
        <v>0</v>
      </c>
      <c r="CG18" s="51">
        <v>0</v>
      </c>
      <c r="CH18" s="101" t="str">
        <f>HYPERLINK("http://media.kxan.com/nxs-kxantv-media-us-east-1/catalyst/mass-violence/story.html","5")</f>
        <v>5</v>
      </c>
      <c r="CI18" s="51">
        <v>0</v>
      </c>
      <c r="CJ18" s="51" t="s">
        <v>100</v>
      </c>
      <c r="CK18" s="135">
        <v>0</v>
      </c>
      <c r="CL18" s="135"/>
      <c r="CM18" s="135"/>
      <c r="CN18" s="108">
        <v>0</v>
      </c>
      <c r="CO18" s="108">
        <v>0</v>
      </c>
      <c r="CP18" s="108">
        <v>0</v>
      </c>
      <c r="CQ18" s="108">
        <v>0</v>
      </c>
      <c r="CR18" s="108">
        <v>0</v>
      </c>
      <c r="CS18" s="108">
        <v>0</v>
      </c>
      <c r="CT18" s="108">
        <v>0</v>
      </c>
      <c r="CU18" s="108">
        <v>0</v>
      </c>
      <c r="CV18" s="108">
        <v>0</v>
      </c>
      <c r="CW18" s="110">
        <v>0</v>
      </c>
      <c r="CX18" s="110">
        <v>0</v>
      </c>
      <c r="CY18" s="108" t="str">
        <f>HYPERLINK("http://fultonhistory.com/Newspaper%2011/Geneva%20NY%20Finger%20Lake%20Times/Geneva%20NY%20Finger%20Lake%20Times%201980%20Feb%201980/Geneva%20NY%20Finger%20Lake%20Times%201980%20Feb%201980%20-%200064.pdf","1")</f>
        <v>1</v>
      </c>
      <c r="CZ18" s="108" t="str">
        <f>HYPERLINK("http://fultonhistory.com/Newspaper%2011/Geneva%20NY%20Finger%20Lake%20Times/Geneva%20NY%20Finger%20Lake%20Times%201980%20Feb%201980/Geneva%20NY%20Finger%20Lake%20Times%201980%20Feb%201980%20-%200064.pdf","0")</f>
        <v>0</v>
      </c>
      <c r="DA18" s="51">
        <v>0</v>
      </c>
      <c r="DB18" s="51">
        <v>2</v>
      </c>
      <c r="DC18" s="101">
        <v>0</v>
      </c>
      <c r="DD18" s="51"/>
      <c r="DE18" s="51"/>
      <c r="DF18" s="51"/>
      <c r="DG18" s="51"/>
      <c r="DH18" s="51"/>
      <c r="DI18" s="51"/>
      <c r="DJ18" s="51">
        <v>0</v>
      </c>
      <c r="DK18" s="51">
        <v>0</v>
      </c>
      <c r="DL18" s="48" t="s">
        <v>100</v>
      </c>
      <c r="DM18" s="101" t="str">
        <f>HYPERLINK("http://fultonhistory.com/Newspaper%2011/Geneva%20NY%20Finger%20Lake%20Times/Geneva%20NY%20Finger%20Lake%20Times%201980%20Feb%201980/Geneva%20NY%20Finger%20Lake%20Times%201980%20Feb%201980%20-%200064.pdf","0")</f>
        <v>0</v>
      </c>
      <c r="DN18" s="51">
        <v>0</v>
      </c>
      <c r="DO18" s="51" t="s">
        <v>100</v>
      </c>
      <c r="DP18" s="101" t="str">
        <f t="shared" ref="DP18:DQ18" si="33">HYPERLINK("http://fultonhistory.com/Newspaper%2011/Geneva%20NY%20Finger%20Lake%20Times/Geneva%20NY%20Finger%20Lake%20Times%201980%20Feb%201980/Geneva%20NY%20Finger%20Lake%20Times%201980%20Feb%201980%20-%200064.pdf","0")</f>
        <v>0</v>
      </c>
      <c r="DQ18" s="101" t="str">
        <f t="shared" si="33"/>
        <v>0</v>
      </c>
      <c r="DR18" s="48">
        <v>0</v>
      </c>
      <c r="DS18" s="101" t="str">
        <f t="shared" ref="DS18:DS19" si="34">HYPERLINK("https://media.kxan.com/nxs-kxantv-media-us-east-1/catalyst/mass-violence/story.html","1")</f>
        <v>1</v>
      </c>
      <c r="DT18" s="101" t="str">
        <f>HYPERLINK("http://fultonhistory.com/Newspaper%2011/Geneva%20NY%20Finger%20Lake%20Times/Geneva%20NY%20Finger%20Lake%20Times%201980%20Feb%201980/Geneva%20NY%20Finger%20Lake%20Times%201980%20Feb%201980%20-%200064.pdf","1")</f>
        <v>1</v>
      </c>
      <c r="DU18" s="101" t="str">
        <f>HYPERLINK("http://fultonhistory.com/Newspaper%2011/Geneva%20NY%20Finger%20Lake%20Times/Geneva%20NY%20Finger%20Lake%20Times%201980%20Feb%201980/Geneva%20NY%20Finger%20Lake%20Times%201980%20Feb%201980%20-%200064.pdf","0")</f>
        <v>0</v>
      </c>
      <c r="DV18" s="48" t="s">
        <v>100</v>
      </c>
      <c r="DW18" s="101">
        <v>2</v>
      </c>
      <c r="DX18" s="101" t="str">
        <f t="shared" ref="DX18:DY18" si="35">HYPERLINK("https://www.caller.com/story/news/2017/11/07/texas-church-shooting-latest-line-deadly-attacks/841385001/","0")</f>
        <v>0</v>
      </c>
      <c r="DY18" s="105" t="str">
        <f t="shared" si="35"/>
        <v>0</v>
      </c>
      <c r="DZ18" s="133" t="str">
        <f>HYPERLINK("https://www.caller.com/story/news/2017/11/07/texas-church-shooting-latest-line-deadly-attacks/841385001/","3")</f>
        <v>3</v>
      </c>
    </row>
    <row r="19" spans="1:130" ht="50.25" customHeight="1">
      <c r="A19" s="96">
        <v>17</v>
      </c>
      <c r="B19" s="97" t="s">
        <v>167</v>
      </c>
      <c r="C19" s="97" t="s">
        <v>168</v>
      </c>
      <c r="D19" s="98">
        <v>29394</v>
      </c>
      <c r="E19" s="48" t="s">
        <v>137</v>
      </c>
      <c r="F19" s="119">
        <v>22</v>
      </c>
      <c r="G19" s="102" t="str">
        <f>HYPERLINK("https://www.news-journal.com/news/local/daingerfield-knows-church-s-pain-after-shooting/article_bfa3ba00-2620-5b9f-8870-6a1e13e7f023.html","6")</f>
        <v>6</v>
      </c>
      <c r="H19" s="101" t="str">
        <f>HYPERLINK("https://www.news-journal.com/news/local/daingerfield-knows-church-s-pain-after-shooting/article_bfa3ba00-2620-5b9f-8870-6a1e13e7f023.html","1980")</f>
        <v>1980</v>
      </c>
      <c r="I19" s="48" t="s">
        <v>169</v>
      </c>
      <c r="J19" s="101" t="str">
        <f>HYPERLINK("https://news.google.com/newspapers?id=xtNWAAAAIBAJ&amp;sjid=O_kDAAAAIBAJ&amp;pg=5283%2C2408948","Daingerfield")</f>
        <v>Daingerfield</v>
      </c>
      <c r="K19" s="102" t="str">
        <f>HYPERLINK("https://news.google.com/newspapers?id=xtNWAAAAIBAJ&amp;sjid=O_kDAAAAIBAJ&amp;pg=5283%2C2408948","43")</f>
        <v>43</v>
      </c>
      <c r="L19" s="119">
        <v>0</v>
      </c>
      <c r="M19" s="102">
        <v>2</v>
      </c>
      <c r="N19" s="102" t="str">
        <f>HYPERLINK("https://news.google.com/newspapers?id=xtNWAAAAIBAJ&amp;sjid=O_kDAAAAIBAJ&amp;pg=5283%2C2408948","3")</f>
        <v>3</v>
      </c>
      <c r="O19" s="102" t="str">
        <f>HYPERLINK("https://news.google.com/newspapers?id=xtNWAAAAIBAJ&amp;sjid=O_kDAAAAIBAJ&amp;pg=5283%2C2408948","0")</f>
        <v>0</v>
      </c>
      <c r="P19" s="99" t="s">
        <v>100</v>
      </c>
      <c r="Q19" s="103">
        <v>0</v>
      </c>
      <c r="R19" s="103">
        <v>0</v>
      </c>
      <c r="S19" s="102" t="str">
        <f>HYPERLINK("https://www.news-journal.com/news/local/daingerfield-knows-church-s-pain-after-shooting/article_bfa3ba00-2620-5b9f-8870-6a1e13e7f023.html","5")</f>
        <v>5</v>
      </c>
      <c r="T19" s="102">
        <v>11</v>
      </c>
      <c r="U19" s="101" t="str">
        <f>HYPERLINK("https://news.google.com/newspapers?id=xtNWAAAAIBAJ&amp;sjid=O_kDAAAAIBAJ&amp;pg=5283%2C2408948","1")</f>
        <v>1</v>
      </c>
      <c r="V19" s="101" t="str">
        <f>HYPERLINK("https://news.google.com/newspapers?id=xtNWAAAAIBAJ&amp;sjid=O_kDAAAAIBAJ&amp;pg=5283%2C2408948","45")</f>
        <v>45</v>
      </c>
      <c r="W19" s="101" t="str">
        <f>HYPERLINK("https://www.news-journal.com/news/local/daingerfield-knows-church-s-pain-after-shooting/article_bfa3ba00-2620-5b9f-8870-6a1e13e7f023.html","0")</f>
        <v>0</v>
      </c>
      <c r="X19" s="101" t="str">
        <f>HYPERLINK("https://news.google.com/newspapers?id=xtNWAAAAIBAJ&amp;sjid=O_kDAAAAIBAJ&amp;pg=5283%2C2408948","0")</f>
        <v>0</v>
      </c>
      <c r="Y19" s="48">
        <v>0</v>
      </c>
      <c r="Z19" s="101" t="str">
        <f>HYPERLINK("https://news.google.com/newspapers?id=xtNWAAAAIBAJ&amp;sjid=O_kDAAAAIBAJ&amp;pg=5283%2C2408948","0")</f>
        <v>0</v>
      </c>
      <c r="AA19" s="101" t="str">
        <f>HYPERLINK("https://news.google.com/newspapers?id=xtNWAAAAIBAJ&amp;sjid=O_kDAAAAIBAJ&amp;pg=5283%2C2408948","1")</f>
        <v>1</v>
      </c>
      <c r="AB19" s="101">
        <v>4</v>
      </c>
      <c r="AC19" s="101" t="str">
        <f>HYPERLINK("https://news.google.com/newspapers?id=xtNWAAAAIBAJ&amp;sjid=O_kDAAAAIBAJ&amp;pg=5283%2C2408948","2")</f>
        <v>2</v>
      </c>
      <c r="AD19" s="101" t="str">
        <f>HYPERLINK("https://news.google.com/newspapers?id=xtNWAAAAIBAJ&amp;sjid=O_kDAAAAIBAJ&amp;pg=5283%2C2408948","PhD")</f>
        <v>PhD</v>
      </c>
      <c r="AE19" s="51"/>
      <c r="AF19" s="51"/>
      <c r="AG19" s="51"/>
      <c r="AH19" s="51"/>
      <c r="AI19" s="101" t="str">
        <f>HYPERLINK("https://news.google.com/newspapers?id=xtNWAAAAIBAJ&amp;sjid=O_kDAAAAIBAJ&amp;pg=5283%2C2408948","2")</f>
        <v>2</v>
      </c>
      <c r="AJ19" s="101">
        <v>1</v>
      </c>
      <c r="AK19" s="101" t="str">
        <f>HYPERLINK("http://www.texarkanagazette.com/news/texarkana/story/2009/oct/29/arempens-book-about-1980-church-shooting-dain/133575/","0")</f>
        <v>0</v>
      </c>
      <c r="AL19" s="101">
        <v>1</v>
      </c>
      <c r="AM19" s="51">
        <v>0</v>
      </c>
      <c r="AN19" s="48" t="s">
        <v>100</v>
      </c>
      <c r="AO19" s="101" t="str">
        <f>HYPERLINK("https://news.google.com/newspapers?id=xtNWAAAAIBAJ&amp;sjid=O_kDAAAAIBAJ&amp;pg=5283%2C2408948","3")</f>
        <v>3</v>
      </c>
      <c r="AP19" s="101" t="str">
        <f>HYPERLINK("https://media.kxan.com/nxs-kxantv-media-us-east-1/catalyst/mass-violence/story.html","former church member, became reclusive")</f>
        <v>former church member, became reclusive</v>
      </c>
      <c r="AQ19" s="101">
        <v>1</v>
      </c>
      <c r="AR19" s="101" t="str">
        <f>HYPERLINK("https://media.kxan.com/nxs-kxantv-media-us-east-1/catalyst/mass-violence/story.html","1")</f>
        <v>1</v>
      </c>
      <c r="AS19" s="101">
        <v>1</v>
      </c>
      <c r="AT19" s="105">
        <v>3</v>
      </c>
      <c r="AU19" s="105">
        <v>2</v>
      </c>
      <c r="AV19" s="105">
        <v>3</v>
      </c>
      <c r="AW19" s="48"/>
      <c r="AX19" s="105" t="str">
        <f>HYPERLINK("https://news.google.com/newspapers?id=xtNWAAAAIBAJ&amp;sjid=O_kDAAAAIBAJ&amp;pg=5283%2C2408948","1")</f>
        <v>1</v>
      </c>
      <c r="AY19" s="51">
        <v>0</v>
      </c>
      <c r="AZ19" s="51">
        <v>0</v>
      </c>
      <c r="BA19" s="51">
        <v>0</v>
      </c>
      <c r="BB19" s="107">
        <v>3</v>
      </c>
      <c r="BC19" s="51">
        <v>0</v>
      </c>
      <c r="BD19" s="51">
        <v>0</v>
      </c>
      <c r="BE19" s="51"/>
      <c r="BF19" s="51"/>
      <c r="BG19" s="51"/>
      <c r="BH19" s="51"/>
      <c r="BI19" s="51">
        <v>0</v>
      </c>
      <c r="BJ19" s="51">
        <v>0</v>
      </c>
      <c r="BK19" s="101" t="str">
        <f>HYPERLINK("http://www.texarkanagazette.com/news/texarkana/story/2009/oct/29/arempens-book-about-1980-church-shooting-dain/133575/","1")</f>
        <v>1</v>
      </c>
      <c r="BL19" s="109">
        <v>1</v>
      </c>
      <c r="BM19" s="109">
        <v>2</v>
      </c>
      <c r="BN19" s="115" t="s">
        <v>3147</v>
      </c>
      <c r="BO19" s="111">
        <v>1</v>
      </c>
      <c r="BP19" s="111">
        <v>0</v>
      </c>
      <c r="BQ19" s="111">
        <v>0</v>
      </c>
      <c r="BR19" s="111">
        <v>0</v>
      </c>
      <c r="BS19" s="111">
        <v>0</v>
      </c>
      <c r="BT19" s="111">
        <v>1</v>
      </c>
      <c r="BU19" s="111">
        <v>0</v>
      </c>
      <c r="BV19" s="111">
        <v>0</v>
      </c>
      <c r="BW19" s="111">
        <v>1</v>
      </c>
      <c r="BX19" s="111">
        <v>1</v>
      </c>
      <c r="BY19" s="101" t="str">
        <f>HYPERLINK("https://news.google.com/newspapers?id=xtNWAAAAIBAJ&amp;sjid=O_kDAAAAIBAJ&amp;pg=5283%2C2408948","2")</f>
        <v>2</v>
      </c>
      <c r="BZ19" s="51">
        <v>0</v>
      </c>
      <c r="CA19" s="51">
        <v>0</v>
      </c>
      <c r="CB19" s="51" t="s">
        <v>100</v>
      </c>
      <c r="CC19" s="51">
        <v>0</v>
      </c>
      <c r="CD19" s="51" t="s">
        <v>100</v>
      </c>
      <c r="CE19" s="51">
        <v>0</v>
      </c>
      <c r="CF19" s="107">
        <v>0</v>
      </c>
      <c r="CG19" s="51">
        <v>0</v>
      </c>
      <c r="CH19" s="123">
        <v>0</v>
      </c>
      <c r="CI19" s="51">
        <v>0</v>
      </c>
      <c r="CJ19" s="51" t="s">
        <v>100</v>
      </c>
      <c r="CK19" s="113">
        <v>0</v>
      </c>
      <c r="CL19" s="113"/>
      <c r="CM19" s="113"/>
      <c r="CN19" s="110">
        <v>0</v>
      </c>
      <c r="CO19" s="110">
        <v>0</v>
      </c>
      <c r="CP19" s="110">
        <v>0</v>
      </c>
      <c r="CQ19" s="110">
        <v>0</v>
      </c>
      <c r="CR19" s="110">
        <v>0</v>
      </c>
      <c r="CS19" s="110">
        <v>0</v>
      </c>
      <c r="CT19" s="108" t="str">
        <f>HYPERLINK("https://news.google.com/newspapers?id=xtNWAAAAIBAJ&amp;sjid=O_kDAAAAIBAJ&amp;pg=5283%2C2408948","1")</f>
        <v>1</v>
      </c>
      <c r="CU19" s="110">
        <v>0</v>
      </c>
      <c r="CV19" s="108" t="str">
        <f>HYPERLINK("https://news.google.com/newspapers?id=xtNWAAAAIBAJ&amp;sjid=O_kDAAAAIBAJ&amp;pg=5283%2C2408948","1")</f>
        <v>1</v>
      </c>
      <c r="CW19" s="110">
        <v>0</v>
      </c>
      <c r="CX19" s="110">
        <v>0</v>
      </c>
      <c r="CY19" s="110">
        <v>0</v>
      </c>
      <c r="CZ19" s="108" t="str">
        <f>HYPERLINK("https://news.google.com/newspapers?id=xtNWAAAAIBAJ&amp;sjid=O_kDAAAAIBAJ&amp;pg=5283%2C2408948","0")</f>
        <v>0</v>
      </c>
      <c r="DA19" s="51">
        <v>0</v>
      </c>
      <c r="DB19" s="51">
        <v>2</v>
      </c>
      <c r="DC19" s="101" t="str">
        <f>HYPERLINK("https://news.google.com/newspapers?id=xtNWAAAAIBAJ&amp;sjid=O_kDAAAAIBAJ&amp;pg=5283%2C2408948","0")</f>
        <v>0</v>
      </c>
      <c r="DD19" s="51"/>
      <c r="DE19" s="51"/>
      <c r="DF19" s="51"/>
      <c r="DG19" s="51"/>
      <c r="DH19" s="51"/>
      <c r="DI19" s="51"/>
      <c r="DJ19" s="51">
        <v>0</v>
      </c>
      <c r="DK19" s="51">
        <v>0</v>
      </c>
      <c r="DL19" s="48" t="s">
        <v>100</v>
      </c>
      <c r="DM19" s="101" t="str">
        <f>HYPERLINK("https://news.google.com/newspapers?id=xtNWAAAAIBAJ&amp;sjid=O_kDAAAAIBAJ&amp;pg=5283%2C2408948","0")</f>
        <v>0</v>
      </c>
      <c r="DN19" s="51">
        <v>0</v>
      </c>
      <c r="DO19" s="51" t="s">
        <v>100</v>
      </c>
      <c r="DP19" s="51">
        <v>0</v>
      </c>
      <c r="DQ19" s="101" t="str">
        <f>HYPERLINK("https://news.google.com/newspapers?id=xtNWAAAAIBAJ&amp;sjid=O_kDAAAAIBAJ&amp;pg=5283%2C2408948","0")</f>
        <v>0</v>
      </c>
      <c r="DR19" s="48">
        <v>0</v>
      </c>
      <c r="DS19" s="101" t="str">
        <f t="shared" si="34"/>
        <v>1</v>
      </c>
      <c r="DT19" s="101" t="str">
        <f>HYPERLINK("http://content.time.com/time/magazine/article/0,9171,952699,00.html","4")</f>
        <v>4</v>
      </c>
      <c r="DU19" s="101" t="str">
        <f>HYPERLINK("https://news.google.com/newspapers?id=xtNWAAAAIBAJ&amp;sjid=O_kDAAAAIBAJ&amp;pg=5283%2C2408948","1")</f>
        <v>1</v>
      </c>
      <c r="DV19" s="101" t="str">
        <f>HYPERLINK("https://news.google.com/newspapers?id=xtNWAAAAIBAJ&amp;sjid=O_kDAAAAIBAJ&amp;pg=5283%2C2408948","helmet, flak jacket")</f>
        <v>helmet, flak jacket</v>
      </c>
      <c r="DW19" s="101" t="str">
        <f>HYPERLINK("https://www.news-journal.com/news/local/daingerfield-knows-church-s-pain-after-shooting/article_bfa3ba00-2620-5b9f-8870-6a1e13e7f023.html","3")</f>
        <v>3</v>
      </c>
      <c r="DX19" s="101" t="str">
        <f>HYPERLINK("https://news.google.com/newspapers?id=xtNWAAAAIBAJ&amp;sjid=O_kDAAAAIBAJ&amp;pg=5283%2C2408948","0")</f>
        <v>0</v>
      </c>
      <c r="DY19" s="48">
        <v>2</v>
      </c>
      <c r="DZ19" s="48">
        <v>0</v>
      </c>
    </row>
    <row r="20" spans="1:130" ht="50.25" customHeight="1">
      <c r="A20" s="96">
        <v>18</v>
      </c>
      <c r="B20" s="97" t="s">
        <v>172</v>
      </c>
      <c r="C20" s="97" t="s">
        <v>173</v>
      </c>
      <c r="D20" s="98">
        <v>29423</v>
      </c>
      <c r="E20" s="48" t="s">
        <v>95</v>
      </c>
      <c r="F20" s="119">
        <v>21</v>
      </c>
      <c r="G20" s="102" t="str">
        <f>HYPERLINK("https://www.upi.com/Archives/1981/08/20/The-closest-friend-in-the-Army-of-accused-sniper/1977367128000/","7")</f>
        <v>7</v>
      </c>
      <c r="H20" s="101" t="str">
        <f>HYPERLINK("https://www.upi.com/Archives/1981/08/20/The-closest-friend-in-the-Army-of-accused-sniper/1977367128000/","1980")</f>
        <v>1980</v>
      </c>
      <c r="I20" s="48" t="s">
        <v>174</v>
      </c>
      <c r="J20" s="101" t="str">
        <f>HYPERLINK("https://newspaperarchive.com/dubois-courier-express-jul-22-1980-p-1/","Coraopolis")</f>
        <v>Coraopolis</v>
      </c>
      <c r="K20" s="102">
        <v>38</v>
      </c>
      <c r="L20" s="102">
        <v>2</v>
      </c>
      <c r="M20" s="102" t="str">
        <f>HYPERLINK("https://www.newspapers.com/image/?clipping_id=15631009&amp;fcfToken=eyJhbGciOiJIUzI1NiIsInR5cCI6IkpXVCJ9.eyJmcmVlLXZpZXctaWQiOjE3Mzk0Njg2MSwiaWF0IjoxNTY4Mzk3NzkwLCJleHAiOjE1Njg0ODQxOTB9.TNb3lTHrUhjeg4la5IOgT9nXTqOZfrfFoEvlWIsAQ3o","1")</f>
        <v>1</v>
      </c>
      <c r="N20" s="102" t="str">
        <f>HYPERLINK("https://www.newspapers.com/image/?clipping_id=15631009&amp;fcfToken=eyJhbGciOiJIUzI1NiIsInR5cCI6IkpXVCJ9.eyJmcmVlLXZpZXctaWQiOjE3Mzk0Njg2MSwiaWF0IjoxNTY4Mzk3NzkwLCJleHAiOjE1Njg0ODQxOTB9.TNb3lTHrUhjeg4la5IOgT9nXTqOZfrfFoEvlWIsAQ3o","7")</f>
        <v>7</v>
      </c>
      <c r="O20" s="102" t="str">
        <f>HYPERLINK("https://newspaperarchive.com/dubois-courier-express-jul-22-1980-p-1/","0")</f>
        <v>0</v>
      </c>
      <c r="P20" s="99" t="s">
        <v>100</v>
      </c>
      <c r="Q20" s="103">
        <v>0</v>
      </c>
      <c r="R20" s="103">
        <v>0</v>
      </c>
      <c r="S20" s="102" t="str">
        <f>HYPERLINK("https://newspaperarchive.com/dubois-courier-express-jul-22-1980-p-1/","4")</f>
        <v>4</v>
      </c>
      <c r="T20" s="102" t="str">
        <f>HYPERLINK("https://newspaperarchive.com/dubois-courier-express-jul-22-1980-p-1/","1")</f>
        <v>1</v>
      </c>
      <c r="U20" s="101" t="str">
        <f>HYPERLINK("https://www.leagle.com/decision/1985350349pasuper11350","0")</f>
        <v>0</v>
      </c>
      <c r="V20" s="101">
        <v>23</v>
      </c>
      <c r="W20" s="101">
        <v>0</v>
      </c>
      <c r="X20" s="101" t="str">
        <f>HYPERLINK("https://www.newspapers.com/clip/15631009/the_philadelphia_inquirer/","0")</f>
        <v>0</v>
      </c>
      <c r="Y20" s="105">
        <v>0</v>
      </c>
      <c r="Z20" s="51">
        <v>0</v>
      </c>
      <c r="AA20" s="51"/>
      <c r="AB20" s="101">
        <v>2</v>
      </c>
      <c r="AC20" s="101" t="str">
        <f>HYPERLINK("https://www.leagle.com/decision/1985350349pasuper11350","0")</f>
        <v>0</v>
      </c>
      <c r="AD20" s="101" t="str">
        <f>HYPERLINK("https://www.leagle.com/decision/1985350349pasuper11350","unsuccessful in college")</f>
        <v>unsuccessful in college</v>
      </c>
      <c r="AE20" s="51"/>
      <c r="AF20" s="51"/>
      <c r="AG20" s="51"/>
      <c r="AH20" s="51"/>
      <c r="AI20" s="101" t="str">
        <f>HYPERLINK("https://newspaperarchive.com/indiana-gazette-jul-22-1980-p-1/","0")</f>
        <v>0</v>
      </c>
      <c r="AJ20" s="51">
        <v>0</v>
      </c>
      <c r="AK20" s="101" t="str">
        <f>HYPERLINK("https://newspaperarchive.com/indiana-gazette-jul-22-1980-p-1/","1")</f>
        <v>1</v>
      </c>
      <c r="AL20" s="101" t="str">
        <f>HYPERLINK("https://www.leagle.com/decision/1985350349pasuper11350","2")</f>
        <v>2</v>
      </c>
      <c r="AM20" s="101" t="str">
        <f>HYPERLINK("https://www.upi.com/Archives/1981/08/20/The-closest-friend-in-the-Army-of-accused-sniper/1977367128000/","1")</f>
        <v>1</v>
      </c>
      <c r="AN20" s="101" t="str">
        <f>HYPERLINK("https://www.upi.com/Archives/1981/08/20/The-closest-friend-in-the-Army-of-accused-sniper/1977367128000/","0")</f>
        <v>0</v>
      </c>
      <c r="AO20" s="101" t="str">
        <f>HYPERLINK("https://www.leagle.com/decision/1985350349pasuper11350","0")</f>
        <v>0</v>
      </c>
      <c r="AP20" s="51"/>
      <c r="AQ20" s="101">
        <v>0</v>
      </c>
      <c r="AR20" s="51">
        <v>0</v>
      </c>
      <c r="AS20" s="51">
        <v>0</v>
      </c>
      <c r="AT20" s="48">
        <v>0</v>
      </c>
      <c r="AU20" s="48" t="s">
        <v>100</v>
      </c>
      <c r="AV20" s="48" t="s">
        <v>100</v>
      </c>
      <c r="AW20" s="48" t="s">
        <v>100</v>
      </c>
      <c r="AX20" s="48">
        <v>0</v>
      </c>
      <c r="AY20" s="51">
        <v>0</v>
      </c>
      <c r="AZ20" s="51">
        <v>0</v>
      </c>
      <c r="BA20" s="51">
        <v>0</v>
      </c>
      <c r="BB20" s="107">
        <v>3</v>
      </c>
      <c r="BC20" s="51">
        <v>0</v>
      </c>
      <c r="BD20" s="51">
        <v>0</v>
      </c>
      <c r="BE20" s="105">
        <v>0</v>
      </c>
      <c r="BF20" s="101" t="str">
        <f>HYPERLINK("https://www.leagle.com/decision/1985350349pasuper11350","0")</f>
        <v>0</v>
      </c>
      <c r="BG20" s="51"/>
      <c r="BH20" s="51">
        <v>1</v>
      </c>
      <c r="BI20" s="105" t="str">
        <f>HYPERLINK("https://www.leagle.com/decision/1985350349pasuper11350","1")</f>
        <v>1</v>
      </c>
      <c r="BJ20" s="51">
        <v>0</v>
      </c>
      <c r="BK20" s="101">
        <v>1</v>
      </c>
      <c r="BL20" s="108">
        <v>1</v>
      </c>
      <c r="BM20" s="109">
        <v>1</v>
      </c>
      <c r="BN20" s="115" t="s">
        <v>2989</v>
      </c>
      <c r="BO20" s="111">
        <v>1</v>
      </c>
      <c r="BP20" s="111">
        <v>1</v>
      </c>
      <c r="BQ20" s="111">
        <v>0</v>
      </c>
      <c r="BR20" s="111">
        <v>0</v>
      </c>
      <c r="BS20" s="111">
        <v>0</v>
      </c>
      <c r="BT20" s="111">
        <v>0</v>
      </c>
      <c r="BU20" s="111">
        <v>0</v>
      </c>
      <c r="BV20" s="111">
        <v>1</v>
      </c>
      <c r="BW20" s="111">
        <v>1</v>
      </c>
      <c r="BX20" s="111">
        <v>1</v>
      </c>
      <c r="BY20" s="51">
        <v>0</v>
      </c>
      <c r="BZ20" s="51">
        <v>0</v>
      </c>
      <c r="CA20" s="51">
        <v>0</v>
      </c>
      <c r="CB20" s="51" t="s">
        <v>100</v>
      </c>
      <c r="CC20" s="51">
        <v>0</v>
      </c>
      <c r="CD20" s="51" t="s">
        <v>100</v>
      </c>
      <c r="CE20" s="101" t="str">
        <f>HYPERLINK("https://news.google.com/newspapers?nid=2002&amp;dat=19870812&amp;id=P1QuAAAAIBAJ&amp;sjid=LdoFAAAAIBAJ&amp;pg=966,2114218","5")</f>
        <v>5</v>
      </c>
      <c r="CF20" s="107">
        <v>0</v>
      </c>
      <c r="CG20" s="51">
        <v>0</v>
      </c>
      <c r="CH20" s="51">
        <v>0</v>
      </c>
      <c r="CI20" s="51">
        <v>0</v>
      </c>
      <c r="CJ20" s="51" t="s">
        <v>100</v>
      </c>
      <c r="CK20" s="113">
        <v>0</v>
      </c>
      <c r="CL20" s="113"/>
      <c r="CM20" s="113"/>
      <c r="CN20" s="110">
        <v>0</v>
      </c>
      <c r="CO20" s="110">
        <v>0</v>
      </c>
      <c r="CP20" s="110">
        <v>0</v>
      </c>
      <c r="CQ20" s="110">
        <v>0</v>
      </c>
      <c r="CR20" s="110">
        <v>0</v>
      </c>
      <c r="CS20" s="110">
        <v>0</v>
      </c>
      <c r="CT20" s="110">
        <v>0</v>
      </c>
      <c r="CU20" s="110">
        <v>0</v>
      </c>
      <c r="CV20" s="110">
        <v>0</v>
      </c>
      <c r="CW20" s="110">
        <v>0</v>
      </c>
      <c r="CX20" s="109">
        <v>1</v>
      </c>
      <c r="CY20" s="110">
        <v>0</v>
      </c>
      <c r="CZ20" s="108" t="str">
        <f>HYPERLINK("https://newspaperarchive.com/dubois-courier-express-jul-22-1980-p-1/","0")</f>
        <v>0</v>
      </c>
      <c r="DA20" s="101" t="str">
        <f>HYPERLINK("https://www.leagle.com/decision/1985350349pasuper11350","3")</f>
        <v>3</v>
      </c>
      <c r="DB20" s="51">
        <v>2</v>
      </c>
      <c r="DC20" s="101">
        <v>0</v>
      </c>
      <c r="DD20" s="51"/>
      <c r="DE20" s="51"/>
      <c r="DF20" s="51"/>
      <c r="DG20" s="51"/>
      <c r="DH20" s="51"/>
      <c r="DI20" s="51"/>
      <c r="DJ20" s="51">
        <v>0</v>
      </c>
      <c r="DK20" s="51">
        <v>0</v>
      </c>
      <c r="DL20" s="48" t="s">
        <v>100</v>
      </c>
      <c r="DM20" s="101" t="str">
        <f>HYPERLINK("https://www.leagle.com/decision/1985350349pasuper11350","0")</f>
        <v>0</v>
      </c>
      <c r="DN20" s="51">
        <v>0</v>
      </c>
      <c r="DO20" s="51" t="s">
        <v>100</v>
      </c>
      <c r="DP20" s="101">
        <v>0</v>
      </c>
      <c r="DQ20" s="101" t="str">
        <f>HYPERLINK("https://newspaperarchive.com/dubois-courier-express-jul-22-1980-p-1/","0")</f>
        <v>0</v>
      </c>
      <c r="DR20" s="48">
        <v>0</v>
      </c>
      <c r="DS20" s="101" t="str">
        <f>HYPERLINK("https://www.upi.com/Archives/1981/08/20/The-closest-friend-in-the-Army-of-accused-sniper/1977367128000/","3")</f>
        <v>3</v>
      </c>
      <c r="DT20" s="101">
        <v>1</v>
      </c>
      <c r="DU20" s="101" t="str">
        <f>HYPERLINK("https://news.google.com/newspapers?nid=2002&amp;dat=19870812&amp;id=P1QuAAAAIBAJ&amp;sjid=LdoFAAAAIBAJ&amp;pg=966,2114218","0")</f>
        <v>0</v>
      </c>
      <c r="DV20" s="48" t="s">
        <v>100</v>
      </c>
      <c r="DW20" s="101">
        <v>2</v>
      </c>
      <c r="DX20" s="101" t="str">
        <f>HYPERLINK("https://www.upi.com/Archives/1981/08/20/The-closest-friend-in-the-Army-of-accused-sniper/1977367128000/","0")</f>
        <v>0</v>
      </c>
      <c r="DY20" s="105" t="str">
        <f>HYPERLINK("https://www.upi.com/Archives/1981/08/20/The-closest-friend-in-the-Army-of-accused-sniper/1977367128000/","1")</f>
        <v>1</v>
      </c>
      <c r="DZ20" s="133" t="str">
        <f>HYPERLINK("https://www.leagle.com/decision/1985350349pasuper11350","3")</f>
        <v>3</v>
      </c>
    </row>
    <row r="21" spans="1:130" ht="50.25" customHeight="1">
      <c r="A21" s="96">
        <v>19</v>
      </c>
      <c r="B21" s="97" t="s">
        <v>176</v>
      </c>
      <c r="C21" s="97" t="s">
        <v>177</v>
      </c>
      <c r="D21" s="98">
        <v>29713</v>
      </c>
      <c r="E21" s="48" t="s">
        <v>178</v>
      </c>
      <c r="F21" s="99">
        <v>7</v>
      </c>
      <c r="G21" s="100">
        <v>5</v>
      </c>
      <c r="H21" s="101">
        <v>1981</v>
      </c>
      <c r="I21" s="48" t="s">
        <v>179</v>
      </c>
      <c r="J21" s="105" t="s">
        <v>180</v>
      </c>
      <c r="K21" s="100">
        <v>37</v>
      </c>
      <c r="L21" s="102">
        <v>3</v>
      </c>
      <c r="M21" s="102">
        <v>0</v>
      </c>
      <c r="N21" s="102" t="str">
        <f>HYPERLINK("https://www.nytimes.com/1981/05/09/us/four-slain-and-20-wounded-in-bar-as-oregon-man-shoots-into-crowd.html","5")</f>
        <v>5</v>
      </c>
      <c r="O21" s="100">
        <v>0</v>
      </c>
      <c r="P21" s="99" t="s">
        <v>100</v>
      </c>
      <c r="Q21" s="103">
        <v>0</v>
      </c>
      <c r="R21" s="103">
        <v>0</v>
      </c>
      <c r="S21" s="100">
        <v>4</v>
      </c>
      <c r="T21" s="100">
        <v>20</v>
      </c>
      <c r="U21" s="104" t="str">
        <f>HYPERLINK("https://www.nytimes.com/1981/05/09/us/four-slain-and-20-wounded-in-bar-as-oregon-man-shoots-into-crowd.html","0")</f>
        <v>0</v>
      </c>
      <c r="V21" s="105">
        <v>25</v>
      </c>
      <c r="W21" s="104">
        <v>0</v>
      </c>
      <c r="X21" s="104">
        <v>0</v>
      </c>
      <c r="Y21" s="48">
        <v>0</v>
      </c>
      <c r="Z21" s="104" t="str">
        <f>HYPERLINK("https://www.upi.com/Archives/1981/10/16/Conviction-on-4-counts-of-murder-for-man-who-shot-up-bar/8478372052800/","0")</f>
        <v>0</v>
      </c>
      <c r="AA21" s="106"/>
      <c r="AB21" s="106"/>
      <c r="AC21" s="51"/>
      <c r="AD21" s="51"/>
      <c r="AE21" s="106"/>
      <c r="AF21" s="106"/>
      <c r="AG21" s="106"/>
      <c r="AH21" s="106"/>
      <c r="AI21" s="104" t="s">
        <v>809</v>
      </c>
      <c r="AJ21" s="106" t="s">
        <v>809</v>
      </c>
      <c r="AK21" s="104" t="s">
        <v>809</v>
      </c>
      <c r="AL21" s="101">
        <v>0</v>
      </c>
      <c r="AM21" s="106" t="s">
        <v>809</v>
      </c>
      <c r="AN21" s="48" t="s">
        <v>100</v>
      </c>
      <c r="AO21" s="101" t="str">
        <f>HYPERLINK("https://www.upi.com/Archives/1981/05/12/An-unemployed-lumber-mill-worker-accused-of-killing-four/1659358488000/","0")</f>
        <v>0</v>
      </c>
      <c r="AP21" s="54"/>
      <c r="AQ21" s="51">
        <v>0</v>
      </c>
      <c r="AR21" s="51">
        <v>0</v>
      </c>
      <c r="AS21" s="51"/>
      <c r="AT21" s="48">
        <v>0</v>
      </c>
      <c r="AU21" s="48" t="s">
        <v>100</v>
      </c>
      <c r="AV21" s="48" t="s">
        <v>100</v>
      </c>
      <c r="AW21" s="48" t="s">
        <v>100</v>
      </c>
      <c r="AX21" s="48">
        <v>0</v>
      </c>
      <c r="AY21" s="106" t="s">
        <v>809</v>
      </c>
      <c r="AZ21" s="106" t="s">
        <v>809</v>
      </c>
      <c r="BA21" s="106" t="s">
        <v>809</v>
      </c>
      <c r="BB21" s="107">
        <v>3</v>
      </c>
      <c r="BC21" s="104" t="s">
        <v>809</v>
      </c>
      <c r="BD21" s="106" t="s">
        <v>809</v>
      </c>
      <c r="BE21" s="106"/>
      <c r="BF21" s="106"/>
      <c r="BG21" s="106"/>
      <c r="BH21" s="106"/>
      <c r="BI21" s="106"/>
      <c r="BJ21" s="106" t="s">
        <v>809</v>
      </c>
      <c r="BK21" s="104" t="s">
        <v>806</v>
      </c>
      <c r="BL21" s="121"/>
      <c r="BM21" s="121"/>
      <c r="BN21" s="121"/>
      <c r="BO21" s="121" t="s">
        <v>809</v>
      </c>
      <c r="BP21" s="121" t="s">
        <v>809</v>
      </c>
      <c r="BQ21" s="121" t="s">
        <v>809</v>
      </c>
      <c r="BR21" s="121" t="s">
        <v>809</v>
      </c>
      <c r="BS21" s="121" t="s">
        <v>809</v>
      </c>
      <c r="BT21" s="121" t="s">
        <v>809</v>
      </c>
      <c r="BU21" s="121" t="s">
        <v>809</v>
      </c>
      <c r="BV21" s="121" t="s">
        <v>809</v>
      </c>
      <c r="BW21" s="121" t="s">
        <v>809</v>
      </c>
      <c r="BX21" s="121" t="s">
        <v>809</v>
      </c>
      <c r="BY21" s="106" t="s">
        <v>809</v>
      </c>
      <c r="BZ21" s="106" t="s">
        <v>809</v>
      </c>
      <c r="CA21" s="106" t="s">
        <v>809</v>
      </c>
      <c r="CB21" s="106" t="s">
        <v>100</v>
      </c>
      <c r="CC21" s="106" t="s">
        <v>809</v>
      </c>
      <c r="CD21" s="106" t="s">
        <v>100</v>
      </c>
      <c r="CE21" s="104" t="str">
        <f>HYPERLINK("https://www.upi.com/Archives/1981/10/16/Conviction-on-4-counts-of-murder-for-man-who-shot-up-bar/8478372052800/","2")</f>
        <v>2</v>
      </c>
      <c r="CF21" s="104" t="str">
        <f>HYPERLINK("https://www.upi.com/Archives/1989/09/07/Murder-suicide-mom-related-to-mass-killer/1757621144000/","2")</f>
        <v>2</v>
      </c>
      <c r="CG21" s="106" t="s">
        <v>809</v>
      </c>
      <c r="CH21" s="104" t="s">
        <v>809</v>
      </c>
      <c r="CI21" s="106" t="s">
        <v>809</v>
      </c>
      <c r="CJ21" s="51" t="s">
        <v>100</v>
      </c>
      <c r="CK21" s="136" t="s">
        <v>874</v>
      </c>
      <c r="CL21" s="136" t="s">
        <v>807</v>
      </c>
      <c r="CM21" s="136"/>
      <c r="CN21" s="121" t="s">
        <v>809</v>
      </c>
      <c r="CO21" s="137" t="s">
        <v>809</v>
      </c>
      <c r="CP21" s="137" t="s">
        <v>806</v>
      </c>
      <c r="CQ21" s="121" t="s">
        <v>809</v>
      </c>
      <c r="CR21" s="121" t="s">
        <v>809</v>
      </c>
      <c r="CS21" s="121" t="s">
        <v>809</v>
      </c>
      <c r="CT21" s="121" t="s">
        <v>809</v>
      </c>
      <c r="CU21" s="121" t="s">
        <v>809</v>
      </c>
      <c r="CV21" s="121" t="s">
        <v>809</v>
      </c>
      <c r="CW21" s="110">
        <v>0</v>
      </c>
      <c r="CX21" s="109">
        <v>1</v>
      </c>
      <c r="CY21" s="110">
        <v>0</v>
      </c>
      <c r="CZ21" s="138" t="str">
        <f>HYPERLINK("https://www.nytimes.com/1981/05/09/us/four-slain-and-20-wounded-in-bar-as-oregon-man-shoots-into-crowd.html","0")</f>
        <v>0</v>
      </c>
      <c r="DA21" s="101">
        <v>2</v>
      </c>
      <c r="DB21" s="51">
        <v>2</v>
      </c>
      <c r="DC21" s="104" t="s">
        <v>824</v>
      </c>
      <c r="DD21" s="106"/>
      <c r="DE21" s="106"/>
      <c r="DF21" s="106"/>
      <c r="DG21" s="106"/>
      <c r="DH21" s="106"/>
      <c r="DI21" s="106"/>
      <c r="DJ21" s="106" t="s">
        <v>809</v>
      </c>
      <c r="DK21" s="106" t="s">
        <v>809</v>
      </c>
      <c r="DL21" s="48" t="s">
        <v>100</v>
      </c>
      <c r="DM21" s="104" t="str">
        <f>HYPERLINK("https://katu.com/news/local/30-years-later-sounds-of-gunfire-still-haunt-shooting-victim","0")</f>
        <v>0</v>
      </c>
      <c r="DN21" s="106" t="s">
        <v>809</v>
      </c>
      <c r="DO21" s="106" t="s">
        <v>100</v>
      </c>
      <c r="DP21" s="106" t="s">
        <v>809</v>
      </c>
      <c r="DQ21" s="104" t="str">
        <f>HYPERLINK("https://www.nytimes.com/1981/05/09/us/four-slain-and-20-wounded-in-bar-as-oregon-man-shoots-into-crowd.html","0")</f>
        <v>0</v>
      </c>
      <c r="DR21" s="48">
        <v>0</v>
      </c>
      <c r="DS21" s="51"/>
      <c r="DT21" s="101">
        <v>1</v>
      </c>
      <c r="DU21" s="104" t="str">
        <f>HYPERLINK("https://www.nytimes.com/1981/05/09/us/four-slain-and-20-wounded-in-bar-as-oregon-man-shoots-into-crowd.html","0")</f>
        <v>0</v>
      </c>
      <c r="DV21" s="48" t="s">
        <v>100</v>
      </c>
      <c r="DW21" s="104" t="s">
        <v>807</v>
      </c>
      <c r="DX21" s="104" t="str">
        <f>HYPERLINK("https://www.nytimes.com/1981/05/09/us/four-slain-and-20-wounded-in-bar-as-oregon-man-shoots-into-crowd.html","0")</f>
        <v>0</v>
      </c>
      <c r="DY21" s="105" t="str">
        <f>HYPERLINK("https://www.upi.com/Archives/1981/10/16/Man-convicted-for-wild-nightclub-shootings/6579372052800/","1")</f>
        <v>1</v>
      </c>
      <c r="DZ21" s="133" t="str">
        <f>HYPERLINK("https://www.upi.com/Archives/1981/10/16/Conviction-on-4-counts-of-murder-for-man-who-shot-up-bar/8478372052800/","3")</f>
        <v>3</v>
      </c>
    </row>
    <row r="22" spans="1:130" ht="50.25" customHeight="1">
      <c r="A22" s="96">
        <v>20</v>
      </c>
      <c r="B22" s="97" t="s">
        <v>181</v>
      </c>
      <c r="C22" s="97" t="s">
        <v>182</v>
      </c>
      <c r="D22" s="98">
        <v>29875</v>
      </c>
      <c r="E22" s="48" t="s">
        <v>157</v>
      </c>
      <c r="F22" s="119">
        <v>16</v>
      </c>
      <c r="G22" s="102">
        <v>10</v>
      </c>
      <c r="H22" s="101">
        <v>1981</v>
      </c>
      <c r="I22" s="48" t="s">
        <v>183</v>
      </c>
      <c r="J22" s="101" t="s">
        <v>184</v>
      </c>
      <c r="K22" s="102">
        <v>17</v>
      </c>
      <c r="L22" s="102">
        <v>0</v>
      </c>
      <c r="M22" s="102" t="str">
        <f>HYPERLINK("https://www.nytimes.com/1981/10/18/us/around-the-nation-retired-miner-is-held-in-shooting-deaths-of-5.html","2")</f>
        <v>2</v>
      </c>
      <c r="N22" s="122">
        <v>4</v>
      </c>
      <c r="O22" s="102">
        <v>0</v>
      </c>
      <c r="P22" s="99" t="s">
        <v>100</v>
      </c>
      <c r="Q22" s="103">
        <v>0</v>
      </c>
      <c r="R22" s="103">
        <v>0</v>
      </c>
      <c r="S22" s="102">
        <v>5</v>
      </c>
      <c r="T22" s="102">
        <v>3</v>
      </c>
      <c r="U22" s="101" t="str">
        <f>HYPERLINK("https://www.upi.com/Archives/1981/10/17/Killing-of-5-stuns-Kentucky-mountain-commmunity/9251372139200/","0")</f>
        <v>0</v>
      </c>
      <c r="V22" s="101">
        <v>70</v>
      </c>
      <c r="W22" s="101">
        <v>0</v>
      </c>
      <c r="X22" s="101">
        <v>0</v>
      </c>
      <c r="Y22" s="48">
        <v>0</v>
      </c>
      <c r="Z22" s="101" t="str">
        <f>HYPERLINK("https://law.justia.com/cases/kentucky/supreme-court/1986/712-s-w-2d-932-1.html","0")</f>
        <v>0</v>
      </c>
      <c r="AA22" s="51"/>
      <c r="AB22" s="51"/>
      <c r="AC22" s="51"/>
      <c r="AD22" s="51"/>
      <c r="AE22" s="51"/>
      <c r="AF22" s="51"/>
      <c r="AG22" s="51"/>
      <c r="AH22" s="51"/>
      <c r="AI22" s="51">
        <v>0</v>
      </c>
      <c r="AJ22" s="51">
        <v>0</v>
      </c>
      <c r="AK22" s="101">
        <v>0</v>
      </c>
      <c r="AL22" s="101">
        <v>0</v>
      </c>
      <c r="AM22" s="51">
        <v>0</v>
      </c>
      <c r="AN22" s="48" t="s">
        <v>100</v>
      </c>
      <c r="AO22" s="51"/>
      <c r="AP22" s="54"/>
      <c r="AQ22" s="101" t="str">
        <f t="shared" ref="AQ22:AS22" si="36">HYPERLINK("https://www.upi.com/Archives/1981/10/22/Suspect-in-mass-murder-convicted-in-1929-killing/7383372571200/","1")</f>
        <v>1</v>
      </c>
      <c r="AR22" s="101" t="str">
        <f t="shared" si="36"/>
        <v>1</v>
      </c>
      <c r="AS22" s="101" t="str">
        <f t="shared" si="36"/>
        <v>1</v>
      </c>
      <c r="AT22" s="105" t="str">
        <f>HYPERLINK("https://www.upi.com/Archives/1981/10/22/Suspect-in-mass-murder-convicted-in-1929-killing/7383372571200/","0")</f>
        <v>0</v>
      </c>
      <c r="AU22" s="48" t="s">
        <v>100</v>
      </c>
      <c r="AV22" s="48" t="s">
        <v>100</v>
      </c>
      <c r="AW22" s="48" t="s">
        <v>100</v>
      </c>
      <c r="AX22" s="48">
        <v>0</v>
      </c>
      <c r="AY22" s="51">
        <v>0</v>
      </c>
      <c r="AZ22" s="51">
        <v>0</v>
      </c>
      <c r="BA22" s="51">
        <v>0</v>
      </c>
      <c r="BB22" s="107">
        <v>3</v>
      </c>
      <c r="BC22" s="51">
        <v>0</v>
      </c>
      <c r="BD22" s="51">
        <v>0</v>
      </c>
      <c r="BE22" s="48"/>
      <c r="BF22" s="51"/>
      <c r="BG22" s="51"/>
      <c r="BH22" s="51">
        <v>0</v>
      </c>
      <c r="BI22" s="48">
        <v>0</v>
      </c>
      <c r="BJ22" s="51">
        <v>0</v>
      </c>
      <c r="BK22" s="101">
        <v>0</v>
      </c>
      <c r="BL22" s="108">
        <v>0</v>
      </c>
      <c r="BM22" s="108" t="s">
        <v>100</v>
      </c>
      <c r="BN22" s="110"/>
      <c r="BO22" s="110">
        <v>0</v>
      </c>
      <c r="BP22" s="110">
        <v>0</v>
      </c>
      <c r="BQ22" s="110">
        <v>0</v>
      </c>
      <c r="BR22" s="110">
        <v>0</v>
      </c>
      <c r="BS22" s="110">
        <v>0</v>
      </c>
      <c r="BT22" s="110">
        <v>0</v>
      </c>
      <c r="BU22" s="110">
        <v>0</v>
      </c>
      <c r="BV22" s="110">
        <v>0</v>
      </c>
      <c r="BW22" s="110">
        <v>0</v>
      </c>
      <c r="BX22" s="110">
        <v>0</v>
      </c>
      <c r="BY22" s="51">
        <v>0</v>
      </c>
      <c r="BZ22" s="51">
        <v>0</v>
      </c>
      <c r="CA22" s="51">
        <v>0</v>
      </c>
      <c r="CB22" s="51" t="s">
        <v>100</v>
      </c>
      <c r="CC22" s="51">
        <v>0</v>
      </c>
      <c r="CD22" s="51" t="s">
        <v>100</v>
      </c>
      <c r="CE22" s="51">
        <v>0</v>
      </c>
      <c r="CF22" s="107">
        <v>0</v>
      </c>
      <c r="CG22" s="51">
        <v>0</v>
      </c>
      <c r="CH22" s="51">
        <v>0</v>
      </c>
      <c r="CI22" s="101" t="str">
        <f>HYPERLINK("https://newspaperarchive.com/corbin-times-tribune-apr-07-1983-p-9/","1")</f>
        <v>1</v>
      </c>
      <c r="CJ22" s="101" t="str">
        <f>HYPERLINK("https://newspaperarchive.com/corbin-times-tribune-apr-07-1983-p-9/","arthritis, high blood pressure")</f>
        <v>arthritis, high blood pressure</v>
      </c>
      <c r="CK22" s="113">
        <v>0</v>
      </c>
      <c r="CL22" s="113"/>
      <c r="CM22" s="113"/>
      <c r="CN22" s="110">
        <v>0</v>
      </c>
      <c r="CO22" s="110">
        <v>0</v>
      </c>
      <c r="CP22" s="110">
        <v>0</v>
      </c>
      <c r="CQ22" s="110">
        <v>0</v>
      </c>
      <c r="CR22" s="110">
        <v>0</v>
      </c>
      <c r="CS22" s="108" t="str">
        <f>HYPERLINK("https://law.justia.com/cases/kentucky/supreme-court/1986/712-s-w-2d-932-1.html","1")</f>
        <v>1</v>
      </c>
      <c r="CT22" s="110">
        <v>0</v>
      </c>
      <c r="CU22" s="109" t="str">
        <f>HYPERLINK("https://law.justia.com/cases/kentucky/supreme-court/1986/712-s-w-2d-932-1.html","1")</f>
        <v>1</v>
      </c>
      <c r="CV22" s="108" t="str">
        <f>HYPERLINK("https://law.justia.com/cases/kentucky/supreme-court/1986/712-s-w-2d-932-1.html","1")</f>
        <v>1</v>
      </c>
      <c r="CW22" s="110">
        <v>0</v>
      </c>
      <c r="CX22" s="108">
        <v>0</v>
      </c>
      <c r="CY22" s="110">
        <v>0</v>
      </c>
      <c r="CZ22" s="108" t="str">
        <f>HYPERLINK("https://www.upi.com/Archives/1981/10/17/Killing-of-5-stuns-Kentucky-mountain-commmunity/9251372139200/","0")</f>
        <v>0</v>
      </c>
      <c r="DA22" s="51">
        <v>0</v>
      </c>
      <c r="DB22" s="51">
        <v>2</v>
      </c>
      <c r="DC22" s="51">
        <v>0</v>
      </c>
      <c r="DD22" s="51"/>
      <c r="DE22" s="51"/>
      <c r="DF22" s="51"/>
      <c r="DG22" s="51"/>
      <c r="DH22" s="51"/>
      <c r="DI22" s="51"/>
      <c r="DJ22" s="51">
        <v>0</v>
      </c>
      <c r="DK22" s="51">
        <v>0</v>
      </c>
      <c r="DL22" s="48" t="s">
        <v>100</v>
      </c>
      <c r="DM22" s="101" t="str">
        <f>HYPERLINK("https://www.upi.com/Archives/1981/10/22/Suspect-in-mass-murder-convicted-in-1929-killing/7383372571200/","0")</f>
        <v>0</v>
      </c>
      <c r="DN22" s="51">
        <v>0</v>
      </c>
      <c r="DO22" s="51" t="s">
        <v>100</v>
      </c>
      <c r="DP22" s="101" t="str">
        <f t="shared" ref="DP22:DQ22" si="37">HYPERLINK("https://www.upi.com/Archives/1981/10/17/Killing-of-5-stuns-Kentucky-mountain-commmunity/9251372139200/","0")</f>
        <v>0</v>
      </c>
      <c r="DQ22" s="101" t="str">
        <f t="shared" si="37"/>
        <v>0</v>
      </c>
      <c r="DR22" s="48">
        <v>0</v>
      </c>
      <c r="DS22" s="51"/>
      <c r="DT22" s="101">
        <v>1</v>
      </c>
      <c r="DU22" s="101" t="str">
        <f>HYPERLINK("https://www.upi.com/Archives/1981/10/16/A-gunman-burst-into-an-auto-parts-store-Friday/9402372052800/","0")</f>
        <v>0</v>
      </c>
      <c r="DV22" s="48" t="s">
        <v>100</v>
      </c>
      <c r="DW22" s="101">
        <v>2</v>
      </c>
      <c r="DX22" s="101" t="str">
        <f>HYPERLINK("https://www.upi.com/Archives/1981/10/22/Suspect-in-mass-murder-convicted-in-1929-killing/7383372571200/","0")</f>
        <v>0</v>
      </c>
      <c r="DY22" s="105" t="str">
        <f>HYPERLINK("https://law.justia.com/cases/kentucky/supreme-court/1986/712-s-w-2d-932-1.html","0")</f>
        <v>0</v>
      </c>
      <c r="DZ22" s="133" t="str">
        <f>HYPERLINK("https://law.justia.com/cases/kentucky/supreme-court/1986/712-s-w-2d-932-1.html","1")</f>
        <v>1</v>
      </c>
    </row>
    <row r="23" spans="1:130" ht="50.25" customHeight="1">
      <c r="A23" s="96">
        <v>21</v>
      </c>
      <c r="B23" s="96" t="s">
        <v>186</v>
      </c>
      <c r="C23" s="97" t="s">
        <v>94</v>
      </c>
      <c r="D23" s="98">
        <v>30074</v>
      </c>
      <c r="E23" s="48" t="s">
        <v>95</v>
      </c>
      <c r="F23" s="99">
        <v>3</v>
      </c>
      <c r="G23" s="100" t="str">
        <f>HYPERLINK("https://books.google.com.au/books?id=cmTxCQAAQBAJ&amp;pg=PA416&amp;lpg=PA416&amp;dq=Charles+Meach+shooting&amp;source=bl&amp;ots=eXTzQ-eWnB&amp;sig=UKVOhJB2yAPxdrhmIAY7kpUl3uo&amp;hl=en&amp;sa=X&amp;redir_esc=y#v=onepage&amp;q=Charles%20Meach%20shooting&amp;f=false","5")</f>
        <v>5</v>
      </c>
      <c r="H23" s="105" t="str">
        <f>HYPERLINK("http://www.anchoragedailyplanet.com/6239/russian-jack-springs-park/","1982")</f>
        <v>1982</v>
      </c>
      <c r="I23" s="48" t="s">
        <v>187</v>
      </c>
      <c r="J23" s="105" t="str">
        <f>HYPERLINK("http://www.anchoragedailyplanet.com/6239/russian-jack-springs-park/","Anchorage ")</f>
        <v xml:space="preserve">Anchorage </v>
      </c>
      <c r="K23" s="100">
        <v>2</v>
      </c>
      <c r="L23" s="100">
        <v>3</v>
      </c>
      <c r="M23" s="100" t="str">
        <f>HYPERLINK("http://worldpopulationreview.com/us-cities/anchorage-population/","0")</f>
        <v>0</v>
      </c>
      <c r="N23" s="125">
        <v>8</v>
      </c>
      <c r="O23" s="100" t="str">
        <f>HYPERLINK("https://www.nytimes.com/1982/06/22/us/new-law-on-insanity-plea-stirs-dispute-in-alaska.html","0")</f>
        <v>0</v>
      </c>
      <c r="P23" s="99" t="s">
        <v>100</v>
      </c>
      <c r="Q23" s="103">
        <v>0</v>
      </c>
      <c r="R23" s="103">
        <v>0</v>
      </c>
      <c r="S23" s="100">
        <v>4</v>
      </c>
      <c r="T23" s="100" t="str">
        <f t="shared" ref="T23" si="38">HYPERLINK("https://www.nytimes.com/1982/06/22/us/new-law-on-insanity-plea-stirs-dispute-in-alaska.html","0")</f>
        <v>0</v>
      </c>
      <c r="U23" s="105">
        <v>0</v>
      </c>
      <c r="V23" s="105">
        <v>34</v>
      </c>
      <c r="W23" s="105">
        <v>0</v>
      </c>
      <c r="X23" s="105">
        <v>0</v>
      </c>
      <c r="Y23" s="105">
        <v>0</v>
      </c>
      <c r="Z23" s="105">
        <v>0</v>
      </c>
      <c r="AA23" s="105" t="str">
        <f>HYPERLINK("https://books.google.com/books?id=DIG_9oBssrAC&amp;pg=PA63&amp;lpg=PA62&amp;focus=viewport&amp;dq=charles+meach+murder+at+40+below#v=onepage&amp;q=charles%20meach%20murder%20at%2040%20below&amp;f=false","1")</f>
        <v>1</v>
      </c>
      <c r="AB23" s="105" t="str">
        <f>HYPERLINK("https://www.nytimes.com/1982/06/22/us/new-law-on-insanity-plea-stirs-dispute-in-alaska.html","2")</f>
        <v>2</v>
      </c>
      <c r="AC23" s="101" t="str">
        <f>HYPERLINK("https://books.google.com/books?id=DIG_9oBssrAC&amp;dq=charles+meach+murder+at+40+below&amp;q=charles+meach#v=snippet&amp;q=charles%20meach&amp;f=false","0")</f>
        <v>0</v>
      </c>
      <c r="AD23" s="101" t="str">
        <f>HYPERLINK("https://books.google.com/books?id=DIG_9oBssrAC&amp;dq=charles+meach+murder+at+40+below&amp;q=charles+meach#v=snippet&amp;q=charles%20meach&amp;f=false","flunking out, but very intelligent")</f>
        <v>flunking out, but very intelligent</v>
      </c>
      <c r="AE23" s="48"/>
      <c r="AF23" s="48"/>
      <c r="AG23" s="48"/>
      <c r="AH23" s="48"/>
      <c r="AI23" s="105">
        <v>0</v>
      </c>
      <c r="AJ23" s="48">
        <v>0</v>
      </c>
      <c r="AK23" s="105">
        <v>1</v>
      </c>
      <c r="AL23" s="105">
        <v>0</v>
      </c>
      <c r="AM23" s="105">
        <v>0</v>
      </c>
      <c r="AN23" s="48" t="s">
        <v>100</v>
      </c>
      <c r="AO23" s="101" t="str">
        <f>HYPERLINK("https://books.google.com/books?id=DIG_9oBssrAC&amp;dq=charles+meach+murder+at+40+below&amp;q=charles+meach#v=snippet&amp;q=charles%20meach&amp;f=false","1")</f>
        <v>1</v>
      </c>
      <c r="AP23" s="101" t="str">
        <f>HYPERLINK("https://books.google.com/books?id=DIG_9oBssrAC&amp;dq=charles+meach+murder+at+40+below&amp;q=charles+meach#v=snippet&amp;q=charles%20meach&amp;f=false","friendly with customers, engaged in college classes, joined Alcoholics Anonymous")</f>
        <v>friendly with customers, engaged in college classes, joined Alcoholics Anonymous</v>
      </c>
      <c r="AQ23" s="105">
        <v>1</v>
      </c>
      <c r="AR23" s="105" t="str">
        <f>HYPERLINK("https://books.google.com.au/books?id=cmTxCQAAQBAJ&amp;pg=PA416&amp;lpg=PA416&amp;dq=Charles+Meach+shooting&amp;source=bl&amp;ots=eXTzQ-eWnB&amp;sig=UKVOhJB2yAPxdrhmIAY7kpUl3uo&amp;hl=en&amp;sa=X&amp;redir_esc=y#v=onepage&amp;q=Charles%20Meach%20shooting&amp;f=false","1")</f>
        <v>1</v>
      </c>
      <c r="AS23" s="51">
        <v>1</v>
      </c>
      <c r="AT23" s="105" t="str">
        <f>HYPERLINK("https://books.google.com/books?id=DIG_9oBssrAC&amp;dq=charles+meach+murder+at+40+below&amp;q=charles+meach#v=snippet&amp;q=charles%20meach&amp;f=false","1")</f>
        <v>1</v>
      </c>
      <c r="AU23" s="105">
        <v>1</v>
      </c>
      <c r="AV23" s="48"/>
      <c r="AW23" s="48"/>
      <c r="AX23" s="48">
        <v>0</v>
      </c>
      <c r="AY23" s="48">
        <v>0</v>
      </c>
      <c r="AZ23" s="48">
        <v>0</v>
      </c>
      <c r="BA23" s="48">
        <v>0</v>
      </c>
      <c r="BB23" s="107">
        <v>3</v>
      </c>
      <c r="BC23" s="105">
        <v>0</v>
      </c>
      <c r="BD23" s="105">
        <v>0</v>
      </c>
      <c r="BE23" s="48"/>
      <c r="BF23" s="105" t="str">
        <f>HYPERLINK("https://books.google.com/books?id=DIG_9oBssrAC&amp;dq=charles+meach+murder+at+40+below&amp;q=charles+meach#v=snippet&amp;q=charles%20meach&amp;f=false","0")</f>
        <v>0</v>
      </c>
      <c r="BG23" s="48"/>
      <c r="BH23" s="48">
        <v>1</v>
      </c>
      <c r="BI23" s="48">
        <v>0</v>
      </c>
      <c r="BJ23" s="48">
        <v>0</v>
      </c>
      <c r="BK23" s="105">
        <v>0</v>
      </c>
      <c r="BL23" s="118">
        <v>0</v>
      </c>
      <c r="BM23" s="118" t="s">
        <v>100</v>
      </c>
      <c r="BN23" s="110"/>
      <c r="BO23" s="116">
        <v>0</v>
      </c>
      <c r="BP23" s="116">
        <v>0</v>
      </c>
      <c r="BQ23" s="116">
        <v>0</v>
      </c>
      <c r="BR23" s="116">
        <v>0</v>
      </c>
      <c r="BS23" s="116">
        <v>0</v>
      </c>
      <c r="BT23" s="116">
        <v>0</v>
      </c>
      <c r="BU23" s="116">
        <v>0</v>
      </c>
      <c r="BV23" s="116">
        <v>0</v>
      </c>
      <c r="BW23" s="116">
        <v>0</v>
      </c>
      <c r="BX23" s="116">
        <v>0</v>
      </c>
      <c r="BY23" s="48">
        <v>0</v>
      </c>
      <c r="BZ23" s="105">
        <v>1</v>
      </c>
      <c r="CA23" s="48">
        <v>0</v>
      </c>
      <c r="CB23" s="48" t="s">
        <v>100</v>
      </c>
      <c r="CC23" s="105">
        <v>1</v>
      </c>
      <c r="CD23" s="105" t="str">
        <f>HYPERLINK("https://www.nytimes.com/1982/06/22/us/new-law-on-insanity-plea-stirs-dispute-in-alaska.html","1")</f>
        <v>1</v>
      </c>
      <c r="CE23" s="105" t="str">
        <f>HYPERLINK("https://www.nytimes.com/1982/06/22/us/new-law-on-insanity-plea-stirs-dispute-in-alaska.html","2")</f>
        <v>2</v>
      </c>
      <c r="CF23" s="105" t="str">
        <f>HYPERLINK("https://books.google.com/books?id=DIG_9oBssrAC&amp;dq=charles+meach+murder+at+40+below&amp;q=charles+meach#v=snippet&amp;q=charles%20meach&amp;f=false","1")</f>
        <v>1</v>
      </c>
      <c r="CG23" s="48">
        <v>0</v>
      </c>
      <c r="CH23" s="105">
        <v>4</v>
      </c>
      <c r="CI23" s="105">
        <v>1</v>
      </c>
      <c r="CJ23" s="101" t="s">
        <v>188</v>
      </c>
      <c r="CK23" s="129">
        <v>0</v>
      </c>
      <c r="CL23" s="129"/>
      <c r="CM23" s="129"/>
      <c r="CN23" s="116">
        <v>0</v>
      </c>
      <c r="CO23" s="116">
        <v>0</v>
      </c>
      <c r="CP23" s="116">
        <v>0</v>
      </c>
      <c r="CQ23" s="116">
        <v>0</v>
      </c>
      <c r="CR23" s="116">
        <v>0</v>
      </c>
      <c r="CS23" s="116">
        <v>0</v>
      </c>
      <c r="CT23" s="116">
        <v>0</v>
      </c>
      <c r="CU23" s="116">
        <v>0</v>
      </c>
      <c r="CV23" s="116">
        <v>0</v>
      </c>
      <c r="CW23" s="116">
        <v>0</v>
      </c>
      <c r="CX23" s="118">
        <v>1</v>
      </c>
      <c r="CY23" s="116">
        <v>0</v>
      </c>
      <c r="CZ23" s="118">
        <v>0</v>
      </c>
      <c r="DA23" s="48">
        <v>0</v>
      </c>
      <c r="DB23" s="48">
        <v>2</v>
      </c>
      <c r="DC23" s="105">
        <v>0</v>
      </c>
      <c r="DD23" s="48"/>
      <c r="DE23" s="48"/>
      <c r="DF23" s="48"/>
      <c r="DG23" s="48"/>
      <c r="DH23" s="48"/>
      <c r="DI23" s="48"/>
      <c r="DJ23" s="48">
        <v>0</v>
      </c>
      <c r="DK23" s="48">
        <v>0</v>
      </c>
      <c r="DL23" s="48" t="s">
        <v>100</v>
      </c>
      <c r="DM23" s="105">
        <v>0</v>
      </c>
      <c r="DN23" s="48">
        <v>0</v>
      </c>
      <c r="DO23" s="48" t="s">
        <v>100</v>
      </c>
      <c r="DP23" s="105">
        <v>0</v>
      </c>
      <c r="DQ23" s="105">
        <v>0</v>
      </c>
      <c r="DR23" s="48">
        <v>0</v>
      </c>
      <c r="DS23" s="101" t="str">
        <f>HYPERLINK("https://books.google.com/books?id=DIG_9oBssrAC&amp;dq=charles+meach+murder+at+40+below&amp;q=charles+meach#v=snippet&amp;q=charles%20meach&amp;f=false","0")</f>
        <v>0</v>
      </c>
      <c r="DT23" s="105">
        <v>1</v>
      </c>
      <c r="DU23" s="105">
        <v>0</v>
      </c>
      <c r="DV23" s="48" t="s">
        <v>100</v>
      </c>
      <c r="DW23" s="105" t="str">
        <f>HYPERLINK("https://www.nytimes.com/1982/06/22/us/new-law-on-insanity-plea-stirs-dispute-in-alaska.html","2")</f>
        <v>2</v>
      </c>
      <c r="DX23" s="105">
        <v>1</v>
      </c>
      <c r="DY23" s="105">
        <v>1</v>
      </c>
      <c r="DZ23" s="133">
        <v>2</v>
      </c>
    </row>
    <row r="24" spans="1:130" ht="50.25" customHeight="1">
      <c r="A24" s="96">
        <v>22</v>
      </c>
      <c r="B24" s="97" t="s">
        <v>189</v>
      </c>
      <c r="C24" s="97" t="s">
        <v>190</v>
      </c>
      <c r="D24" s="98">
        <v>30172</v>
      </c>
      <c r="E24" s="48" t="s">
        <v>95</v>
      </c>
      <c r="F24" s="119">
        <v>9</v>
      </c>
      <c r="G24" s="102">
        <v>8</v>
      </c>
      <c r="H24" s="101">
        <v>1982</v>
      </c>
      <c r="I24" s="48" t="s">
        <v>191</v>
      </c>
      <c r="J24" s="101" t="str">
        <f>HYPERLINK("https://www.upi.com/Archives/1982/08/09/Yes-I-know-hes-killing-people/2899397713600/","Grand Prairie")</f>
        <v>Grand Prairie</v>
      </c>
      <c r="K24" s="102" t="str">
        <f>HYPERLINK("http://www.nytimes.com/1982/08/10/us/digruntled-driver-slays-six-in-texas-dying-in-shootout.html","43")</f>
        <v>43</v>
      </c>
      <c r="L24" s="102" t="str">
        <f>HYPERLINK("http://www.nytimes.com/1982/08/10/us/digruntled-driver-slays-six-in-texas-dying-in-shootout.html","0")</f>
        <v>0</v>
      </c>
      <c r="M24" s="102">
        <v>1</v>
      </c>
      <c r="N24" s="102" t="str">
        <f>HYPERLINK("https://news.google.com/newspapers?id=KEslAAAAIBAJ&amp;sjid=B-QFAAAAIBAJ&amp;pg=5809,8230898","6")</f>
        <v>6</v>
      </c>
      <c r="O24" s="102" t="str">
        <f>HYPERLINK("https://www.upi.com/Archives/1982/08/09/Yes-I-know-hes-killing-people/2899397713600/","1")</f>
        <v>1</v>
      </c>
      <c r="P24" s="122">
        <v>8</v>
      </c>
      <c r="Q24" s="103">
        <v>0</v>
      </c>
      <c r="R24" s="103">
        <v>0</v>
      </c>
      <c r="S24" s="102">
        <v>6</v>
      </c>
      <c r="T24" s="102" t="str">
        <f>HYPERLINK("https://www.nytimes.com/1982/08/10/us/digruntled-driver-slays-six-in-texas-dying-in-shootout.html","4")</f>
        <v>4</v>
      </c>
      <c r="U24" s="101" t="str">
        <f>HYPERLINK("https://www.upi.com/Archives/1982/08/09/Yes-I-know-hes-killing-people/2899397713600/","0")</f>
        <v>0</v>
      </c>
      <c r="V24" s="101">
        <v>46</v>
      </c>
      <c r="W24" s="101">
        <v>0</v>
      </c>
      <c r="X24" s="101" t="str">
        <f>HYPERLINK("https://news.google.com/newspapers?id=NZETAAAAIBAJ&amp;sjid=2wUEAAAAIBAJ&amp;pg=5462,4585064&amp;dq=","1")</f>
        <v>1</v>
      </c>
      <c r="Y24" s="48">
        <v>0</v>
      </c>
      <c r="Z24" s="101" t="str">
        <f>HYPERLINK("https://news.google.com/newspapers?id=JA4LAAAAIBAJ&amp;sjid=yVEDAAAAIBAJ&amp;pg=5061,3848480&amp;dq=john+parish","0")</f>
        <v>0</v>
      </c>
      <c r="AA24" s="51"/>
      <c r="AB24" s="51" t="s">
        <v>818</v>
      </c>
      <c r="AC24" s="51"/>
      <c r="AD24" s="51"/>
      <c r="AE24" s="101" t="str">
        <f t="shared" ref="AE24:AF24" si="39">HYPERLINK("https://www.newspapers.com/image/?clipping_id=4353382&amp;fcfToken=eyJhbGciOiJIUzI1NiIsInR5cCI6IkpXVCJ9.eyJmcmVlLXZpZXctaWQiOjE0MjkxMjUyLCJpYXQiOjE1ODM1MjQ0MzMsImV4cCI6MTU4MzYxMDgzM30.SpUoKaz_R4pD97VTPSD8rSJWyC9mf4tqDz0pL5T90bE","2")</f>
        <v>2</v>
      </c>
      <c r="AF24" s="101" t="str">
        <f t="shared" si="39"/>
        <v>2</v>
      </c>
      <c r="AG24" s="101" t="str">
        <f t="shared" ref="AG24:AH24" si="40">HYPERLINK("https://www.newspapers.com/image/?clipping_id=4353382&amp;fcfToken=eyJhbGciOiJIUzI1NiIsInR5cCI6IkpXVCJ9.eyJmcmVlLXZpZXctaWQiOjE0MjkxMjUyLCJpYXQiOjE1ODM1MjQ0MzMsImV4cCI6MTU4MzYxMDgzM30.SpUoKaz_R4pD97VTPSD8rSJWyC9mf4tqDz0pL5T90bE","1")</f>
        <v>1</v>
      </c>
      <c r="AH24" s="101" t="str">
        <f t="shared" si="40"/>
        <v>1</v>
      </c>
      <c r="AI24" s="101" t="str">
        <f>HYPERLINK("https://news.google.com/newspapers?id=JA4LAAAAIBAJ&amp;sjid=yVEDAAAAIBAJ&amp;pg=5061,3848480&amp;dq=john+parish","3")</f>
        <v>3</v>
      </c>
      <c r="AJ24" s="101" t="str">
        <f>HYPERLINK("https://news.google.com/newspapers?id=Dx8MAAAAIBAJ&amp;sjid=010DAAAAIBAJ&amp;pg=4544,642609&amp;dq=rampage+texas","1")</f>
        <v>1</v>
      </c>
      <c r="AK24" s="101">
        <v>1</v>
      </c>
      <c r="AL24" s="101" t="str">
        <f>HYPERLINK("https://www.nytimes.com/1982/08/10/us/digruntled-driver-slays-six-in-texas-dying-in-shootout.html","0")</f>
        <v>0</v>
      </c>
      <c r="AM24" s="51">
        <v>0</v>
      </c>
      <c r="AN24" s="48" t="s">
        <v>100</v>
      </c>
      <c r="AO24" s="51"/>
      <c r="AP24" s="51"/>
      <c r="AQ24" s="101" t="str">
        <f>HYPERLINK("https://news.google.com/newspapers?id=JA4LAAAAIBAJ&amp;sjid=yVEDAAAAIBAJ&amp;pg=5061,3848480&amp;dq=john+parish","0")</f>
        <v>0</v>
      </c>
      <c r="AR24" s="51">
        <v>0</v>
      </c>
      <c r="AS24" s="51"/>
      <c r="AT24" s="48">
        <v>0</v>
      </c>
      <c r="AU24" s="48" t="s">
        <v>828</v>
      </c>
      <c r="AV24" s="48" t="s">
        <v>100</v>
      </c>
      <c r="AW24" s="48" t="s">
        <v>100</v>
      </c>
      <c r="AX24" s="48">
        <v>0</v>
      </c>
      <c r="AY24" s="51">
        <v>0</v>
      </c>
      <c r="AZ24" s="51">
        <v>0</v>
      </c>
      <c r="BA24" s="51">
        <v>0</v>
      </c>
      <c r="BB24" s="107">
        <v>3</v>
      </c>
      <c r="BC24" s="101" t="str">
        <f>HYPERLINK("https://news.google.com/newspapers?id=hEUsAAAAIBAJ&amp;sjid=qs0EAAAAIBAJ&amp;pg=6528,3834756","0")</f>
        <v>0</v>
      </c>
      <c r="BD24" s="101">
        <v>0</v>
      </c>
      <c r="BE24" s="51"/>
      <c r="BF24" s="51"/>
      <c r="BG24" s="51"/>
      <c r="BH24" s="51"/>
      <c r="BI24" s="51"/>
      <c r="BJ24" s="101" t="str">
        <f>HYPERLINK("https://news.google.com/newspapers?id=JA4LAAAAIBAJ&amp;sjid=yVEDAAAAIBAJ&amp;pg=5061,3848480&amp;dq=john+parish","1")</f>
        <v>1</v>
      </c>
      <c r="BK24" s="101">
        <v>1</v>
      </c>
      <c r="BL24" s="108">
        <v>1</v>
      </c>
      <c r="BM24" s="108">
        <v>1</v>
      </c>
      <c r="BN24" s="131" t="s">
        <v>3022</v>
      </c>
      <c r="BO24" s="132">
        <v>1</v>
      </c>
      <c r="BP24" s="132">
        <v>0</v>
      </c>
      <c r="BQ24" s="132">
        <v>0</v>
      </c>
      <c r="BR24" s="132">
        <v>0</v>
      </c>
      <c r="BS24" s="132">
        <v>0</v>
      </c>
      <c r="BT24" s="132">
        <v>1</v>
      </c>
      <c r="BU24" s="132">
        <v>0</v>
      </c>
      <c r="BV24" s="132">
        <v>0</v>
      </c>
      <c r="BW24" s="132">
        <v>0</v>
      </c>
      <c r="BX24" s="132">
        <v>0</v>
      </c>
      <c r="BY24" s="51">
        <v>0</v>
      </c>
      <c r="BZ24" s="51">
        <v>0</v>
      </c>
      <c r="CA24" s="51">
        <v>0</v>
      </c>
      <c r="CB24" s="51" t="s">
        <v>100</v>
      </c>
      <c r="CC24" s="51">
        <v>0</v>
      </c>
      <c r="CD24" s="51" t="s">
        <v>100</v>
      </c>
      <c r="CE24" s="51">
        <v>0</v>
      </c>
      <c r="CF24" s="107">
        <v>0</v>
      </c>
      <c r="CG24" s="51">
        <v>0</v>
      </c>
      <c r="CH24" s="51"/>
      <c r="CI24" s="51">
        <v>0</v>
      </c>
      <c r="CJ24" s="51" t="s">
        <v>100</v>
      </c>
      <c r="CK24" s="113">
        <v>0</v>
      </c>
      <c r="CL24" s="113"/>
      <c r="CM24" s="113"/>
      <c r="CN24" s="110">
        <v>0</v>
      </c>
      <c r="CO24" s="110">
        <v>0</v>
      </c>
      <c r="CP24" s="110">
        <v>0</v>
      </c>
      <c r="CQ24" s="110">
        <v>0</v>
      </c>
      <c r="CR24" s="108" t="str">
        <f t="shared" ref="CR24:CS24" si="41">HYPERLINK("https://books.google.com/books?id=9rcDAAAAMBAJ&amp;pg=PA6#v=onepage&amp;q&amp;f=false","1")</f>
        <v>1</v>
      </c>
      <c r="CS24" s="108" t="str">
        <f t="shared" si="41"/>
        <v>1</v>
      </c>
      <c r="CT24" s="110">
        <v>0</v>
      </c>
      <c r="CU24" s="110">
        <v>0</v>
      </c>
      <c r="CV24" s="108">
        <v>0</v>
      </c>
      <c r="CW24" s="110">
        <v>0</v>
      </c>
      <c r="CX24" s="110">
        <v>0</v>
      </c>
      <c r="CY24" s="110">
        <v>0</v>
      </c>
      <c r="CZ24" s="108" t="str">
        <f>HYPERLINK("https://www.upi.com/Archives/1982/08/09/Yes-I-know-hes-killing-people/2899397713600/","0")</f>
        <v>0</v>
      </c>
      <c r="DA24" s="51">
        <v>0</v>
      </c>
      <c r="DB24" s="51">
        <v>2</v>
      </c>
      <c r="DC24" s="101" t="str">
        <f>HYPERLINK("https://news.google.com/newspapers?id=JA4LAAAAIBAJ&amp;sjid=yVEDAAAAIBAJ&amp;pg=5061,3848480&amp;dq=john+parish","0")</f>
        <v>0</v>
      </c>
      <c r="DD24" s="51"/>
      <c r="DE24" s="51"/>
      <c r="DF24" s="51"/>
      <c r="DG24" s="51"/>
      <c r="DH24" s="51"/>
      <c r="DI24" s="51"/>
      <c r="DJ24" s="51">
        <v>0</v>
      </c>
      <c r="DK24" s="51">
        <v>0</v>
      </c>
      <c r="DL24" s="48" t="s">
        <v>100</v>
      </c>
      <c r="DM24" s="101" t="str">
        <f>HYPERLINK("https://www.nytimes.com/1982/08/10/us/digruntled-driver-slays-six-in-texas-dying-in-shootout.html","0")</f>
        <v>0</v>
      </c>
      <c r="DN24" s="51">
        <v>0</v>
      </c>
      <c r="DO24" s="51" t="s">
        <v>100</v>
      </c>
      <c r="DP24" s="101" t="str">
        <f t="shared" ref="DP24:DQ24" si="42">HYPERLINK("https://news.google.com/newspapers?id=JA4LAAAAIBAJ&amp;sjid=yVEDAAAAIBAJ&amp;pg=5061,3848480&amp;dq=john+parish","0")</f>
        <v>0</v>
      </c>
      <c r="DQ24" s="101" t="str">
        <f t="shared" si="42"/>
        <v>0</v>
      </c>
      <c r="DR24" s="48">
        <v>0</v>
      </c>
      <c r="DS24" s="51"/>
      <c r="DT24" s="101">
        <v>3</v>
      </c>
      <c r="DU24" s="101" t="str">
        <f>HYPERLINK("https://news.google.com/newspapers?id=KEslAAAAIBAJ&amp;sjid=B-QFAAAAIBAJ&amp;pg=5809,8230898","0")</f>
        <v>0</v>
      </c>
      <c r="DV24" s="48" t="s">
        <v>100</v>
      </c>
      <c r="DW24" s="101" t="str">
        <f>HYPERLINK("https://news.google.com/newspapers?id=Dx8MAAAAIBAJ&amp;sjid=010DAAAAIBAJ&amp;pg=4544,642609&amp;dq=rampage+texas","1")</f>
        <v>1</v>
      </c>
      <c r="DX24" s="101" t="str">
        <f>HYPERLINK("https://news.google.com/newspapers?id=Dx8MAAAAIBAJ&amp;sjid=010DAAAAIBAJ&amp;pg=4544,642609&amp;dq=rampage+texas","0")</f>
        <v>0</v>
      </c>
      <c r="DY24" s="48">
        <v>2</v>
      </c>
      <c r="DZ24" s="48">
        <v>0</v>
      </c>
    </row>
    <row r="25" spans="1:130" ht="50.25" customHeight="1">
      <c r="A25" s="96">
        <v>23</v>
      </c>
      <c r="B25" s="97" t="s">
        <v>193</v>
      </c>
      <c r="C25" s="97" t="s">
        <v>194</v>
      </c>
      <c r="D25" s="98">
        <v>30183</v>
      </c>
      <c r="E25" s="48" t="s">
        <v>157</v>
      </c>
      <c r="F25" s="99">
        <v>20</v>
      </c>
      <c r="G25" s="100" t="str">
        <f>HYPERLINK("https://www.nytimes.com/1982/08/21/us/gunman-in-miami-kills-8-in-rampage.html","8")</f>
        <v>8</v>
      </c>
      <c r="H25" s="105" t="str">
        <f>HYPERLINK("https://www.nytimes.com/1982/08/21/us/gunman-in-miami-kills-8-in-rampage.html","1982")</f>
        <v>1982</v>
      </c>
      <c r="I25" s="48" t="s">
        <v>195</v>
      </c>
      <c r="J25" s="105" t="str">
        <f>HYPERLINK("https://www.nytimes.com/1982/08/21/us/gunman-in-miami-kills-8-in-rampage.html","Miami")</f>
        <v>Miami</v>
      </c>
      <c r="K25" s="100" t="str">
        <f>HYPERLINK("http://www.nydailynews.com/news/crime/ex-teacher-gunned-8-fla-1982-offered-hint-future-article-1.3840706","9")</f>
        <v>9</v>
      </c>
      <c r="L25" s="100" t="str">
        <f>HYPERLINK("http://www.nydailynews.com/news/crime/ex-teacher-gunned-8-fla-1982-offered-hint-future-article-1.3840706","0")</f>
        <v>0</v>
      </c>
      <c r="M25" s="100" t="str">
        <f>HYPERLINK("http://worldpopulationreview.com/us-cities/miami-population/","0")</f>
        <v>0</v>
      </c>
      <c r="N25" s="100" t="str">
        <f>HYPERLINK("https://www.nytimes.com/1982/08/21/us/gunman-in-miami-kills-8-in-rampage.html","4")</f>
        <v>4</v>
      </c>
      <c r="O25" s="100" t="str">
        <f>HYPERLINK("https://www.nydailynews.com/news/crime/ex-teacher-gunned-8-fla-1982-offered-hint-future-article-1.3840706","0")</f>
        <v>0</v>
      </c>
      <c r="P25" s="99" t="s">
        <v>100</v>
      </c>
      <c r="Q25" s="103">
        <v>1</v>
      </c>
      <c r="R25" s="139">
        <v>2</v>
      </c>
      <c r="S25" s="100" t="str">
        <f>HYPERLINK("https://www.nytimes.com/1982/08/21/us/gunman-in-miami-kills-8-in-rampage.html","8")</f>
        <v>8</v>
      </c>
      <c r="T25" s="100">
        <v>3</v>
      </c>
      <c r="U25" s="48">
        <v>0</v>
      </c>
      <c r="V25" s="105" t="str">
        <f>HYPERLINK("https://www.nytimes.com/1982/08/21/us/gunman-in-miami-kills-8-in-rampage.html","51")</f>
        <v>51</v>
      </c>
      <c r="W25" s="105" t="str">
        <f>HYPERLINK("https://www.nytimes.com/1982/08/21/us/gunman-in-miami-kills-8-in-rampage.html","0")</f>
        <v>0</v>
      </c>
      <c r="X25" s="105" t="str">
        <f>HYPERLINK("https://www.nydailynews.com/news/crime/ex-teacher-gunned-8-fla-1982-offered-hint-future-article-1.3840706","0")</f>
        <v>0</v>
      </c>
      <c r="Y25" s="48">
        <v>0</v>
      </c>
      <c r="Z25" s="105" t="str">
        <f>HYPERLINK("https://www.nytimes.com/1982/08/21/us/gunman-in-miami-kills-8-in-rampage.html","0")</f>
        <v>0</v>
      </c>
      <c r="AA25" s="48">
        <v>0</v>
      </c>
      <c r="AB25" s="105">
        <v>4</v>
      </c>
      <c r="AC25" s="101" t="str">
        <f>HYPERLINK("https://www.nydailynews.com/news/crime/ex-teacher-gunned-8-fla-1982-offered-hint-future-article-1.3840706","2")</f>
        <v>2</v>
      </c>
      <c r="AD25" s="101" t="str">
        <f>HYPERLINK("https://www.nydailynews.com/news/crime/ex-teacher-gunned-8-fla-1982-offered-hint-future-article-1.3840706","teaching degree, assumed good grades")</f>
        <v>teaching degree, assumed good grades</v>
      </c>
      <c r="AE25" s="48"/>
      <c r="AF25" s="48"/>
      <c r="AG25" s="48"/>
      <c r="AH25" s="48"/>
      <c r="AI25" s="105" t="str">
        <f>HYPERLINK("https://www.nytimes.com/1982/08/21/us/gunman-in-miami-kills-8-in-rampage.html","3")</f>
        <v>3</v>
      </c>
      <c r="AJ25" s="105" t="str">
        <f>HYPERLINK("https://www.nydailynews.com/news/crime/ex-teacher-gunned-8-fla-1982-offered-hint-future-article-1.3840706","1")</f>
        <v>1</v>
      </c>
      <c r="AK25" s="105" t="str">
        <f>HYPERLINK("https://www.nytimes.com/1982/08/21/us/gunman-in-miami-kills-8-in-rampage.html","0")</f>
        <v>0</v>
      </c>
      <c r="AL25" s="105" t="str">
        <f>HYPERLINK("https://www.nytimes.com/1982/08/21/us/gunman-in-miami-kills-8-in-rampage.html","1")</f>
        <v>1</v>
      </c>
      <c r="AM25" s="105" t="str">
        <f t="shared" ref="AM25:AN25" si="43">HYPERLINK("http://www.nydailynews.com/news/crime/ex-teacher-gunned-8-fla-1982-offered-hint-future-article-1.3840706","1")</f>
        <v>1</v>
      </c>
      <c r="AN25" s="105" t="str">
        <f t="shared" si="43"/>
        <v>1</v>
      </c>
      <c r="AO25" s="101" t="str">
        <f>HYPERLINK("https://www.nytimes.com/1982/08/21/us/gunman-in-miami-kills-8-in-rampage.html","0")</f>
        <v>0</v>
      </c>
      <c r="AP25" s="51"/>
      <c r="AQ25" s="48">
        <v>0</v>
      </c>
      <c r="AR25" s="48">
        <v>0</v>
      </c>
      <c r="AS25" s="51">
        <v>0</v>
      </c>
      <c r="AT25" s="105">
        <v>1</v>
      </c>
      <c r="AU25" s="105">
        <v>3</v>
      </c>
      <c r="AV25" s="105"/>
      <c r="AW25" s="105"/>
      <c r="AX25" s="48">
        <v>0</v>
      </c>
      <c r="AY25" s="48">
        <v>0</v>
      </c>
      <c r="AZ25" s="48">
        <v>0</v>
      </c>
      <c r="BA25" s="48">
        <v>0</v>
      </c>
      <c r="BB25" s="107">
        <v>3</v>
      </c>
      <c r="BC25" s="48">
        <v>0</v>
      </c>
      <c r="BD25" s="48">
        <v>0</v>
      </c>
      <c r="BE25" s="48"/>
      <c r="BF25" s="48">
        <v>0</v>
      </c>
      <c r="BG25" s="48" t="s">
        <v>818</v>
      </c>
      <c r="BH25" s="48"/>
      <c r="BI25" s="48">
        <v>0</v>
      </c>
      <c r="BJ25" s="105" t="str">
        <f>HYPERLINK("https://www.nydailynews.com/news/crime/ex-teacher-gunned-8-fla-1982-offered-hint-future-article-1.3840706","1")</f>
        <v>1</v>
      </c>
      <c r="BK25" s="105" t="str">
        <f>HYPERLINK("https://www.nydailynews.com/news/crime/ex-teacher-gunned-8-fla-1982-offered-hint-future-article-1.3840706","0")</f>
        <v>0</v>
      </c>
      <c r="BL25" s="118" t="str">
        <f>HYPERLINK("https://www.nydailynews.com/news/crime/ex-teacher-gunned-8-fla-1982-offered-hint-future-article-1.3840706","1")</f>
        <v>1</v>
      </c>
      <c r="BM25" s="118">
        <v>3</v>
      </c>
      <c r="BN25" s="113" t="s">
        <v>3052</v>
      </c>
      <c r="BO25" s="129">
        <v>1</v>
      </c>
      <c r="BP25" s="129">
        <v>1</v>
      </c>
      <c r="BQ25" s="129">
        <v>0</v>
      </c>
      <c r="BR25" s="129">
        <v>0</v>
      </c>
      <c r="BS25" s="129">
        <v>1</v>
      </c>
      <c r="BT25" s="129">
        <v>1</v>
      </c>
      <c r="BU25" s="129">
        <v>1</v>
      </c>
      <c r="BV25" s="129">
        <v>1</v>
      </c>
      <c r="BW25" s="129">
        <v>1</v>
      </c>
      <c r="BX25" s="129">
        <v>1</v>
      </c>
      <c r="BY25" s="48">
        <v>0</v>
      </c>
      <c r="BZ25" s="105" t="str">
        <f>HYPERLINK("https://www.nydailynews.com/news/crime/ex-teacher-gunned-8-fla-1982-offered-hint-future-article-1.3840706","0")</f>
        <v>0</v>
      </c>
      <c r="CA25" s="105" t="str">
        <f t="shared" ref="CA25:CB25" si="44">HYPERLINK("https://palmbeachpost.newspapers.com/image/?clipping_id=42593529&amp;fcfToken=eyJhbGciOiJIUzI1NiIsInR5cCI6IkpXVCJ9.eyJmcmVlLXZpZXctaWQiOjMwMzM5NDI0NywiaWF0IjoxNTgzNTI0NzIwLCJleHAiOjE1ODM2MTExMjB9.gC5Zc6AD6tZoZfNvGRfnv6GKSQwz3URVSKb2lJROTvE","1")</f>
        <v>1</v>
      </c>
      <c r="CB25" s="105" t="str">
        <f t="shared" si="44"/>
        <v>1</v>
      </c>
      <c r="CC25" s="105" t="str">
        <f>HYPERLINK("https://www.nydailynews.com/news/crime/ex-teacher-gunned-8-fla-1982-offered-hint-future-article-1.3840706","0")</f>
        <v>0</v>
      </c>
      <c r="CD25" s="52">
        <v>0</v>
      </c>
      <c r="CE25" s="105" t="str">
        <f>HYPERLINK("https://www.nydailynews.com/news/crime/ex-teacher-gunned-8-fla-1982-offered-hint-future-article-1.3840706","2")</f>
        <v>2</v>
      </c>
      <c r="CF25" s="52">
        <v>0</v>
      </c>
      <c r="CG25" s="48">
        <v>0</v>
      </c>
      <c r="CH25" s="105" t="str">
        <f>HYPERLINK("https://www.upi.com/Archives/1982/08/21/A-mentally-troubled-high-school-teacher-who-gunned-down/4143398750400/","5")</f>
        <v>5</v>
      </c>
      <c r="CI25" s="48">
        <v>0</v>
      </c>
      <c r="CJ25" s="51" t="s">
        <v>100</v>
      </c>
      <c r="CK25" s="128">
        <v>1</v>
      </c>
      <c r="CL25" s="128"/>
      <c r="CM25" s="128"/>
      <c r="CN25" s="118">
        <v>0</v>
      </c>
      <c r="CO25" s="116">
        <v>0</v>
      </c>
      <c r="CP25" s="116">
        <v>0</v>
      </c>
      <c r="CQ25" s="116">
        <v>0</v>
      </c>
      <c r="CR25" s="118">
        <v>0</v>
      </c>
      <c r="CS25" s="116">
        <v>0</v>
      </c>
      <c r="CT25" s="116">
        <v>0</v>
      </c>
      <c r="CU25" s="116">
        <v>0</v>
      </c>
      <c r="CV25" s="118" t="str">
        <f>HYPERLINK("https://www.nydailynews.com/news/crime/ex-teacher-gunned-8-fla-1982-offered-hint-future-article-1.3840706","1")</f>
        <v>1</v>
      </c>
      <c r="CW25" s="116">
        <v>0</v>
      </c>
      <c r="CX25" s="116">
        <v>0</v>
      </c>
      <c r="CY25" s="116">
        <v>0</v>
      </c>
      <c r="CZ25" s="118" t="str">
        <f>HYPERLINK("https://www.nytimes.com/1982/08/21/us/gunman-in-miami-kills-8-in-rampage.html","0")</f>
        <v>0</v>
      </c>
      <c r="DA25" s="105">
        <v>2</v>
      </c>
      <c r="DB25" s="48">
        <v>2</v>
      </c>
      <c r="DC25" s="133" t="str">
        <f>HYPERLINK("https://www.nydailynews.com/news/crime/ex-teacher-gunned-8-fla-1982-offered-hint-future-article-1.3840706","1")</f>
        <v>1</v>
      </c>
      <c r="DD25" s="107">
        <v>0</v>
      </c>
      <c r="DE25" s="107">
        <v>1</v>
      </c>
      <c r="DF25" s="107">
        <v>1</v>
      </c>
      <c r="DG25" s="107"/>
      <c r="DH25" s="107"/>
      <c r="DI25" s="107"/>
      <c r="DJ25" s="48">
        <v>0</v>
      </c>
      <c r="DK25" s="48">
        <v>0</v>
      </c>
      <c r="DL25" s="48" t="s">
        <v>100</v>
      </c>
      <c r="DM25" s="105" t="str">
        <f>HYPERLINK("https://www.nydailynews.com/news/crime/ex-teacher-gunned-8-fla-1982-offered-hint-future-article-1.3840706","1")</f>
        <v>1</v>
      </c>
      <c r="DN25" s="48">
        <v>0</v>
      </c>
      <c r="DO25" s="48" t="s">
        <v>100</v>
      </c>
      <c r="DP25" s="105" t="str">
        <f>HYPERLINK("https://www.nytimes.com/1982/08/24/us/no-charges-planned-against-miami-man-who-shot-gunman.html","0")</f>
        <v>0</v>
      </c>
      <c r="DQ25" s="105" t="str">
        <f>HYPERLINK("https://www.nytimes.com/1982/08/21/us/gunman-in-miami-kills-8-in-rampage.html","0")</f>
        <v>0</v>
      </c>
      <c r="DR25" s="48">
        <v>0</v>
      </c>
      <c r="DS25" s="101" t="str">
        <f>HYPERLINK("http://www.nydailynews.com/news/crime/ex-teacher-gunned-8-fla-1982-offered-hint-future-article-1.3840706","3")</f>
        <v>3</v>
      </c>
      <c r="DT25" s="105" t="str">
        <f>HYPERLINK("https://www.nytimes.com/1982/08/21/us/gunman-in-miami-kills-8-in-rampage.html","1")</f>
        <v>1</v>
      </c>
      <c r="DU25" s="105" t="str">
        <f>HYPERLINK("https://www.nytimes.com/1982/08/24/us/no-charges-planned-against-miami-man-who-shot-gunman.html","0")</f>
        <v>0</v>
      </c>
      <c r="DV25" s="48" t="s">
        <v>100</v>
      </c>
      <c r="DW25" s="105" t="str">
        <f>HYPERLINK("https://www.nytimes.com/1982/08/21/us/gunman-in-miami-kills-8-in-rampage.html","1")</f>
        <v>1</v>
      </c>
      <c r="DX25" s="48"/>
      <c r="DY25" s="48">
        <v>2</v>
      </c>
      <c r="DZ25" s="48">
        <v>0</v>
      </c>
    </row>
    <row r="26" spans="1:130" ht="50.25" customHeight="1">
      <c r="A26" s="96">
        <v>24</v>
      </c>
      <c r="B26" s="97" t="s">
        <v>197</v>
      </c>
      <c r="C26" s="97" t="s">
        <v>198</v>
      </c>
      <c r="D26" s="98">
        <v>30350</v>
      </c>
      <c r="E26" s="48" t="s">
        <v>178</v>
      </c>
      <c r="F26" s="99">
        <v>3</v>
      </c>
      <c r="G26" s="100" t="str">
        <f>HYPERLINK("https://www.nytimes.com/1983/02/04/nyregion/gunman-kills-four-and-wounds-a-fifth-at-a-west-side-hotel.html","2")</f>
        <v>2</v>
      </c>
      <c r="H26" s="105" t="str">
        <f>HYPERLINK("https://www.nytimes.com/1983/02/04/nyregion/gunman-kills-four-and-wounds-a-fifth-at-a-west-side-hotel.html","1983")</f>
        <v>1983</v>
      </c>
      <c r="I26" s="48" t="s">
        <v>199</v>
      </c>
      <c r="J26" s="105" t="str">
        <f>HYPERLINK("https://www.upi.com/Archives/1983/02/03/A-handyman-at-a-shabby-Manhattan-hotel-Thursday-killed/1461413096400/","Manhattan")</f>
        <v>Manhattan</v>
      </c>
      <c r="K26" s="100" t="str">
        <f>HYPERLINK("https://www.nytimes.com/1983/02/04/nyregion/gunman-kills-four-and-wounds-a-fifth-at-a-west-side-hotel.html","32")</f>
        <v>32</v>
      </c>
      <c r="L26" s="100" t="str">
        <f>HYPERLINK("https://www.nytimes.com/1983/02/04/nyregion/gunman-kills-four-and-wounds-a-fifth-at-a-west-side-hotel.html","2")</f>
        <v>2</v>
      </c>
      <c r="M26" s="100" t="str">
        <f>HYPERLINK("https://www.nytimes.com/1983/02/04/nyregion/gunman-kills-four-and-wounds-a-fifth-at-a-west-side-hotel.html","0")</f>
        <v>0</v>
      </c>
      <c r="N26" s="100" t="str">
        <f>HYPERLINK("https://www.nytimes.com/1983/02/04/nyregion/gunman-kills-four-and-wounds-a-fifth-at-a-west-side-hotel.html","6")</f>
        <v>6</v>
      </c>
      <c r="O26" s="100" t="str">
        <f>HYPERLINK("https://www.nytimes.com/1983/02/04/nyregion/gunman-kills-four-and-wounds-a-fifth-at-a-west-side-hotel.html","1")</f>
        <v>1</v>
      </c>
      <c r="P26" s="99" t="s">
        <v>100</v>
      </c>
      <c r="Q26" s="103">
        <v>0</v>
      </c>
      <c r="R26" s="103">
        <v>0</v>
      </c>
      <c r="S26" s="100" t="str">
        <f>HYPERLINK("https://www.nytimes.com/1983/02/04/nyregion/gunman-kills-four-and-wounds-a-fifth-at-a-west-side-hotel.html","4")</f>
        <v>4</v>
      </c>
      <c r="T26" s="100" t="str">
        <f>HYPERLINK("https://www.upi.com/Archives/1983/02/03/A-handyman-at-a-shabby-Manhattan-hotel-Thursday-killed/1461413096400/","1")</f>
        <v>1</v>
      </c>
      <c r="U26" s="105" t="str">
        <f>HYPERLINK("https://www.nytimes.com/1983/02/04/nyregion/gunman-kills-four-and-wounds-a-fifth-at-a-west-side-hotel.html","0")</f>
        <v>0</v>
      </c>
      <c r="V26" s="105" t="str">
        <f>HYPERLINK("https://www.nytimes.com/1983/02/04/nyregion/gunman-kills-four-and-wounds-a-fifth-at-a-west-side-hotel.html","41")</f>
        <v>41</v>
      </c>
      <c r="W26" s="105" t="str">
        <f>HYPERLINK("https://www.nytimes.com/1983/02/04/nyregion/gunman-kills-four-and-wounds-a-fifth-at-a-west-side-hotel.html","0")</f>
        <v>0</v>
      </c>
      <c r="X26" s="48"/>
      <c r="Y26" s="48">
        <v>0</v>
      </c>
      <c r="Z26" s="105" t="str">
        <f>HYPERLINK("https://www.nytimes.com/1983/02/04/nyregion/gunman-kills-four-and-wounds-a-fifth-at-a-west-side-hotel.html","0")</f>
        <v>0</v>
      </c>
      <c r="AA26" s="48"/>
      <c r="AB26" s="48"/>
      <c r="AC26" s="51"/>
      <c r="AD26" s="51"/>
      <c r="AE26" s="48"/>
      <c r="AF26" s="48"/>
      <c r="AG26" s="48"/>
      <c r="AH26" s="48"/>
      <c r="AI26" s="105" t="str">
        <f>HYPERLINK("https://www.upi.com/Archives/1983/02/03/A-handyman-at-a-shabby-Manhattan-hotel-Thursday-killed/1461413096400/","2")</f>
        <v>2</v>
      </c>
      <c r="AJ26" s="48">
        <v>0</v>
      </c>
      <c r="AK26" s="105" t="str">
        <f>HYPERLINK("https://www.upi.com/Archives/1983/02/03/A-handyman-at-a-shabby-Manhattan-hotel-Thursday-killed/1461413096400/","1")</f>
        <v>1</v>
      </c>
      <c r="AL26" s="105" t="str">
        <f>HYPERLINK("https://www.upi.com/Archives/1983/02/03/A-handyman-at-a-shabby-Manhattan-hotel-Thursday-killed/1461413096400/","0")</f>
        <v>0</v>
      </c>
      <c r="AM26" s="48">
        <v>0</v>
      </c>
      <c r="AN26" s="48" t="s">
        <v>100</v>
      </c>
      <c r="AO26" s="51"/>
      <c r="AP26" s="51"/>
      <c r="AQ26" s="48"/>
      <c r="AR26" s="105" t="str">
        <f>HYPERLINK("https://www.upi.com/Archives/1983/02/03/A-handyman-at-a-shabby-Manhattan-hotel-Thursday-killed/1461413096400/","0")</f>
        <v>0</v>
      </c>
      <c r="AS26" s="105" t="str">
        <f t="shared" ref="AS26:AT26" si="45">HYPERLINK("https://www.upi.com/Archives/1983/02/03/A-handyman-at-a-shabby-Manhattan-hotel-Thursday-killed/1461413096400/","1")</f>
        <v>1</v>
      </c>
      <c r="AT26" s="105" t="str">
        <f t="shared" si="45"/>
        <v>1</v>
      </c>
      <c r="AU26" s="105">
        <v>3</v>
      </c>
      <c r="AV26" s="48"/>
      <c r="AW26" s="48"/>
      <c r="AX26" s="48">
        <v>0</v>
      </c>
      <c r="AY26" s="48">
        <v>0</v>
      </c>
      <c r="AZ26" s="48">
        <v>0</v>
      </c>
      <c r="BA26" s="48">
        <v>0</v>
      </c>
      <c r="BB26" s="51">
        <v>3</v>
      </c>
      <c r="BC26" s="105" t="str">
        <f>HYPERLINK("https://www.upi.com/Archives/1983/02/03/A-handyman-at-a-shabby-Manhattan-hotel-Thursday-killed/1461413096400/","1")</f>
        <v>1</v>
      </c>
      <c r="BD26" s="48">
        <v>0</v>
      </c>
      <c r="BE26" s="48"/>
      <c r="BF26" s="48"/>
      <c r="BG26" s="48"/>
      <c r="BH26" s="48"/>
      <c r="BI26" s="48">
        <v>0</v>
      </c>
      <c r="BJ26" s="105" t="str">
        <f>HYPERLINK("https://www.nytimes.com/1983/02/04/nyregion/gunman-kills-four-and-wounds-a-fifth-at-a-west-side-hotel.html","0")</f>
        <v>0</v>
      </c>
      <c r="BK26" s="105" t="str">
        <f t="shared" ref="BK26" si="46">HYPERLINK("https://www.upi.com/Archives/1983/02/03/A-handyman-at-a-shabby-Manhattan-hotel-Thursday-killed/1461413096400/","1")</f>
        <v>1</v>
      </c>
      <c r="BL26" s="118">
        <v>0</v>
      </c>
      <c r="BM26" s="118" t="s">
        <v>100</v>
      </c>
      <c r="BN26" s="131"/>
      <c r="BO26" s="132">
        <v>0</v>
      </c>
      <c r="BP26" s="132">
        <v>0</v>
      </c>
      <c r="BQ26" s="132">
        <v>0</v>
      </c>
      <c r="BR26" s="132">
        <v>0</v>
      </c>
      <c r="BS26" s="132">
        <v>0</v>
      </c>
      <c r="BT26" s="132">
        <v>0</v>
      </c>
      <c r="BU26" s="132">
        <v>0</v>
      </c>
      <c r="BV26" s="132">
        <v>0</v>
      </c>
      <c r="BW26" s="132">
        <v>0</v>
      </c>
      <c r="BX26" s="132">
        <v>0</v>
      </c>
      <c r="BY26" s="105" t="str">
        <f>HYPERLINK("https://www.nytimes.com/1983/02/04/nyregion/gunman-kills-four-and-wounds-a-fifth-at-a-west-side-hotel.html","0")</f>
        <v>0</v>
      </c>
      <c r="BZ26" s="48">
        <v>0</v>
      </c>
      <c r="CA26" s="48">
        <v>0</v>
      </c>
      <c r="CB26" s="48" t="s">
        <v>100</v>
      </c>
      <c r="CC26" s="48">
        <v>0</v>
      </c>
      <c r="CD26" s="48" t="s">
        <v>100</v>
      </c>
      <c r="CE26" s="105" t="str">
        <f>HYPERLINK("https://www.upi.com/Archives/1983/02/03/A-handyman-at-a-shabby-Manhattan-hotel-Thursday-killed/1461413096400/","5")</f>
        <v>5</v>
      </c>
      <c r="CF26" s="52">
        <v>0</v>
      </c>
      <c r="CG26" s="48">
        <v>0</v>
      </c>
      <c r="CH26" s="48"/>
      <c r="CI26" s="48">
        <v>0</v>
      </c>
      <c r="CJ26" s="51" t="s">
        <v>100</v>
      </c>
      <c r="CK26" s="129">
        <v>0</v>
      </c>
      <c r="CL26" s="129"/>
      <c r="CM26" s="129"/>
      <c r="CN26" s="116">
        <v>0</v>
      </c>
      <c r="CO26" s="116">
        <v>0</v>
      </c>
      <c r="CP26" s="116">
        <v>0</v>
      </c>
      <c r="CQ26" s="116">
        <v>0</v>
      </c>
      <c r="CR26" s="127">
        <v>1</v>
      </c>
      <c r="CS26" s="116">
        <v>0</v>
      </c>
      <c r="CT26" s="116">
        <v>0</v>
      </c>
      <c r="CU26" s="116">
        <v>0</v>
      </c>
      <c r="CV26" s="116">
        <v>0</v>
      </c>
      <c r="CW26" s="116">
        <v>0</v>
      </c>
      <c r="CX26" s="116">
        <v>0</v>
      </c>
      <c r="CY26" s="127">
        <v>1</v>
      </c>
      <c r="CZ26" s="127">
        <v>1</v>
      </c>
      <c r="DA26" s="48">
        <v>0</v>
      </c>
      <c r="DB26" s="105" t="str">
        <f>HYPERLINK("https://www.nytimes.com/1983/02/04/nyregion/gunman-kills-four-and-wounds-a-fifth-at-a-west-side-hotel.html","2")</f>
        <v>2</v>
      </c>
      <c r="DC26" s="48">
        <v>0</v>
      </c>
      <c r="DD26" s="48"/>
      <c r="DE26" s="48"/>
      <c r="DF26" s="48"/>
      <c r="DG26" s="48"/>
      <c r="DH26" s="48"/>
      <c r="DI26" s="48"/>
      <c r="DJ26" s="48">
        <v>0</v>
      </c>
      <c r="DK26" s="48">
        <v>0</v>
      </c>
      <c r="DL26" s="48" t="s">
        <v>100</v>
      </c>
      <c r="DM26" s="105" t="str">
        <f>HYPERLINK("https://www.nytimes.com/1983/02/04/nyregion/gunman-kills-four-and-wounds-a-fifth-at-a-west-side-hotel.html","0")</f>
        <v>0</v>
      </c>
      <c r="DN26" s="48">
        <v>0</v>
      </c>
      <c r="DO26" s="48" t="s">
        <v>100</v>
      </c>
      <c r="DP26" s="105" t="str">
        <f t="shared" ref="DP26:DQ26" si="47">HYPERLINK("https://www.upi.com/Archives/1983/02/03/A-handyman-at-a-shabby-Manhattan-hotel-Thursday-killed/1461413096400/","0")</f>
        <v>0</v>
      </c>
      <c r="DQ26" s="105" t="str">
        <f t="shared" si="47"/>
        <v>0</v>
      </c>
      <c r="DR26" s="48">
        <v>0</v>
      </c>
      <c r="DS26" s="51"/>
      <c r="DT26" s="105" t="str">
        <f t="shared" ref="DT26" si="48">HYPERLINK("https://www.nytimes.com/1983/02/04/nyregion/gunman-kills-four-and-wounds-a-fifth-at-a-west-side-hotel.html","1")</f>
        <v>1</v>
      </c>
      <c r="DU26" s="105" t="str">
        <f>HYPERLINK("https://www.nytimes.com/1983/02/04/nyregion/gunman-kills-four-and-wounds-a-fifth-at-a-west-side-hotel.html","0")</f>
        <v>0</v>
      </c>
      <c r="DV26" s="48" t="s">
        <v>100</v>
      </c>
      <c r="DW26" s="105" t="str">
        <f>HYPERLINK("https://www.nytimes.com/1983/02/04/nyregion/gunman-kills-four-and-wounds-a-fifth-at-a-west-side-hotel.html","2")</f>
        <v>2</v>
      </c>
      <c r="DX26" s="105" t="str">
        <f>HYPERLINK("https://www.nytimes.com/1983/02/04/nyregion/gunman-kills-four-and-wounds-a-fifth-at-a-west-side-hotel.html","0")</f>
        <v>0</v>
      </c>
      <c r="DY26" s="48"/>
      <c r="DZ26" s="48"/>
    </row>
    <row r="27" spans="1:130" ht="50.25" customHeight="1">
      <c r="A27" s="96">
        <v>25</v>
      </c>
      <c r="B27" s="96" t="s">
        <v>201</v>
      </c>
      <c r="C27" s="97" t="s">
        <v>202</v>
      </c>
      <c r="D27" s="98">
        <v>30376</v>
      </c>
      <c r="E27" s="48" t="s">
        <v>203</v>
      </c>
      <c r="F27" s="119">
        <v>1</v>
      </c>
      <c r="G27" s="102">
        <v>3</v>
      </c>
      <c r="H27" s="101">
        <v>1983</v>
      </c>
      <c r="I27" s="48" t="s">
        <v>204</v>
      </c>
      <c r="J27" s="101" t="s">
        <v>205</v>
      </c>
      <c r="K27" s="102">
        <v>2</v>
      </c>
      <c r="L27" s="102">
        <v>3</v>
      </c>
      <c r="M27" s="102">
        <v>2</v>
      </c>
      <c r="N27" s="122">
        <v>8</v>
      </c>
      <c r="O27" s="102">
        <v>1</v>
      </c>
      <c r="P27" s="122">
        <v>7</v>
      </c>
      <c r="Q27" s="140">
        <v>0</v>
      </c>
      <c r="R27" s="140">
        <v>0</v>
      </c>
      <c r="S27" s="102">
        <v>6</v>
      </c>
      <c r="T27" s="102">
        <v>2</v>
      </c>
      <c r="U27" s="101" t="str">
        <f>HYPERLINK("https://www.nytimes.com/1983/03/03/us/6-killed-in-alaska-in-shooting-spree.html","0")</f>
        <v>0</v>
      </c>
      <c r="V27" s="101">
        <v>39</v>
      </c>
      <c r="W27" s="101">
        <v>0</v>
      </c>
      <c r="X27" s="101">
        <v>0</v>
      </c>
      <c r="Y27" s="105">
        <v>0</v>
      </c>
      <c r="Z27" s="101">
        <v>0</v>
      </c>
      <c r="AA27" s="51"/>
      <c r="AB27" s="101"/>
      <c r="AC27" s="123">
        <v>2</v>
      </c>
      <c r="AD27" s="123" t="s">
        <v>2946</v>
      </c>
      <c r="AE27" s="51"/>
      <c r="AF27" s="123">
        <v>1</v>
      </c>
      <c r="AG27" s="51"/>
      <c r="AH27" s="51"/>
      <c r="AI27" s="101">
        <v>3</v>
      </c>
      <c r="AJ27" s="51">
        <v>0</v>
      </c>
      <c r="AK27" s="101" t="str">
        <f>HYPERLINK("https://www.nytimes.com/1983/03/03/us/6-killed-in-alaska-in-shooting-spree.html","0")</f>
        <v>0</v>
      </c>
      <c r="AL27" s="101" t="str">
        <f>HYPERLINK("https://www.nytimes.com/1983/03/03/us/6-killed-in-alaska-in-shooting-spree.html","2")</f>
        <v>2</v>
      </c>
      <c r="AM27" s="105">
        <v>1</v>
      </c>
      <c r="AN27" s="101">
        <v>2</v>
      </c>
      <c r="AO27" s="123">
        <v>3</v>
      </c>
      <c r="AP27" s="123" t="s">
        <v>2947</v>
      </c>
      <c r="AQ27" s="101" t="str">
        <f>HYPERLINK("https://law.justia.com/cases/alaska/court-of-appeals/1987/a-602-0.html","0")</f>
        <v>0</v>
      </c>
      <c r="AR27" s="51">
        <v>0</v>
      </c>
      <c r="AS27" s="101">
        <v>0</v>
      </c>
      <c r="AT27" s="48">
        <v>0</v>
      </c>
      <c r="AU27" s="48" t="s">
        <v>100</v>
      </c>
      <c r="AV27" s="48" t="s">
        <v>100</v>
      </c>
      <c r="AW27" s="48" t="s">
        <v>100</v>
      </c>
      <c r="AX27" s="48">
        <v>0</v>
      </c>
      <c r="AY27" s="51">
        <v>0</v>
      </c>
      <c r="AZ27" s="51">
        <v>0</v>
      </c>
      <c r="BA27" s="51">
        <v>0</v>
      </c>
      <c r="BB27" s="107">
        <v>3</v>
      </c>
      <c r="BC27" s="101">
        <v>0</v>
      </c>
      <c r="BD27" s="101">
        <v>0</v>
      </c>
      <c r="BE27" s="101">
        <v>0</v>
      </c>
      <c r="BF27" s="101">
        <v>0</v>
      </c>
      <c r="BG27" s="101">
        <v>1</v>
      </c>
      <c r="BH27" s="51">
        <v>0</v>
      </c>
      <c r="BI27" s="51">
        <v>0</v>
      </c>
      <c r="BJ27" s="101">
        <v>1</v>
      </c>
      <c r="BK27" s="101">
        <v>0</v>
      </c>
      <c r="BL27" s="108">
        <v>0</v>
      </c>
      <c r="BM27" s="108"/>
      <c r="BN27" s="110"/>
      <c r="BO27" s="110">
        <v>0</v>
      </c>
      <c r="BP27" s="110">
        <v>0</v>
      </c>
      <c r="BQ27" s="110">
        <v>0</v>
      </c>
      <c r="BR27" s="110">
        <v>0</v>
      </c>
      <c r="BS27" s="110">
        <v>0</v>
      </c>
      <c r="BT27" s="110">
        <v>0</v>
      </c>
      <c r="BU27" s="110">
        <v>0</v>
      </c>
      <c r="BV27" s="110">
        <v>0</v>
      </c>
      <c r="BW27" s="110">
        <v>0</v>
      </c>
      <c r="BX27" s="110">
        <v>0</v>
      </c>
      <c r="BY27" s="101">
        <v>1</v>
      </c>
      <c r="BZ27" s="51">
        <v>0</v>
      </c>
      <c r="CA27" s="51">
        <v>0</v>
      </c>
      <c r="CB27" s="51" t="s">
        <v>100</v>
      </c>
      <c r="CC27" s="51">
        <v>0</v>
      </c>
      <c r="CD27" s="51" t="s">
        <v>100</v>
      </c>
      <c r="CE27" s="101">
        <v>3</v>
      </c>
      <c r="CF27" s="107">
        <v>0</v>
      </c>
      <c r="CG27" s="51">
        <v>0</v>
      </c>
      <c r="CH27" s="101">
        <v>1</v>
      </c>
      <c r="CI27" s="101">
        <v>1</v>
      </c>
      <c r="CJ27" s="123" t="str">
        <f>HYPERLINK("https://www.washingtonpost.com/archive/politics/1983/12/15/after-murder-rampage-a-test-of-survival/08bb8578-7f36-4dde-b3ce-076fbcb61aff/","unspecified ""poor health""")</f>
        <v>unspecified "poor health"</v>
      </c>
      <c r="CK27" s="113">
        <v>0</v>
      </c>
      <c r="CL27" s="113"/>
      <c r="CM27" s="113"/>
      <c r="CN27" s="110">
        <v>0</v>
      </c>
      <c r="CO27" s="110">
        <v>0</v>
      </c>
      <c r="CP27" s="110">
        <v>0</v>
      </c>
      <c r="CQ27" s="110">
        <v>0</v>
      </c>
      <c r="CR27" s="110">
        <v>0</v>
      </c>
      <c r="CS27" s="110">
        <v>0</v>
      </c>
      <c r="CT27" s="110">
        <v>0</v>
      </c>
      <c r="CU27" s="110">
        <v>0</v>
      </c>
      <c r="CV27" s="110">
        <v>0</v>
      </c>
      <c r="CW27" s="110">
        <v>0</v>
      </c>
      <c r="CX27" s="108">
        <v>1</v>
      </c>
      <c r="CY27" s="110">
        <v>0</v>
      </c>
      <c r="CZ27" s="108">
        <v>0</v>
      </c>
      <c r="DA27" s="51">
        <v>0</v>
      </c>
      <c r="DB27" s="51">
        <v>2</v>
      </c>
      <c r="DC27" s="101">
        <v>0</v>
      </c>
      <c r="DD27" s="51"/>
      <c r="DE27" s="51"/>
      <c r="DF27" s="51"/>
      <c r="DG27" s="51"/>
      <c r="DH27" s="51"/>
      <c r="DI27" s="51"/>
      <c r="DJ27" s="51">
        <v>0</v>
      </c>
      <c r="DK27" s="51">
        <v>0</v>
      </c>
      <c r="DL27" s="48" t="s">
        <v>100</v>
      </c>
      <c r="DM27" s="101" t="str">
        <f>HYPERLINK("https://www.nytimes.com/1983/03/03/us/6-killed-in-alaska-in-shooting-spree.html","0")</f>
        <v>0</v>
      </c>
      <c r="DN27" s="51">
        <v>0</v>
      </c>
      <c r="DO27" s="51" t="s">
        <v>100</v>
      </c>
      <c r="DP27" s="101" t="str">
        <f>HYPERLINK("https://law.justia.com/cases/alaska/court-of-appeals/1987/a-602-0.html","1")</f>
        <v>1</v>
      </c>
      <c r="DQ27" s="101">
        <v>0</v>
      </c>
      <c r="DR27" s="105">
        <v>1</v>
      </c>
      <c r="DS27" s="123">
        <v>3</v>
      </c>
      <c r="DT27" s="101">
        <v>3</v>
      </c>
      <c r="DU27" s="101">
        <v>1</v>
      </c>
      <c r="DV27" s="101" t="s">
        <v>206</v>
      </c>
      <c r="DW27" s="101">
        <v>2</v>
      </c>
      <c r="DX27" s="101" t="str">
        <f>HYPERLINK("https://law.justia.com/cases/alaska/court-of-appeals/1987/a-602-0.html","1")</f>
        <v>1</v>
      </c>
      <c r="DY27" s="105" t="str">
        <f>HYPERLINK("https://www.washingtonpost.com/archive/politics/1983/12/15/after-murder-rampage-a-test-of-survival/08bb8578-7f36-4dde-b3ce-076fbcb61aff/","1")</f>
        <v>1</v>
      </c>
      <c r="DZ27" s="133" t="str">
        <f>HYPERLINK("https://www.nytimes.com/1984/07/30/us/killer-of-six-alaskans-gets-a-634-year-term.html","3")</f>
        <v>3</v>
      </c>
    </row>
    <row r="28" spans="1:130" ht="50.25" customHeight="1">
      <c r="A28" s="96">
        <v>26</v>
      </c>
      <c r="B28" s="97" t="s">
        <v>207</v>
      </c>
      <c r="C28" s="97" t="s">
        <v>208</v>
      </c>
      <c r="D28" s="98">
        <v>30600</v>
      </c>
      <c r="E28" s="48" t="s">
        <v>203</v>
      </c>
      <c r="F28" s="99">
        <v>11</v>
      </c>
      <c r="G28" s="100" t="str">
        <f>HYPERLINK("https://www.nytimes.com/1987/03/05/us/texan-who-killed-6-in-1983-is-executed-by-lethal-injection.html","10")</f>
        <v>10</v>
      </c>
      <c r="H28" s="105" t="str">
        <f>HYPERLINK("https://www.nytimes.com/1987/03/05/us/texan-who-killed-6-in-1983-is-executed-by-lethal-injection.html","1983")</f>
        <v>1983</v>
      </c>
      <c r="I28" s="48" t="s">
        <v>209</v>
      </c>
      <c r="J28" s="105" t="str">
        <f>HYPERLINK("https://www.nytimes.com/1987/03/05/us/texan-who-killed-6-in-1983-is-executed-by-lethal-injection.html","College Station")</f>
        <v>College Station</v>
      </c>
      <c r="K28" s="100" t="str">
        <f>HYPERLINK("https://www.nytimes.com/1987/03/05/us/texan-who-killed-6-in-1983-is-executed-by-lethal-injection.html]","43")</f>
        <v>43</v>
      </c>
      <c r="L28" s="100" t="str">
        <f>HYPERLINK("https://www.nytimes.com/1987/03/05/us/texan-who-killed-6-in-1983-is-executed-by-lethal-injection.html","0")</f>
        <v>0</v>
      </c>
      <c r="M28" s="100" t="str">
        <f>HYPERLINK("https://www.upi.com/Archives/1983/10/12/Multiple-charges-filed-in-murder-kidnapping-spree/9012434779200/","1")</f>
        <v>1</v>
      </c>
      <c r="N28" s="100" t="str">
        <f>HYPERLINK("https://www.upi.com/Archives/1983/10/12/Multiple-charges-filed-in-murder-kidnapping-spree/9012434779200/","7")</f>
        <v>7</v>
      </c>
      <c r="O28" s="100" t="str">
        <f>HYPERLINK("https://www.upi.com/Archives/1983/10/12/Multiple-charges-filed-in-murder-kidnapping-spree/9012434779200/","1")</f>
        <v>1</v>
      </c>
      <c r="P28" s="125">
        <v>8</v>
      </c>
      <c r="Q28" s="103">
        <v>0</v>
      </c>
      <c r="R28" s="103">
        <v>0</v>
      </c>
      <c r="S28" s="100" t="str">
        <f>HYPERLINK("https://law.justia.com/cases/texas/court-of-criminal-appeals/1986/69268-4.html","6")</f>
        <v>6</v>
      </c>
      <c r="T28" s="100" t="str">
        <f>HYPERLINK("https://www.nytimes.com/1987/03/05/us/texan-who-killed-6-in-1983-is-executed-by-lethal-injection.html","0")</f>
        <v>0</v>
      </c>
      <c r="U28" s="105" t="str">
        <f>HYPERLINK("https://www.upi.com/Archives/1983/10/12/Multiple-charges-filed-in-murder-kidnapping-spree/9012434779200/","1")</f>
        <v>1</v>
      </c>
      <c r="V28" s="105" t="str">
        <f>HYPERLINK("https://www.upi.com/Archives/1983/10/12/Multiple-charges-filed-in-murder-kidnapping-spree/9012434779200/","24")</f>
        <v>24</v>
      </c>
      <c r="W28" s="105" t="str">
        <f>HYPERLINK("https://www.apnews.com/cb3262af4d3c02571f78d01cc98f9592","0")</f>
        <v>0</v>
      </c>
      <c r="X28" s="105">
        <v>2</v>
      </c>
      <c r="Y28" s="48">
        <v>0</v>
      </c>
      <c r="Z28" s="105" t="str">
        <f>HYPERLINK("https://www.apnews.com/cb3262af4d3c02571f78d01cc98f9592","0")</f>
        <v>0</v>
      </c>
      <c r="AA28" s="105" t="str">
        <f>HYPERLINK("https://www.apnews.com/cb3262af4d3c02571f78d01cc98f9592","1")</f>
        <v>1</v>
      </c>
      <c r="AB28" s="105" t="str">
        <f t="shared" ref="AB28:AC28" si="49">HYPERLINK("https://www.upi.com/Archives/1984/02/16/Parents-say-death-row-son-insane-during-murder-spree/9447445755600/","0")</f>
        <v>0</v>
      </c>
      <c r="AC28" s="101" t="str">
        <f t="shared" si="49"/>
        <v>0</v>
      </c>
      <c r="AD28" s="101" t="str">
        <f>HYPERLINK("https://www.upi.com/Archives/1984/02/16/Parents-say-death-row-son-insane-during-murder-spree/9447445755600/","high school dropout")</f>
        <v>high school dropout</v>
      </c>
      <c r="AE28" s="48"/>
      <c r="AF28" s="105" t="str">
        <f>HYPERLINK("https://www.upi.com/Archives/1984/02/16/Parents-say-death-row-son-insane-during-murder-spree/9447445755600/","10")</f>
        <v>10</v>
      </c>
      <c r="AG28" s="48"/>
      <c r="AH28" s="48"/>
      <c r="AI28" s="105" t="str">
        <f>HYPERLINK("https://www.upi.com/Archives/1984/02/16/Parents-say-death-row-son-insane-during-murder-spree/9447445755600/","3")</f>
        <v>3</v>
      </c>
      <c r="AJ28" s="105" t="str">
        <f>HYPERLINK("https://www.upi.com/Archives/1984/02/16/Parents-say-death-row-son-insane-during-murder-spree/9447445755600/","1")</f>
        <v>1</v>
      </c>
      <c r="AK28" s="48">
        <v>0</v>
      </c>
      <c r="AL28" s="105" t="str">
        <f>HYPERLINK("https://www.nytimes.com/1987/03/05/us/texan-who-killed-6-in-1983-is-executed-by-lethal-injection.html","0")</f>
        <v>0</v>
      </c>
      <c r="AM28" s="48">
        <v>0</v>
      </c>
      <c r="AN28" s="48" t="s">
        <v>100</v>
      </c>
      <c r="AO28" s="51"/>
      <c r="AP28" s="54"/>
      <c r="AQ28" s="48"/>
      <c r="AR28" s="48">
        <v>0</v>
      </c>
      <c r="AS28" s="105" t="str">
        <f>HYPERLINK("https://law.justia.com/cases/texas/court-of-criminal-appeals/1986/69268-4.html","1")</f>
        <v>1</v>
      </c>
      <c r="AT28" s="48">
        <v>0</v>
      </c>
      <c r="AU28" s="48" t="s">
        <v>100</v>
      </c>
      <c r="AV28" s="48" t="s">
        <v>100</v>
      </c>
      <c r="AW28" s="48" t="s">
        <v>100</v>
      </c>
      <c r="AX28" s="48">
        <v>0</v>
      </c>
      <c r="AY28" s="48">
        <v>0</v>
      </c>
      <c r="AZ28" s="48">
        <v>0</v>
      </c>
      <c r="BA28" s="48">
        <v>0</v>
      </c>
      <c r="BB28" s="107">
        <v>3</v>
      </c>
      <c r="BC28" s="48">
        <v>0</v>
      </c>
      <c r="BD28" s="48">
        <v>0</v>
      </c>
      <c r="BE28" s="105" t="str">
        <f t="shared" ref="BE28:BF28" si="50">HYPERLINK("https://www.upi.com/Archives/1984/02/16/Parents-say-death-row-son-insane-during-murder-spree/9447445755600/","0")</f>
        <v>0</v>
      </c>
      <c r="BF28" s="105" t="str">
        <f t="shared" si="50"/>
        <v>0</v>
      </c>
      <c r="BG28" s="48"/>
      <c r="BH28" s="48">
        <v>0</v>
      </c>
      <c r="BI28" s="48">
        <v>0</v>
      </c>
      <c r="BJ28" s="105" t="str">
        <f>HYPERLINK("https://www.upi.com/Archives/1984/02/16/Parents-say-death-row-son-insane-during-murder-spree/9447445755600/","1")</f>
        <v>1</v>
      </c>
      <c r="BK28" s="48">
        <v>0</v>
      </c>
      <c r="BL28" s="118" t="str">
        <f>HYPERLINK("https://www.upi.com/Archives/1984/02/16/Parents-say-death-row-son-insane-during-murder-spree/9447445755600/","1")</f>
        <v>1</v>
      </c>
      <c r="BM28" s="127">
        <v>0</v>
      </c>
      <c r="BN28" s="115" t="s">
        <v>3064</v>
      </c>
      <c r="BO28" s="111">
        <v>1</v>
      </c>
      <c r="BP28" s="111">
        <v>0</v>
      </c>
      <c r="BQ28" s="111">
        <v>1</v>
      </c>
      <c r="BR28" s="111">
        <v>0</v>
      </c>
      <c r="BS28" s="111">
        <v>0</v>
      </c>
      <c r="BT28" s="111">
        <v>1</v>
      </c>
      <c r="BU28" s="111">
        <v>0</v>
      </c>
      <c r="BV28" s="111">
        <v>1</v>
      </c>
      <c r="BW28" s="111">
        <v>0</v>
      </c>
      <c r="BX28" s="111">
        <v>0</v>
      </c>
      <c r="BY28" s="48">
        <v>0</v>
      </c>
      <c r="BZ28" s="48">
        <v>0</v>
      </c>
      <c r="CA28" s="48">
        <v>0</v>
      </c>
      <c r="CB28" s="48" t="s">
        <v>100</v>
      </c>
      <c r="CC28" s="48">
        <v>0</v>
      </c>
      <c r="CD28" s="48" t="s">
        <v>100</v>
      </c>
      <c r="CE28" s="48">
        <v>0</v>
      </c>
      <c r="CF28" s="52">
        <v>0</v>
      </c>
      <c r="CG28" s="48">
        <v>0</v>
      </c>
      <c r="CH28" s="105" t="str">
        <f>HYPERLINK("https://law.justia.com/cases/texas/court-of-criminal-appeals/1986/69268-4.html","5")</f>
        <v>5</v>
      </c>
      <c r="CI28" s="48">
        <v>0</v>
      </c>
      <c r="CJ28" s="51" t="s">
        <v>100</v>
      </c>
      <c r="CK28" s="129">
        <v>0</v>
      </c>
      <c r="CL28" s="129"/>
      <c r="CM28" s="129"/>
      <c r="CN28" s="116">
        <v>0</v>
      </c>
      <c r="CO28" s="116">
        <v>0</v>
      </c>
      <c r="CP28" s="116">
        <v>0</v>
      </c>
      <c r="CQ28" s="116">
        <v>0</v>
      </c>
      <c r="CR28" s="116">
        <v>0</v>
      </c>
      <c r="CS28" s="116">
        <v>0</v>
      </c>
      <c r="CT28" s="116">
        <v>0</v>
      </c>
      <c r="CU28" s="118" t="str">
        <f>HYPERLINK("https://www.upi.com/Archives/1984/02/16/Parents-say-death-row-son-insane-during-murder-spree/9447445755600/","1")</f>
        <v>1</v>
      </c>
      <c r="CV28" s="116">
        <v>0</v>
      </c>
      <c r="CW28" s="116">
        <v>0</v>
      </c>
      <c r="CX28" s="116">
        <v>0</v>
      </c>
      <c r="CY28" s="127">
        <v>1</v>
      </c>
      <c r="CZ28" s="127">
        <v>1</v>
      </c>
      <c r="DA28" s="48">
        <v>0</v>
      </c>
      <c r="DB28" s="48">
        <v>2</v>
      </c>
      <c r="DC28" s="48">
        <v>0</v>
      </c>
      <c r="DD28" s="48"/>
      <c r="DE28" s="48"/>
      <c r="DF28" s="48"/>
      <c r="DG28" s="48"/>
      <c r="DH28" s="48"/>
      <c r="DI28" s="48"/>
      <c r="DJ28" s="48">
        <v>0</v>
      </c>
      <c r="DK28" s="48">
        <v>0</v>
      </c>
      <c r="DL28" s="48" t="s">
        <v>100</v>
      </c>
      <c r="DM28" s="105" t="str">
        <f>HYPERLINK("https://www.nytimes.com/1987/03/05/us/texan-who-killed-6-in-1983-is-executed-by-lethal-injection.html","0")</f>
        <v>0</v>
      </c>
      <c r="DN28" s="48">
        <v>0</v>
      </c>
      <c r="DO28" s="48" t="s">
        <v>100</v>
      </c>
      <c r="DP28" s="105" t="str">
        <f>HYPERLINK("https://www.upi.com/Archives/1984/02/16/Parents-say-death-row-son-insane-during-murder-spree/9447445755600/","0")</f>
        <v>0</v>
      </c>
      <c r="DQ28" s="105" t="str">
        <f>HYPERLINK("https://www.nytimes.com/1987/03/05/us/texan-who-killed-6-in-1983-is-executed-by-lethal-injection.html","0")</f>
        <v>0</v>
      </c>
      <c r="DR28" s="48">
        <v>0</v>
      </c>
      <c r="DS28" s="101" t="str">
        <f>HYPERLINK("https://law.justia.com/cases/texas/court-of-criminal-appeals/1986/69268-4.html","0")</f>
        <v>0</v>
      </c>
      <c r="DT28" s="105" t="str">
        <f t="shared" ref="DT28" si="51">HYPERLINK("https://law.justia.com/cases/texas/court-of-criminal-appeals/1986/69268-4.html","3")</f>
        <v>3</v>
      </c>
      <c r="DU28" s="105" t="str">
        <f>HYPERLINK("https://www.upi.com/Archives/1983/10/12/Multiple-charges-filed-in-murder-kidnapping-spree/9012434779200/","0")</f>
        <v>0</v>
      </c>
      <c r="DV28" s="48" t="s">
        <v>100</v>
      </c>
      <c r="DW28" s="105" t="str">
        <f>HYPERLINK("https://www.nytimes.com/1987/03/05/us/texan-who-killed-6-in-1983-is-executed-by-lethal-injection.html","2")</f>
        <v>2</v>
      </c>
      <c r="DX28" s="105" t="str">
        <f>HYPERLINK("https://www.apnews.com/cb3262af4d3c02571f78d01cc98f9592","1")</f>
        <v>1</v>
      </c>
      <c r="DY28" s="48">
        <v>0</v>
      </c>
      <c r="DZ28" s="105" t="str">
        <f>HYPERLINK("https://www.nytimes.com/1987/03/05/us/texan-who-killed-6-in-1983-is-executed-by-lethal-injection.html","1")</f>
        <v>1</v>
      </c>
    </row>
    <row r="29" spans="1:130" ht="50.25" customHeight="1">
      <c r="A29" s="96">
        <v>27</v>
      </c>
      <c r="B29" s="97" t="s">
        <v>211</v>
      </c>
      <c r="C29" s="97" t="s">
        <v>212</v>
      </c>
      <c r="D29" s="98">
        <v>30819</v>
      </c>
      <c r="E29" s="48" t="s">
        <v>178</v>
      </c>
      <c r="F29" s="99">
        <v>17</v>
      </c>
      <c r="G29" s="100" t="str">
        <f>HYPERLINK("https://www.nytimes.com/1984/05/21/us/bodies-of-seven-sought-after-shootout-in-alaska.html","5")</f>
        <v>5</v>
      </c>
      <c r="H29" s="101">
        <v>1984</v>
      </c>
      <c r="I29" s="105" t="s">
        <v>213</v>
      </c>
      <c r="J29" s="105" t="s">
        <v>214</v>
      </c>
      <c r="K29" s="100">
        <v>2</v>
      </c>
      <c r="L29" s="100">
        <v>3</v>
      </c>
      <c r="M29" s="102">
        <v>2</v>
      </c>
      <c r="N29" s="125">
        <v>8</v>
      </c>
      <c r="O29" s="100" t="str">
        <f>HYPERLINK("https://books.google.com/books?id=DIG_9oBssrAC&amp;pg=PA142&amp;lpg=PA142&amp;dq=michael+silka+alaska&amp;source=bl&amp;ots=fgvFwxGqgh&amp;sig=x3elyUFed0YQk8KxgELsRnPflcM&amp;hl=en&amp;sa=X&amp;ved=0ahUKEwipxKvP-ZvZAhUNUa0KHcinCvAQ6AEIRDAE#v=onepage&amp;q=michael%20silka%20alaska&amp;f=false","1")</f>
        <v>1</v>
      </c>
      <c r="P29" s="125">
        <v>8</v>
      </c>
      <c r="Q29" s="103">
        <v>0</v>
      </c>
      <c r="R29" s="103">
        <v>0</v>
      </c>
      <c r="S29" s="100">
        <v>8</v>
      </c>
      <c r="T29" s="100">
        <v>1</v>
      </c>
      <c r="U29" s="101" t="str">
        <f>HYPERLINK("https://books.google.com/books?id=DIG_9oBssrAC&amp;pg=PA142&amp;lpg=PA142&amp;dq=michael+silka+alaska&amp;source=bl&amp;ots=fgvFwxGqgh&amp;sig=x3elyUFed0YQk8KxgELsRnPflcM&amp;hl=en&amp;sa=X&amp;ved=0ahUKEwipxKvP-ZvZAhUNUa0KHcinCvAQ6AEIRDAE#v=onepage&amp;q=michael%20silka%20alaska&amp;f=false","0")</f>
        <v>0</v>
      </c>
      <c r="V29" s="105">
        <v>25</v>
      </c>
      <c r="W29" s="105">
        <v>0</v>
      </c>
      <c r="X29" s="105">
        <v>0</v>
      </c>
      <c r="Y29" s="105">
        <v>0</v>
      </c>
      <c r="Z29" s="48">
        <v>0</v>
      </c>
      <c r="AA29" s="48"/>
      <c r="AB29" s="105">
        <v>1</v>
      </c>
      <c r="AC29" s="51"/>
      <c r="AD29" s="51"/>
      <c r="AE29" s="48"/>
      <c r="AF29" s="105" t="str">
        <f>HYPERLINK("https://books.google.com/books?id=DIG_9oBssrAC&amp;pg=PA142&amp;lpg=PA142&amp;dq=michael+silka+alaska&amp;source=bl&amp;ots=fgvFwxGqgh&amp;sig=x3elyUFed0YQk8KxgELsRnPflcM&amp;hl=en&amp;sa=X&amp;ved=0ahUKEwipxKvP-ZvZAhUNUa0KHcinCvAQ6AEIRDAE#v=onepage&amp;q=michael%20silka%20alaska&amp;f=false","2")</f>
        <v>2</v>
      </c>
      <c r="AG29" s="48"/>
      <c r="AH29" s="48"/>
      <c r="AI29" s="48">
        <v>0</v>
      </c>
      <c r="AJ29" s="48">
        <v>0</v>
      </c>
      <c r="AK29" s="105">
        <v>0</v>
      </c>
      <c r="AL29" s="105">
        <v>0</v>
      </c>
      <c r="AM29" s="105">
        <v>1</v>
      </c>
      <c r="AN29" s="105">
        <v>0</v>
      </c>
      <c r="AO29" s="101" t="str">
        <f>HYPERLINK("https://www.nytimes.com/1984/11/11/us/memories-of-springtime-murders-chill-small-alaskan-town.html","0")</f>
        <v>0</v>
      </c>
      <c r="AP29" s="54"/>
      <c r="AQ29" s="105" t="str">
        <f>HYPERLINK("https://www.nytimes.com/1984/05/21/us/bodies-of-seven-sought-after-shootout-in-alaska.html","1")</f>
        <v>1</v>
      </c>
      <c r="AR29" s="105" t="str">
        <f>HYPERLINK("https://www.upi.com/Archives/1984/05/25/Mass-killing-suspect-questioned-before-ambush/9185454305600/","1")</f>
        <v>1</v>
      </c>
      <c r="AS29" s="101">
        <v>1</v>
      </c>
      <c r="AT29" s="105" t="str">
        <f>HYPERLINK("https://www.upi.com/Archives/1984/05/25/Mass-killing-suspect-questioned-before-ambush/9185454305600/","0")</f>
        <v>0</v>
      </c>
      <c r="AU29" s="48" t="s">
        <v>100</v>
      </c>
      <c r="AV29" s="48" t="s">
        <v>100</v>
      </c>
      <c r="AW29" s="48" t="s">
        <v>100</v>
      </c>
      <c r="AX29" s="48">
        <v>0</v>
      </c>
      <c r="AY29" s="48">
        <v>0</v>
      </c>
      <c r="AZ29" s="106" t="s">
        <v>809</v>
      </c>
      <c r="BA29" s="48">
        <v>0</v>
      </c>
      <c r="BB29" s="107">
        <v>3</v>
      </c>
      <c r="BC29" s="48">
        <v>0</v>
      </c>
      <c r="BD29" s="48">
        <v>0</v>
      </c>
      <c r="BE29" s="105">
        <v>0</v>
      </c>
      <c r="BF29" s="51">
        <v>0</v>
      </c>
      <c r="BG29" s="51"/>
      <c r="BH29" s="51">
        <v>1</v>
      </c>
      <c r="BI29" s="105">
        <v>0</v>
      </c>
      <c r="BJ29" s="48">
        <v>0</v>
      </c>
      <c r="BK29" s="51">
        <v>0</v>
      </c>
      <c r="BL29" s="108" t="str">
        <f>HYPERLINK("https://books.google.com/books?id=DIG_9oBssrAC&amp;pg=PA142&amp;lpg=PA142&amp;dq=michael+silka+alaska&amp;source=bl&amp;ots=fgvFwxGqgh&amp;sig=x3elyUFed0YQk8KxgELsRnPflcM&amp;hl=en&amp;sa=X&amp;ved=0ahUKEwipxKvP-ZvZAhUNUa0KHcinCvAQ6AEIRDAE#v=onepage&amp;q=michael%20silka%20alaska&amp;f=false","0")</f>
        <v>0</v>
      </c>
      <c r="BM29" s="108"/>
      <c r="BN29" s="110"/>
      <c r="BO29" s="110">
        <v>0</v>
      </c>
      <c r="BP29" s="110">
        <v>0</v>
      </c>
      <c r="BQ29" s="110">
        <v>0</v>
      </c>
      <c r="BR29" s="110">
        <v>0</v>
      </c>
      <c r="BS29" s="110">
        <v>0</v>
      </c>
      <c r="BT29" s="110">
        <v>0</v>
      </c>
      <c r="BU29" s="110">
        <v>0</v>
      </c>
      <c r="BV29" s="110">
        <v>0</v>
      </c>
      <c r="BW29" s="110">
        <v>0</v>
      </c>
      <c r="BX29" s="110">
        <v>0</v>
      </c>
      <c r="BY29" s="48">
        <v>0</v>
      </c>
      <c r="BZ29" s="51">
        <v>0</v>
      </c>
      <c r="CA29" s="51">
        <v>0</v>
      </c>
      <c r="CB29" s="48" t="s">
        <v>100</v>
      </c>
      <c r="CC29" s="48">
        <v>0</v>
      </c>
      <c r="CD29" s="48" t="s">
        <v>100</v>
      </c>
      <c r="CE29" s="48">
        <v>0</v>
      </c>
      <c r="CF29" s="52">
        <v>0</v>
      </c>
      <c r="CG29" s="48">
        <v>0</v>
      </c>
      <c r="CH29" s="105">
        <v>0</v>
      </c>
      <c r="CI29" s="48">
        <v>0</v>
      </c>
      <c r="CJ29" s="51" t="s">
        <v>100</v>
      </c>
      <c r="CK29" s="113">
        <v>0</v>
      </c>
      <c r="CL29" s="113"/>
      <c r="CM29" s="113"/>
      <c r="CN29" s="110">
        <v>0</v>
      </c>
      <c r="CO29" s="110">
        <v>0</v>
      </c>
      <c r="CP29" s="110">
        <v>0</v>
      </c>
      <c r="CQ29" s="110">
        <v>0</v>
      </c>
      <c r="CR29" s="110">
        <v>0</v>
      </c>
      <c r="CS29" s="110">
        <v>0</v>
      </c>
      <c r="CT29" s="110">
        <v>0</v>
      </c>
      <c r="CU29" s="110">
        <v>0</v>
      </c>
      <c r="CV29" s="109">
        <v>1</v>
      </c>
      <c r="CW29" s="116">
        <v>0</v>
      </c>
      <c r="CX29" s="116">
        <v>0</v>
      </c>
      <c r="CY29" s="127">
        <v>1</v>
      </c>
      <c r="CZ29" s="108" t="str">
        <f>HYPERLINK("https://www.nytimes.com/1984/05/21/us/bodies-of-seven-sought-after-shootout-in-alaska.html","0")</f>
        <v>0</v>
      </c>
      <c r="DA29" s="48">
        <v>0</v>
      </c>
      <c r="DB29" s="48">
        <v>2</v>
      </c>
      <c r="DC29" s="101">
        <v>0</v>
      </c>
      <c r="DD29" s="105"/>
      <c r="DE29" s="105"/>
      <c r="DF29" s="105"/>
      <c r="DG29" s="105"/>
      <c r="DH29" s="105"/>
      <c r="DI29" s="105"/>
      <c r="DJ29" s="105">
        <v>0</v>
      </c>
      <c r="DK29" s="48">
        <v>0</v>
      </c>
      <c r="DL29" s="48" t="s">
        <v>100</v>
      </c>
      <c r="DM29" s="105" t="str">
        <f>HYPERLINK("https://books.google.com/books?id=DIG_9oBssrAC&amp;pg=PA142&amp;lpg=PA142&amp;dq=michael+silka+alaska&amp;source=bl&amp;ots=fgvFwxGqgh&amp;sig=x3elyUFed0YQk8KxgELsRnPflcM&amp;hl=en&amp;sa=X&amp;ved=0ahUKEwipxKvP-ZvZAhUNUa0KHcinCvAQ6AEIRDAE#v=onepage&amp;q=michael%20silka%20alaska&amp;f=false","0")</f>
        <v>0</v>
      </c>
      <c r="DN29" s="51">
        <v>0</v>
      </c>
      <c r="DO29" s="51" t="s">
        <v>100</v>
      </c>
      <c r="DP29" s="101">
        <v>0</v>
      </c>
      <c r="DQ29" s="101" t="str">
        <f>HYPERLINK("https://books.google.com/books?id=DIG_9oBssrAC&amp;pg=PA142&amp;lpg=PA142&amp;dq=michael+silka+alaska&amp;source=bl&amp;ots=fgvFwxGqgh&amp;sig=x3elyUFed0YQk8KxgELsRnPflcM&amp;hl=en&amp;sa=X&amp;ved=0ahUKEwipxKvP-ZvZAhUNUa0KHcinCvAQ6AEIRDAE#v=onepage&amp;q=michael%20silka%20alaska&amp;f=false","0")</f>
        <v>0</v>
      </c>
      <c r="DR29" s="105">
        <v>1</v>
      </c>
      <c r="DS29" s="101" t="str">
        <f>HYPERLINK("https://www.nytimes.com/1984/11/11/us/memories-of-springtime-murders-chill-small-alaskan-town.html","3")</f>
        <v>3</v>
      </c>
      <c r="DT29" s="105">
        <v>1</v>
      </c>
      <c r="DU29" s="105" t="str">
        <f>HYPERLINK("https://books.google.com/books?id=DIG_9oBssrAC&amp;pg=PA142&amp;lpg=PA142&amp;dq=michael+silka+alaska&amp;source=bl&amp;ots=fgvFwxGqgh&amp;sig=x3elyUFed0YQk8KxgELsRnPflcM&amp;hl=en&amp;sa=X&amp;ved=0ahUKEwipxKvP-ZvZAhUNUa0KHcinCvAQ6AEIRDAE#v=onepage&amp;q=michael%20silka%20alaska&amp;f=false","0")</f>
        <v>0</v>
      </c>
      <c r="DV29" s="48" t="s">
        <v>100</v>
      </c>
      <c r="DW29" s="101">
        <v>1</v>
      </c>
      <c r="DX29" s="101" t="str">
        <f>HYPERLINK("https://books.google.com/books?id=DIG_9oBssrAC&amp;pg=PA142&amp;lpg=PA142&amp;dq=michael+silka+alaska&amp;source=bl&amp;ots=fgvFwxGqgh&amp;sig=x3elyUFed0YQk8KxgELsRnPflcM&amp;hl=en&amp;sa=X&amp;ved=0ahUKEwipxKvP-ZvZAhUNUa0KHcinCvAQ6AEIRDAE#v=onepage&amp;q=michael%20silka%20alaska&amp;f=false","0")</f>
        <v>0</v>
      </c>
      <c r="DY29" s="48">
        <v>2</v>
      </c>
      <c r="DZ29" s="48">
        <v>0</v>
      </c>
    </row>
    <row r="30" spans="1:130" ht="50.25" customHeight="1">
      <c r="A30" s="96">
        <v>28</v>
      </c>
      <c r="B30" s="97" t="s">
        <v>215</v>
      </c>
      <c r="C30" s="97" t="s">
        <v>216</v>
      </c>
      <c r="D30" s="98">
        <v>30862</v>
      </c>
      <c r="E30" s="48" t="s">
        <v>157</v>
      </c>
      <c r="F30" s="119">
        <v>29</v>
      </c>
      <c r="G30" s="102" t="str">
        <f>HYPERLINK("https://www.dallasnews.com/news/news/2014/07/03/mass-murderer-who-was-spared-death-penalty-gets-erased-by-time","6")</f>
        <v>6</v>
      </c>
      <c r="H30" s="101" t="str">
        <f>HYPERLINK(" https://www.dallasnews.com/news/news/2014/07/03/mass-murderer-who-was-spared-death-penalty-gets-erased-by-time","1984")</f>
        <v>1984</v>
      </c>
      <c r="I30" s="48" t="s">
        <v>217</v>
      </c>
      <c r="J30" s="101" t="str">
        <f>HYPERLINK("https://www.dallasnews.com/news/news/2014/07/03/mass-murderer-who-was-spared-death-penalty-gets-erased-by-time","Dallas")</f>
        <v>Dallas</v>
      </c>
      <c r="K30" s="102" t="str">
        <f>HYPERLINK("https://www.dallasnews.com/news/news/2014/07/03/mass-murderer-who-was-spared-death-penalty-gets-erased-by-time","43")</f>
        <v>43</v>
      </c>
      <c r="L30" s="119">
        <v>0</v>
      </c>
      <c r="M30" s="102" t="str">
        <f>HYPERLINK("https://www.dallasnews.com/news/news/2014/07/03/mass-murderer-who-was-spared-death-penalty-gets-erased-by-time","0")</f>
        <v>0</v>
      </c>
      <c r="N30" s="102" t="str">
        <f>HYPERLINK("https://www.dallasnews.com/news/news/2014/07/03/mass-murderer-who-was-spared-death-penalty-gets-erased-by-time","5")</f>
        <v>5</v>
      </c>
      <c r="O30" s="102" t="str">
        <f>HYPERLINK("https://www.dallasnews.com/news/news/2014/07/03/mass-murderer-who-was-spared-death-penalty-gets-erased-by-time","0")</f>
        <v>0</v>
      </c>
      <c r="P30" s="99" t="s">
        <v>100</v>
      </c>
      <c r="Q30" s="103">
        <v>0</v>
      </c>
      <c r="R30" s="103">
        <v>0</v>
      </c>
      <c r="S30" s="102" t="str">
        <f>HYPERLINK("https://www.dallasnews.com/news/news/2014/07/03/mass-murderer-who-was-spared-death-penalty-gets-erased-by-time","6")</f>
        <v>6</v>
      </c>
      <c r="T30" s="102">
        <v>1</v>
      </c>
      <c r="U30" s="101" t="str">
        <f>HYPERLINK("https://www.nytimes.com/1984/06/30/us/6-die-in-dallas-club-as-enraged-man-fires-wildly.html?mcubz=0","0")</f>
        <v>0</v>
      </c>
      <c r="V30" s="101" t="str">
        <f>HYPERLINK("http://www.nytimes.com/1984/06/30/us/6-die-in-dallas-club-as-enraged-man-fires-wildly.html?mcubz=0","39")</f>
        <v>39</v>
      </c>
      <c r="W30" s="101" t="str">
        <f>HYPERLINK("https://www.dallasnews.com/news/news/2014/07/03/mass-murderer-who-was-spared-death-penalty-gets-erased-by-time","0")</f>
        <v>0</v>
      </c>
      <c r="X30" s="101" t="str">
        <f>HYPERLINK("https://www.dallasnews.com/news/2014/07/04/mass-murderer-who-was-spared-death-penalty-gets-erased-by-time/","6")</f>
        <v>6</v>
      </c>
      <c r="Y30" s="105">
        <v>1</v>
      </c>
      <c r="Z30" s="101" t="str">
        <f>HYPERLINK("https://www.upi.com/Archives/1984/11/08/The-estranged-wife-of-accused-murderer-Abdelkrim-Belachheb-testified/3858468738000/","0")</f>
        <v>0</v>
      </c>
      <c r="AA30" s="101">
        <v>2</v>
      </c>
      <c r="AB30" s="101">
        <v>0</v>
      </c>
      <c r="AC30" s="101" t="str">
        <f>HYPERLINK("https://www.google.com/books/edition/Worse_Than_Death/Hr3OBwP-lbUC?hl=en&amp;gbpv=1&amp;dq=abdelkrim+belachheb+poor+student&amp;pg=PA48&amp;printsec=frontcover","0")</f>
        <v>0</v>
      </c>
      <c r="AD30" s="101" t="str">
        <f>HYPERLINK("https://www.google.com/books/edition/Worse_Than_Death/Hr3OBwP-lbUC?hl=en&amp;gbpv=1&amp;dq=abdelkrim+belachheb+poor+student&amp;pg=PA48&amp;printsec=frontcover","very poor student")</f>
        <v>very poor student</v>
      </c>
      <c r="AE30" s="101" t="str">
        <f>HYPERLINK("https://books.google.com/books?id=Hr3OBwP-lbUC&amp;printsec=frontcover&amp;dq=abdelkrim+belachheb+parents&amp;hl=en&amp;sa=X&amp;ved=0ahUKEwivhZvK-9_iAhUKA6wKHVSLCbAQ6AEIKDAA#v=onepage&amp;q=abdelkrim%20belachheb%20parents&amp;f=false","2")</f>
        <v>2</v>
      </c>
      <c r="AF30" s="101" t="str">
        <f>HYPERLINK("https://books.google.com/books?id=Hr3OBwP-lbUC&amp;printsec=frontcover&amp;dq=abdelkrim+belachheb+parents&amp;hl=en&amp;sa=X&amp;ved=0ahUKEwivhZvK-9_iAhUKA6wKHVSLCbAQ6AEIKDAA#v=onepage&amp;q=abdelkrim%20belachheb%20parents&amp;f=false","11")</f>
        <v>11</v>
      </c>
      <c r="AG30" s="101" t="str">
        <f>HYPERLINK("https://books.google.com/books?id=Hr3OBwP-lbUC&amp;printsec=frontcover&amp;dq=abdelkrim+belachheb+parents&amp;hl=en&amp;sa=X&amp;ved=0ahUKEwivhZvK-9_iAhUKA6wKHVSLCbAQ6AEIKDAA#v=onepage&amp;q=abdelkrim%20belachheb%20parents&amp;f=false","3")</f>
        <v>3</v>
      </c>
      <c r="AH30" s="101" t="str">
        <f>HYPERLINK("https://books.google.com/books?id=Hr3OBwP-lbUC&amp;printsec=frontcover&amp;dq=abdelkrim+belachheb+parents&amp;hl=en&amp;sa=X&amp;ved=0ahUKEwivhZvK-9_iAhUKA6wKHVSLCbAQ6AEIKDAA#v=onepage&amp;q=abdelkrim%20belachheb%20parents&amp;f=false","8")</f>
        <v>8</v>
      </c>
      <c r="AI30" s="101" t="str">
        <f>HYPERLINK("https://www.upi.com/Archives/1984/11/08/The-estranged-wife-of-accused-murderer-Abdelkrim-Belachheb-testified/3858468738000/","3")</f>
        <v>3</v>
      </c>
      <c r="AJ30" s="101" t="str">
        <f>HYPERLINK("https://books.google.com/books?id=Hr3OBwP-lbUC&amp;pg=PA143&amp;dq=abdelkrim+belachheb+jenny+two+daughters&amp;hl=en&amp;sa=X&amp;ved=0ahUKEwjB7fzVw8TiAhUMA6wKHd7mBmYQ6AEIKDAA#v=onepage&amp;q=abdelkrim%20belachheb%20jenny%20two%20daughters&amp;f=false","1")</f>
        <v>1</v>
      </c>
      <c r="AK30" s="101" t="str">
        <f>HYPERLINK("http://www.nytimes.com/1984/06/30/us/6-die-in-dallas-club-as-enraged-man-fires-wildly.html?mcubz=0","0")</f>
        <v>0</v>
      </c>
      <c r="AL30" s="101" t="str">
        <f>HYPERLINK("https://books.google.com/books?id=Hr3OBwP-lbUC&amp;pg=PA232&amp;dq=abdelkrim+belachheb+no+formal+education&amp;hl=en&amp;sa=X&amp;ved=0ahUKEwjgtZ_68vXfAhXDpYMKHdLHAzYQ6AEIKDAA#v=onepage&amp;q=abdelkrim%20belachheb%20no%20formal%20education&amp;f=false","0")</f>
        <v>0</v>
      </c>
      <c r="AM30" s="51">
        <v>0</v>
      </c>
      <c r="AN30" s="48" t="s">
        <v>100</v>
      </c>
      <c r="AO30" s="101" t="str">
        <f>HYPERLINK("https://books.google.com/books?id=Hr3OBwP-lbUC&amp;pg=PA232&amp;dq=abdelkrim+belachheb+no+formal+education&amp;hl=en&amp;sa=X&amp;ved=0ahUKEwjgtZ_68vXfAhXDpYMKHdLHAzYQ6AEIKDAA#v=onepage&amp;q=abdelkrim%20belachheb%20no%20formal%20education&amp;f=false","0")</f>
        <v>0</v>
      </c>
      <c r="AP30" s="54"/>
      <c r="AQ30" s="101" t="str">
        <f>HYPERLINK("https://books.google.com/books?id=Hr3OBwP-lbUC&amp;pg=PA143&amp;dq=abdelkrim+belachheb+jenny+two+daughters&amp;hl=en&amp;sa=X&amp;ved=0ahUKEwjB7fzVw8TiAhUMA6wKHd7mBmYQ6AEIKDAA#v=onepage&amp;q=abdelkrim%20belachheb%20jenny%20two%20daughters&amp;f=false","1")</f>
        <v>1</v>
      </c>
      <c r="AR30" s="51">
        <v>0</v>
      </c>
      <c r="AS30" s="101">
        <v>1</v>
      </c>
      <c r="AT30" s="105" t="str">
        <f>HYPERLINK("https://www.upi.com/Archives/1984/11/08/The-estranged-wife-of-accused-murderer-Abdelkrim-Belachheb-testified/3858468738000/","1")</f>
        <v>1</v>
      </c>
      <c r="AU30" s="105">
        <v>1</v>
      </c>
      <c r="AV30" s="105">
        <v>3</v>
      </c>
      <c r="AW30" s="48"/>
      <c r="AX30" s="48">
        <v>0</v>
      </c>
      <c r="AY30" s="51">
        <v>0</v>
      </c>
      <c r="AZ30" s="51">
        <v>0</v>
      </c>
      <c r="BA30" s="51">
        <v>0</v>
      </c>
      <c r="BB30" s="107">
        <v>3</v>
      </c>
      <c r="BC30" s="51"/>
      <c r="BD30" s="51">
        <v>0</v>
      </c>
      <c r="BE30" s="101" t="str">
        <f t="shared" ref="BE30:BF30" si="52">HYPERLINK("https://books.google.com/books?id=Hr3OBwP-lbUC&amp;printsec=frontcover&amp;dq=abdelkrim+belachheb+parents&amp;hl=en&amp;sa=X&amp;ved=0ahUKEwivhZvK-9_iAhUKA6wKHVSLCbAQ6AEIKDAA#v=onepage&amp;q=abdelkrim%20belachheb%20parents&amp;f=false","0")</f>
        <v>0</v>
      </c>
      <c r="BF30" s="101" t="str">
        <f t="shared" si="52"/>
        <v>0</v>
      </c>
      <c r="BG30" s="101" t="str">
        <f>HYPERLINK("https://books.google.com/books?id=Hr3OBwP-lbUC&amp;pg=PA24&amp;lpg=PA24&amp;dq=abdelkrim+belachheb+childhood&amp;source=bl&amp;ots=D77rjbVqnn&amp;sig=ACfU3U0V3g-oP3awLfkvvrnsPBYPaQeFjg&amp;hl=en&amp;sa=X&amp;ved=2ahUKEwifl4Lc28njAhWpTt8KHYm6ATcQ6AEwA3oECAkQAQ#v=snippet&amp;q=childhood&amp;f=false","3")</f>
        <v>3</v>
      </c>
      <c r="BH30" s="51">
        <v>0</v>
      </c>
      <c r="BI30" s="51">
        <v>0</v>
      </c>
      <c r="BJ30" s="101">
        <v>1</v>
      </c>
      <c r="BK30" s="101">
        <v>1</v>
      </c>
      <c r="BL30" s="108" t="str">
        <f>HYPERLINK("https://www.upi.com/Archives/1984/11/12/A-neurosurgeon-testified-Monday-that-Abdelkrim-Belachheb-was-not/1740469083600/","0")</f>
        <v>0</v>
      </c>
      <c r="BM30" s="108"/>
      <c r="BN30" s="110"/>
      <c r="BO30" s="110">
        <v>0</v>
      </c>
      <c r="BP30" s="110">
        <v>0</v>
      </c>
      <c r="BQ30" s="110">
        <v>0</v>
      </c>
      <c r="BR30" s="110">
        <v>0</v>
      </c>
      <c r="BS30" s="110">
        <v>0</v>
      </c>
      <c r="BT30" s="110">
        <v>0</v>
      </c>
      <c r="BU30" s="110">
        <v>0</v>
      </c>
      <c r="BV30" s="110">
        <v>0</v>
      </c>
      <c r="BW30" s="110">
        <v>0</v>
      </c>
      <c r="BX30" s="110">
        <v>0</v>
      </c>
      <c r="BY30" s="101" t="str">
        <f>HYPERLINK("https://books.google.com/books?id=Hr3OBwP-lbUC&amp;printsec=frontcover&amp;dq=abdelkrim+belachheb+crimes&amp;hl=en&amp;sa=X&amp;ved=0ahUKEwjGlrvcxMTiAhVN7qwKHZmWAa0Q6AEIKDAA#v=onepage&amp;q=abdelkrim%20belachheb%20crimes&amp;f=false","1")</f>
        <v>1</v>
      </c>
      <c r="BZ30" s="101" t="str">
        <f>HYPERLINK("https://books.google.com/books?id=Hr3OBwP-lbUC&amp;pg=PA232&amp;dq=abdelkrim+belachheb+no+formal+education&amp;hl=en&amp;sa=X&amp;ved=0ahUKEwjgtZ_68vXfAhXDpYMKHdLHAzYQ6AEIKDAA#v=onepage&amp;q=abdelkrim%20belachheb%20no%20formal%20education&amp;f=false","1")</f>
        <v>1</v>
      </c>
      <c r="CA30" s="51">
        <v>0</v>
      </c>
      <c r="CB30" s="51" t="s">
        <v>100</v>
      </c>
      <c r="CC30" s="51">
        <v>0</v>
      </c>
      <c r="CD30" s="123">
        <v>0</v>
      </c>
      <c r="CE30" s="101" t="str">
        <f>HYPERLINK("https://www.upi.com/Archives/1984/11/08/The-estranged-wife-of-accused-murderer-Abdelkrim-Belachheb-testified/3858468738000/","2")</f>
        <v>2</v>
      </c>
      <c r="CF30" s="107">
        <v>0</v>
      </c>
      <c r="CG30" s="51">
        <v>0</v>
      </c>
      <c r="CH30" s="101" t="str">
        <f>HYPERLINK("https://books.google.com/books?id=Hr3OBwP-lbUC&amp;pg=PA232&amp;dq=abdelkrim+belachheb+no+formal+education&amp;hl=en&amp;sa=X&amp;ved=0ahUKEwjgtZ_68vXfAhXDpYMKHdLHAzYQ6AEIKDAA#v=onepage&amp;q=abdelkrim%20belachheb%20no%20formal%20education&amp;f=false","5")</f>
        <v>5</v>
      </c>
      <c r="CI30" s="101" t="str">
        <f>HYPERLINK("https://www.upi.com/Archives/1984/11/08/The-estranged-wife-of-accused-murderer-Abdelkrim-Belachheb-testified/3858468738000/","1")</f>
        <v>1</v>
      </c>
      <c r="CJ30" s="101" t="str">
        <f>HYPERLINK("https://www.upi.com/Archives/1984/11/08/The-estranged-wife-of-accused-murderer-Abdelkrim-Belachheb-testified/3858468738000/","organic brain disease")</f>
        <v>organic brain disease</v>
      </c>
      <c r="CK30" s="117">
        <v>2</v>
      </c>
      <c r="CL30" s="113"/>
      <c r="CM30" s="113"/>
      <c r="CN30" s="110">
        <v>0</v>
      </c>
      <c r="CO30" s="110">
        <v>0</v>
      </c>
      <c r="CP30" s="108" t="str">
        <f>HYPERLINK("https://www.upi.com/Archives/1984/11/08/The-estranged-wife-of-accused-murderer-Abdelkrim-Belachheb-testified/3858468738000/","1")</f>
        <v>1</v>
      </c>
      <c r="CQ30" s="110">
        <v>0</v>
      </c>
      <c r="CR30" s="110">
        <v>0</v>
      </c>
      <c r="CS30" s="110">
        <v>0</v>
      </c>
      <c r="CT30" s="110">
        <v>0</v>
      </c>
      <c r="CU30" s="108" t="str">
        <f>HYPERLINK("https://www.upi.com/Archives/1984/11/08/The-estranged-wife-of-accused-murderer-Abdelkrim-Belachheb-testified/3858468738000/","1")</f>
        <v>1</v>
      </c>
      <c r="CV30" s="110">
        <v>0</v>
      </c>
      <c r="CW30" s="110">
        <v>0</v>
      </c>
      <c r="CX30" s="110">
        <v>0</v>
      </c>
      <c r="CY30" s="110">
        <v>0</v>
      </c>
      <c r="CZ30" s="108" t="str">
        <f>HYPERLINK("https://www.leagle.com/decision/19851408699sw2d70911316","1")</f>
        <v>1</v>
      </c>
      <c r="DA30" s="101">
        <v>1</v>
      </c>
      <c r="DB30" s="51">
        <v>2</v>
      </c>
      <c r="DC30" s="141" t="str">
        <f>HYPERLINK("https://www.upi.com/Archives/1984/11/12/A-neurosurgeon-testified-Monday-that-Abdelkrim-Belachheb-was-not/1740469083600/","1")</f>
        <v>1</v>
      </c>
      <c r="DD30" s="107">
        <v>0</v>
      </c>
      <c r="DE30" s="107">
        <v>5</v>
      </c>
      <c r="DF30" s="107">
        <v>0</v>
      </c>
      <c r="DG30" s="107"/>
      <c r="DH30" s="107"/>
      <c r="DI30" s="107"/>
      <c r="DJ30" s="51">
        <v>0</v>
      </c>
      <c r="DK30" s="51">
        <v>0</v>
      </c>
      <c r="DL30" s="48" t="s">
        <v>100</v>
      </c>
      <c r="DM30" s="101" t="str">
        <f>HYPERLINK("https://www.nytimes.com/1984/06/30/us/6-die-in-dallas-club-as-enraged-man-fires-wildly.html?mcubz=0","0")</f>
        <v>0</v>
      </c>
      <c r="DN30" s="51">
        <v>0</v>
      </c>
      <c r="DO30" s="51" t="s">
        <v>100</v>
      </c>
      <c r="DP30" s="101">
        <v>0</v>
      </c>
      <c r="DQ30" s="101" t="str">
        <f>HYPERLINK("https://www.nytimes.com/1984/06/30/us/6-die-in-dallas-club-as-enraged-man-fires-wildly.html?mcubz=0","0")</f>
        <v>0</v>
      </c>
      <c r="DR30" s="48">
        <v>0</v>
      </c>
      <c r="DS30" s="51"/>
      <c r="DT30" s="101" t="str">
        <f>HYPERLINK("https://www.dallasnews.com/news/news/2014/07/03/mass-murderer-who-was-spared-death-penalty-gets-erased-by-time","1")</f>
        <v>1</v>
      </c>
      <c r="DU30" s="101" t="str">
        <f>HYPERLINK("https://www.nytimes.com/1984/06/30/us/6-die-in-dallas-club-as-enraged-man-fires-wildly.html?mcubz=0","0")</f>
        <v>0</v>
      </c>
      <c r="DV30" s="48" t="s">
        <v>100</v>
      </c>
      <c r="DW30" s="101">
        <v>2</v>
      </c>
      <c r="DX30" s="101" t="str">
        <f>HYPERLINK("https://www.nytimes.com/1984/06/30/us/6-die-in-dallas-club-as-enraged-man-fires-wildly.html?mcubz=0","1")</f>
        <v>1</v>
      </c>
      <c r="DY30" s="105" t="str">
        <f>HYPERLINK("https://www.upi.com/Archives/1984/11/08/The-estranged-wife-of-accused-murderer-Abdelkrim-Belachheb-testified/3858468738000/","1")</f>
        <v>1</v>
      </c>
      <c r="DZ30" s="133" t="str">
        <f>HYPERLINK("https://www.dallasnews.com/news/2014/07/04/mass-murderer-who-was-spared-death-penalty-gets-erased-by-time/","3")</f>
        <v>3</v>
      </c>
    </row>
    <row r="31" spans="1:130" ht="50.25" customHeight="1">
      <c r="A31" s="96">
        <v>29</v>
      </c>
      <c r="B31" s="97" t="s">
        <v>220</v>
      </c>
      <c r="C31" s="97" t="s">
        <v>221</v>
      </c>
      <c r="D31" s="98">
        <v>30881</v>
      </c>
      <c r="E31" s="48" t="s">
        <v>123</v>
      </c>
      <c r="F31" s="99">
        <v>18</v>
      </c>
      <c r="G31" s="100" t="str">
        <f>HYPERLINK("http://articles.latimes.com/1994-07-17/local/me-16553_1_san-ysidro","7")</f>
        <v>7</v>
      </c>
      <c r="H31" s="101" t="str">
        <f>HYPERLINK("http://articles.latimes.com/1994-07-17/local/me-16553_1_san-ysidro","1984")</f>
        <v>1984</v>
      </c>
      <c r="I31" s="48" t="s">
        <v>222</v>
      </c>
      <c r="J31" s="101" t="s">
        <v>223</v>
      </c>
      <c r="K31" s="100">
        <v>5</v>
      </c>
      <c r="L31" s="99">
        <v>3</v>
      </c>
      <c r="M31" s="102" t="str">
        <f>HYPERLINK("https://www.washingtonpost.com/archive/politics/1984/07/20/death-blood-in-a-place-of-laughter/a5bb422b-fc48-4289-ab47-0f63d88676cd/?utm_term=.840a2d521c8b","2")</f>
        <v>2</v>
      </c>
      <c r="N31" s="100" t="str">
        <f>HYPERLINK("https://www.latimes.com/archives/la-xpm-1994-07-17-me-16553-story.html","5")</f>
        <v>5</v>
      </c>
      <c r="O31" s="100" t="str">
        <f>HYPERLINK("https://www.nytimes.com/1984/07/19/us/coast-man-kills-20-in-rampage-at-a-restaurant.html","0")</f>
        <v>0</v>
      </c>
      <c r="P31" s="99" t="s">
        <v>100</v>
      </c>
      <c r="Q31" s="103">
        <v>0</v>
      </c>
      <c r="R31" s="103">
        <v>0</v>
      </c>
      <c r="S31" s="100" t="str">
        <f>HYPERLINK("http://articles.latimes.com/1994-07-17/local/me-16553_1_san-ysidro","21")</f>
        <v>21</v>
      </c>
      <c r="T31" s="100" t="str">
        <f>HYPERLINK("https://www.nytimes.com/1984/07/20/us/weapons-used-by-killer-said-to-be-easy-to-obtain.html","19")</f>
        <v>19</v>
      </c>
      <c r="U31" s="105" t="str">
        <f>HYPERLINK("https://www.nytimes.com/1984/07/19/us/coast-man-kills-20-in-rampage-at-a-restaurant.html","1")</f>
        <v>1</v>
      </c>
      <c r="V31" s="105">
        <v>41</v>
      </c>
      <c r="W31" s="105">
        <v>0</v>
      </c>
      <c r="X31" s="105">
        <v>0</v>
      </c>
      <c r="Y31" s="101" t="str">
        <f>HYPERLINK("https://www.upi.com/Archives/1984/07/22/Mass-murderer-always-very-sad-and-very-lonely/4891459316800/","0")</f>
        <v>0</v>
      </c>
      <c r="Z31" s="105" t="str">
        <f>HYPERLINK("https://www.nytimes.com/1984/07/19/us/coast-man-kills-20-in-rampage-at-a-restaurant.html","0")</f>
        <v>0</v>
      </c>
      <c r="AA31" s="105">
        <v>1</v>
      </c>
      <c r="AB31" s="105" t="str">
        <f>HYPERLINK("https://www.upi.com/Archives/1984/07/22/Mass-murderer-always-very-sad-and-very-lonely/4891459316800/","3")</f>
        <v>3</v>
      </c>
      <c r="AC31" s="101" t="str">
        <f>HYPERLINK("https://www.washingtonpost.com/archive/politics/1984/07/21/to-father-of-mass-murderer-sons-violence-is-inexplicable/377d77bd-97ff-4f22-b2a3-15c747f70ea3/","0")</f>
        <v>0</v>
      </c>
      <c r="AD31" s="101" t="str">
        <f>HYPERLINK("https://www.washingtonpost.com/archive/politics/1984/07/21/to-father-of-mass-murderer-sons-violence-is-inexplicable/377d77bd-97ff-4f22-b2a3-15c747f70ea3/","51st out of 77 in high school, failed at least one course")</f>
        <v>51st out of 77 in high school, failed at least one course</v>
      </c>
      <c r="AE31" s="105" t="str">
        <f>HYPERLINK("https://www.washingtonpost.com/archive/politics/1984/07/21/to-father-of-mass-murderer-sons-violence-is-inexplicable/377d77bd-97ff-4f22-b2a3-15c747f70ea3/","3")</f>
        <v>3</v>
      </c>
      <c r="AF31" s="105" t="str">
        <f t="shared" ref="AF31:AG31" si="53">HYPERLINK("https://www.washingtonpost.com/archive/politics/1984/07/21/to-father-of-mass-murderer-sons-violence-is-inexplicable/377d77bd-97ff-4f22-b2a3-15c747f70ea3/","1")</f>
        <v>1</v>
      </c>
      <c r="AG31" s="105" t="str">
        <f t="shared" si="53"/>
        <v>1</v>
      </c>
      <c r="AH31" s="105" t="str">
        <f>HYPERLINK("https://www.washingtonpost.com/archive/politics/1984/07/21/to-father-of-mass-murderer-sons-violence-is-inexplicable/377d77bd-97ff-4f22-b2a3-15c747f70ea3/","0")</f>
        <v>0</v>
      </c>
      <c r="AI31" s="105">
        <v>2</v>
      </c>
      <c r="AJ31" s="105" t="str">
        <f>HYPERLINK("https://www.nydailynews.com/news/national/daughter-1984-gunman-speaks-article-1.2464531","1")</f>
        <v>1</v>
      </c>
      <c r="AK31" s="105" t="str">
        <f t="shared" ref="AK31:AL31" si="54">HYPERLINK("https://www.nytimes.com/1984/07/19/us/coast-man-kills-20-in-rampage-at-a-restaurant.html","0")</f>
        <v>0</v>
      </c>
      <c r="AL31" s="105" t="str">
        <f t="shared" si="54"/>
        <v>0</v>
      </c>
      <c r="AM31" s="105" t="str">
        <f>HYPERLINK("https://www.upi.com/Archives/1984/07/22/Mass-murderer-always-very-sad-and-very-lonely/4891459316800/","0")</f>
        <v>0</v>
      </c>
      <c r="AN31" s="48" t="s">
        <v>100</v>
      </c>
      <c r="AO31" s="101" t="str">
        <f>HYPERLINK("https://www.washingtonpost.com/archive/politics/1984/07/21/to-father-of-mass-murderer-sons-violence-is-inexplicable/377d77bd-97ff-4f22-b2a3-15c747f70ea3/","0")</f>
        <v>0</v>
      </c>
      <c r="AP31" s="54"/>
      <c r="AQ31" s="105" t="str">
        <f>HYPERLINK("https://www.upi.com/Archives/1984/07/22/Mass-murderer-always-very-sad-and-very-lonely/4891459316800/","1")</f>
        <v>1</v>
      </c>
      <c r="AR31" s="48">
        <v>0</v>
      </c>
      <c r="AS31" s="101" t="str">
        <f>HYPERLINK("https://books.google.com/books?id=AqAtjVMGnLIC&amp;q=huberty+family+farm#v=snippet&amp;q=huberty%20family%20farm&amp;f=false","1")</f>
        <v>1</v>
      </c>
      <c r="AT31" s="101" t="str">
        <f>HYPERLINK("https://books.google.com/books?id=AqAtjVMGnLIC&amp;q=huberty+family+farm#v=snippet&amp;q=huberty%20family%20farm&amp;f=false","3")</f>
        <v>3</v>
      </c>
      <c r="AU31" s="101">
        <v>1</v>
      </c>
      <c r="AV31" s="101">
        <v>4</v>
      </c>
      <c r="AW31" s="51"/>
      <c r="AX31" s="51">
        <v>0</v>
      </c>
      <c r="AY31" s="48">
        <v>0</v>
      </c>
      <c r="AZ31" s="105">
        <v>0</v>
      </c>
      <c r="BA31" s="48">
        <v>0</v>
      </c>
      <c r="BB31" s="107">
        <v>3</v>
      </c>
      <c r="BC31" s="105">
        <v>0</v>
      </c>
      <c r="BD31" s="105" t="str">
        <f t="shared" ref="BD31:BE31" si="55">HYPERLINK("https://books.google.com/books?id=AqAtjVMGnLIC&amp;q=huberty+family+farm#v=snippet&amp;q=huberty%20family%20farm&amp;f=false","1")</f>
        <v>1</v>
      </c>
      <c r="BE31" s="105" t="str">
        <f t="shared" si="55"/>
        <v>1</v>
      </c>
      <c r="BF31" s="101" t="str">
        <f>HYPERLINK("https://books.google.com/books?id=AqAtjVMGnLIC&amp;q=huberty+family+farm#v=snippet&amp;q=huberty%20family%20farm&amp;f=false","0")</f>
        <v>0</v>
      </c>
      <c r="BG31" s="101" t="str">
        <f>HYPERLINK("https://www.washingtonpost.com/archive/politics/1984/07/21/to-father-of-mass-murderer-sons-violence-is-inexplicable/377d77bd-97ff-4f22-b2a3-15c747f70ea3/?utm_term=.c72a0cdb18a3","3")</f>
        <v>3</v>
      </c>
      <c r="BH31" s="51">
        <v>0</v>
      </c>
      <c r="BI31" s="48">
        <v>0</v>
      </c>
      <c r="BJ31" s="105" t="str">
        <f>HYPERLINK("https://www.washingtonpost.com/archive/politics/1984/07/20/death-blood-in-a-place-of-laughter/a5bb422b-fc48-4289-ab47-0f63d88676cd/?utm_term=.840a2d521c8b","0")</f>
        <v>0</v>
      </c>
      <c r="BK31" s="101" t="str">
        <f>HYPERLINK("http://articles.latimes.com/1994-07-17/local/me-16553_1_san-ysidro/2","1")</f>
        <v>1</v>
      </c>
      <c r="BL31" s="108" t="str">
        <f>HYPERLINK("https://www.upi.com/Archives/1984/08/02/Mass-murderer-James-Huberty-tried-to-get-help-from/8825460267200/","1")</f>
        <v>1</v>
      </c>
      <c r="BM31" s="109">
        <v>0</v>
      </c>
      <c r="BN31" s="115" t="s">
        <v>3023</v>
      </c>
      <c r="BO31" s="111">
        <v>1</v>
      </c>
      <c r="BP31" s="111">
        <v>0</v>
      </c>
      <c r="BQ31" s="111">
        <v>0</v>
      </c>
      <c r="BR31" s="111">
        <v>0</v>
      </c>
      <c r="BS31" s="111">
        <v>0</v>
      </c>
      <c r="BT31" s="111">
        <v>1</v>
      </c>
      <c r="BU31" s="111">
        <v>0</v>
      </c>
      <c r="BV31" s="111">
        <v>0</v>
      </c>
      <c r="BW31" s="111">
        <v>0</v>
      </c>
      <c r="BX31" s="111">
        <v>0</v>
      </c>
      <c r="BY31" s="105" t="str">
        <f>HYPERLINK("https://www.nydailynews.com/news/national/daughter-1984-gunman-speaks-article-1.2464531","2")</f>
        <v>2</v>
      </c>
      <c r="BZ31" s="101" t="str">
        <f t="shared" ref="BZ31:CA31" si="56">HYPERLINK("https://www.upi.com/Archives/1984/08/02/Mass-murderer-James-Huberty-tried-to-get-help-from/8825460267200/","0")</f>
        <v>0</v>
      </c>
      <c r="CA31" s="101" t="str">
        <f t="shared" si="56"/>
        <v>0</v>
      </c>
      <c r="CB31" s="48" t="s">
        <v>100</v>
      </c>
      <c r="CC31" s="105" t="str">
        <f>HYPERLINK("https://www.upi.com/Archives/1984/08/02/Mass-murderer-James-Huberty-tried-to-get-help-from/8825460267200/","0")</f>
        <v>0</v>
      </c>
      <c r="CD31" s="48" t="s">
        <v>100</v>
      </c>
      <c r="CE31" s="105" t="str">
        <f>HYPERLINK("https://www.upi.com/Archives/1984/07/22/Mass-murderer-always-very-sad-and-very-lonely/4891459316800/","2")</f>
        <v>2</v>
      </c>
      <c r="CF31" s="52">
        <v>0</v>
      </c>
      <c r="CG31" s="48">
        <v>0</v>
      </c>
      <c r="CH31" s="105" t="str">
        <f>HYPERLINK("https://www.upi.com/Archives/1984/07/22/Mass-murderer-always-very-sad-and-very-lonely/4891459316800/","5")</f>
        <v>5</v>
      </c>
      <c r="CI31" s="101" t="s">
        <v>832</v>
      </c>
      <c r="CJ31" s="101" t="s">
        <v>3103</v>
      </c>
      <c r="CK31" s="117">
        <v>1</v>
      </c>
      <c r="CL31" s="113"/>
      <c r="CM31" s="113"/>
      <c r="CN31" s="109">
        <v>1</v>
      </c>
      <c r="CO31" s="110">
        <v>0</v>
      </c>
      <c r="CP31" s="110">
        <v>0</v>
      </c>
      <c r="CQ31" s="110">
        <v>0</v>
      </c>
      <c r="CR31" s="110">
        <v>0</v>
      </c>
      <c r="CS31" s="110">
        <v>0</v>
      </c>
      <c r="CT31" s="110">
        <v>0</v>
      </c>
      <c r="CU31" s="110">
        <v>0</v>
      </c>
      <c r="CV31" s="110">
        <v>0</v>
      </c>
      <c r="CW31" s="116">
        <v>0</v>
      </c>
      <c r="CX31" s="116">
        <v>0</v>
      </c>
      <c r="CY31" s="118" t="str">
        <f>HYPERLINK("https://www.washingtonpost.com/archive/politics/1984/07/20/death-blood-in-a-place-of-laughter/a5bb422b-fc48-4289-ab47-0f63d88676cd/?utm_term=.840a2d521c8b","1")</f>
        <v>1</v>
      </c>
      <c r="CZ31" s="108" t="str">
        <f>HYPERLINK("https://www.washingtonpost.com/archive/politics/1984/07/20/death-blood-in-a-place-of-laughter/a5bb422b-fc48-4289-ab47-0f63d88676cd/?utm_term=.840a2d521c8b","0")</f>
        <v>0</v>
      </c>
      <c r="DA31" s="48">
        <v>0</v>
      </c>
      <c r="DB31" s="48">
        <v>2</v>
      </c>
      <c r="DC31" s="101">
        <v>1</v>
      </c>
      <c r="DD31" s="51">
        <v>0</v>
      </c>
      <c r="DE31" s="51">
        <v>2</v>
      </c>
      <c r="DF31" s="51">
        <v>0</v>
      </c>
      <c r="DG31" s="51"/>
      <c r="DH31" s="51"/>
      <c r="DI31" s="51"/>
      <c r="DJ31" s="48">
        <v>0</v>
      </c>
      <c r="DK31" s="51" t="s">
        <v>833</v>
      </c>
      <c r="DL31" s="48" t="s">
        <v>100</v>
      </c>
      <c r="DM31" s="105" t="str">
        <f>HYPERLINK("https://www.washingtonpost.com/archive/politics/1984/07/20/death-blood-in-a-place-of-laughter/a5bb422b-fc48-4289-ab47-0f63d88676cd/?utm_term=.840a2d521c8b","0")</f>
        <v>0</v>
      </c>
      <c r="DN31" s="51">
        <v>0</v>
      </c>
      <c r="DO31" s="51" t="s">
        <v>100</v>
      </c>
      <c r="DP31" s="101" t="str">
        <f t="shared" ref="DP31:DQ31" si="57">HYPERLINK("https://www.washingtonpost.com/archive/politics/1984/07/20/death-blood-in-a-place-of-laughter/a5bb422b-fc48-4289-ab47-0f63d88676cd/?utm_term=.840a2d521c8b","0")</f>
        <v>0</v>
      </c>
      <c r="DQ31" s="101" t="str">
        <f t="shared" si="57"/>
        <v>0</v>
      </c>
      <c r="DR31" s="101" t="str">
        <f>HYPERLINK("https://books.google.com/books?id=AqAtjVMGnLIC&amp;q=huberty+family+farm#v=snippet&amp;q=huberty%20family%20farm&amp;f=false","1")</f>
        <v>1</v>
      </c>
      <c r="DS31" s="101" t="str">
        <f>HYPERLINK("https://www.nytimes.com/1984/07/21/us/mass-killer-is-recalled-as-a-gun-loving-youth.html","2")</f>
        <v>2</v>
      </c>
      <c r="DT31" s="105">
        <v>3</v>
      </c>
      <c r="DU31" s="105" t="str">
        <f>HYPERLINK("https://www.nytimes.com/1984/07/20/us/weapons-used-by-killer-said-to-be-easy-to-obtain.html","0")</f>
        <v>0</v>
      </c>
      <c r="DV31" s="48" t="s">
        <v>100</v>
      </c>
      <c r="DW31" s="105">
        <v>1</v>
      </c>
      <c r="DX31" s="105" t="str">
        <f>HYPERLINK("http://edition.cnn.com/2009/CRIME/07/23/california.mcdonalds.massacre/index.html","0")</f>
        <v>0</v>
      </c>
      <c r="DY31" s="51">
        <v>2</v>
      </c>
      <c r="DZ31" s="48">
        <v>0</v>
      </c>
    </row>
    <row r="32" spans="1:130" ht="50.25" customHeight="1">
      <c r="A32" s="96">
        <v>30</v>
      </c>
      <c r="B32" s="97" t="s">
        <v>224</v>
      </c>
      <c r="C32" s="97" t="s">
        <v>225</v>
      </c>
      <c r="D32" s="98">
        <v>30887</v>
      </c>
      <c r="E32" s="48" t="s">
        <v>203</v>
      </c>
      <c r="F32" s="119">
        <v>24</v>
      </c>
      <c r="G32" s="102">
        <v>7</v>
      </c>
      <c r="H32" s="101">
        <v>1984</v>
      </c>
      <c r="I32" s="48" t="s">
        <v>226</v>
      </c>
      <c r="J32" s="101" t="str">
        <f>HYPERLINK("https://newspaperarchive.com/fayetteville-northwest-arkansas-times-jul-25-1984-p-1/","Hot Springs")</f>
        <v>Hot Springs</v>
      </c>
      <c r="K32" s="102">
        <v>4</v>
      </c>
      <c r="L32" s="102">
        <v>0</v>
      </c>
      <c r="M32" s="102" t="str">
        <f>HYPERLINK("https://newspaperarchive.com/fayetteville-northwest-arkansas-times-jul-25-1984-p-1/","1")</f>
        <v>1</v>
      </c>
      <c r="N32" s="102" t="str">
        <f>HYPERLINK("https://newspaperarchive.com/fayetteville-northwest-arkansas-times-jul-25-1984-p-1/","5")</f>
        <v>5</v>
      </c>
      <c r="O32" s="102" t="str">
        <f>HYPERLINK("https://newspaperarchive.com/fayetteville-northwest-arkansas-times-jul-25-1984-p-1/","1")</f>
        <v>1</v>
      </c>
      <c r="P32" s="122">
        <v>8</v>
      </c>
      <c r="Q32" s="103">
        <v>0</v>
      </c>
      <c r="R32" s="103">
        <v>0</v>
      </c>
      <c r="S32" s="102" t="str">
        <f>HYPERLINK("https://casetext.com/case/travelers-indem-co-v-olives-spt-goods-inc","5")</f>
        <v>5</v>
      </c>
      <c r="T32" s="102" t="str">
        <f>HYPERLINK("https://casetext.com/case/travelers-indem-co-v-olives-spt-goods-inc","1")</f>
        <v>1</v>
      </c>
      <c r="U32" s="101" t="str">
        <f>HYPERLINK("https://www.upi.com/Archives/1984/07/25/A-gunman-who-killed-four-people-and-wounded-another/3627459576000/","0")</f>
        <v>0</v>
      </c>
      <c r="V32" s="101">
        <v>33</v>
      </c>
      <c r="W32" s="101">
        <v>0</v>
      </c>
      <c r="X32" s="101" t="str">
        <f>HYPERLINK("https://newspaperarchive.com/fayetteville-northwest-arkansas-times-jul-25-1984-p-1/","0")</f>
        <v>0</v>
      </c>
      <c r="Y32" s="48">
        <v>0</v>
      </c>
      <c r="Z32" s="101" t="str">
        <f>HYPERLINK("https://www.odmp.org/officer/13864-sergeant-wayne-m-warwick","0")</f>
        <v>0</v>
      </c>
      <c r="AA32" s="51"/>
      <c r="AB32" s="51"/>
      <c r="AC32" s="51"/>
      <c r="AD32" s="51"/>
      <c r="AE32" s="51"/>
      <c r="AF32" s="51"/>
      <c r="AG32" s="51"/>
      <c r="AH32" s="51"/>
      <c r="AI32" s="101" t="str">
        <f>HYPERLINK("https://www.odmp.org/officer/13864-sergeant-wayne-m-warwick","0")</f>
        <v>0</v>
      </c>
      <c r="AJ32" s="51">
        <v>0</v>
      </c>
      <c r="AK32" s="51"/>
      <c r="AL32" s="51"/>
      <c r="AM32" s="51">
        <v>0</v>
      </c>
      <c r="AN32" s="48" t="s">
        <v>100</v>
      </c>
      <c r="AO32" s="51"/>
      <c r="AP32" s="54"/>
      <c r="AQ32" s="101" t="str">
        <f t="shared" ref="AQ32:DS32" si="58">HYPERLINK("https://www.upi.com/Archives/1984/07/25/A-gunman-who-killed-four-people-and-wounded-another/3627459576000/","1")</f>
        <v>1</v>
      </c>
      <c r="AR32" s="51">
        <v>0</v>
      </c>
      <c r="AS32" s="101">
        <v>1</v>
      </c>
      <c r="AT32" s="52">
        <v>0</v>
      </c>
      <c r="AU32" s="52" t="s">
        <v>100</v>
      </c>
      <c r="AV32" s="52" t="s">
        <v>100</v>
      </c>
      <c r="AW32" s="52" t="s">
        <v>100</v>
      </c>
      <c r="AX32" s="48">
        <v>0</v>
      </c>
      <c r="AY32" s="51">
        <v>0</v>
      </c>
      <c r="AZ32" s="101">
        <v>0</v>
      </c>
      <c r="BA32" s="51">
        <v>0</v>
      </c>
      <c r="BB32" s="107">
        <v>3</v>
      </c>
      <c r="BC32" s="101" t="str">
        <f>HYPERLINK("https://www.nytimes.com/1984/07/26/us/officers-tracing-gunman-s-history.html","1")</f>
        <v>1</v>
      </c>
      <c r="BD32" s="101">
        <v>0</v>
      </c>
      <c r="BE32" s="48"/>
      <c r="BF32" s="51"/>
      <c r="BG32" s="51"/>
      <c r="BH32" s="107">
        <v>1</v>
      </c>
      <c r="BI32" s="105">
        <v>0</v>
      </c>
      <c r="BJ32" s="101" t="str">
        <f>HYPERLINK("https://www.odmp.org/officer/13864-sergeant-wayne-m-warwick","1")</f>
        <v>1</v>
      </c>
      <c r="BK32" s="51"/>
      <c r="BL32" s="108">
        <v>1</v>
      </c>
      <c r="BM32" s="109">
        <v>2</v>
      </c>
      <c r="BN32" s="115" t="s">
        <v>2990</v>
      </c>
      <c r="BO32" s="111">
        <v>1</v>
      </c>
      <c r="BP32" s="111">
        <v>0</v>
      </c>
      <c r="BQ32" s="111">
        <v>1</v>
      </c>
      <c r="BR32" s="111">
        <v>0</v>
      </c>
      <c r="BS32" s="111">
        <v>0</v>
      </c>
      <c r="BT32" s="111">
        <v>1</v>
      </c>
      <c r="BU32" s="111">
        <v>1</v>
      </c>
      <c r="BV32" s="111">
        <v>0</v>
      </c>
      <c r="BW32" s="111">
        <v>0</v>
      </c>
      <c r="BX32" s="111">
        <v>0</v>
      </c>
      <c r="BY32" s="101" t="str">
        <f>HYPERLINK("https://www.upi.com/Archives/1984/07/25/A-gunman-who-killed-four-people-and-wounded-another/3627459576000/","2")</f>
        <v>2</v>
      </c>
      <c r="BZ32" s="51">
        <v>0</v>
      </c>
      <c r="CA32" s="51">
        <v>0</v>
      </c>
      <c r="CB32" s="51" t="s">
        <v>100</v>
      </c>
      <c r="CC32" s="51">
        <v>0</v>
      </c>
      <c r="CD32" s="51" t="s">
        <v>100</v>
      </c>
      <c r="CE32" s="51">
        <v>0</v>
      </c>
      <c r="CF32" s="107">
        <v>0</v>
      </c>
      <c r="CG32" s="51">
        <v>0</v>
      </c>
      <c r="CH32" s="101" t="str">
        <f>HYPERLINK("https://www.nytimes.com/1984/07/26/us/officers-tracing-gunman-s-history.html","5")</f>
        <v>5</v>
      </c>
      <c r="CI32" s="51">
        <v>0</v>
      </c>
      <c r="CJ32" s="51" t="s">
        <v>100</v>
      </c>
      <c r="CK32" s="113">
        <v>0</v>
      </c>
      <c r="CL32" s="113"/>
      <c r="CM32" s="113"/>
      <c r="CN32" s="110">
        <v>0</v>
      </c>
      <c r="CO32" s="110">
        <v>0</v>
      </c>
      <c r="CP32" s="110">
        <v>0</v>
      </c>
      <c r="CQ32" s="110">
        <v>0</v>
      </c>
      <c r="CR32" s="110">
        <v>0</v>
      </c>
      <c r="CS32" s="110">
        <v>0</v>
      </c>
      <c r="CT32" s="110">
        <v>0</v>
      </c>
      <c r="CU32" s="109">
        <v>1</v>
      </c>
      <c r="CV32" s="110">
        <v>0</v>
      </c>
      <c r="CW32" s="110">
        <v>0</v>
      </c>
      <c r="CX32" s="108" t="str">
        <f>HYPERLINK("https://newspaperarchive.com/fayetteville-northwest-arkansas-times-jul-25-1984-p-1/","1")</f>
        <v>1</v>
      </c>
      <c r="CY32" s="110">
        <v>0</v>
      </c>
      <c r="CZ32" s="108" t="str">
        <f>HYPERLINK("https://www.odmp.org/officer/13864-sergeant-wayne-m-warwick","1")</f>
        <v>1</v>
      </c>
      <c r="DA32" s="51">
        <v>0</v>
      </c>
      <c r="DB32" s="51">
        <v>2</v>
      </c>
      <c r="DC32" s="101">
        <v>1</v>
      </c>
      <c r="DD32" s="51">
        <v>0</v>
      </c>
      <c r="DE32" s="107">
        <v>8</v>
      </c>
      <c r="DF32" s="51">
        <v>0</v>
      </c>
      <c r="DG32" s="51"/>
      <c r="DH32" s="51"/>
      <c r="DI32" s="51"/>
      <c r="DJ32" s="51">
        <v>0</v>
      </c>
      <c r="DK32" s="101">
        <v>1</v>
      </c>
      <c r="DL32" s="101" t="str">
        <f>HYPERLINK("https://www.upi.com/Archives/1984/07/25/A-gunman-who-killed-four-people-and-wounded-another/3627459576000/","3rd mass shooting in a bar/restaurant in a month.")</f>
        <v>3rd mass shooting in a bar/restaurant in a month.</v>
      </c>
      <c r="DM32" s="101" t="str">
        <f>HYPERLINK("https://www.upi.com/Archives/1984/07/27/Companion-baffled-by-shooting-spree/1652459748800/","0")</f>
        <v>0</v>
      </c>
      <c r="DN32" s="51">
        <v>0</v>
      </c>
      <c r="DO32" s="51" t="s">
        <v>100</v>
      </c>
      <c r="DP32" s="101" t="str">
        <f>HYPERLINK("https://www.upi.com/Archives/1984/07/27/Companion-baffled-by-shooting-spree/1652459748800/","0")</f>
        <v>0</v>
      </c>
      <c r="DQ32" s="101" t="str">
        <f>HYPERLINK("https://newspaperarchive.com/fayetteville-northwest-arkansas-times-jul-25-1984-p-3/","0")</f>
        <v>0</v>
      </c>
      <c r="DR32" s="48">
        <v>0</v>
      </c>
      <c r="DS32" s="101" t="str">
        <f t="shared" si="58"/>
        <v>1</v>
      </c>
      <c r="DT32" s="101" t="str">
        <f>HYPERLINK("https://casetext.com/case/travelers-indem-co-v-olives-spt-goods-inc","2")</f>
        <v>2</v>
      </c>
      <c r="DU32" s="101" t="str">
        <f>HYPERLINK("https://www.upi.com/Archives/1984/07/25/A-gunman-who-killed-four-people-and-wounded-another/3627459576000/","0")</f>
        <v>0</v>
      </c>
      <c r="DV32" s="48" t="s">
        <v>100</v>
      </c>
      <c r="DW32" s="101" t="str">
        <f t="shared" ref="DW32:DX32" si="59">HYPERLINK("https://www.upi.com/Archives/1984/07/25/A-gunman-who-killed-four-people-and-wounded-another/3627459576000/","0")</f>
        <v>0</v>
      </c>
      <c r="DX32" s="101" t="str">
        <f t="shared" si="59"/>
        <v>0</v>
      </c>
      <c r="DY32" s="48">
        <v>2</v>
      </c>
      <c r="DZ32" s="48">
        <v>0</v>
      </c>
    </row>
    <row r="33" spans="1:130" ht="50.25" customHeight="1">
      <c r="A33" s="96">
        <v>31</v>
      </c>
      <c r="B33" s="97" t="s">
        <v>229</v>
      </c>
      <c r="C33" s="97" t="s">
        <v>230</v>
      </c>
      <c r="D33" s="98">
        <v>31122</v>
      </c>
      <c r="E33" s="48" t="s">
        <v>103</v>
      </c>
      <c r="F33" s="119">
        <v>16</v>
      </c>
      <c r="G33" s="102" t="str">
        <f>HYPERLINK("https://www.upi.com/Archives/1985/03/16/A-factory-worker-who-had-just-been-suspended-from/4288479797200/","3")</f>
        <v>3</v>
      </c>
      <c r="H33" s="101" t="str">
        <f>HYPERLINK("https://www.upi.com/Archives/1985/03/16/A-factory-worker-who-had-just-been-suspended-from/4288479797200/","1985")</f>
        <v>1985</v>
      </c>
      <c r="I33" s="48" t="s">
        <v>231</v>
      </c>
      <c r="J33" s="101" t="s">
        <v>232</v>
      </c>
      <c r="K33" s="102" t="str">
        <f>HYPERLINK("https://www.upi.com/Archives/1985/03/16/A-factory-worker-who-had-just-been-suspended-from/4288479797200/","38")</f>
        <v>38</v>
      </c>
      <c r="L33" s="102" t="str">
        <f>HYPERLINK("https://www.upi.com/Archives/1985/03/16/A-factory-worker-who-had-just-been-suspended-from/4288479797200/","2")</f>
        <v>2</v>
      </c>
      <c r="M33" s="102">
        <v>2</v>
      </c>
      <c r="N33" s="102" t="str">
        <f>HYPERLINK("https://www.upi.com/Archives/1985/03/16/A-factory-worker-who-had-just-been-suspended-from/4288479797200/","6")</f>
        <v>6</v>
      </c>
      <c r="O33" s="102">
        <v>0</v>
      </c>
      <c r="P33" s="99" t="s">
        <v>100</v>
      </c>
      <c r="Q33" s="103">
        <v>0</v>
      </c>
      <c r="R33" s="103">
        <v>0</v>
      </c>
      <c r="S33" s="102" t="str">
        <f>HYPERLINK("https://www.nbcphiladelphia.com/news/local/Memories-of-1985-Pa-Factory-Slayings-Revived-224724192.html","4")</f>
        <v>4</v>
      </c>
      <c r="T33" s="102">
        <v>2</v>
      </c>
      <c r="U33" s="101" t="str">
        <f>HYPERLINK("https://www.washingtonpost.com/archive/politics/1985/04/05/in-factory-town-fear-of-a-killing-pace/795719f4-fac5-45ee-a5ea-908b039750a8/?noredirect=on","0")</f>
        <v>0</v>
      </c>
      <c r="V33" s="101">
        <v>39</v>
      </c>
      <c r="W33" s="101" t="str">
        <f>HYPERLINK("https://www.upi.com/Archives/1985/03/16/A-factory-worker-who-had-just-been-suspended-from/4288479797200/","0")</f>
        <v>0</v>
      </c>
      <c r="X33" s="51"/>
      <c r="Y33" s="48">
        <v>0</v>
      </c>
      <c r="Z33" s="101" t="str">
        <f>HYPERLINK("https://www.washingtonpost.com/archive/politics/1985/04/05/in-factory-town-fear-of-a-killing-pace/795719f4-fac5-45ee-a5ea-908b039750a8/?noredirect=on","0")</f>
        <v>0</v>
      </c>
      <c r="AA33" s="51"/>
      <c r="AB33" s="101" t="str">
        <f>HYPERLINK("https://www.upi.com/Archives/1985/03/16/A-factory-worker-who-had-just-been-suspended-from/4288479797200/","1")</f>
        <v>1</v>
      </c>
      <c r="AC33" s="51"/>
      <c r="AD33" s="51"/>
      <c r="AE33" s="51"/>
      <c r="AF33" s="51"/>
      <c r="AG33" s="51"/>
      <c r="AH33" s="51"/>
      <c r="AI33" s="101">
        <v>2</v>
      </c>
      <c r="AJ33" s="101">
        <v>1</v>
      </c>
      <c r="AK33" s="101">
        <v>1</v>
      </c>
      <c r="AL33" s="101" t="str">
        <f>HYPERLINK("https://www.washingtonpost.com/archive/politics/1985/04/05/in-factory-town-fear-of-a-killing-pace/795719f4-fac5-45ee-a5ea-908b039750a8/?noredirect=on","0")</f>
        <v>0</v>
      </c>
      <c r="AM33" s="51">
        <v>0</v>
      </c>
      <c r="AN33" s="48" t="s">
        <v>100</v>
      </c>
      <c r="AO33" s="51"/>
      <c r="AP33" s="54"/>
      <c r="AQ33" s="51">
        <v>0</v>
      </c>
      <c r="AR33" s="51">
        <v>0</v>
      </c>
      <c r="AS33" s="51">
        <v>0</v>
      </c>
      <c r="AT33" s="48">
        <v>0</v>
      </c>
      <c r="AU33" s="48" t="s">
        <v>100</v>
      </c>
      <c r="AV33" s="48" t="s">
        <v>100</v>
      </c>
      <c r="AW33" s="48" t="s">
        <v>100</v>
      </c>
      <c r="AX33" s="48">
        <v>0</v>
      </c>
      <c r="AY33" s="51">
        <v>0</v>
      </c>
      <c r="AZ33" s="106" t="s">
        <v>809</v>
      </c>
      <c r="BA33" s="51">
        <v>0</v>
      </c>
      <c r="BB33" s="51">
        <v>3</v>
      </c>
      <c r="BC33" s="101" t="str">
        <f>HYPERLINK("https://www.apnews.com/c5d8552f56a7d24ddb1d7e57738d8242","0")</f>
        <v>0</v>
      </c>
      <c r="BD33" s="51">
        <v>0</v>
      </c>
      <c r="BE33" s="51"/>
      <c r="BF33" s="51"/>
      <c r="BG33" s="51"/>
      <c r="BH33" s="51"/>
      <c r="BI33" s="51">
        <v>0</v>
      </c>
      <c r="BJ33" s="101">
        <v>0</v>
      </c>
      <c r="BK33" s="101">
        <v>1</v>
      </c>
      <c r="BL33" s="109">
        <v>1</v>
      </c>
      <c r="BM33" s="109">
        <v>3</v>
      </c>
      <c r="BN33" s="115" t="s">
        <v>2991</v>
      </c>
      <c r="BO33" s="111">
        <v>1</v>
      </c>
      <c r="BP33" s="111">
        <v>0</v>
      </c>
      <c r="BQ33" s="111">
        <v>1</v>
      </c>
      <c r="BR33" s="111">
        <v>0</v>
      </c>
      <c r="BS33" s="111">
        <v>0</v>
      </c>
      <c r="BT33" s="111">
        <v>1</v>
      </c>
      <c r="BU33" s="111">
        <v>0</v>
      </c>
      <c r="BV33" s="111">
        <v>0</v>
      </c>
      <c r="BW33" s="111">
        <v>0</v>
      </c>
      <c r="BX33" s="111">
        <v>0</v>
      </c>
      <c r="BY33" s="101" t="str">
        <f>HYPERLINK("https://www.latimes.com/archives/la-xpm-1985-03-17-me-35366-story.html","2")</f>
        <v>2</v>
      </c>
      <c r="BZ33" s="51">
        <v>0</v>
      </c>
      <c r="CA33" s="51">
        <v>0</v>
      </c>
      <c r="CB33" s="51" t="s">
        <v>100</v>
      </c>
      <c r="CC33" s="51">
        <v>0</v>
      </c>
      <c r="CD33" s="51" t="s">
        <v>100</v>
      </c>
      <c r="CE33" s="51">
        <v>0</v>
      </c>
      <c r="CF33" s="107">
        <v>0</v>
      </c>
      <c r="CG33" s="51">
        <v>0</v>
      </c>
      <c r="CH33" s="51">
        <v>0</v>
      </c>
      <c r="CI33" s="51">
        <v>0</v>
      </c>
      <c r="CJ33" s="51" t="s">
        <v>100</v>
      </c>
      <c r="CK33" s="113">
        <v>0</v>
      </c>
      <c r="CL33" s="113"/>
      <c r="CM33" s="113"/>
      <c r="CN33" s="110">
        <v>0</v>
      </c>
      <c r="CO33" s="110">
        <v>0</v>
      </c>
      <c r="CP33" s="110">
        <v>0</v>
      </c>
      <c r="CQ33" s="110">
        <v>0</v>
      </c>
      <c r="CR33" s="109">
        <v>1</v>
      </c>
      <c r="CS33" s="110">
        <v>0</v>
      </c>
      <c r="CT33" s="110">
        <v>0</v>
      </c>
      <c r="CU33" s="110">
        <v>0</v>
      </c>
      <c r="CV33" s="108">
        <v>0</v>
      </c>
      <c r="CW33" s="110">
        <v>0</v>
      </c>
      <c r="CX33" s="110">
        <v>0</v>
      </c>
      <c r="CY33" s="110">
        <v>0</v>
      </c>
      <c r="CZ33" s="108" t="str">
        <f>HYPERLINK("https://www.washingtonpost.com/archive/politics/1985/04/05/in-factory-town-fear-of-a-killing-pace/795719f4-fac5-45ee-a5ea-908b039750a8/?noredirect=on","0")</f>
        <v>0</v>
      </c>
      <c r="DA33" s="51">
        <v>0</v>
      </c>
      <c r="DB33" s="51">
        <v>2</v>
      </c>
      <c r="DC33" s="101">
        <v>1</v>
      </c>
      <c r="DD33" s="51">
        <v>0</v>
      </c>
      <c r="DE33" s="51">
        <v>9</v>
      </c>
      <c r="DF33" s="51">
        <v>1</v>
      </c>
      <c r="DG33" s="51"/>
      <c r="DH33" s="51"/>
      <c r="DI33" s="51"/>
      <c r="DJ33" s="51">
        <v>0</v>
      </c>
      <c r="DK33" s="51">
        <v>0</v>
      </c>
      <c r="DL33" s="48" t="s">
        <v>100</v>
      </c>
      <c r="DM33" s="101" t="str">
        <f>HYPERLINK("https://www.washingtonpost.com/archive/politics/1985/04/05/in-factory-town-fear-of-a-killing-pace/795719f4-fac5-45ee-a5ea-908b039750a8/?noredirect=on","0")</f>
        <v>0</v>
      </c>
      <c r="DN33" s="51">
        <v>0</v>
      </c>
      <c r="DO33" s="51" t="s">
        <v>100</v>
      </c>
      <c r="DP33" s="101" t="str">
        <f t="shared" ref="DP33:DQ33" si="60">HYPERLINK("https://www.washingtonpost.com/archive/politics/1985/04/05/in-factory-town-fear-of-a-killing-pace/795719f4-fac5-45ee-a5ea-908b039750a8/?noredirect=on","0")</f>
        <v>0</v>
      </c>
      <c r="DQ33" s="101" t="str">
        <f t="shared" si="60"/>
        <v>0</v>
      </c>
      <c r="DR33" s="48">
        <v>0</v>
      </c>
      <c r="DS33" s="101" t="str">
        <f>HYPERLINK("https://apnews.com/c5d8552f56a7d24ddb1d7e57738d8242","1")</f>
        <v>1</v>
      </c>
      <c r="DT33" s="101">
        <v>1</v>
      </c>
      <c r="DU33" s="101" t="str">
        <f>HYPERLINK("https://www.apnews.com/c5d8552f56a7d24ddb1d7e57738d8242","0")</f>
        <v>0</v>
      </c>
      <c r="DV33" s="48" t="s">
        <v>100</v>
      </c>
      <c r="DW33" s="101" t="str">
        <f>HYPERLINK("https://www.nbcphiladelphia.com/news/local/Memories-of-1985-Pa-Factory-Slayings-Revived-224724192.html","0")</f>
        <v>0</v>
      </c>
      <c r="DX33" s="101" t="str">
        <f>HYPERLINK("https://www.washingtonpost.com/archive/politics/1985/04/05/in-factory-town-fear-of-a-killing-pace/795719f4-fac5-45ee-a5ea-908b039750a8/?noredirect=on","0")</f>
        <v>0</v>
      </c>
      <c r="DY33" s="48">
        <v>2</v>
      </c>
      <c r="DZ33" s="48">
        <v>0</v>
      </c>
    </row>
    <row r="34" spans="1:130" ht="50.25" customHeight="1">
      <c r="A34" s="96">
        <v>32</v>
      </c>
      <c r="B34" s="97" t="s">
        <v>233</v>
      </c>
      <c r="C34" s="97" t="s">
        <v>234</v>
      </c>
      <c r="D34" s="98">
        <v>31644</v>
      </c>
      <c r="E34" s="48" t="s">
        <v>123</v>
      </c>
      <c r="F34" s="119">
        <v>20</v>
      </c>
      <c r="G34" s="102">
        <v>8</v>
      </c>
      <c r="H34" s="101" t="str">
        <f>HYPERLINK("https://www.okhistory.org/publications/enc/entry.php?entry=ED003","1986")</f>
        <v>1986</v>
      </c>
      <c r="I34" s="48" t="s">
        <v>235</v>
      </c>
      <c r="J34" s="101" t="str">
        <f>HYPERLINK("http://articles.latimes.com/1986-08-21/news/mn-17529_1_oklahoma-city-post-office","Edmond")</f>
        <v>Edmond</v>
      </c>
      <c r="K34" s="102" t="str">
        <f>HYPERLINK("http://content.time.com/time/magazine/article/0,9171,144859,00.html","36")</f>
        <v>36</v>
      </c>
      <c r="L34" s="102" t="str">
        <f>HYPERLINK("http://content.time.com/time/magazine/article/0,9171,144859,00.html","0")</f>
        <v>0</v>
      </c>
      <c r="M34" s="102" t="str">
        <f>HYPERLINK("https://www.nydailynews.com/news/crime/mailman-massacre-14-die-patrick-sherrill-postal-1986-shootings-article-1.204101","1")</f>
        <v>1</v>
      </c>
      <c r="N34" s="102" t="str">
        <f>HYPERLINK("https://www.latimes.com/archives/la-xpm-1986-08-21-mn-17529-story.html","6")</f>
        <v>6</v>
      </c>
      <c r="O34" s="102">
        <v>0</v>
      </c>
      <c r="P34" s="99" t="s">
        <v>100</v>
      </c>
      <c r="Q34" s="103">
        <v>0</v>
      </c>
      <c r="R34" s="103">
        <v>0</v>
      </c>
      <c r="S34" s="102" t="str">
        <f>HYPERLINK("http://articles.latimes.com/1986-08-21/news/mn-17529_1_oklahoma-city-post-office","14")</f>
        <v>14</v>
      </c>
      <c r="T34" s="102">
        <v>6</v>
      </c>
      <c r="U34" s="101" t="str">
        <f>HYPERLINK("https://www.latimes.com/archives/la-xpm-1986-08-21-mn-17529-story.html","0")</f>
        <v>0</v>
      </c>
      <c r="V34" s="101">
        <v>44</v>
      </c>
      <c r="W34" s="101" t="str">
        <f>HYPERLINK("https://www.okhistory.org/publications/enc/entry.php?entry=ED003","0")</f>
        <v>0</v>
      </c>
      <c r="X34" s="101" t="str">
        <f>HYPERLINK("https://www.azcentral.com/story/opinion/op-ed/ej-montini/2017/10/14/montini-reason-no-one-goes-postal-anymore/762355001/","0")</f>
        <v>0</v>
      </c>
      <c r="Y34" s="48">
        <v>0</v>
      </c>
      <c r="Z34" s="101" t="str">
        <f>HYPERLINK("https://oklahoman.com/article/2177416/sherrill-feared-mental-illness-rejected","0")</f>
        <v>0</v>
      </c>
      <c r="AA34" s="101" t="str">
        <f>HYPERLINK("https://newsok.com/article/2177416/sherrill-feared-mental-illness-rejected","1")</f>
        <v>1</v>
      </c>
      <c r="AB34" s="101">
        <v>2</v>
      </c>
      <c r="AC34" s="123">
        <v>1</v>
      </c>
      <c r="AD34" s="123" t="s">
        <v>2948</v>
      </c>
      <c r="AE34" s="123">
        <v>3</v>
      </c>
      <c r="AF34" s="123">
        <v>2</v>
      </c>
      <c r="AG34" s="123">
        <v>2</v>
      </c>
      <c r="AH34" s="123">
        <v>0</v>
      </c>
      <c r="AI34" s="101" t="str">
        <f>HYPERLINK("https://www.nydailynews.com/news/crime/mailman-massacre-14-die-patrick-sherrill-postal-1986-shootings-article-1.204101","0")</f>
        <v>0</v>
      </c>
      <c r="AJ34" s="101">
        <v>0</v>
      </c>
      <c r="AK34" s="101" t="str">
        <f>HYPERLINK("http://articles.latimes.com/1986-08-21/news/mn-17529_1_oklahoma-city-post-office","1")</f>
        <v>1</v>
      </c>
      <c r="AL34" s="101">
        <v>0</v>
      </c>
      <c r="AM34" s="101" t="str">
        <f>HYPERLINK("https://www.nydailynews.com/news/crime/mailman-massacre-14-die-patrick-sherrill-postal-1986-shootings-article-1.204101","1")</f>
        <v>1</v>
      </c>
      <c r="AN34" s="101" t="str">
        <f>HYPERLINK("https://www.nydailynews.com/news/crime/mailman-massacre-14-die-patrick-sherrill-postal-1986-shootings-article-1.204101","3")</f>
        <v>3</v>
      </c>
      <c r="AO34" s="101" t="str">
        <f>HYPERLINK("https://www.nydailynews.com/news/crime/mailman-massacre-14-die-patrick-sherrill-postal-1986-shootings-article-1.204101","0")</f>
        <v>0</v>
      </c>
      <c r="AP34" s="54"/>
      <c r="AQ34" s="101">
        <v>0</v>
      </c>
      <c r="AR34" s="51">
        <v>0</v>
      </c>
      <c r="AS34" s="101" t="str">
        <f>HYPERLINK("https://www.nydailynews.com/news/crime/mailman-massacre-14-die-patrick-sherrill-postal-1986-shootings-article-1.204101","1")</f>
        <v>1</v>
      </c>
      <c r="AT34" s="123">
        <v>2</v>
      </c>
      <c r="AU34" s="123">
        <v>3</v>
      </c>
      <c r="AV34" s="51"/>
      <c r="AW34" s="51"/>
      <c r="AX34" s="123">
        <v>1</v>
      </c>
      <c r="AY34" s="101">
        <v>0</v>
      </c>
      <c r="AZ34" s="105">
        <v>0</v>
      </c>
      <c r="BA34" s="51">
        <v>0</v>
      </c>
      <c r="BB34" s="107">
        <v>3</v>
      </c>
      <c r="BC34" s="101">
        <v>0</v>
      </c>
      <c r="BD34" s="51">
        <v>0</v>
      </c>
      <c r="BE34" s="123">
        <v>0</v>
      </c>
      <c r="BF34" s="123">
        <v>0</v>
      </c>
      <c r="BG34" s="123">
        <v>3</v>
      </c>
      <c r="BH34" s="51">
        <v>0</v>
      </c>
      <c r="BI34" s="101" t="str">
        <f>HYPERLINK("https://www.nydailynews.com/news/crime/mailman-massacre-14-die-patrick-sherrill-postal-1986-shootings-article-1.204101","1")</f>
        <v>1</v>
      </c>
      <c r="BJ34" s="101">
        <v>0</v>
      </c>
      <c r="BK34" s="101" t="str">
        <f>HYPERLINK("https://www.latimes.com/archives/la-xpm-1986-08-21-mn-17529-story.html","1")</f>
        <v>1</v>
      </c>
      <c r="BL34" s="108" t="str">
        <f>HYPERLINK("http://content.time.com/time/magazine/article/0,9171,144859,00.html","1")</f>
        <v>1</v>
      </c>
      <c r="BM34" s="109">
        <v>3</v>
      </c>
      <c r="BN34" s="115" t="s">
        <v>3065</v>
      </c>
      <c r="BO34" s="111">
        <v>1</v>
      </c>
      <c r="BP34" s="111">
        <v>1</v>
      </c>
      <c r="BQ34" s="111">
        <v>0</v>
      </c>
      <c r="BR34" s="111">
        <v>0</v>
      </c>
      <c r="BS34" s="111">
        <v>0</v>
      </c>
      <c r="BT34" s="111">
        <v>1</v>
      </c>
      <c r="BU34" s="111">
        <v>0</v>
      </c>
      <c r="BV34" s="111">
        <v>0</v>
      </c>
      <c r="BW34" s="111">
        <v>0</v>
      </c>
      <c r="BX34" s="111">
        <v>1</v>
      </c>
      <c r="BY34" s="101" t="str">
        <f>HYPERLINK("https://www.latimes.com/archives/la-xpm-1986-08-21-mn-17529-story.html","2")</f>
        <v>2</v>
      </c>
      <c r="BZ34" s="101">
        <v>0</v>
      </c>
      <c r="CA34" s="101">
        <v>0</v>
      </c>
      <c r="CB34" s="51" t="s">
        <v>100</v>
      </c>
      <c r="CC34" s="101">
        <v>0</v>
      </c>
      <c r="CD34" s="51" t="s">
        <v>100</v>
      </c>
      <c r="CE34" s="101" t="str">
        <f>HYPERLINK("https://www.nydailynews.com/news/crime/mailman-massacre-14-die-patrick-sherrill-postal-1986-shootings-article-1.204101","5")</f>
        <v>5</v>
      </c>
      <c r="CF34" s="123">
        <v>1</v>
      </c>
      <c r="CG34" s="51">
        <v>0</v>
      </c>
      <c r="CH34" s="51">
        <v>0</v>
      </c>
      <c r="CI34" s="51">
        <v>0</v>
      </c>
      <c r="CJ34" s="51" t="s">
        <v>100</v>
      </c>
      <c r="CK34" s="117">
        <v>2</v>
      </c>
      <c r="CL34" s="113"/>
      <c r="CM34" s="113"/>
      <c r="CN34" s="110">
        <v>0</v>
      </c>
      <c r="CO34" s="110">
        <v>0</v>
      </c>
      <c r="CP34" s="110">
        <v>0</v>
      </c>
      <c r="CQ34" s="110">
        <v>0</v>
      </c>
      <c r="CR34" s="108" t="str">
        <f>HYPERLINK("https://www.latimes.com/archives/la-xpm-1986-08-21-mn-17529-story.html","1")</f>
        <v>1</v>
      </c>
      <c r="CS34" s="110">
        <v>0</v>
      </c>
      <c r="CT34" s="110">
        <v>0</v>
      </c>
      <c r="CU34" s="110">
        <v>0</v>
      </c>
      <c r="CV34" s="110">
        <v>0</v>
      </c>
      <c r="CW34" s="110">
        <v>0</v>
      </c>
      <c r="CX34" s="110">
        <v>0</v>
      </c>
      <c r="CY34" s="110">
        <v>0</v>
      </c>
      <c r="CZ34" s="108" t="str">
        <f>HYPERLINK("https://www.latimes.com/archives/la-xpm-1986-08-21-mn-17529-story.html","0")</f>
        <v>0</v>
      </c>
      <c r="DA34" s="51">
        <v>0</v>
      </c>
      <c r="DB34" s="51">
        <v>2</v>
      </c>
      <c r="DC34" s="101" t="str">
        <f>HYPERLINK("https://www.okhistory.org/publications/enc/entry.php?entry=ED003","1")</f>
        <v>1</v>
      </c>
      <c r="DD34" s="107">
        <v>0</v>
      </c>
      <c r="DE34" s="107">
        <v>4</v>
      </c>
      <c r="DF34" s="107">
        <v>0</v>
      </c>
      <c r="DG34" s="107"/>
      <c r="DH34" s="107"/>
      <c r="DI34" s="107"/>
      <c r="DJ34" s="51">
        <v>0</v>
      </c>
      <c r="DK34" s="51">
        <v>0</v>
      </c>
      <c r="DL34" s="48" t="s">
        <v>100</v>
      </c>
      <c r="DM34" s="101" t="str">
        <f>HYPERLINK("https://oklahoman.com/article/2177416/sherrill-feared-mental-illness-rejected","1")</f>
        <v>1</v>
      </c>
      <c r="DN34" s="51">
        <v>0</v>
      </c>
      <c r="DO34" s="51" t="s">
        <v>100</v>
      </c>
      <c r="DP34" s="51">
        <v>0</v>
      </c>
      <c r="DQ34" s="101" t="str">
        <f>HYPERLINK("https://www.latimes.com/archives/la-xpm-1986-08-21-mn-17529-story.html","0")</f>
        <v>0</v>
      </c>
      <c r="DR34" s="101" t="str">
        <f>HYPERLINK("https://www.nydailynews.com/news/crime/mailman-massacre-14-die-patrick-sherrill-postal-1986-shootings-article-1.204101","1")</f>
        <v>1</v>
      </c>
      <c r="DS34" s="101" t="str">
        <f>HYPERLINK("https://www.nydailynews.com/news/crime/mailman-massacre-14-die-patrick-sherrill-postal-1986-shootings-article-1.204101","3")</f>
        <v>3</v>
      </c>
      <c r="DT34" s="101" t="str">
        <f t="shared" ref="DT34" si="61">HYPERLINK("http://articles.latimes.com/1986-08-21/news/mn-17529_1_oklahoma-city-post-office","3")</f>
        <v>3</v>
      </c>
      <c r="DU34" s="101" t="str">
        <f>HYPERLINK("https://www.nydailynews.com/news/crime/mailman-massacre-14-die-patrick-sherrill-postal-1986-shootings-article-1.204101","0")</f>
        <v>0</v>
      </c>
      <c r="DV34" s="48" t="s">
        <v>100</v>
      </c>
      <c r="DW34" s="101">
        <v>0</v>
      </c>
      <c r="DX34" s="101" t="str">
        <f>HYPERLINK("https://www.latimes.com/archives/la-xpm-1986-08-21-mn-17529-story.html","0")</f>
        <v>0</v>
      </c>
      <c r="DY34" s="51">
        <v>2</v>
      </c>
      <c r="DZ34" s="48">
        <v>0</v>
      </c>
    </row>
    <row r="35" spans="1:130" ht="50.25" customHeight="1">
      <c r="A35" s="96">
        <v>33</v>
      </c>
      <c r="B35" s="97" t="s">
        <v>237</v>
      </c>
      <c r="C35" s="97" t="s">
        <v>182</v>
      </c>
      <c r="D35" s="98">
        <v>31890</v>
      </c>
      <c r="E35" s="48" t="s">
        <v>178</v>
      </c>
      <c r="F35" s="119">
        <v>23</v>
      </c>
      <c r="G35" s="102">
        <v>4</v>
      </c>
      <c r="H35" s="101">
        <v>1987</v>
      </c>
      <c r="I35" s="48" t="s">
        <v>238</v>
      </c>
      <c r="J35" s="101" t="s">
        <v>239</v>
      </c>
      <c r="K35" s="102">
        <v>9</v>
      </c>
      <c r="L35" s="102">
        <v>0</v>
      </c>
      <c r="M35" s="102" t="str">
        <f>HYPERLINK("https://www.washingtonpost.com/archive/politics/1987/04/25/floridian-charged-with-6-shopping-mall-murders/48c694dc-aaaa-4d27-be25-89e974aae55d/","1")</f>
        <v>1</v>
      </c>
      <c r="N35" s="102" t="str">
        <f>HYPERLINK("https://www.latimes.com/archives/la-xpm-1987-04-25-mn-990-story.html","4")</f>
        <v>4</v>
      </c>
      <c r="O35" s="102" t="str">
        <f>HYPERLINK("https://www.theledger.com/article/LK/20070430/News/608097071/LL/","1")</f>
        <v>1</v>
      </c>
      <c r="P35" s="102" t="str">
        <f>HYPERLINK("https://www.latimes.com/archives/la-xpm-1987-04-25-mn-990-story.html","7")</f>
        <v>7</v>
      </c>
      <c r="Q35" s="103">
        <v>0</v>
      </c>
      <c r="R35" s="103">
        <v>0</v>
      </c>
      <c r="S35" s="102">
        <v>6</v>
      </c>
      <c r="T35" s="102">
        <v>14</v>
      </c>
      <c r="U35" s="101" t="str">
        <f>HYPERLINK("https://www.nytimes.com/1987/04/25/us/florida-gunman-charged-with-killing-6.html","1")</f>
        <v>1</v>
      </c>
      <c r="V35" s="101">
        <v>60</v>
      </c>
      <c r="W35" s="101">
        <v>0</v>
      </c>
      <c r="X35" s="101" t="str">
        <f>HYPERLINK("https://www.floridatoday.com/picture-gallery/news/crime/2018/04/23/photos-1987-william-cruse-mass-shooting-in-palm-bay/34163009/","0")</f>
        <v>0</v>
      </c>
      <c r="Y35" s="105" t="str">
        <f>HYPERLINK("https://www.apnews.com/fc7b15e81aa84251974ec0be6079f7d4","0")</f>
        <v>0</v>
      </c>
      <c r="Z35" s="101" t="str">
        <f>HYPERLINK("https://www.latimes.com/archives/la-xpm-1987-04-25-mn-990-story.html","0")</f>
        <v>0</v>
      </c>
      <c r="AA35" s="51"/>
      <c r="AB35" s="101" t="str">
        <f>HYPERLINK("https://www.apnews.com/fc7b15e81aa84251974ec0be6079f7d4","4")</f>
        <v>4</v>
      </c>
      <c r="AC35" s="101" t="str">
        <f>HYPERLINK("https://apnews.com/fc7b15e81aa84251974ec0be6079f7d4","1")</f>
        <v>1</v>
      </c>
      <c r="AD35" s="101" t="str">
        <f>HYPERLINK("https://apnews.com/fc7b15e81aa84251974ec0be6079f7d4","master's degree")</f>
        <v>master's degree</v>
      </c>
      <c r="AE35" s="51"/>
      <c r="AF35" s="101" t="str">
        <f>HYPERLINK("https://www.theledger.com/article/LK/20070430/News/608097071/LL/","1")</f>
        <v>1</v>
      </c>
      <c r="AG35" s="51"/>
      <c r="AH35" s="51"/>
      <c r="AI35" s="101">
        <v>2</v>
      </c>
      <c r="AJ35" s="101" t="str">
        <f t="shared" ref="AJ35:AK35" si="62">HYPERLINK("https://www.latimes.com/archives/la-xpm-1987-04-25-mn-990-story.html","0")</f>
        <v>0</v>
      </c>
      <c r="AK35" s="101" t="str">
        <f t="shared" si="62"/>
        <v>0</v>
      </c>
      <c r="AL35" s="101" t="str">
        <f>HYPERLINK("https://www.apnews.com/fc7b15e81aa84251974ec0be6079f7d4","0")</f>
        <v>0</v>
      </c>
      <c r="AM35" s="51">
        <v>0</v>
      </c>
      <c r="AN35" s="48" t="s">
        <v>100</v>
      </c>
      <c r="AO35" s="101" t="str">
        <f>HYPERLINK("https://apnews.com/fc7b15e81aa84251974ec0be6079f7d4","0")</f>
        <v>0</v>
      </c>
      <c r="AP35" s="54"/>
      <c r="AQ35" s="101" t="str">
        <f>HYPERLINK("https://www.apnews.com/fc7b15e81aa84251974ec0be6079f7d4","1")</f>
        <v>1</v>
      </c>
      <c r="AR35" s="51">
        <v>0</v>
      </c>
      <c r="AS35" s="101" t="str">
        <f>HYPERLINK("https://www.apnews.com/fc7b15e81aa84251974ec0be6079f7d4","1")</f>
        <v>1</v>
      </c>
      <c r="AT35" s="48">
        <v>0</v>
      </c>
      <c r="AU35" s="48" t="s">
        <v>100</v>
      </c>
      <c r="AV35" s="48" t="s">
        <v>100</v>
      </c>
      <c r="AW35" s="48" t="s">
        <v>100</v>
      </c>
      <c r="AX35" s="48">
        <v>0</v>
      </c>
      <c r="AY35" s="51">
        <v>0</v>
      </c>
      <c r="AZ35" s="51">
        <v>0</v>
      </c>
      <c r="BA35" s="51">
        <v>0</v>
      </c>
      <c r="BB35" s="107">
        <v>3</v>
      </c>
      <c r="BC35" s="101" t="str">
        <f>HYPERLINK("https://www.upi.com/Archives/1987/04/24/Police-and-military-troops-stormed-a-teargas-filled-supermarket-Friday/9841546235200/","1")</f>
        <v>1</v>
      </c>
      <c r="BD35" s="101" t="str">
        <f>HYPERLINK("https://www.latimes.com/archives/la-xpm-1987-04-25-mn-990-story.html","0")</f>
        <v>0</v>
      </c>
      <c r="BE35" s="105" t="str">
        <f>HYPERLINK("https://www.theledger.com/article/LK/20070430/News/608097071/LL/","0")</f>
        <v>0</v>
      </c>
      <c r="BF35" s="51"/>
      <c r="BG35" s="101" t="str">
        <f>HYPERLINK("https://www.apnews.com/fc7b15e81aa84251974ec0be6079f7d4","1")</f>
        <v>1</v>
      </c>
      <c r="BH35" s="51">
        <v>0</v>
      </c>
      <c r="BI35" s="48">
        <v>0</v>
      </c>
      <c r="BJ35" s="51">
        <v>0</v>
      </c>
      <c r="BK35" s="101" t="str">
        <f>HYPERLINK("https://www.latimes.com/archives/la-xpm-1987-04-25-mn-990-story.html","0")</f>
        <v>0</v>
      </c>
      <c r="BL35" s="108" t="str">
        <f>HYPERLINK("https://www.chicagotribune.com/news/ct-xpm-1987-04-26-8701310840-story.html","1")</f>
        <v>1</v>
      </c>
      <c r="BM35" s="109">
        <v>3</v>
      </c>
      <c r="BN35" s="115" t="s">
        <v>3066</v>
      </c>
      <c r="BO35" s="110">
        <v>1</v>
      </c>
      <c r="BP35" s="116">
        <v>0</v>
      </c>
      <c r="BQ35" s="116">
        <v>0</v>
      </c>
      <c r="BR35" s="116">
        <v>0</v>
      </c>
      <c r="BS35" s="116">
        <v>1</v>
      </c>
      <c r="BT35" s="110">
        <v>1</v>
      </c>
      <c r="BU35" s="110">
        <v>1</v>
      </c>
      <c r="BV35" s="116">
        <v>1</v>
      </c>
      <c r="BW35" s="118" t="str">
        <f>HYPERLINK("https://www.orlandosentinel.com/news/os-xpm-1989-03-14-8903140564-story.html","1")</f>
        <v>1</v>
      </c>
      <c r="BX35" s="116">
        <v>1</v>
      </c>
      <c r="BY35" s="101" t="str">
        <f>HYPERLINK("https://www.nytimes.com/1987/04/25/us/florida-gunman-charged-with-killing-6.html","2")</f>
        <v>2</v>
      </c>
      <c r="BZ35" s="51">
        <v>0</v>
      </c>
      <c r="CA35" s="51">
        <v>0</v>
      </c>
      <c r="CB35" s="51" t="s">
        <v>100</v>
      </c>
      <c r="CC35" s="51">
        <v>0</v>
      </c>
      <c r="CD35" s="51" t="s">
        <v>100</v>
      </c>
      <c r="CE35" s="101" t="str">
        <f>HYPERLINK("https://www.orlandosentinel.com/news/os-xpm-1989-07-29-8907293176-story.html","5")</f>
        <v>5</v>
      </c>
      <c r="CF35" s="107">
        <v>0</v>
      </c>
      <c r="CG35" s="51">
        <v>0</v>
      </c>
      <c r="CH35" s="101" t="str">
        <f>HYPERLINK("https://www.latimes.com/archives/la-xpm-1987-04-25-mn-990-story.html","5")</f>
        <v>5</v>
      </c>
      <c r="CI35" s="51">
        <v>0</v>
      </c>
      <c r="CJ35" s="51" t="s">
        <v>100</v>
      </c>
      <c r="CK35" s="117">
        <v>3</v>
      </c>
      <c r="CL35" s="135"/>
      <c r="CM35" s="135"/>
      <c r="CN35" s="110">
        <v>0</v>
      </c>
      <c r="CO35" s="110">
        <v>0</v>
      </c>
      <c r="CP35" s="110">
        <v>0</v>
      </c>
      <c r="CQ35" s="109">
        <v>1</v>
      </c>
      <c r="CR35" s="110">
        <v>0</v>
      </c>
      <c r="CS35" s="110">
        <v>0</v>
      </c>
      <c r="CT35" s="110">
        <v>0</v>
      </c>
      <c r="CU35" s="110">
        <v>0</v>
      </c>
      <c r="CV35" s="108" t="str">
        <f>HYPERLINK("https://www.theledger.com/article/LK/20070430/News/608097071/LL/","1")</f>
        <v>1</v>
      </c>
      <c r="CW35" s="110">
        <v>0</v>
      </c>
      <c r="CX35" s="110">
        <v>0</v>
      </c>
      <c r="CY35" s="110">
        <v>0</v>
      </c>
      <c r="CZ35" s="108" t="str">
        <f>HYPERLINK("https://www.upi.com/Archives/1987/04/24/Police-and-military-troops-stormed-a-teargas-filled-supermarket-Friday/9841546235200/","0")</f>
        <v>0</v>
      </c>
      <c r="DA35" s="101" t="str">
        <f>HYPERLINK("https://www.orlandosentinel.com/news/os-xpm-1989-03-14-8903140564-story.html","1")</f>
        <v>1</v>
      </c>
      <c r="DB35" s="51">
        <v>2</v>
      </c>
      <c r="DC35" s="51">
        <v>0</v>
      </c>
      <c r="DD35" s="48"/>
      <c r="DE35" s="48"/>
      <c r="DF35" s="48"/>
      <c r="DG35" s="48"/>
      <c r="DH35" s="48"/>
      <c r="DI35" s="48"/>
      <c r="DJ35" s="48">
        <v>0</v>
      </c>
      <c r="DK35" s="51">
        <v>0</v>
      </c>
      <c r="DL35" s="48" t="s">
        <v>100</v>
      </c>
      <c r="DM35" s="105" t="str">
        <f>HYPERLINK("https://www.ocala.com/article/LK/20070430/News/604230044/OS/","0")</f>
        <v>0</v>
      </c>
      <c r="DN35" s="51">
        <v>0</v>
      </c>
      <c r="DO35" s="51" t="s">
        <v>100</v>
      </c>
      <c r="DP35" s="101">
        <v>0</v>
      </c>
      <c r="DQ35" s="101" t="str">
        <f>HYPERLINK("https://www.latimes.com/archives/la-xpm-1987-04-25-mn-990-story.html","0")</f>
        <v>0</v>
      </c>
      <c r="DR35" s="105" t="str">
        <f>HYPERLINK("https://www.upi.com/Archives/1987/04/24/Police-and-military-troops-stormed-a-teargas-filled-supermarket-Friday/9841546235200/","1")</f>
        <v>1</v>
      </c>
      <c r="DS35" s="101" t="str">
        <f>HYPERLINK("https://www.nytimes.com/1987/04/25/us/suspect-in-florida-shootings-tormented-and-tormenting.html","1")</f>
        <v>1</v>
      </c>
      <c r="DT35" s="101" t="str">
        <f>HYPERLINK("https://www.latimes.com/archives/la-xpm-1987-04-25-mn-990-story.html","3")</f>
        <v>3</v>
      </c>
      <c r="DU35" s="101" t="str">
        <f>HYPERLINK("https://www.latimes.com/archives/la-xpm-1987-04-25-mn-990-story.html","0")</f>
        <v>0</v>
      </c>
      <c r="DV35" s="48" t="s">
        <v>100</v>
      </c>
      <c r="DW35" s="101">
        <v>2</v>
      </c>
      <c r="DX35" s="101" t="str">
        <f>HYPERLINK("https://www.latimes.com/archives/la-xpm-1987-04-25-mn-990-story.html","1")</f>
        <v>1</v>
      </c>
      <c r="DY35" s="105" t="str">
        <f>HYPERLINK("https://www.theledger.com/article/LK/20070430/News/608097071/LL/","1")</f>
        <v>1</v>
      </c>
      <c r="DZ35" s="133" t="str">
        <f>HYPERLINK("https://web.archive.org/web/20151101075707/http://www.floridatoday.com/article/20091201/NEWS01/912010331/1006/Mass+murderer+William+Cruse+dead+%7C+VIDEO","1")</f>
        <v>1</v>
      </c>
    </row>
    <row r="36" spans="1:130" ht="50.25" customHeight="1">
      <c r="A36" s="96">
        <v>34</v>
      </c>
      <c r="B36" s="97" t="s">
        <v>240</v>
      </c>
      <c r="C36" s="97" t="s">
        <v>241</v>
      </c>
      <c r="D36" s="98">
        <v>32189</v>
      </c>
      <c r="E36" s="48" t="s">
        <v>203</v>
      </c>
      <c r="F36" s="119">
        <v>16</v>
      </c>
      <c r="G36" s="102" t="str">
        <f>HYPERLINK("https://www.washingtonpost.com/archive/politics/1988/02/18/sudden-death-in-sunnyvale/4f50e5d7-0804-4a56-a2af-ced693c3b577/?utm_term=.59b8818c2e28","2")</f>
        <v>2</v>
      </c>
      <c r="H36" s="101" t="str">
        <f>HYPERLINK("https://www.washingtonpost.com/archive/politics/1988/02/18/sudden-death-in-sunnyvale/4f50e5d7-0804-4a56-a2af-ced693c3b577/?utm_term=.59b8818c2e28","1988")</f>
        <v>1988</v>
      </c>
      <c r="I36" s="48" t="s">
        <v>242</v>
      </c>
      <c r="J36" s="101" t="str">
        <f>HYPERLINK("https://www.washingtonpost.com/archive/politics/1988/02/18/sudden-death-in-sunnyvale/4f50e5d7-0804-4a56-a2af-ced693c3b577/?utm_term=.59b8818c2e28","Sunnyvale ")</f>
        <v xml:space="preserve">Sunnyvale </v>
      </c>
      <c r="K36" s="102" t="str">
        <f>HYPERLINK("https://www.mercurynews.com/2009/04/06/esl-mass-murder-case-heads-to-california-supreme-court/","5")</f>
        <v>5</v>
      </c>
      <c r="L36" s="102" t="str">
        <f>HYPERLINK("https://www.mercurynews.com/2009/04/06/esl-mass-murder-case-heads-to-california-supreme-court/","3")</f>
        <v>3</v>
      </c>
      <c r="M36" s="102" t="str">
        <f>HYPERLINK("https://www.washingtonpost.com/archive/politics/1988/02/18/sudden-death-in-sunnyvale/4f50e5d7-0804-4a56-a2af-ced693c3b577/","0")</f>
        <v>0</v>
      </c>
      <c r="N36" s="102" t="str">
        <f>HYPERLINK("https://www.mercurynews.com/2009/04/06/esl-mass-murder-case-heads-to-california-supreme-court/","6")</f>
        <v>6</v>
      </c>
      <c r="O36" s="102">
        <v>0</v>
      </c>
      <c r="P36" s="99" t="s">
        <v>100</v>
      </c>
      <c r="Q36" s="103">
        <v>0</v>
      </c>
      <c r="R36" s="103">
        <v>0</v>
      </c>
      <c r="S36" s="102" t="str">
        <f>HYPERLINK("https://www.latimes.com/archives/la-xpm-1988-02-18-mn-43514-story.html","7")</f>
        <v>7</v>
      </c>
      <c r="T36" s="102" t="str">
        <f>HYPERLINK("https://www.latimes.com/archives/la-xpm-1988-02-18-mn-43514-story.html","4")</f>
        <v>4</v>
      </c>
      <c r="U36" s="101" t="str">
        <f>HYPERLINK("https://www.washingtonpost.com/archive/politics/1988/02/18/sudden-death-in-sunnyvale/4f50e5d7-0804-4a56-a2af-ced693c3b577/","0")</f>
        <v>0</v>
      </c>
      <c r="V36" s="101" t="str">
        <f>HYPERLINK("https://www.washingtonpost.com/archive/politics/1988/02/18/sudden-death-in-sunnyvale/4f50e5d7-0804-4a56-a2af-ced693c3b577/?utm_term=.59b8818c2e28","39")</f>
        <v>39</v>
      </c>
      <c r="W36" s="101" t="str">
        <f>HYPERLINK("https://www.washingtonpost.com/archive/politics/1988/02/18/sudden-death-in-sunnyvale/4f50e5d7-0804-4a56-a2af-ced693c3b577/","0")</f>
        <v>0</v>
      </c>
      <c r="X36" s="101" t="str">
        <f>HYPERLINK("https://billingsgazette.com/news/richard-farley/image_a4d78f90-4b0c-57e0-b963-87029e40f8ff.html","0")</f>
        <v>0</v>
      </c>
      <c r="Y36" s="105">
        <v>0</v>
      </c>
      <c r="Z36" s="101" t="str">
        <f>HYPERLINK("https://www.leagle.com/decision/incaco20090702055","0")</f>
        <v>0</v>
      </c>
      <c r="AA36" s="51"/>
      <c r="AB36" s="101">
        <v>2</v>
      </c>
      <c r="AC36" s="101" t="str">
        <f>HYPERLINK("https://www.leagle.com/decision/incaco20090702055","2")</f>
        <v>2</v>
      </c>
      <c r="AD36" s="101" t="str">
        <f>HYPERLINK("https://www.leagle.com/decision/incaco20090702055","very good grades, graduated 61st out of 520 ")</f>
        <v xml:space="preserve">very good grades, graduated 61st out of 520 </v>
      </c>
      <c r="AE36" s="123">
        <v>1</v>
      </c>
      <c r="AF36" s="123">
        <v>5</v>
      </c>
      <c r="AG36" s="123">
        <v>0</v>
      </c>
      <c r="AH36" s="123">
        <v>5</v>
      </c>
      <c r="AI36" s="101" t="str">
        <f>HYPERLINK("https://www.leagle.com/decision/incaco20090702055","1")</f>
        <v>1</v>
      </c>
      <c r="AJ36" s="101">
        <v>0</v>
      </c>
      <c r="AK36" s="101" t="str">
        <f>HYPERLINK("https://www.leagle.com/decision/incaco20090702055","1")</f>
        <v>1</v>
      </c>
      <c r="AL36" s="101" t="str">
        <f>HYPERLINK("https://www.nytimes.com/1988/02/18/us/love-that-turned-to-hate-is-linked-to-the-killing-of-7.html","2")</f>
        <v>2</v>
      </c>
      <c r="AM36" s="101" t="str">
        <f>HYPERLINK("http://articles.latimes.com/1988-02-18/news/mn-43514_1_mr-farley-richard-farley-sunnyvale-public-safety-department","1")</f>
        <v>1</v>
      </c>
      <c r="AN36" s="101" t="str">
        <f>HYPERLINK("https://www.latimes.com/archives/la-xpm-1988-02-18-mn-43514-story.html","1")</f>
        <v>1</v>
      </c>
      <c r="AO36" s="101" t="str">
        <f>HYPERLINK("https://www.latimes.com/archives/la-xpm-1988-02-18-mn-43514-story.html","0")</f>
        <v>0</v>
      </c>
      <c r="AP36" s="54"/>
      <c r="AQ36" s="101" t="str">
        <f>HYPERLINK("https://www.leagle.com/decision/incaco20090702055","1")</f>
        <v>1</v>
      </c>
      <c r="AR36" s="51">
        <v>0</v>
      </c>
      <c r="AS36" s="101" t="str">
        <f t="shared" ref="AS36:AT36" si="63">HYPERLINK("https://www.leagle.com/decision/incaco20090702055","1")</f>
        <v>1</v>
      </c>
      <c r="AT36" s="101" t="str">
        <f t="shared" si="63"/>
        <v>1</v>
      </c>
      <c r="AU36" s="101">
        <v>3</v>
      </c>
      <c r="AV36" s="51"/>
      <c r="AW36" s="51"/>
      <c r="AX36" s="101" t="str">
        <f t="shared" ref="AX36:DR36" si="64">HYPERLINK("https://www.leagle.com/decision/incaco20090702055","1")</f>
        <v>1</v>
      </c>
      <c r="AY36" s="101">
        <v>0</v>
      </c>
      <c r="AZ36" s="101">
        <v>0</v>
      </c>
      <c r="BA36" s="51">
        <v>0</v>
      </c>
      <c r="BB36" s="107">
        <v>3</v>
      </c>
      <c r="BC36" s="101" t="str">
        <f>HYPERLINK("https://www.leagle.com/decision/incaco20090702055","1")</f>
        <v>1</v>
      </c>
      <c r="BD36" s="101" t="str">
        <f>HYPERLINK("https://www.leagle.com/decision/incaco20090702055","0")</f>
        <v>0</v>
      </c>
      <c r="BE36" s="101">
        <v>0</v>
      </c>
      <c r="BF36" s="101" t="str">
        <f>HYPERLINK("https://www.leagle.com/decision/incaco20090702055","0")</f>
        <v>0</v>
      </c>
      <c r="BG36" s="51"/>
      <c r="BH36" s="51">
        <v>1</v>
      </c>
      <c r="BI36" s="101">
        <v>0</v>
      </c>
      <c r="BJ36" s="101" t="str">
        <f>HYPERLINK("https://www.leagle.com/decision/incaco20090702055","0")</f>
        <v>0</v>
      </c>
      <c r="BK36" s="101" t="str">
        <f>HYPERLINK("https://www.nytimes.com/1988/02/18/us/love-that-turned-to-hate-is-linked-to-the-killing-of-7.html","0")</f>
        <v>0</v>
      </c>
      <c r="BL36" s="108" t="str">
        <f>HYPERLINK("https://www.leagle.com/decision/incaco20090702055","1")</f>
        <v>1</v>
      </c>
      <c r="BM36" s="109">
        <v>3</v>
      </c>
      <c r="BN36" s="115" t="s">
        <v>3067</v>
      </c>
      <c r="BO36" s="111">
        <v>1</v>
      </c>
      <c r="BP36" s="111">
        <v>1</v>
      </c>
      <c r="BQ36" s="111">
        <v>0</v>
      </c>
      <c r="BR36" s="111">
        <v>0</v>
      </c>
      <c r="BS36" s="111">
        <v>0</v>
      </c>
      <c r="BT36" s="111">
        <v>1</v>
      </c>
      <c r="BU36" s="111">
        <v>1</v>
      </c>
      <c r="BV36" s="111">
        <v>0</v>
      </c>
      <c r="BW36" s="111">
        <v>1</v>
      </c>
      <c r="BX36" s="111">
        <v>0</v>
      </c>
      <c r="BY36" s="101" t="str">
        <f>HYPERLINK("https://www.leagle.com/decision/incaco20090702055","1")</f>
        <v>1</v>
      </c>
      <c r="BZ36" s="51">
        <v>0</v>
      </c>
      <c r="CA36" s="101">
        <v>1</v>
      </c>
      <c r="CB36" s="123">
        <v>1</v>
      </c>
      <c r="CC36" s="51">
        <v>0</v>
      </c>
      <c r="CD36" s="123">
        <v>0</v>
      </c>
      <c r="CE36" s="51">
        <v>0</v>
      </c>
      <c r="CF36" s="101" t="str">
        <f>HYPERLINK("https://caselaw.findlaw.com/ca-supreme-court/1295931.html","0")</f>
        <v>0</v>
      </c>
      <c r="CG36" s="51">
        <v>0</v>
      </c>
      <c r="CH36" s="51">
        <v>0</v>
      </c>
      <c r="CI36" s="51">
        <v>0</v>
      </c>
      <c r="CJ36" s="51" t="s">
        <v>100</v>
      </c>
      <c r="CK36" s="117">
        <v>2</v>
      </c>
      <c r="CL36" s="117"/>
      <c r="CM36" s="117"/>
      <c r="CN36" s="110">
        <v>0</v>
      </c>
      <c r="CO36" s="110">
        <v>0</v>
      </c>
      <c r="CP36" s="108">
        <v>0</v>
      </c>
      <c r="CQ36" s="110">
        <v>0</v>
      </c>
      <c r="CR36" s="110">
        <v>0</v>
      </c>
      <c r="CS36" s="110">
        <v>0</v>
      </c>
      <c r="CT36" s="108" t="str">
        <f>HYPERLINK("https://www.upi.com/Archives/1988/07/14/Richard-Farley-accused-of-murdering-seven-people-while-shooting/8775584856000/","1")</f>
        <v>1</v>
      </c>
      <c r="CU36" s="108" t="str">
        <f>HYPERLINK("https://www.upi.com/Archives/1988/07/14/Richard-Farley-accused-of-murdering-seven-people-while-shooting/8775584856000/","1")</f>
        <v>1</v>
      </c>
      <c r="CV36" s="109">
        <v>1</v>
      </c>
      <c r="CW36" s="110">
        <v>0</v>
      </c>
      <c r="CX36" s="110">
        <v>0</v>
      </c>
      <c r="CY36" s="110">
        <v>0</v>
      </c>
      <c r="CZ36" s="108">
        <v>0</v>
      </c>
      <c r="DA36" s="51">
        <v>0</v>
      </c>
      <c r="DB36" s="51">
        <v>2</v>
      </c>
      <c r="DC36" s="101" t="str">
        <f>HYPERLINK("https://www.leagle.com/decision/incaco20090702055","1")</f>
        <v>1</v>
      </c>
      <c r="DD36" s="107">
        <v>1</v>
      </c>
      <c r="DE36" s="107">
        <v>4</v>
      </c>
      <c r="DF36" s="107">
        <v>1</v>
      </c>
      <c r="DG36" s="107"/>
      <c r="DH36" s="107"/>
      <c r="DI36" s="107"/>
      <c r="DJ36" s="101">
        <v>1</v>
      </c>
      <c r="DK36" s="101">
        <v>0</v>
      </c>
      <c r="DL36" s="48" t="s">
        <v>100</v>
      </c>
      <c r="DM36" s="101" t="str">
        <f>HYPERLINK("https://www.leagle.com/decision/incaco20090702055","0")</f>
        <v>0</v>
      </c>
      <c r="DN36" s="51">
        <v>0</v>
      </c>
      <c r="DO36" s="51" t="s">
        <v>100</v>
      </c>
      <c r="DP36" s="101">
        <v>1</v>
      </c>
      <c r="DQ36" s="101" t="str">
        <f>HYPERLINK("https://www.leagle.com/decision/incaco20090702055","0")</f>
        <v>0</v>
      </c>
      <c r="DR36" s="101" t="str">
        <f t="shared" si="64"/>
        <v>1</v>
      </c>
      <c r="DS36" s="101" t="str">
        <f>HYPERLINK("https://www.latimes.com/archives/la-xpm-1988-02-18-mn-43514-story.html","3")</f>
        <v>3</v>
      </c>
      <c r="DT36" s="101" t="str">
        <f>HYPERLINK("https://www.leagle.com/decision/incaco20090702055","7")</f>
        <v>7</v>
      </c>
      <c r="DU36" s="101" t="str">
        <f>HYPERLINK("https://www.leagle.com/decision/incaco20090702055","1")</f>
        <v>1</v>
      </c>
      <c r="DV36" s="101" t="str">
        <f>HYPERLINK("https://www.leagle.com/decision/incaco20090702055","smoke bombs, gas mask, knife, ear protectors, bandoleers, flammable liquid, matches")</f>
        <v>smoke bombs, gas mask, knife, ear protectors, bandoleers, flammable liquid, matches</v>
      </c>
      <c r="DW36" s="101" t="str">
        <f>HYPERLINK("https://www.mercurynews.com/2009/04/06/esl-mass-murder-case-heads-to-california-supreme-court/","2")</f>
        <v>2</v>
      </c>
      <c r="DX36" s="101" t="str">
        <f>HYPERLINK("https://www.leagle.com/decision/incaco20090702055","0")</f>
        <v>0</v>
      </c>
      <c r="DY36" s="101">
        <v>0</v>
      </c>
      <c r="DZ36" s="133" t="str">
        <f>HYPERLINK("https://www.mercurynews.com/2009/04/06/esl-mass-murder-case-heads-to-california-supreme-court/","1")</f>
        <v>1</v>
      </c>
    </row>
    <row r="37" spans="1:130" ht="50.25" customHeight="1">
      <c r="A37" s="96">
        <v>35</v>
      </c>
      <c r="B37" s="97" t="s">
        <v>244</v>
      </c>
      <c r="C37" s="97" t="s">
        <v>212</v>
      </c>
      <c r="D37" s="98">
        <v>32341</v>
      </c>
      <c r="E37" s="48" t="s">
        <v>137</v>
      </c>
      <c r="F37" s="99">
        <v>17</v>
      </c>
      <c r="G37" s="100">
        <v>7</v>
      </c>
      <c r="H37" s="101">
        <v>1988</v>
      </c>
      <c r="I37" s="48" t="s">
        <v>245</v>
      </c>
      <c r="J37" s="101" t="s">
        <v>246</v>
      </c>
      <c r="K37" s="100" t="str">
        <f>HYPERLINK("https://www.wral.com/news/local/story/7609273/","33")</f>
        <v>33</v>
      </c>
      <c r="L37" s="100">
        <v>0</v>
      </c>
      <c r="M37" s="102">
        <v>2</v>
      </c>
      <c r="N37" s="125">
        <v>8</v>
      </c>
      <c r="O37" s="100">
        <v>0</v>
      </c>
      <c r="P37" s="99" t="s">
        <v>100</v>
      </c>
      <c r="Q37" s="103">
        <v>0</v>
      </c>
      <c r="R37" s="103">
        <v>0</v>
      </c>
      <c r="S37" s="100">
        <v>4</v>
      </c>
      <c r="T37" s="100">
        <v>5</v>
      </c>
      <c r="U37" s="101" t="str">
        <f>HYPERLINK("https://www.nytimes.com/1988/07/19/us/four-motorists-are-shot-to-death-gunman-wounded-in-12-minutes.html","0")</f>
        <v>0</v>
      </c>
      <c r="V37" s="105">
        <v>24</v>
      </c>
      <c r="W37" s="105">
        <v>0</v>
      </c>
      <c r="X37" s="105">
        <v>0</v>
      </c>
      <c r="Y37" s="48">
        <v>0</v>
      </c>
      <c r="Z37" s="105" t="str">
        <f>HYPERLINK("https://www.the-dispatch.com/news/20130712/emotions-run-high-25-years-after-hayes-shootings","0")</f>
        <v>0</v>
      </c>
      <c r="AA37" s="48"/>
      <c r="AB37" s="48"/>
      <c r="AC37" s="51"/>
      <c r="AD37" s="51"/>
      <c r="AE37" s="48"/>
      <c r="AF37" s="48"/>
      <c r="AG37" s="48"/>
      <c r="AH37" s="48"/>
      <c r="AI37" s="105" t="str">
        <f>HYPERLINK("https://www.the-dispatch.com/news/20130712/emotions-run-high-25-years-after-hayes-shootings","3")</f>
        <v>3</v>
      </c>
      <c r="AJ37" s="105">
        <v>0</v>
      </c>
      <c r="AK37" s="105">
        <v>1</v>
      </c>
      <c r="AL37" s="105">
        <v>0</v>
      </c>
      <c r="AM37" s="48">
        <v>0</v>
      </c>
      <c r="AN37" s="48" t="s">
        <v>100</v>
      </c>
      <c r="AO37" s="101" t="str">
        <f>HYPERLINK("https://www.nytimes.com/1988/07/19/us/four-motorists-are-shot-to-death-gunman-wounded-in-12-minutes.html","0")</f>
        <v>0</v>
      </c>
      <c r="AP37" s="54"/>
      <c r="AQ37" s="105">
        <v>1</v>
      </c>
      <c r="AR37" s="48">
        <v>0</v>
      </c>
      <c r="AS37" s="101">
        <v>1</v>
      </c>
      <c r="AT37" s="48">
        <v>0</v>
      </c>
      <c r="AU37" s="48" t="s">
        <v>100</v>
      </c>
      <c r="AV37" s="48" t="s">
        <v>100</v>
      </c>
      <c r="AW37" s="48" t="s">
        <v>100</v>
      </c>
      <c r="AX37" s="48">
        <v>0</v>
      </c>
      <c r="AY37" s="48">
        <v>0</v>
      </c>
      <c r="AZ37" s="51">
        <v>0</v>
      </c>
      <c r="BA37" s="48">
        <v>0</v>
      </c>
      <c r="BB37" s="107">
        <v>3</v>
      </c>
      <c r="BC37" s="48">
        <v>0</v>
      </c>
      <c r="BD37" s="48">
        <v>0</v>
      </c>
      <c r="BE37" s="105">
        <v>0</v>
      </c>
      <c r="BF37" s="101" t="str">
        <f>HYPERLINK("https://www.upi.com/Archives/1988/07/19/Hospital-denies-commitment-sought-for-gunman/1978585288000/","0")</f>
        <v>0</v>
      </c>
      <c r="BG37" s="51"/>
      <c r="BH37" s="51">
        <v>1</v>
      </c>
      <c r="BI37" s="48">
        <v>0</v>
      </c>
      <c r="BJ37" s="105">
        <v>1</v>
      </c>
      <c r="BK37" s="101">
        <v>1</v>
      </c>
      <c r="BL37" s="108" t="str">
        <f>HYPERLINK("https://www.upi.com/Archives/1988/07/19/Hospital-denies-commitment-sought-for-gunman/1978585288000/","1")</f>
        <v>1</v>
      </c>
      <c r="BM37" s="109">
        <v>0</v>
      </c>
      <c r="BN37" s="131" t="s">
        <v>3148</v>
      </c>
      <c r="BO37" s="142">
        <v>1</v>
      </c>
      <c r="BP37" s="132">
        <v>1</v>
      </c>
      <c r="BQ37" s="132">
        <v>1</v>
      </c>
      <c r="BR37" s="132">
        <v>0</v>
      </c>
      <c r="BS37" s="132">
        <v>0</v>
      </c>
      <c r="BT37" s="132">
        <v>1</v>
      </c>
      <c r="BU37" s="132">
        <v>0</v>
      </c>
      <c r="BV37" s="132">
        <v>0</v>
      </c>
      <c r="BW37" s="143" t="str">
        <f>HYPERLINK("https://www.journalnow.com/news/local/for-first-time-in-years-michael-hayes-is-free-of/article_d5514c21-a980-5bf3-934e-53b3e76e8c05.html","1")</f>
        <v>1</v>
      </c>
      <c r="BX37" s="142">
        <v>1</v>
      </c>
      <c r="BY37" s="105">
        <v>0</v>
      </c>
      <c r="BZ37" s="101">
        <v>0</v>
      </c>
      <c r="CA37" s="51">
        <v>0</v>
      </c>
      <c r="CB37" s="48" t="s">
        <v>100</v>
      </c>
      <c r="CC37" s="48">
        <v>0</v>
      </c>
      <c r="CD37" s="48" t="s">
        <v>100</v>
      </c>
      <c r="CE37" s="105" t="str">
        <f>HYPERLINK("https://caselaw.findlaw.com/nc-court-of-appeals/1209558.html","2")</f>
        <v>2</v>
      </c>
      <c r="CF37" s="52">
        <v>0</v>
      </c>
      <c r="CG37" s="48">
        <v>0</v>
      </c>
      <c r="CH37" s="105">
        <v>4</v>
      </c>
      <c r="CI37" s="48">
        <v>0</v>
      </c>
      <c r="CJ37" s="51" t="s">
        <v>100</v>
      </c>
      <c r="CK37" s="113">
        <v>0</v>
      </c>
      <c r="CL37" s="113"/>
      <c r="CM37" s="113"/>
      <c r="CN37" s="108">
        <v>0</v>
      </c>
      <c r="CO37" s="108">
        <v>0</v>
      </c>
      <c r="CP37" s="108">
        <v>0</v>
      </c>
      <c r="CQ37" s="110">
        <v>0</v>
      </c>
      <c r="CR37" s="108">
        <v>0</v>
      </c>
      <c r="CS37" s="108">
        <v>0</v>
      </c>
      <c r="CT37" s="110">
        <v>0</v>
      </c>
      <c r="CU37" s="108">
        <v>0</v>
      </c>
      <c r="CV37" s="108">
        <v>0</v>
      </c>
      <c r="CW37" s="116">
        <v>0</v>
      </c>
      <c r="CX37" s="127">
        <v>1</v>
      </c>
      <c r="CY37" s="116">
        <v>0</v>
      </c>
      <c r="CZ37" s="108" t="str">
        <f>HYPERLINK("https://www.nytimes.com/1988/07/19/us/four-motorists-are-shot-to-death-gunman-wounded-in-12-minutes.html","0")</f>
        <v>0</v>
      </c>
      <c r="DA37" s="105" t="str">
        <f>HYPERLINK("https://www.journalnow.com/news/local/for-first-time-in-years-michael-hayes-is-free-of/article_d5514c21-a980-5bf3-934e-53b3e76e8c05.html","3")</f>
        <v>3</v>
      </c>
      <c r="DB37" s="48">
        <v>2</v>
      </c>
      <c r="DC37" s="101">
        <v>1</v>
      </c>
      <c r="DD37" s="51">
        <v>0</v>
      </c>
      <c r="DE37" s="51">
        <v>3</v>
      </c>
      <c r="DF37" s="51">
        <v>1</v>
      </c>
      <c r="DG37" s="51"/>
      <c r="DH37" s="51"/>
      <c r="DI37" s="51"/>
      <c r="DJ37" s="48">
        <v>0</v>
      </c>
      <c r="DK37" s="48">
        <v>0</v>
      </c>
      <c r="DL37" s="48" t="s">
        <v>100</v>
      </c>
      <c r="DM37" s="105" t="str">
        <f>HYPERLINK("https://www.the-dispatch.com/news/20130712/emotions-run-high-25-years-after-hayes-shootings","0")</f>
        <v>0</v>
      </c>
      <c r="DN37" s="51">
        <v>0</v>
      </c>
      <c r="DO37" s="51" t="s">
        <v>100</v>
      </c>
      <c r="DP37" s="101" t="str">
        <f>HYPERLINK("https://www.upi.com/Archives/1988/07/19/Hospital-denies-commitment-sought-for-gunman/1978585288000/","0")</f>
        <v>0</v>
      </c>
      <c r="DQ37" s="101" t="str">
        <f>HYPERLINK("https://www.nytimes.com/1988/07/19/us/four-motorists-are-shot-to-death-gunman-wounded-in-12-minutes.html","0")</f>
        <v>0</v>
      </c>
      <c r="DR37" s="48">
        <v>0</v>
      </c>
      <c r="DS37" s="51"/>
      <c r="DT37" s="105">
        <v>1</v>
      </c>
      <c r="DU37" s="105" t="str">
        <f>HYPERLINK("https://www.journalnow.com/news/local/for-first-time-in-years-michael-hayes-is-free-of/article_d5514c21-a980-5bf3-934e-53b3e76e8c05.html","0")</f>
        <v>0</v>
      </c>
      <c r="DV37" s="48" t="s">
        <v>100</v>
      </c>
      <c r="DW37" s="101">
        <v>2</v>
      </c>
      <c r="DX37" s="101" t="str">
        <f>HYPERLINK("https://www.the-dispatch.com/news/20130712/emotions-run-high-25-years-after-hayes-shootings","0")</f>
        <v>0</v>
      </c>
      <c r="DY37" s="105" t="str">
        <f>HYPERLINK("https://www.journalnow.com/news/local/for-first-time-in-years-michael-hayes-is-free-of/article_d5514c21-a980-5bf3-934e-53b3e76e8c05.html","1")</f>
        <v>1</v>
      </c>
      <c r="DZ37" s="133" t="str">
        <f>HYPERLINK("https://caselaw.findlaw.com/nc-court-of-appeals/1209558.html","4")</f>
        <v>4</v>
      </c>
    </row>
    <row r="38" spans="1:130" ht="50.25" customHeight="1">
      <c r="A38" s="96">
        <v>36</v>
      </c>
      <c r="B38" s="97" t="s">
        <v>247</v>
      </c>
      <c r="C38" s="97" t="s">
        <v>248</v>
      </c>
      <c r="D38" s="98">
        <v>32408</v>
      </c>
      <c r="E38" s="48" t="s">
        <v>178</v>
      </c>
      <c r="F38" s="119">
        <v>22</v>
      </c>
      <c r="G38" s="102" t="str">
        <f>HYPERLINK("https://www.chicagotribune.com/news/ct-xpm-1988-09-23-8802010552-story.html","9")</f>
        <v>9</v>
      </c>
      <c r="H38" s="101" t="str">
        <f>HYPERLINK("https://www.chicagotribune.com/news/ct-xpm-1988-09-23-8802010546-story.html","1988")</f>
        <v>1988</v>
      </c>
      <c r="I38" s="48" t="s">
        <v>249</v>
      </c>
      <c r="J38" s="101" t="str">
        <f>HYPERLINK("https://www.latimes.com/archives/la-xpm-1988-09-23-mn-2824-story.html","Chicago      ")</f>
        <v xml:space="preserve">Chicago      </v>
      </c>
      <c r="K38" s="102" t="str">
        <f>HYPERLINK("https://schoolshooters.info/sites/default/files/shooters_not_white_males_1.19.pdf","13")</f>
        <v>13</v>
      </c>
      <c r="L38" s="119">
        <v>1</v>
      </c>
      <c r="M38" s="102">
        <v>0</v>
      </c>
      <c r="N38" s="102" t="str">
        <f>HYPERLINK("https://www.nytimes.com/1988/09/23/us/chicago-man-kills-4-and-wounds-2-before-dying-in-a-shootout.html","4")</f>
        <v>4</v>
      </c>
      <c r="O38" s="102">
        <v>1</v>
      </c>
      <c r="P38" s="102" t="str">
        <f>HYPERLINK("https://www.nytimes.com/1988/09/23/us/chicago-man-kills-4-and-wounds-2-before-dying-in-a-shootout.html","0")</f>
        <v>0</v>
      </c>
      <c r="Q38" s="103">
        <v>1</v>
      </c>
      <c r="R38" s="103">
        <v>1</v>
      </c>
      <c r="S38" s="102" t="str">
        <f>HYPERLINK("https://www.chicagotribune.com/news/ct-xpm-1988-09-23-8802010552-story.html","4")</f>
        <v>4</v>
      </c>
      <c r="T38" s="102">
        <v>2</v>
      </c>
      <c r="U38" s="101" t="str">
        <f>HYPERLINK("https://www.chicagotribune.com/news/ct-xpm-1988-09-23-8802010552-story.html","0")</f>
        <v>0</v>
      </c>
      <c r="V38" s="101" t="str">
        <f>HYPERLINK("https://www.chicagotribune.com/news/ct-xpm-1988-09-23-8802010552-story.html","40")</f>
        <v>40</v>
      </c>
      <c r="W38" s="101" t="str">
        <f>HYPERLINK("https://www.chicagotribune.com/news/ct-xpm-1988-09-23-8802010552-story.html","0")</f>
        <v>0</v>
      </c>
      <c r="X38" s="101" t="str">
        <f>HYPERLINK("https://schoolshooters.info/sites/default/files/shooters_not_white_males_1.19.pdf","1")</f>
        <v>1</v>
      </c>
      <c r="Y38" s="105" t="str">
        <f>HYPERLINK("https://www.chicagotribune.com/news/ct-xpm-1988-09-23-8802010552-story.html","0")</f>
        <v>0</v>
      </c>
      <c r="Z38" s="101" t="str">
        <f>HYPERLINK("https://www.chicagotribune.com/news/ct-xpm-1988-09-23-8802010546-story.html","0")</f>
        <v>0</v>
      </c>
      <c r="AA38" s="101" t="str">
        <f>HYPERLINK("https://www.chicagotribune.com/news/ct-xpm-1988-09-23-8802010546-story.html","1")</f>
        <v>1</v>
      </c>
      <c r="AB38" s="51"/>
      <c r="AC38" s="51"/>
      <c r="AD38" s="51"/>
      <c r="AE38" s="51"/>
      <c r="AF38" s="51"/>
      <c r="AG38" s="51"/>
      <c r="AH38" s="51"/>
      <c r="AI38" s="101" t="str">
        <f>HYPERLINK("https://www.chicagotribune.com/news/ct-xpm-1988-09-23-8802010546-story.html","2")</f>
        <v>2</v>
      </c>
      <c r="AJ38" s="101" t="str">
        <f>HYPERLINK("https://www.chicagotribune.com/news/ct-xpm-1988-09-23-8802010546-story.html","1")</f>
        <v>1</v>
      </c>
      <c r="AK38" s="101">
        <v>0</v>
      </c>
      <c r="AL38" s="101">
        <v>0</v>
      </c>
      <c r="AM38" s="101" t="str">
        <f>HYPERLINK("https://www.chicagotribune.com/news/ct-xpm-1988-09-23-8802010546-story.html","1")</f>
        <v>1</v>
      </c>
      <c r="AN38" s="101" t="str">
        <f t="shared" ref="AN38:AO38" si="65">HYPERLINK("https://www.chicagotribune.com/news/ct-xpm-1988-09-23-8802010546-story.html","0")</f>
        <v>0</v>
      </c>
      <c r="AO38" s="101" t="str">
        <f t="shared" si="65"/>
        <v>0</v>
      </c>
      <c r="AP38" s="54"/>
      <c r="AQ38" s="101" t="str">
        <f>HYPERLINK("https://www.chicagotribune.com/news/ct-xpm-1988-09-23-8802010552-story.html","1")</f>
        <v>1</v>
      </c>
      <c r="AR38" s="51">
        <v>0</v>
      </c>
      <c r="AS38" s="101">
        <v>1</v>
      </c>
      <c r="AT38" s="48">
        <v>0</v>
      </c>
      <c r="AU38" s="48" t="s">
        <v>100</v>
      </c>
      <c r="AV38" s="48" t="s">
        <v>100</v>
      </c>
      <c r="AW38" s="48" t="s">
        <v>100</v>
      </c>
      <c r="AX38" s="48">
        <v>0</v>
      </c>
      <c r="AY38" s="101" t="str">
        <f>HYPERLINK("https://www.chicagotribune.com/news/ct-xpm-1988-09-23-8802010552-story.html","0")</f>
        <v>0</v>
      </c>
      <c r="AZ38" s="51">
        <v>0</v>
      </c>
      <c r="BA38" s="51">
        <v>0</v>
      </c>
      <c r="BB38" s="107">
        <v>3</v>
      </c>
      <c r="BC38" s="51">
        <v>0</v>
      </c>
      <c r="BD38" s="51">
        <v>0</v>
      </c>
      <c r="BE38" s="51"/>
      <c r="BF38" s="51">
        <v>0</v>
      </c>
      <c r="BG38" s="51"/>
      <c r="BH38" s="51">
        <v>0</v>
      </c>
      <c r="BI38" s="101">
        <v>1</v>
      </c>
      <c r="BJ38" s="101" t="str">
        <f>HYPERLINK("https://www.chicagotribune.com/news/ct-xpm-1988-09-23-8802010546-story.html","0")</f>
        <v>0</v>
      </c>
      <c r="BK38" s="51">
        <v>0</v>
      </c>
      <c r="BL38" s="108" t="str">
        <f>HYPERLINK("https://www.chicagotribune.com/news/ct-xpm-1988-09-23-8802010546-story.html","1")</f>
        <v>1</v>
      </c>
      <c r="BM38" s="109">
        <v>3</v>
      </c>
      <c r="BN38" s="115" t="s">
        <v>3068</v>
      </c>
      <c r="BO38" s="116">
        <v>0</v>
      </c>
      <c r="BP38" s="116">
        <v>0</v>
      </c>
      <c r="BQ38" s="116">
        <v>0</v>
      </c>
      <c r="BR38" s="116">
        <v>1</v>
      </c>
      <c r="BS38" s="116">
        <v>1</v>
      </c>
      <c r="BT38" s="110">
        <v>1</v>
      </c>
      <c r="BU38" s="110">
        <v>1</v>
      </c>
      <c r="BV38" s="116">
        <v>1</v>
      </c>
      <c r="BW38" s="116">
        <v>1</v>
      </c>
      <c r="BX38" s="116">
        <v>0</v>
      </c>
      <c r="BY38" s="51">
        <v>0</v>
      </c>
      <c r="BZ38" s="51">
        <v>0</v>
      </c>
      <c r="CA38" s="101">
        <v>0</v>
      </c>
      <c r="CB38" s="51" t="s">
        <v>100</v>
      </c>
      <c r="CC38" s="101" t="str">
        <f t="shared" ref="CC38:CD38" si="66">HYPERLINK("https://www.chicagotribune.com/news/ct-xpm-1988-09-23-8802010552-story.html","1")</f>
        <v>1</v>
      </c>
      <c r="CD38" s="101" t="str">
        <f t="shared" si="66"/>
        <v>1</v>
      </c>
      <c r="CE38" s="101">
        <v>4</v>
      </c>
      <c r="CF38" s="107">
        <v>0</v>
      </c>
      <c r="CG38" s="51">
        <v>0</v>
      </c>
      <c r="CH38" s="101" t="str">
        <f>HYPERLINK("https://www.chicagotribune.com/news/ct-xpm-1988-09-23-8802010552-story.html","2")</f>
        <v>2</v>
      </c>
      <c r="CI38" s="101" t="str">
        <f>HYPERLINK("https://www.upi.com/Archives/1988/09/23/The-partner-of-a-slain-policewoman-who-took-three/7216590990400/","1")</f>
        <v>1</v>
      </c>
      <c r="CJ38" s="101" t="str">
        <f>HYPERLINK("https://www.upi.com/Archives/1988/09/23/The-partner-of-a-slain-policewoman-who-took-three/7216590990400/","brain damage (causing seizures) from being shot in the head")</f>
        <v>brain damage (causing seizures) from being shot in the head</v>
      </c>
      <c r="CK38" s="113">
        <v>0</v>
      </c>
      <c r="CL38" s="113"/>
      <c r="CM38" s="113"/>
      <c r="CN38" s="108">
        <v>0</v>
      </c>
      <c r="CO38" s="108">
        <v>0</v>
      </c>
      <c r="CP38" s="108">
        <v>0</v>
      </c>
      <c r="CQ38" s="110">
        <v>0</v>
      </c>
      <c r="CR38" s="108">
        <v>0</v>
      </c>
      <c r="CS38" s="108">
        <v>0</v>
      </c>
      <c r="CT38" s="110">
        <v>0</v>
      </c>
      <c r="CU38" s="108">
        <v>0</v>
      </c>
      <c r="CV38" s="108">
        <v>0</v>
      </c>
      <c r="CW38" s="110">
        <v>0</v>
      </c>
      <c r="CX38" s="110">
        <v>0</v>
      </c>
      <c r="CY38" s="108" t="str">
        <f>HYPERLINK("https://www.latimes.com/archives/la-xpm-1988-09-23-mn-2824-story.html","1")</f>
        <v>1</v>
      </c>
      <c r="CZ38" s="108" t="str">
        <f>HYPERLINK("https://www.chicagotribune.com/news/ct-xpm-1988-09-23-8802010546-story.html","0")</f>
        <v>0</v>
      </c>
      <c r="DA38" s="101">
        <v>1</v>
      </c>
      <c r="DB38" s="51">
        <v>2</v>
      </c>
      <c r="DC38" s="101" t="str">
        <f>HYPERLINK("https://www.chicagotribune.com/news/ct-xpm-1988-09-23-8802010546-story.html","0")</f>
        <v>0</v>
      </c>
      <c r="DD38" s="51"/>
      <c r="DE38" s="51"/>
      <c r="DF38" s="51"/>
      <c r="DG38" s="51"/>
      <c r="DH38" s="51"/>
      <c r="DI38" s="51"/>
      <c r="DJ38" s="51">
        <v>0</v>
      </c>
      <c r="DK38" s="51">
        <v>0</v>
      </c>
      <c r="DL38" s="48" t="s">
        <v>100</v>
      </c>
      <c r="DM38" s="101" t="str">
        <f>HYPERLINK("https://www.chicagotribune.com/news/ct-xpm-1988-09-23-8802010546-story.html","0")</f>
        <v>0</v>
      </c>
      <c r="DN38" s="51">
        <v>0</v>
      </c>
      <c r="DO38" s="51" t="s">
        <v>100</v>
      </c>
      <c r="DP38" s="101" t="str">
        <f t="shared" ref="DP38:DQ38" si="67">HYPERLINK("https://www.chicagotribune.com/news/ct-xpm-1988-09-23-8802010546-story.html","0")</f>
        <v>0</v>
      </c>
      <c r="DQ38" s="101" t="str">
        <f t="shared" si="67"/>
        <v>0</v>
      </c>
      <c r="DR38" s="48">
        <v>0</v>
      </c>
      <c r="DS38" s="101" t="str">
        <f>HYPERLINK("https://www.chicagotribune.com/news/ct-xpm-1988-09-23-8802010546-story.html","3")</f>
        <v>3</v>
      </c>
      <c r="DT38" s="101" t="str">
        <f t="shared" ref="DT38" si="68">HYPERLINK("https://www.chicagotribune.com/news/ct-xpm-1988-09-23-8802010552-story.html","1")</f>
        <v>1</v>
      </c>
      <c r="DU38" s="101" t="str">
        <f>HYPERLINK("https://www.chicagotribune.com/news/ct-xpm-1988-09-23-8802010552-story.html","0")</f>
        <v>0</v>
      </c>
      <c r="DV38" s="48" t="s">
        <v>100</v>
      </c>
      <c r="DW38" s="101" t="str">
        <f>HYPERLINK("https://www.chicagotribune.com/news/ct-xpm-1988-09-23-8802010552-story.html","1")</f>
        <v>1</v>
      </c>
      <c r="DX38" s="101" t="str">
        <f>HYPERLINK("https://www.chicagotribune.com/news/ct-xpm-1988-09-23-8802010552-story.html","0")</f>
        <v>0</v>
      </c>
      <c r="DY38" s="48">
        <v>2</v>
      </c>
      <c r="DZ38" s="48">
        <v>0</v>
      </c>
    </row>
    <row r="39" spans="1:130" ht="50.25" customHeight="1">
      <c r="A39" s="96">
        <v>37</v>
      </c>
      <c r="B39" s="97" t="s">
        <v>252</v>
      </c>
      <c r="C39" s="97" t="s">
        <v>234</v>
      </c>
      <c r="D39" s="98">
        <v>32525</v>
      </c>
      <c r="E39" s="48" t="s">
        <v>203</v>
      </c>
      <c r="F39" s="119">
        <v>17</v>
      </c>
      <c r="G39" s="102" t="str">
        <f>HYPERLINK("https://www.nytimes.com/1989/01/18/us/five-children-killed-as-gunman-attacks-a-california-school.html","1")</f>
        <v>1</v>
      </c>
      <c r="H39" s="101" t="str">
        <f>HYPERLINK("https://www.nytimes.com/1989/01/18/us/five-children-killed-as-gunman-attacks-a-california-school.html","1989")</f>
        <v>1989</v>
      </c>
      <c r="I39" s="48" t="s">
        <v>253</v>
      </c>
      <c r="J39" s="101" t="str">
        <f>HYPERLINK("https://www.mercurynews.com/2014/01/16/stockton-shooting-25-years-later-city-cant-forget-its-worst-day/","Stockton")</f>
        <v>Stockton</v>
      </c>
      <c r="K39" s="102">
        <v>5</v>
      </c>
      <c r="L39" s="102">
        <v>3</v>
      </c>
      <c r="M39" s="102" t="str">
        <f>HYPERLINK("https://www.nytimes.com/1989/01/18/us/five-children-killed-as-gunman-attacks-a-california-school.html","2")</f>
        <v>2</v>
      </c>
      <c r="N39" s="102" t="str">
        <f>HYPERLINK("http://www.nytimes.com/1989/01/18/us/five-children-killed-as-gunman-attacks-a-california-school.html","0")</f>
        <v>0</v>
      </c>
      <c r="O39" s="102">
        <v>0</v>
      </c>
      <c r="P39" s="99" t="s">
        <v>100</v>
      </c>
      <c r="Q39" s="103">
        <v>0</v>
      </c>
      <c r="R39" s="103">
        <v>0</v>
      </c>
      <c r="S39" s="102" t="str">
        <f>HYPERLINK("http://www.nytimes.com/1989/01/18/us/five-children-killed-as-gunman-attacks-a-california-school.html","5")</f>
        <v>5</v>
      </c>
      <c r="T39" s="102">
        <v>30</v>
      </c>
      <c r="U39" s="101" t="str">
        <f>HYPERLINK("https://www.nytimes.com/1989/01/18/us/five-children-killed-as-gunman-attacks-a-california-school.html","0")</f>
        <v>0</v>
      </c>
      <c r="V39" s="101" t="str">
        <f>HYPERLINK("http://www.nytimes.com/1989/01/18/us/five-children-killed-as-gunman-attacks-a-california-school.html","24")</f>
        <v>24</v>
      </c>
      <c r="W39" s="101" t="str">
        <f>HYPERLINK("http://www.nytimes.com/1989/01/18/us/five-children-killed-as-gunman-attacks-a-california-school.html","0")</f>
        <v>0</v>
      </c>
      <c r="X39" s="101" t="str">
        <f>HYPERLINK("http://www.recordnet.com/article/20090118/A_NEWS/901170304","0")</f>
        <v>0</v>
      </c>
      <c r="Y39" s="105">
        <v>0</v>
      </c>
      <c r="Z39" s="101" t="str">
        <f>HYPERLINK("https://schoolshooters.info/sites/default/files/Purdy%20-%20official%20report.pdf","1")</f>
        <v>1</v>
      </c>
      <c r="AA39" s="101" t="str">
        <f>HYPERLINK("https://schoolshooters.info/sites/default/files/Purdy%20-%20official%20report.pdf","0")</f>
        <v>0</v>
      </c>
      <c r="AB39" s="101" t="str">
        <f>HYPERLINK("https://schoolshooters.info/sites/default/files/Purdy%20-%20official%20report.pdf","2")</f>
        <v>2</v>
      </c>
      <c r="AC39" s="101" t="str">
        <f>HYPERLINK("https://schoolshooters.info/sites/default/files/Purdy%20-%20official%20report.pdf","0")</f>
        <v>0</v>
      </c>
      <c r="AD39" s="101" t="str">
        <f>HYPERLINK("https://schoolshooters.info/sites/default/files/Purdy%20-%20official%20report.pdf","able to pass classes but unable to retain information, repeated 5th grade, dropped out of school at age 14")</f>
        <v>able to pass classes but unable to retain information, repeated 5th grade, dropped out of school at age 14</v>
      </c>
      <c r="AE39" s="101" t="str">
        <f t="shared" ref="AE39:AF39" si="69">HYPERLINK("https://schoolshooters.info/sites/default/files/Purdy%20-%20official%20report.pdf","2")</f>
        <v>2</v>
      </c>
      <c r="AF39" s="101" t="str">
        <f t="shared" si="69"/>
        <v>2</v>
      </c>
      <c r="AG39" s="101" t="str">
        <f t="shared" ref="AG39:AH39" si="70">HYPERLINK("https://schoolshooters.info/sites/default/files/Purdy%20-%20official%20report.pdf","1")</f>
        <v>1</v>
      </c>
      <c r="AH39" s="101" t="str">
        <f t="shared" si="70"/>
        <v>1</v>
      </c>
      <c r="AI39" s="101" t="str">
        <f>HYPERLINK("https://www.upi.com/Archives/1989/01/20/Schoolyard-gunman-laid-to-rest/9720601275600/","0")</f>
        <v>0</v>
      </c>
      <c r="AJ39" s="101">
        <v>0</v>
      </c>
      <c r="AK39" s="101" t="str">
        <f>HYPERLINK("https://www.nytimes.com/1989/01/20/us/killer-depicted-as-loner-full-of-hate.html","0")</f>
        <v>0</v>
      </c>
      <c r="AL39" s="101">
        <v>0</v>
      </c>
      <c r="AM39" s="101">
        <v>0</v>
      </c>
      <c r="AN39" s="48" t="s">
        <v>100</v>
      </c>
      <c r="AO39" s="101" t="str">
        <f>HYPERLINK("https://schoolshooters.info/sites/default/files/Purdy%20-%20official%20report.pdf","0")</f>
        <v>0</v>
      </c>
      <c r="AP39" s="54"/>
      <c r="AQ39" s="101" t="str">
        <f t="shared" ref="AQ39:DS39" si="71">HYPERLINK("https://www.nytimes.com/1989/01/20/us/killer-depicted-as-loner-full-of-hate.html","1")</f>
        <v>1</v>
      </c>
      <c r="AR39" s="51">
        <v>0</v>
      </c>
      <c r="AS39" s="101" t="str">
        <f>HYPERLINK("https://www.nytimes.com/1989/01/20/us/killer-depicted-as-loner-full-of-hate.html","1")</f>
        <v>1</v>
      </c>
      <c r="AT39" s="101">
        <v>2</v>
      </c>
      <c r="AU39" s="101">
        <v>1</v>
      </c>
      <c r="AV39" s="51"/>
      <c r="AW39" s="51"/>
      <c r="AX39" s="51">
        <v>0</v>
      </c>
      <c r="AY39" s="101">
        <v>0</v>
      </c>
      <c r="AZ39" s="101">
        <v>0</v>
      </c>
      <c r="BA39" s="101" t="str">
        <f t="shared" ref="BA39:BD39" si="72">HYPERLINK("https://schoolshooters.info/sites/default/files/Purdy%20-%20official%20report.pdf","0")</f>
        <v>0</v>
      </c>
      <c r="BB39" s="107">
        <v>3</v>
      </c>
      <c r="BC39" s="101" t="str">
        <f t="shared" si="72"/>
        <v>0</v>
      </c>
      <c r="BD39" s="101" t="str">
        <f t="shared" si="72"/>
        <v>0</v>
      </c>
      <c r="BE39" s="101" t="str">
        <f>HYPERLINK("https://schoolshooters.info/sites/default/files/Purdy%20-%20official%20report.pdf","1")</f>
        <v>1</v>
      </c>
      <c r="BF39" s="51">
        <v>0</v>
      </c>
      <c r="BG39" s="101" t="str">
        <f>HYPERLINK("https://schoolshooters.info/sites/default/files/Purdy%20-%20official%20report.pdf","2")</f>
        <v>2</v>
      </c>
      <c r="BH39" s="51">
        <v>0</v>
      </c>
      <c r="BI39" s="51">
        <v>0</v>
      </c>
      <c r="BJ39" s="101">
        <v>0</v>
      </c>
      <c r="BK39" s="101" t="str">
        <f>HYPERLINK("https://www.nytimes.com/1989/01/20/us/killer-depicted-as-loner-full-of-hate.html","1")</f>
        <v>1</v>
      </c>
      <c r="BL39" s="108" t="str">
        <f>HYPERLINK("https://schoolshooters.info/sites/default/files/Purdy%20-%20official%20report.pdf","1")</f>
        <v>1</v>
      </c>
      <c r="BM39" s="109">
        <v>3</v>
      </c>
      <c r="BN39" s="115" t="s">
        <v>3069</v>
      </c>
      <c r="BO39" s="110">
        <v>1</v>
      </c>
      <c r="BP39" s="115">
        <v>1</v>
      </c>
      <c r="BQ39" s="115">
        <v>0</v>
      </c>
      <c r="BR39" s="115">
        <v>0</v>
      </c>
      <c r="BS39" s="110">
        <v>0</v>
      </c>
      <c r="BT39" s="110">
        <v>1</v>
      </c>
      <c r="BU39" s="110">
        <v>0</v>
      </c>
      <c r="BV39" s="110">
        <v>1</v>
      </c>
      <c r="BW39" s="115">
        <v>0</v>
      </c>
      <c r="BX39" s="115">
        <v>0</v>
      </c>
      <c r="BY39" s="101" t="str">
        <f t="shared" ref="BY39:CA39" si="73">HYPERLINK("https://schoolshooters.info/sites/default/files/Purdy%20-%20official%20report.pdf","1")</f>
        <v>1</v>
      </c>
      <c r="BZ39" s="101" t="str">
        <f t="shared" si="73"/>
        <v>1</v>
      </c>
      <c r="CA39" s="101" t="str">
        <f t="shared" si="73"/>
        <v>1</v>
      </c>
      <c r="CB39" s="101" t="str">
        <f>HYPERLINK("https://schoolshooters.info/sites/default/files/Purdy%20-%20official%20report.pdf","2")</f>
        <v>2</v>
      </c>
      <c r="CC39" s="101" t="str">
        <f>HYPERLINK("https://schoolshooters.info/sites/default/files/Purdy%20-%20official%20report.pdf","1")</f>
        <v>1</v>
      </c>
      <c r="CD39" s="101" t="str">
        <f>HYPERLINK("https://schoolshooters.info/sites/default/files/Purdy%20-%20official%20report.pdf","0")</f>
        <v>0</v>
      </c>
      <c r="CE39" s="101" t="str">
        <f t="shared" ref="CE39:CF39" si="74">HYPERLINK("https://schoolshooters.info/sites/default/files/Purdy%20-%20official%20report.pdf","1")</f>
        <v>1</v>
      </c>
      <c r="CF39" s="101" t="str">
        <f t="shared" si="74"/>
        <v>1</v>
      </c>
      <c r="CG39" s="51">
        <v>0</v>
      </c>
      <c r="CH39" s="101" t="str">
        <f>HYPERLINK("https://schoolshooters.info/sites/default/files/Purdy%20-%20official%20report.pdf","4")</f>
        <v>4</v>
      </c>
      <c r="CI39" s="101" t="str">
        <f>HYPERLINK("https://schoolshooters.info/sites/default/files/Purdy%20-%20official%20report.pdf","1")</f>
        <v>1</v>
      </c>
      <c r="CJ39" s="101" t="str">
        <f>HYPERLINK("https://schoolshooters.info/sites/default/files/Purdy%20-%20official%20report.pdf","extreme dependence on drugs and alcohol")</f>
        <v>extreme dependence on drugs and alcohol</v>
      </c>
      <c r="CK39" s="117">
        <v>1</v>
      </c>
      <c r="CL39" s="113"/>
      <c r="CM39" s="113"/>
      <c r="CN39" s="108" t="str">
        <f t="shared" ref="CN39" si="75">HYPERLINK("https://schoolshooters.info/sites/default/files/Purdy%20-%20official%20report.pdf","1")</f>
        <v>1</v>
      </c>
      <c r="CO39" s="110">
        <v>0</v>
      </c>
      <c r="CP39" s="110">
        <v>0</v>
      </c>
      <c r="CQ39" s="110">
        <v>0</v>
      </c>
      <c r="CR39" s="110">
        <v>0</v>
      </c>
      <c r="CS39" s="110">
        <v>0</v>
      </c>
      <c r="CT39" s="110">
        <v>0</v>
      </c>
      <c r="CU39" s="110">
        <v>0</v>
      </c>
      <c r="CV39" s="110">
        <v>0</v>
      </c>
      <c r="CW39" s="108" t="str">
        <f>HYPERLINK("https://schoolshooters.info/sites/default/files/Purdy%20-%20official%20report.pdf","1")</f>
        <v>1</v>
      </c>
      <c r="CX39" s="108">
        <v>0</v>
      </c>
      <c r="CY39" s="108">
        <v>0</v>
      </c>
      <c r="CZ39" s="108" t="str">
        <f>HYPERLINK("https://www.nytimes.com/1989/01/18/us/five-children-killed-as-gunman-attacks-a-california-school.html","0")</f>
        <v>0</v>
      </c>
      <c r="DA39" s="51">
        <v>0</v>
      </c>
      <c r="DB39" s="101">
        <v>2</v>
      </c>
      <c r="DC39" s="101" t="str">
        <f>HYPERLINK("https://schoolshooters.info/sites/default/files/Purdy%20-%20official%20report.pdf","1")</f>
        <v>1</v>
      </c>
      <c r="DD39" s="51">
        <v>0</v>
      </c>
      <c r="DE39" s="51">
        <v>8</v>
      </c>
      <c r="DF39" s="51">
        <v>0</v>
      </c>
      <c r="DG39" s="51"/>
      <c r="DH39" s="51"/>
      <c r="DI39" s="51"/>
      <c r="DJ39" s="101" t="str">
        <f>HYPERLINK("https://schoolshooters.info/sites/default/files/Purdy%20-%20official%20report.pdf","1")</f>
        <v>1</v>
      </c>
      <c r="DK39" s="51">
        <v>0</v>
      </c>
      <c r="DL39" s="48" t="s">
        <v>100</v>
      </c>
      <c r="DM39" s="101" t="str">
        <f>HYPERLINK("https://schoolshooters.info/sites/default/files/Purdy%20-%20official%20report.pdf","0")</f>
        <v>0</v>
      </c>
      <c r="DN39" s="51">
        <v>0</v>
      </c>
      <c r="DO39" s="51" t="s">
        <v>100</v>
      </c>
      <c r="DP39" s="101" t="str">
        <f>HYPERLINK("https://schoolshooters.info/sites/default/files/Purdy%20-%20official%20report.pdf","1")</f>
        <v>1</v>
      </c>
      <c r="DQ39" s="101" t="str">
        <f>HYPERLINK("https://schoolshooters.info/sites/default/files/Purdy%20-%20official%20report.pdf","0")</f>
        <v>0</v>
      </c>
      <c r="DR39" s="101" t="str">
        <f>HYPERLINK("https://schoolshooters.info/sites/default/files/Purdy%20-%20official%20report.pdf","1")</f>
        <v>1</v>
      </c>
      <c r="DS39" s="101" t="str">
        <f t="shared" si="71"/>
        <v>1</v>
      </c>
      <c r="DT39" s="101">
        <v>2</v>
      </c>
      <c r="DU39" s="101" t="str">
        <f>HYPERLINK("https://schoolshooters.info/sites/default/files/Purdy%20-%20official%20report.pdf","1")</f>
        <v>1</v>
      </c>
      <c r="DV39" s="101" t="str">
        <f>HYPERLINK("https://schoolshooters.info/sites/default/files/Purdy%20-%20official%20report.pdf","ammo pouch, ear plugs, flak jacket, pipe bomb, fireworks, flammable liquids")</f>
        <v>ammo pouch, ear plugs, flak jacket, pipe bomb, fireworks, flammable liquids</v>
      </c>
      <c r="DW39" s="101" t="str">
        <f>HYPERLINK("http://www.nytimes.com/1989/01/18/us/five-children-killed-as-gunman-attacks-a-california-school.html","0")</f>
        <v>0</v>
      </c>
      <c r="DX39" s="101" t="str">
        <f>HYPERLINK("https://www.nytimes.com/1989/01/18/us/five-children-killed-as-gunman-attacks-a-california-school.html","0")</f>
        <v>0</v>
      </c>
      <c r="DY39" s="51">
        <v>2</v>
      </c>
      <c r="DZ39" s="48">
        <v>0</v>
      </c>
    </row>
    <row r="40" spans="1:130" ht="50.25" customHeight="1">
      <c r="A40" s="96">
        <v>38</v>
      </c>
      <c r="B40" s="97" t="s">
        <v>257</v>
      </c>
      <c r="C40" s="97" t="s">
        <v>122</v>
      </c>
      <c r="D40" s="98">
        <v>32765</v>
      </c>
      <c r="E40" s="48" t="s">
        <v>178</v>
      </c>
      <c r="F40" s="119">
        <v>14</v>
      </c>
      <c r="G40" s="102">
        <v>9</v>
      </c>
      <c r="H40" s="101">
        <v>1989</v>
      </c>
      <c r="I40" s="48" t="s">
        <v>258</v>
      </c>
      <c r="J40" s="101" t="s">
        <v>259</v>
      </c>
      <c r="K40" s="102">
        <v>17</v>
      </c>
      <c r="L40" s="102" t="str">
        <f>HYPERLINK("https://www.apnews.com/fcc5d4beb0b9b29a6e2353939bad33bc","0")</f>
        <v>0</v>
      </c>
      <c r="M40" s="102">
        <v>0</v>
      </c>
      <c r="N40" s="102" t="str">
        <f>HYPERLINK("https://www.nytimes.com/1989/09/16/us/disturbed-past-of-killer-of-7-is-unraveled.html","6")</f>
        <v>6</v>
      </c>
      <c r="O40" s="102" t="str">
        <f>HYPERLINK("https://www.latimes.com/archives/la-xpm-1989-09-15-mn-152-story.html","0")</f>
        <v>0</v>
      </c>
      <c r="P40" s="99" t="s">
        <v>100</v>
      </c>
      <c r="Q40" s="103">
        <v>0</v>
      </c>
      <c r="R40" s="103">
        <v>0</v>
      </c>
      <c r="S40" s="102" t="str">
        <f>HYPERLINK("https://www.wdrb.com/news/today-marks--year-anniversary-of-standard-gravure-shooting/article_ee7bba96-66ee-5926-8ee6-a519aa39c870.html","9")</f>
        <v>9</v>
      </c>
      <c r="T40" s="102">
        <v>12</v>
      </c>
      <c r="U40" s="101" t="str">
        <f>HYPERLINK("https://www.latimes.com/archives/la-xpm-1989-09-15-mn-152-story.html","0")</f>
        <v>0</v>
      </c>
      <c r="V40" s="101">
        <v>47</v>
      </c>
      <c r="W40" s="101">
        <v>0</v>
      </c>
      <c r="X40" s="101" t="str">
        <f>HYPERLINK("https://www.courier-journal.com/story/news/local/2016/01/19/standard-gravure-massacres-scars-remain/79018006/","0")</f>
        <v>0</v>
      </c>
      <c r="Y40" s="48">
        <v>0</v>
      </c>
      <c r="Z40" s="101" t="str">
        <f>HYPERLINK("https://www.nytimes.com/1989/09/17/us/survivors-of-shooting-and-gunman-s-relatives-ponder-sad-riddles.html","0")</f>
        <v>0</v>
      </c>
      <c r="AA40" s="51"/>
      <c r="AB40" s="101">
        <v>1</v>
      </c>
      <c r="AC40" s="101" t="str">
        <f>HYPERLINK("https://books.google.com/books?id=JiQUkwBnzgYC&amp;pg=PA57&amp;dq=joseph+wesbecker&amp;sig=ACfU3U3tSXaqMbUufusi7Wzrn1P5mzVKCA#v=onepage&amp;q=joseph%20wesbecker&amp;f=false","0")</f>
        <v>0</v>
      </c>
      <c r="AD40" s="101" t="str">
        <f>HYPERLINK("https://books.google.com/books?id=JiQUkwBnzgYC&amp;pg=PA57&amp;dq=joseph+wesbecker&amp;sig=ACfU3U3tSXaqMbUufusi7Wzrn1P5mzVKCA#v=onepage&amp;q=joseph%20wesbecker&amp;f=false","poor student, dropped out in 9th grade")</f>
        <v>poor student, dropped out in 9th grade</v>
      </c>
      <c r="AE40" s="101" t="str">
        <f t="shared" ref="AE40:AH40" si="76">HYPERLINK("https://www.nytimes.com/1989/09/17/us/survivors-of-shooting-and-gunman-s-relatives-ponder-sad-riddles.html","0")</f>
        <v>0</v>
      </c>
      <c r="AF40" s="101" t="str">
        <f t="shared" si="76"/>
        <v>0</v>
      </c>
      <c r="AG40" s="101" t="str">
        <f t="shared" si="76"/>
        <v>0</v>
      </c>
      <c r="AH40" s="101" t="str">
        <f t="shared" si="76"/>
        <v>0</v>
      </c>
      <c r="AI40" s="101">
        <v>1</v>
      </c>
      <c r="AJ40" s="101">
        <v>1</v>
      </c>
      <c r="AK40" s="101" t="str">
        <f>HYPERLINK("https://www.latimes.com/archives/la-xpm-1989-09-15-mn-152-story.html","0")</f>
        <v>0</v>
      </c>
      <c r="AL40" s="101">
        <v>0</v>
      </c>
      <c r="AM40" s="51">
        <v>0</v>
      </c>
      <c r="AN40" s="48" t="s">
        <v>100</v>
      </c>
      <c r="AO40" s="101" t="str">
        <f>HYPERLINK("https://books.google.com/books?id=JiQUkwBnzgYC&amp;pg=PA57&amp;dq=joseph+wesbecker&amp;sig=ACfU3U3tSXaqMbUufusi7Wzrn1P5mzVKCA#v=onepage&amp;q=joseph%20wesbecker&amp;f=false","0")</f>
        <v>0</v>
      </c>
      <c r="AP40" s="54"/>
      <c r="AQ40" s="51">
        <v>0</v>
      </c>
      <c r="AR40" s="51">
        <v>0</v>
      </c>
      <c r="AS40" s="101" t="str">
        <f>HYPERLINK("https://books.google.com/books?id=JiQUkwBnzgYC&amp;pg=PA56&amp;lpg=PA56&amp;dq=joseph+wesbecker&amp;source=bl&amp;ots=PsyBrAnFgG&amp;sig=ACfU3U1l9BhEzuos1MCDT4sHa9kyNOxklg&amp;hl=en&amp;sa=X&amp;ved=2ahUKEwiB0bW8mODjAhUHiqwKHWxVDNU4ChDoATAIegQICRAB#v=onepage&amp;q=joseph%20wesbecker&amp;f=false","0")</f>
        <v>0</v>
      </c>
      <c r="AT40" s="48">
        <v>0</v>
      </c>
      <c r="AU40" s="48" t="s">
        <v>100</v>
      </c>
      <c r="AV40" s="48" t="s">
        <v>100</v>
      </c>
      <c r="AW40" s="48" t="s">
        <v>100</v>
      </c>
      <c r="AX40" s="48">
        <v>0</v>
      </c>
      <c r="AY40" s="51">
        <v>0</v>
      </c>
      <c r="AZ40" s="51">
        <v>0</v>
      </c>
      <c r="BA40" s="51">
        <v>0</v>
      </c>
      <c r="BB40" s="107">
        <v>3</v>
      </c>
      <c r="BC40" s="51">
        <v>0</v>
      </c>
      <c r="BD40" s="51">
        <v>0</v>
      </c>
      <c r="BE40" s="101">
        <v>1</v>
      </c>
      <c r="BF40" s="51">
        <v>0</v>
      </c>
      <c r="BG40" s="101" t="str">
        <f>HYPERLINK("https://books.google.com/books?id=JiQUkwBnzgYC&amp;pg=PA56&amp;lpg=PA56&amp;dq=joseph+wesbecker&amp;source=bl&amp;ots=PsyBrAnFgG&amp;sig=ACfU3U1l9BhEzuos1MCDT4sHa9kyNOxklg&amp;hl=en&amp;sa=X&amp;ved=2ahUKEwiB0bW8mODjAhUHiqwKHWxVDNU4ChDoATAIegQICRAB#v=onepage&amp;q=joseph%20wesbecker&amp;f=false","3")</f>
        <v>3</v>
      </c>
      <c r="BH40" s="51">
        <v>0</v>
      </c>
      <c r="BI40" s="51">
        <v>0</v>
      </c>
      <c r="BJ40" s="101">
        <v>0</v>
      </c>
      <c r="BK40" s="101" t="str">
        <f>HYPERLINK("https://www.latimes.com/archives/la-xpm-1989-09-15-mn-152-story.html","1")</f>
        <v>1</v>
      </c>
      <c r="BL40" s="108">
        <v>1</v>
      </c>
      <c r="BM40" s="109">
        <v>3</v>
      </c>
      <c r="BN40" s="110" t="s">
        <v>3149</v>
      </c>
      <c r="BO40" s="111">
        <v>1</v>
      </c>
      <c r="BP40" s="111">
        <v>1</v>
      </c>
      <c r="BQ40" s="111">
        <v>1</v>
      </c>
      <c r="BR40" s="111">
        <v>0</v>
      </c>
      <c r="BS40" s="111">
        <v>0</v>
      </c>
      <c r="BT40" s="111">
        <v>1</v>
      </c>
      <c r="BU40" s="111">
        <v>1</v>
      </c>
      <c r="BV40" s="111">
        <v>1</v>
      </c>
      <c r="BW40" s="111">
        <v>1</v>
      </c>
      <c r="BX40" s="111">
        <v>1</v>
      </c>
      <c r="BY40" s="101">
        <v>1</v>
      </c>
      <c r="BZ40" s="101">
        <v>1</v>
      </c>
      <c r="CA40" s="51">
        <v>0</v>
      </c>
      <c r="CB40" s="51" t="s">
        <v>100</v>
      </c>
      <c r="CC40" s="101" t="str">
        <f>HYPERLINK("https://books.google.com/books?id=JiQUkwBnzgYC&amp;pg=PA56&amp;lpg=PA56&amp;dq=joseph+wesbecker&amp;source=bl&amp;ots=PsyBrAnFgG&amp;sig=ACfU3U1l9BhEzuos1MCDT4sHa9kyNOxklg&amp;hl=en&amp;sa=X&amp;ved=2ahUKEwiB0bW8mODjAhUHiqwKHWxVDNU4ChDoATAIegQICRAB#v=onepage&amp;q=joseph%20wesbecker&amp;f=false","1")</f>
        <v>1</v>
      </c>
      <c r="CD40" s="101" t="str">
        <f>HYPERLINK("https://www.washingtonpost.com/archive/lifestyle/1996/10/21/putting-prozac-on-trial/3fca186e-6c67-4853-8471-21ab34d18fb6/","1")</f>
        <v>1</v>
      </c>
      <c r="CE40" s="101" t="str">
        <f>HYPERLINK("https://books.google.com/books?id=JiQUkwBnzgYC&amp;pg=PA56&amp;lpg=PA56&amp;dq=joseph+wesbecker&amp;source=bl&amp;ots=PsyBrAnFgG&amp;sig=ACfU3U1l9BhEzuos1MCDT4sHa9kyNOxklg&amp;hl=en&amp;sa=X&amp;ved=2ahUKEwiB0bW8mODjAhUHiqwKHWxVDNU4ChDoATAIegQICRAB#v=onepage&amp;q=joseph%20wesbecker&amp;f=false","1")</f>
        <v>1</v>
      </c>
      <c r="CF40" s="107">
        <v>0</v>
      </c>
      <c r="CG40" s="51">
        <v>0</v>
      </c>
      <c r="CH40" s="101" t="str">
        <f>HYPERLINK("https://books.google.com/books?id=JiQUkwBnzgYC&amp;pg=PA56&amp;lpg=PA56&amp;dq=joseph+wesbecker&amp;source=bl&amp;ots=PsyBrAnFgG&amp;sig=ACfU3U1l9BhEzuos1MCDT4sHa9kyNOxklg&amp;hl=en&amp;sa=X&amp;ved=2ahUKEwiB0bW8mODjAhUHiqwKHWxVDNU4ChDoATAIegQICRAB#v=onepage&amp;q=joseph%20wesbecker&amp;f=false","0")</f>
        <v>0</v>
      </c>
      <c r="CI40" s="101">
        <v>1</v>
      </c>
      <c r="CJ40" s="101" t="s">
        <v>3104</v>
      </c>
      <c r="CK40" s="113">
        <v>0</v>
      </c>
      <c r="CL40" s="113"/>
      <c r="CM40" s="113"/>
      <c r="CN40" s="110">
        <v>0</v>
      </c>
      <c r="CO40" s="110">
        <v>0</v>
      </c>
      <c r="CP40" s="110">
        <v>0</v>
      </c>
      <c r="CQ40" s="110">
        <v>0</v>
      </c>
      <c r="CR40" s="108" t="str">
        <f t="shared" ref="CR40:CS40" si="77">HYPERLINK("https://www.latimes.com/archives/la-xpm-1989-09-15-mn-152-story.html","1")</f>
        <v>1</v>
      </c>
      <c r="CS40" s="108" t="str">
        <f t="shared" si="77"/>
        <v>1</v>
      </c>
      <c r="CT40" s="110">
        <v>0</v>
      </c>
      <c r="CU40" s="110">
        <v>0</v>
      </c>
      <c r="CV40" s="110">
        <v>0</v>
      </c>
      <c r="CW40" s="110">
        <v>0</v>
      </c>
      <c r="CX40" s="110">
        <v>0</v>
      </c>
      <c r="CY40" s="110">
        <v>0</v>
      </c>
      <c r="CZ40" s="108" t="str">
        <f>HYPERLINK("https://www.latimes.com/archives/la-xpm-1989-09-15-mn-152-story.html","0")</f>
        <v>0</v>
      </c>
      <c r="DA40" s="51">
        <v>0</v>
      </c>
      <c r="DB40" s="51">
        <v>2</v>
      </c>
      <c r="DC40" s="101" t="str">
        <f>HYPERLINK("https://www.apnews.com/d8fdf15390c4d3e614ca83a0d49ab018","1")</f>
        <v>1</v>
      </c>
      <c r="DD40" s="51">
        <v>0</v>
      </c>
      <c r="DE40" s="51">
        <v>4</v>
      </c>
      <c r="DF40" s="51">
        <v>1</v>
      </c>
      <c r="DG40" s="51"/>
      <c r="DH40" s="51"/>
      <c r="DI40" s="51"/>
      <c r="DJ40" s="51">
        <v>0</v>
      </c>
      <c r="DK40" s="101">
        <v>1</v>
      </c>
      <c r="DL40" s="101" t="str">
        <f>HYPERLINK("https://www.nytimes.com/1989/09/16/us/disturbed-past-of-killer-of-7-is-unraveled.html","He had a magazine which prominently covered the recent Stockton mass shooting. ")</f>
        <v xml:space="preserve">He had a magazine which prominently covered the recent Stockton mass shooting. </v>
      </c>
      <c r="DM40" s="101" t="str">
        <f>HYPERLINK("https://www.nytimes.com/1989/09/16/us/disturbed-past-of-killer-of-7-is-unraveled.html","0")</f>
        <v>0</v>
      </c>
      <c r="DN40" s="51">
        <v>0</v>
      </c>
      <c r="DO40" s="51" t="s">
        <v>100</v>
      </c>
      <c r="DP40" s="101" t="str">
        <f>HYPERLINK("https://www.apnews.com/d8fdf15390c4d3e614ca83a0d49ab018","1")</f>
        <v>1</v>
      </c>
      <c r="DQ40" s="101" t="str">
        <f>HYPERLINK("https://www.latimes.com/archives/la-xpm-1989-09-15-mn-152-story.html","0")</f>
        <v>0</v>
      </c>
      <c r="DR40" s="105">
        <v>0</v>
      </c>
      <c r="DS40" s="101" t="str">
        <f>HYPERLINK("https://www.nytimes.com/1989/09/17/us/survivors-of-shooting-and-gunman-s-relatives-ponder-sad-riddles.html","1")</f>
        <v>1</v>
      </c>
      <c r="DT40" s="101">
        <v>5</v>
      </c>
      <c r="DU40" s="101" t="str">
        <f>HYPERLINK("https://www.nytimes.com/1989/09/16/us/disturbed-past-of-killer-of-7-is-unraveled.html","0")</f>
        <v>0</v>
      </c>
      <c r="DV40" s="48" t="s">
        <v>100</v>
      </c>
      <c r="DW40" s="101" t="str">
        <f t="shared" ref="DW40:DX40" si="78">HYPERLINK("https://www.latimes.com/archives/la-xpm-1989-09-15-mn-152-story.html","0")</f>
        <v>0</v>
      </c>
      <c r="DX40" s="101" t="str">
        <f t="shared" si="78"/>
        <v>0</v>
      </c>
      <c r="DY40" s="48">
        <v>2</v>
      </c>
      <c r="DZ40" s="48">
        <v>0</v>
      </c>
    </row>
    <row r="41" spans="1:130" ht="50.25" customHeight="1">
      <c r="A41" s="96">
        <v>39</v>
      </c>
      <c r="B41" s="97" t="s">
        <v>260</v>
      </c>
      <c r="C41" s="97" t="s">
        <v>221</v>
      </c>
      <c r="D41" s="98">
        <v>33042</v>
      </c>
      <c r="E41" s="48" t="s">
        <v>95</v>
      </c>
      <c r="F41" s="119">
        <v>18</v>
      </c>
      <c r="G41" s="102">
        <v>6</v>
      </c>
      <c r="H41" s="101">
        <v>1990</v>
      </c>
      <c r="I41" s="48" t="s">
        <v>261</v>
      </c>
      <c r="J41" s="101" t="s">
        <v>262</v>
      </c>
      <c r="K41" s="102">
        <v>9</v>
      </c>
      <c r="L41" s="119">
        <v>0</v>
      </c>
      <c r="M41" s="102">
        <v>0</v>
      </c>
      <c r="N41" s="102" t="str">
        <f>HYPERLINK("https://www.latimes.com/archives/la-xpm-1990-06-19-mn-52-story.html","4")</f>
        <v>4</v>
      </c>
      <c r="O41" s="102" t="str">
        <f>HYPERLINK("https://www.deseretnews.com/article/107923/911-TAPE-TELLS-HORROR-OF-FLORIDA-MASSACRE.html","1")</f>
        <v>1</v>
      </c>
      <c r="P41" s="122">
        <v>8</v>
      </c>
      <c r="Q41" s="103">
        <v>0</v>
      </c>
      <c r="R41" s="103">
        <v>0</v>
      </c>
      <c r="S41" s="102" t="str">
        <f>HYPERLINK("https://www.upi.com/Archives/1990/06/27/Tenth-person-dies-in-GMAC-massacre/6157646459200/","11")</f>
        <v>11</v>
      </c>
      <c r="T41" s="102" t="str">
        <f>HYPERLINK("https://www.upi.com/Archives/1990/06/27/Tenth-person-dies-in-GMAC-massacre/6157646459200/","6")</f>
        <v>6</v>
      </c>
      <c r="U41" s="101" t="str">
        <f>HYPERLINK("https://www.nytimes.com/1990/06/19/us/florida-gunman-kills-8-and-wounds-6-in-office.html","0")</f>
        <v>0</v>
      </c>
      <c r="V41" s="101">
        <v>42</v>
      </c>
      <c r="W41" s="101">
        <v>0</v>
      </c>
      <c r="X41" s="101" t="str">
        <f>HYPERLINK("https://news.google.com/newspapers?id=EPMRAAAAIBAJ&amp;sjid=PuoDAAAAIBAJ&amp;pg=6902,6441532&amp;dq=pough","1")</f>
        <v>1</v>
      </c>
      <c r="Y41" s="51">
        <v>0</v>
      </c>
      <c r="Z41" s="101" t="str">
        <f>HYPERLINK("https://www.deseret.com/1990/6/20/18867182/911-tape-tells-horror-of-florida-massacre","0")</f>
        <v>0</v>
      </c>
      <c r="AA41" s="51"/>
      <c r="AB41" s="51" t="s">
        <v>818</v>
      </c>
      <c r="AC41" s="51"/>
      <c r="AD41" s="51"/>
      <c r="AE41" s="101" t="str">
        <f>HYPERLINK("https://www.daily-journal.com/opinion/letters/voice-of-the-people-family-breakdown-spurs-violence/article_c68ca2ae-b9fc-11e9-bd78-57c144166e04.html","1")</f>
        <v>1</v>
      </c>
      <c r="AF41" s="101" t="str">
        <f>HYPERLINK("https://www.daily-journal.com/opinion/letters/voice-of-the-people-family-breakdown-spurs-violence/article_c68ca2ae-b9fc-11e9-bd78-57c144166e04.html","8")</f>
        <v>8</v>
      </c>
      <c r="AG41" s="101" t="str">
        <f>HYPERLINK("https://www.daily-journal.com/opinion/letters/voice-of-the-people-family-breakdown-spurs-violence/article_c68ca2ae-b9fc-11e9-bd78-57c144166e04.html","0")</f>
        <v>0</v>
      </c>
      <c r="AH41" s="101" t="str">
        <f>HYPERLINK("https://www.daily-journal.com/opinion/letters/voice-of-the-people-family-breakdown-spurs-violence/article_c68ca2ae-b9fc-11e9-bd78-57c144166e04.html","8")</f>
        <v>8</v>
      </c>
      <c r="AI41" s="101">
        <v>3</v>
      </c>
      <c r="AJ41" s="51">
        <v>0</v>
      </c>
      <c r="AK41" s="101" t="str">
        <f>HYPERLINK("https://www.deseretnews.com/article/107923/911-TAPE-TELLS-HORROR-OF-FLORIDA-MASSACRE.html","1")</f>
        <v>1</v>
      </c>
      <c r="AL41" s="101" t="str">
        <f>HYPERLINK("https://www.deseretnews.com/article/107923/911-TAPE-TELLS-HORROR-OF-FLORIDA-MASSACRE.html","0")</f>
        <v>0</v>
      </c>
      <c r="AM41" s="51">
        <v>0</v>
      </c>
      <c r="AN41" s="48" t="s">
        <v>100</v>
      </c>
      <c r="AO41" s="101" t="str">
        <f>HYPERLINK("https://news.google.com/newspapers?id=EPMRAAAAIBAJ&amp;sjid=PuoDAAAAIBAJ&amp;pg=6902,6441532&amp;dq=pough'","0")</f>
        <v>0</v>
      </c>
      <c r="AP41" s="51"/>
      <c r="AQ41" s="101" t="str">
        <f t="shared" ref="AQ41:DS41" si="79">HYPERLINK("https://www.nytimes.com/1990/06/20/us/hazy-records-helped-florida-gunman-buy-arms.html","1")</f>
        <v>1</v>
      </c>
      <c r="AR41" s="101" t="str">
        <f t="shared" ref="AR41:AT41" si="80">HYPERLINK("https://news.google.com/newspapers?id=EPMRAAAAIBAJ&amp;sjid=PuoDAAAAIBAJ&amp;pg=6902,6441532&amp;dq=pough","1")</f>
        <v>1</v>
      </c>
      <c r="AS41" s="101" t="str">
        <f t="shared" si="80"/>
        <v>1</v>
      </c>
      <c r="AT41" s="101" t="str">
        <f t="shared" si="80"/>
        <v>1</v>
      </c>
      <c r="AU41" s="101">
        <v>1</v>
      </c>
      <c r="AV41" s="101">
        <v>4</v>
      </c>
      <c r="AW41" s="51"/>
      <c r="AX41" s="51">
        <v>0</v>
      </c>
      <c r="AY41" s="101" t="str">
        <f>HYPERLINK("https://news.google.com/newspapers?id=EPMRAAAAIBAJ&amp;sjid=PuoDAAAAIBAJ&amp;pg=6902,6441532&amp;dq=pough","1")</f>
        <v>1</v>
      </c>
      <c r="AZ41" s="51">
        <v>0</v>
      </c>
      <c r="BA41" s="51">
        <v>0</v>
      </c>
      <c r="BB41" s="107">
        <v>3</v>
      </c>
      <c r="BC41" s="101" t="str">
        <f>HYPERLINK("https://www.nytimes.com/1990/06/20/us/hazy-records-helped-florida-gunman-buy-arms.html","0")</f>
        <v>0</v>
      </c>
      <c r="BD41" s="51">
        <v>0</v>
      </c>
      <c r="BE41" s="101" t="str">
        <f>HYPERLINK("https://books.google.com/books?id=Jv1pCwAAQBAJ&amp;pg=PA74&amp;lpg=PA74&amp;dq=james+pough+mother&amp;source=bl&amp;ots=5Trb9TvneI&amp;sig=ACfU3U1tmx71T0aGXmMFEwymy8ZdBl284Q&amp;hl=en&amp;sa=X&amp;ved=2ahUKEwitrs2roaLoAhWWZs0KHQ9KAPIQ6AEwEnoECAoQAQ#v=onepage&amp;q=james%20pough&amp;f=false","1")</f>
        <v>1</v>
      </c>
      <c r="BF41" s="51">
        <v>0</v>
      </c>
      <c r="BG41" s="51"/>
      <c r="BH41" s="51">
        <v>0</v>
      </c>
      <c r="BI41" s="101" t="str">
        <f>HYPERLINK("https://www.deseretnews.com/article/107923/911-TAPE-TELLS-HORROR-OF-FLORIDA-MASSACRE.html","1")</f>
        <v>1</v>
      </c>
      <c r="BJ41" s="105" t="str">
        <f>HYPERLINK("https://news.google.com/newspapers?id=FPMRAAAAIBAJ&amp;sjid=PuoDAAAAIBAJ&amp;pg=6051,8213818&amp;dq=pough","1")</f>
        <v>1</v>
      </c>
      <c r="BK41" s="101" t="str">
        <f>HYPERLINK("https://www.deseretnews.com/article/107923/911-TAPE-TELLS-HORROR-OF-FLORIDA-MASSACRE.html","0")</f>
        <v>0</v>
      </c>
      <c r="BL41" s="108" t="str">
        <f>HYPERLINK("https://news.google.com/newspapers?id=FPMRAAAAIBAJ&amp;sjid=PuoDAAAAIBAJ&amp;pg=6051,8213818&amp;dq=pough","1")</f>
        <v>1</v>
      </c>
      <c r="BM41" s="109">
        <v>3</v>
      </c>
      <c r="BN41" s="110" t="s">
        <v>2992</v>
      </c>
      <c r="BO41" s="110">
        <v>1</v>
      </c>
      <c r="BP41" s="116">
        <v>0</v>
      </c>
      <c r="BQ41" s="116">
        <v>1</v>
      </c>
      <c r="BR41" s="116">
        <v>0</v>
      </c>
      <c r="BS41" s="116">
        <v>0</v>
      </c>
      <c r="BT41" s="110">
        <v>1</v>
      </c>
      <c r="BU41" s="110">
        <v>1</v>
      </c>
      <c r="BV41" s="116">
        <v>1</v>
      </c>
      <c r="BW41" s="144">
        <v>0</v>
      </c>
      <c r="BX41" s="116">
        <v>0</v>
      </c>
      <c r="BY41" s="101" t="str">
        <f>HYPERLINK("https://www.deseretnews.com/article/107923/911-TAPE-TELLS-HORROR-OF-FLORIDA-MASSACRE.html","2")</f>
        <v>2</v>
      </c>
      <c r="BZ41" s="51">
        <v>0</v>
      </c>
      <c r="CA41" s="51">
        <v>0</v>
      </c>
      <c r="CB41" s="51" t="s">
        <v>100</v>
      </c>
      <c r="CC41" s="51">
        <v>0</v>
      </c>
      <c r="CD41" s="51" t="s">
        <v>100</v>
      </c>
      <c r="CE41" s="51">
        <v>0</v>
      </c>
      <c r="CF41" s="107">
        <v>0</v>
      </c>
      <c r="CG41" s="51">
        <v>0</v>
      </c>
      <c r="CH41" s="101" t="str">
        <f>HYPERLINK("https://www.nytimes.com/1990/06/20/us/hazy-records-helped-florida-gunman-buy-arms.html","0")</f>
        <v>0</v>
      </c>
      <c r="CI41" s="51">
        <v>0</v>
      </c>
      <c r="CJ41" s="51" t="s">
        <v>100</v>
      </c>
      <c r="CK41" s="113">
        <v>0</v>
      </c>
      <c r="CL41" s="113"/>
      <c r="CM41" s="113"/>
      <c r="CN41" s="110">
        <v>0</v>
      </c>
      <c r="CO41" s="110">
        <v>0</v>
      </c>
      <c r="CP41" s="110">
        <v>0</v>
      </c>
      <c r="CQ41" s="110">
        <v>0</v>
      </c>
      <c r="CR41" s="110">
        <v>0</v>
      </c>
      <c r="CS41" s="108" t="str">
        <f>HYPERLINK("https://news.google.com/newspapers?id=FPMRAAAAIBAJ&amp;sjid=PuoDAAAAIBAJ&amp;pg=6051,8213818&amp;dq=pough","1")</f>
        <v>1</v>
      </c>
      <c r="CT41" s="110">
        <v>0</v>
      </c>
      <c r="CU41" s="110">
        <v>0</v>
      </c>
      <c r="CV41" s="108">
        <v>0</v>
      </c>
      <c r="CW41" s="116">
        <v>0</v>
      </c>
      <c r="CX41" s="116">
        <v>0</v>
      </c>
      <c r="CY41" s="118" t="str">
        <f>HYPERLINK("https://news.google.com/newspapers?id=FPMRAAAAIBAJ&amp;sjid=PuoDAAAAIBAJ&amp;pg=6051,8213818&amp;dq=pough","1")</f>
        <v>1</v>
      </c>
      <c r="CZ41" s="108" t="str">
        <f>HYPERLINK("https://www.nytimes.com/1990/06/19/us/florida-gunman-kills-8-and-wounds-6-in-office.html","0")</f>
        <v>0</v>
      </c>
      <c r="DA41" s="48">
        <v>0</v>
      </c>
      <c r="DB41" s="48">
        <v>2</v>
      </c>
      <c r="DC41" s="101" t="str">
        <f>HYPERLINK("https://www.deseretnews.com/article/107923/911-TAPE-TELLS-HORROR-OF-FLORIDA-MASSACRE.html","1")</f>
        <v>1</v>
      </c>
      <c r="DD41" s="51">
        <v>0</v>
      </c>
      <c r="DE41" s="51">
        <v>5</v>
      </c>
      <c r="DF41" s="51">
        <v>0</v>
      </c>
      <c r="DG41" s="51"/>
      <c r="DH41" s="51"/>
      <c r="DI41" s="51"/>
      <c r="DJ41" s="51">
        <v>0</v>
      </c>
      <c r="DK41" s="51">
        <v>0</v>
      </c>
      <c r="DL41" s="48" t="s">
        <v>100</v>
      </c>
      <c r="DM41" s="101" t="str">
        <f>HYPERLINK("https://www.latimes.com/archives/la-xpm-1990-06-19-mn-52-story.html","0")</f>
        <v>0</v>
      </c>
      <c r="DN41" s="51">
        <v>0</v>
      </c>
      <c r="DO41" s="51" t="s">
        <v>100</v>
      </c>
      <c r="DP41" s="101" t="str">
        <f>HYPERLINK("https://news.google.com/newspapers?id=FPMRAAAAIBAJ&amp;sjid=PuoDAAAAIBAJ&amp;pg=6051,8213818&amp;dq=pough","0")</f>
        <v>0</v>
      </c>
      <c r="DQ41" s="101" t="str">
        <f>HYPERLINK("https://www.nytimes.com/1990/06/19/us/florida-gunman-kills-8-and-wounds-6-in-office.html","0")</f>
        <v>0</v>
      </c>
      <c r="DR41" s="101" t="str">
        <f>HYPERLINK("https://www.nytimes.com/1990/06/20/us/hazy-records-helped-florida-gunman-buy-arms.html","0")</f>
        <v>0</v>
      </c>
      <c r="DS41" s="101" t="str">
        <f t="shared" si="79"/>
        <v>1</v>
      </c>
      <c r="DT41" s="101" t="str">
        <f>HYPERLINK("https://www.nytimes.com/1990/06/19/us/florida-gunman-kills-8-and-wounds-6-in-office.html","3")</f>
        <v>3</v>
      </c>
      <c r="DU41" s="101" t="str">
        <f>HYPERLINK("https://www.nytimes.com/1990/06/19/us/florida-gunman-kills-8-and-wounds-6-in-office.html","0")</f>
        <v>0</v>
      </c>
      <c r="DV41" s="48" t="s">
        <v>100</v>
      </c>
      <c r="DW41" s="101">
        <v>0</v>
      </c>
      <c r="DX41" s="101" t="str">
        <f>HYPERLINK("https://www.nytimes.com/1990/06/19/us/florida-gunman-kills-8-and-wounds-6-in-office.html","0")</f>
        <v>0</v>
      </c>
      <c r="DY41" s="51">
        <v>2</v>
      </c>
      <c r="DZ41" s="48">
        <v>0</v>
      </c>
    </row>
    <row r="42" spans="1:130" ht="50.25" customHeight="1">
      <c r="A42" s="96">
        <v>40</v>
      </c>
      <c r="B42" s="97" t="s">
        <v>263</v>
      </c>
      <c r="C42" s="97" t="s">
        <v>122</v>
      </c>
      <c r="D42" s="98">
        <v>33521</v>
      </c>
      <c r="E42" s="48" t="s">
        <v>178</v>
      </c>
      <c r="F42" s="119">
        <v>10</v>
      </c>
      <c r="G42" s="102">
        <v>10</v>
      </c>
      <c r="H42" s="101">
        <v>1991</v>
      </c>
      <c r="I42" s="48" t="s">
        <v>264</v>
      </c>
      <c r="J42" s="101" t="s">
        <v>265</v>
      </c>
      <c r="K42" s="102">
        <v>30</v>
      </c>
      <c r="L42" s="102" t="str">
        <f>HYPERLINK("https://www.nytimes.com/1991/10/11/nyregion/4-slain-in-2-new-jersey-attacks-and-former-postal-clerk-is-held.html?pagewanted=all","2")</f>
        <v>2</v>
      </c>
      <c r="M42" s="102">
        <v>1</v>
      </c>
      <c r="N42" s="102" t="str">
        <f>HYPERLINK("https://www.nytimes.com/1991/10/11/nyregion/4-slain-in-2-new-jersey-attacks-and-former-postal-clerk-is-held.html?pagewanted=all","6")</f>
        <v>6</v>
      </c>
      <c r="O42" s="102">
        <v>1</v>
      </c>
      <c r="P42" s="102" t="str">
        <f>HYPERLINK("https://www.nytimes.com/1991/10/11/nyregion/4-slain-in-2-new-jersey-attacks-and-former-postal-clerk-is-held.html?pagewanted=all","7")</f>
        <v>7</v>
      </c>
      <c r="Q42" s="103">
        <v>0</v>
      </c>
      <c r="R42" s="103">
        <v>0</v>
      </c>
      <c r="S42" s="102">
        <v>4</v>
      </c>
      <c r="T42" s="102" t="str">
        <f>HYPERLINK("https://www.nytimes.com/1991/10/11/nyregion/4-slain-in-2-new-jersey-attacks-and-former-postal-clerk-is-held.html?pagewanted=all","0")</f>
        <v>0</v>
      </c>
      <c r="U42" s="101" t="str">
        <f>HYPERLINK("https://www.washingtonpost.com/archive/politics/1991/10/13/ex-postal-worker-held-in-bosss-slaying/6005549f-1768-4097-9aa8-b16b03d589d3/?utm_term=.e6e7edda66ff","0")</f>
        <v>0</v>
      </c>
      <c r="V42" s="101">
        <v>35</v>
      </c>
      <c r="W42" s="101">
        <v>0</v>
      </c>
      <c r="X42" s="101" t="str">
        <f>HYPERLINK("https://www.nydailynews.com/news/crime/worst-postal-worker-related-incidents-article-1.2826721","1")</f>
        <v>1</v>
      </c>
      <c r="Y42" s="105" t="str">
        <f>HYPERLINK("https://www.nydailynews.com/news/crime/ninja-new-jersey-joseph-harris-kills-banker-postal-ex-supervisor-article-1.117548","0")</f>
        <v>0</v>
      </c>
      <c r="Z42" s="51">
        <v>0</v>
      </c>
      <c r="AA42" s="51"/>
      <c r="AB42" s="51" t="s">
        <v>818</v>
      </c>
      <c r="AC42" s="51"/>
      <c r="AD42" s="51"/>
      <c r="AE42" s="101" t="str">
        <f>HYPERLINK("https://www.nytimes.com/1991/10/11/nyregion/4-slain-in-2-new-jersey-attacks-and-former-postal-clerk-is-held.html?pagewanted=all","2")</f>
        <v>2</v>
      </c>
      <c r="AF42" s="101" t="str">
        <f>HYPERLINK("https://www.nytimes.com/1991/10/11/nyregion/4-slain-in-2-new-jersey-attacks-and-former-postal-clerk-is-held.html?pagewanted=all","9")</f>
        <v>9</v>
      </c>
      <c r="AG42" s="101" t="str">
        <f>HYPERLINK("https://www.nytimes.com/1991/10/11/nyregion/4-slain-in-2-new-jersey-attacks-and-former-postal-clerk-is-held.html?pagewanted=all","1")</f>
        <v>1</v>
      </c>
      <c r="AH42" s="101" t="str">
        <f>HYPERLINK("https://www.nytimes.com/1991/10/11/nyregion/4-slain-in-2-new-jersey-attacks-and-former-postal-clerk-is-held.html?pagewanted=all","8")</f>
        <v>8</v>
      </c>
      <c r="AI42" s="101" t="s">
        <v>833</v>
      </c>
      <c r="AJ42" s="51">
        <v>0</v>
      </c>
      <c r="AK42" s="101">
        <v>0</v>
      </c>
      <c r="AL42" s="101">
        <v>0</v>
      </c>
      <c r="AM42" s="101">
        <v>1</v>
      </c>
      <c r="AN42" s="101">
        <v>1</v>
      </c>
      <c r="AO42" s="101" t="str">
        <f>HYPERLINK("https://www.nytimes.com/1991/10/11/nyregion/4-slain-in-2-new-jersey-attacks-and-former-postal-clerk-is-held.html?pagewanted=all","0")</f>
        <v>0</v>
      </c>
      <c r="AP42" s="54"/>
      <c r="AQ42" s="101" t="str">
        <f>HYPERLINK("https://www.nytimes.com/1991/10/11/nyregion/4-slain-in-2-new-jersey-attacks-and-former-postal-clerk-is-held.html?pagewanted=all","1")</f>
        <v>1</v>
      </c>
      <c r="AR42" s="101" t="str">
        <f>HYPERLINK("https://www.nydailynews.com/news/crime/ninja-new-jersey-joseph-harris-kills-banker-postal-ex-supervisor-article-1.117548","1")</f>
        <v>1</v>
      </c>
      <c r="AS42" s="101" t="str">
        <f>HYPERLINK("https://www.apnews.com/73f6c05ced6635a48f7c593cfcb67ec8","1")</f>
        <v>1</v>
      </c>
      <c r="AT42" s="105" t="str">
        <f>HYPERLINK("https://www.nytimes.com/1991/10/11/nyregion/4-slain-in-2-new-jersey-attacks-and-former-postal-clerk-is-held.html","0")</f>
        <v>0</v>
      </c>
      <c r="AU42" s="48" t="s">
        <v>100</v>
      </c>
      <c r="AV42" s="48" t="s">
        <v>100</v>
      </c>
      <c r="AW42" s="48" t="s">
        <v>100</v>
      </c>
      <c r="AX42" s="105" t="str">
        <f>HYPERLINK("https://apnews.com/73f6c05ced6635a48f7c593cfcb67ec8","1")</f>
        <v>1</v>
      </c>
      <c r="AY42" s="51">
        <v>0</v>
      </c>
      <c r="AZ42" s="51">
        <v>0</v>
      </c>
      <c r="BA42" s="51">
        <v>0</v>
      </c>
      <c r="BB42" s="107">
        <v>3</v>
      </c>
      <c r="BC42" s="101">
        <v>1</v>
      </c>
      <c r="BD42" s="51">
        <v>0</v>
      </c>
      <c r="BE42" s="101">
        <v>0</v>
      </c>
      <c r="BF42" s="51">
        <v>0</v>
      </c>
      <c r="BG42" s="101" t="str">
        <f>HYPERLINK("https://www.nydailynews.com/news/crime/ninja-new-jersey-joseph-harris-kills-banker-postal-ex-supervisor-article-1.117548","3")</f>
        <v>3</v>
      </c>
      <c r="BH42" s="51">
        <v>0</v>
      </c>
      <c r="BI42" s="51">
        <v>0</v>
      </c>
      <c r="BJ42" s="51">
        <v>0</v>
      </c>
      <c r="BK42" s="101">
        <v>1</v>
      </c>
      <c r="BL42" s="108" t="str">
        <f>HYPERLINK("https://www.nytimes.com/1991/10/11/nyregion/4-slain-in-2-new-jersey-attacks-and-former-postal-clerk-is-held.html?pagewanted=all","0")</f>
        <v>0</v>
      </c>
      <c r="BM42" s="108" t="s">
        <v>100</v>
      </c>
      <c r="BN42" s="110"/>
      <c r="BO42" s="110">
        <v>0</v>
      </c>
      <c r="BP42" s="110">
        <v>0</v>
      </c>
      <c r="BQ42" s="110">
        <v>0</v>
      </c>
      <c r="BR42" s="110">
        <v>0</v>
      </c>
      <c r="BS42" s="110">
        <v>0</v>
      </c>
      <c r="BT42" s="110">
        <v>0</v>
      </c>
      <c r="BU42" s="110">
        <v>0</v>
      </c>
      <c r="BV42" s="110">
        <v>0</v>
      </c>
      <c r="BW42" s="110">
        <v>0</v>
      </c>
      <c r="BX42" s="110">
        <v>0</v>
      </c>
      <c r="BY42" s="101" t="str">
        <f>HYPERLINK("https://www.nytimes.com/1991/10/11/nyregion/4-slain-in-2-new-jersey-attacks-and-former-postal-clerk-is-held.html?pagewanted=all","2")</f>
        <v>2</v>
      </c>
      <c r="BZ42" s="51">
        <v>0</v>
      </c>
      <c r="CA42" s="51">
        <v>0</v>
      </c>
      <c r="CB42" s="51" t="s">
        <v>100</v>
      </c>
      <c r="CC42" s="51">
        <v>0</v>
      </c>
      <c r="CD42" s="51" t="s">
        <v>100</v>
      </c>
      <c r="CE42" s="101" t="str">
        <f>HYPERLINK("https://www.nydailynews.com/news/crime/ninja-new-jersey-joseph-harris-kills-banker-postal-ex-supervisor-article-1.117548","2")</f>
        <v>2</v>
      </c>
      <c r="CF42" s="107">
        <v>0</v>
      </c>
      <c r="CG42" s="51">
        <v>0</v>
      </c>
      <c r="CH42" s="51">
        <v>0</v>
      </c>
      <c r="CI42" s="51">
        <v>0</v>
      </c>
      <c r="CJ42" s="51" t="s">
        <v>100</v>
      </c>
      <c r="CK42" s="113">
        <v>0</v>
      </c>
      <c r="CL42" s="113"/>
      <c r="CM42" s="113"/>
      <c r="CN42" s="110">
        <v>0</v>
      </c>
      <c r="CO42" s="110">
        <v>0</v>
      </c>
      <c r="CP42" s="110">
        <v>0</v>
      </c>
      <c r="CQ42" s="110">
        <v>0</v>
      </c>
      <c r="CR42" s="108" t="str">
        <f>HYPERLINK("https://www.nytimes.com/1991/10/11/nyregion/4-slain-in-2-new-jersey-attacks-and-former-postal-clerk-is-held.html?pagewanted=all","1")</f>
        <v>1</v>
      </c>
      <c r="CS42" s="110">
        <v>0</v>
      </c>
      <c r="CT42" s="110">
        <v>0</v>
      </c>
      <c r="CU42" s="110">
        <v>0</v>
      </c>
      <c r="CV42" s="110">
        <v>0</v>
      </c>
      <c r="CW42" s="110">
        <v>0</v>
      </c>
      <c r="CX42" s="110">
        <v>0</v>
      </c>
      <c r="CY42" s="110">
        <v>0</v>
      </c>
      <c r="CZ42" s="108" t="str">
        <f>HYPERLINK("https://www.nytimes.com/1991/10/11/nyregion/4-slain-in-2-new-jersey-attacks-and-former-postal-clerk-is-held.html?pagewanted=all","0")</f>
        <v>0</v>
      </c>
      <c r="DA42" s="51">
        <v>0</v>
      </c>
      <c r="DB42" s="51">
        <v>2</v>
      </c>
      <c r="DC42" s="141" t="str">
        <f>HYPERLINK("https://www.nytimes.com/1991/10/11/nyregion/4-slain-in-2-new-jersey-attacks-and-former-postal-clerk-is-held.html?pagewanted=all","0")</f>
        <v>0</v>
      </c>
      <c r="DD42" s="107"/>
      <c r="DE42" s="107"/>
      <c r="DF42" s="107"/>
      <c r="DG42" s="107"/>
      <c r="DH42" s="107"/>
      <c r="DI42" s="107"/>
      <c r="DJ42" s="101">
        <v>1</v>
      </c>
      <c r="DK42" s="101" t="str">
        <f>HYPERLINK("https://www.nytimes.com/1991/10/11/nyregion/4-slain-in-2-new-jersey-attacks-and-former-postal-clerk-is-held.html?pagewanted=all","1
")</f>
        <v xml:space="preserve">1
</v>
      </c>
      <c r="DL42" s="101" t="str">
        <f>HYPERLINK("https://www.nytimes.com/1991/10/11/nyregion/4-slain-in-2-new-jersey-attacks-and-former-postal-clerk-is-held.html?pagewanted=all","He referenced the 1986 post office mass shooting where Patrick Sherrill killed 14 people.")</f>
        <v>He referenced the 1986 post office mass shooting where Patrick Sherrill killed 14 people.</v>
      </c>
      <c r="DM42" s="101" t="str">
        <f>HYPERLINK("https://www.nytimes.com/1991/10/11/nyregion/4-slain-in-2-new-jersey-attacks-and-former-postal-clerk-is-held.html?pagewanted=all","1")</f>
        <v>1</v>
      </c>
      <c r="DN42" s="51">
        <v>0</v>
      </c>
      <c r="DO42" s="51" t="s">
        <v>100</v>
      </c>
      <c r="DP42" s="101">
        <v>1</v>
      </c>
      <c r="DQ42" s="101" t="str">
        <f>HYPERLINK("https://www.nytimes.com/1991/10/11/nyregion/4-slain-in-2-new-jersey-attacks-and-former-postal-clerk-is-held.html?pagewanted=all","0")</f>
        <v>0</v>
      </c>
      <c r="DR42" s="105">
        <v>1</v>
      </c>
      <c r="DS42" s="101" t="str">
        <f>HYPERLINK("https://www.nytimes.com/1991/10/11/nyregion/4-slain-in-2-new-jersey-attacks-and-former-postal-clerk-is-held.html?pagewanted=all","3")</f>
        <v>3</v>
      </c>
      <c r="DT42" s="101" t="str">
        <f>HYPERLINK("https://www.nytimes.com/1991/10/11/nyregion/4-slain-in-2-new-jersey-attacks-and-former-postal-clerk-is-held.html?pagewanted=all","2")</f>
        <v>2</v>
      </c>
      <c r="DU42" s="101" t="str">
        <f>HYPERLINK("https://www.nydailynews.com/news/crime/worst-postal-worker-related-incidents-article-1.2826721","1")</f>
        <v>1</v>
      </c>
      <c r="DV42" s="101" t="str">
        <f>HYPERLINK("https://www.nydailynews.com/news/crime/worst-postal-worker-related-incidents-article-1.2826721","bulletproof vest, gas mask, samurai sword, hand grenades, bombs")</f>
        <v>bulletproof vest, gas mask, samurai sword, hand grenades, bombs</v>
      </c>
      <c r="DW42" s="101">
        <v>2</v>
      </c>
      <c r="DX42" s="101" t="str">
        <f>HYPERLINK("https://www.nytimes.com/1991/10/11/nyregion/4-slain-in-2-new-jersey-attacks-and-former-postal-clerk-is-held.html?pagewanted=all","0")</f>
        <v>0</v>
      </c>
      <c r="DY42" s="105" t="str">
        <f>HYPERLINK("https://www.nj.com/inside-jersey/2015/04/nj_most_notorious_murders_new_jersey_serial_killers.html","1")</f>
        <v>1</v>
      </c>
      <c r="DZ42" s="48">
        <v>0</v>
      </c>
    </row>
    <row r="43" spans="1:130" ht="50.25" customHeight="1">
      <c r="A43" s="96">
        <v>41</v>
      </c>
      <c r="B43" s="97" t="s">
        <v>267</v>
      </c>
      <c r="C43" s="97" t="s">
        <v>268</v>
      </c>
      <c r="D43" s="98">
        <v>33527</v>
      </c>
      <c r="E43" s="48" t="s">
        <v>123</v>
      </c>
      <c r="F43" s="119">
        <v>16</v>
      </c>
      <c r="G43" s="102">
        <v>10</v>
      </c>
      <c r="H43" s="101">
        <v>1991</v>
      </c>
      <c r="I43" s="48" t="s">
        <v>269</v>
      </c>
      <c r="J43" s="101" t="str">
        <f>HYPERLINK("https://www.latimes.com/archives/la-xpm-1991-10-19-mn-536-story.html","Killeen")</f>
        <v>Killeen</v>
      </c>
      <c r="K43" s="102" t="str">
        <f>HYPERLINK("https://www.nytimes.com/1991/10/18/us/portrait-of-texas-killer-impatient-and-troubled.html?pagewanted=all","43")</f>
        <v>43</v>
      </c>
      <c r="L43" s="119">
        <v>0</v>
      </c>
      <c r="M43" s="102">
        <v>2</v>
      </c>
      <c r="N43" s="102" t="str">
        <f>HYPERLINK("https://www.nytimes.com/1991/10/18/us/portrait-of-texas-killer-impatient-and-troubled.html?pagewanted=all","5")</f>
        <v>5</v>
      </c>
      <c r="O43" s="102" t="str">
        <f>HYPERLINK("https://www.nytimes.com/1991/10/18/us/portrait-of-texas-killer-impatient-and-troubled.html?pagewanted=all","0")</f>
        <v>0</v>
      </c>
      <c r="P43" s="99" t="s">
        <v>100</v>
      </c>
      <c r="Q43" s="103">
        <v>0</v>
      </c>
      <c r="R43" s="103">
        <v>0</v>
      </c>
      <c r="S43" s="102" t="str">
        <f>HYPERLINK("http://kdhnews.com/news/local/years-later-memories-of-luby-s-shooting-fade-but-don/article_c9b9b2b0-9357-11e6-ad69-abfb3fb48883.html","23")</f>
        <v>23</v>
      </c>
      <c r="T43" s="102" t="str">
        <f>HYPERLINK("https://www.nytimes.com/1991/10/18/us/portrait-of-texas-killer-impatient-and-troubled.html?pagewanted=all","22")</f>
        <v>22</v>
      </c>
      <c r="U43" s="101" t="str">
        <f>HYPERLINK("http://www.crimemagazine.com/lubys-cafeteria-massacre-1991","0")</f>
        <v>0</v>
      </c>
      <c r="V43" s="101">
        <v>35</v>
      </c>
      <c r="W43" s="101">
        <v>0</v>
      </c>
      <c r="X43" s="101" t="str">
        <f>HYPERLINK("http://www.crimemagazine.com/lubys-cafeteria-massacre-1991","0")</f>
        <v>0</v>
      </c>
      <c r="Y43" s="101" t="str">
        <f t="shared" ref="Y43:Z43" si="81">HYPERLINK("https://www.nytimes.com/1991/10/18/us/portrait-of-texas-killer-impatient-and-troubled.html?pagewanted=all","0")</f>
        <v>0</v>
      </c>
      <c r="Z43" s="101" t="str">
        <f t="shared" si="81"/>
        <v>0</v>
      </c>
      <c r="AA43" s="51"/>
      <c r="AB43" s="101">
        <v>1</v>
      </c>
      <c r="AC43" s="51"/>
      <c r="AD43" s="51"/>
      <c r="AE43" s="101" t="str">
        <f>HYPERLINK("https://people.com/archive/a-texas-massacre-vol-36-no-17/","1")</f>
        <v>1</v>
      </c>
      <c r="AF43" s="101" t="str">
        <f>HYPERLINK("https://people.com/archive/a-texas-massacre-vol-36-no-17/","2")</f>
        <v>2</v>
      </c>
      <c r="AG43" s="101" t="str">
        <f>HYPERLINK("https://people.com/archive/a-texas-massacre-vol-36-no-17/","0")</f>
        <v>0</v>
      </c>
      <c r="AH43" s="101" t="str">
        <f>HYPERLINK("https://people.com/archive/a-texas-massacre-vol-36-no-17/","2")</f>
        <v>2</v>
      </c>
      <c r="AI43" s="101">
        <v>0</v>
      </c>
      <c r="AJ43" s="51">
        <v>0</v>
      </c>
      <c r="AK43" s="101" t="str">
        <f>HYPERLINK("http://www.crimemagazine.com/lubys-cafeteria-massacre-1991","0")</f>
        <v>0</v>
      </c>
      <c r="AL43" s="101">
        <v>0</v>
      </c>
      <c r="AM43" s="101">
        <v>1</v>
      </c>
      <c r="AN43" s="101">
        <v>1</v>
      </c>
      <c r="AO43" s="101" t="str">
        <f>HYPERLINK("http://www.crimemagazine.com/lubys-cafeteria-massacre-1991","0")</f>
        <v>0</v>
      </c>
      <c r="AP43" s="54"/>
      <c r="AQ43" s="101">
        <v>1</v>
      </c>
      <c r="AR43" s="51">
        <v>0</v>
      </c>
      <c r="AS43" s="101" t="str">
        <f>HYPERLINK("https://www.nytimes.com/1991/10/18/us/portrait-of-texas-killer-impatient-and-troubled.html?pagewanted=all","1")</f>
        <v>1</v>
      </c>
      <c r="AT43" s="101" t="str">
        <f>HYPERLINK("https://www.nytimes.com/1991/10/18/us/portrait-of-texas-killer-impatient-and-troubled.html?pagewanted=all","0")</f>
        <v>0</v>
      </c>
      <c r="AU43" s="51" t="s">
        <v>100</v>
      </c>
      <c r="AV43" s="51" t="s">
        <v>100</v>
      </c>
      <c r="AW43" s="51" t="s">
        <v>100</v>
      </c>
      <c r="AX43" s="51">
        <v>0</v>
      </c>
      <c r="AY43" s="51">
        <v>0</v>
      </c>
      <c r="AZ43" s="51">
        <v>0</v>
      </c>
      <c r="BA43" s="51">
        <v>0</v>
      </c>
      <c r="BB43" s="107">
        <v>3</v>
      </c>
      <c r="BC43" s="101" t="str">
        <f>HYPERLINK("https://www.nytimes.com/1991/10/18/us/portrait-of-texas-killer-impatient-and-troubled.html?pagewanted=all","1")</f>
        <v>1</v>
      </c>
      <c r="BD43" s="101">
        <v>0</v>
      </c>
      <c r="BE43" s="101" t="str">
        <f t="shared" ref="BE43:BF43" si="82">HYPERLINK("https://www.nytimes.com/1991/10/18/us/portrait-of-texas-killer-impatient-and-troubled.html?pagewanted=all","0")</f>
        <v>0</v>
      </c>
      <c r="BF43" s="101" t="str">
        <f t="shared" si="82"/>
        <v>0</v>
      </c>
      <c r="BG43" s="101" t="str">
        <f>HYPERLINK("https://people.com/archive/a-texas-massacre-vol-36-no-17/","1")</f>
        <v>1</v>
      </c>
      <c r="BH43" s="51">
        <v>2</v>
      </c>
      <c r="BI43" s="51">
        <v>0</v>
      </c>
      <c r="BJ43" s="51">
        <v>0</v>
      </c>
      <c r="BK43" s="101" t="str">
        <f t="shared" ref="BK43:BL43" si="83">HYPERLINK("https://www.nytimes.com/1991/10/18/us/portrait-of-texas-killer-impatient-and-troubled.html?pagewanted=all","1")</f>
        <v>1</v>
      </c>
      <c r="BL43" s="108" t="str">
        <f t="shared" si="83"/>
        <v>1</v>
      </c>
      <c r="BM43" s="109">
        <v>2</v>
      </c>
      <c r="BN43" s="110" t="s">
        <v>3150</v>
      </c>
      <c r="BO43" s="111">
        <v>1</v>
      </c>
      <c r="BP43" s="111">
        <v>0</v>
      </c>
      <c r="BQ43" s="111">
        <v>0</v>
      </c>
      <c r="BR43" s="111">
        <v>1</v>
      </c>
      <c r="BS43" s="111">
        <v>1</v>
      </c>
      <c r="BT43" s="111">
        <v>1</v>
      </c>
      <c r="BU43" s="111">
        <v>1</v>
      </c>
      <c r="BV43" s="111">
        <v>1</v>
      </c>
      <c r="BW43" s="111">
        <v>1</v>
      </c>
      <c r="BX43" s="111">
        <v>1</v>
      </c>
      <c r="BY43" s="101" t="str">
        <f>HYPERLINK("https://www.washingtonpost.com/archive/politics/1991/10/18/texas-killer-said-to-have-problem-with-women/0af79d27-5ed2-4a1a-afb2-f6a38e9c32c2/?utm_term=.d12ad81ae494","2")</f>
        <v>2</v>
      </c>
      <c r="BZ43" s="101">
        <v>0</v>
      </c>
      <c r="CA43" s="101">
        <v>1</v>
      </c>
      <c r="CB43" s="101" t="str">
        <f>HYPERLINK("https://apnews.com/7798a0a2ceca68c0284391a8d4b0a635","0")</f>
        <v>0</v>
      </c>
      <c r="CC43" s="51">
        <v>0</v>
      </c>
      <c r="CD43" s="101" t="str">
        <f>HYPERLINK("https://apnews.com/7798a0a2ceca68c0284391a8d4b0a635","0")</f>
        <v>0</v>
      </c>
      <c r="CE43" s="101" t="str">
        <f>HYPERLINK("https://www.washingtonpost.com/archive/politics/1991/10/18/texas-killer-said-to-have-problem-with-women/0af79d27-5ed2-4a1a-afb2-f6a38e9c32c2/?utm_term=.d12ad81ae494","5")</f>
        <v>5</v>
      </c>
      <c r="CF43" s="107">
        <v>0</v>
      </c>
      <c r="CG43" s="51">
        <v>0</v>
      </c>
      <c r="CH43" s="101">
        <v>4</v>
      </c>
      <c r="CI43" s="51">
        <v>0</v>
      </c>
      <c r="CJ43" s="51" t="s">
        <v>100</v>
      </c>
      <c r="CK43" s="117">
        <v>2</v>
      </c>
      <c r="CL43" s="117"/>
      <c r="CM43" s="117"/>
      <c r="CN43" s="110">
        <v>0</v>
      </c>
      <c r="CO43" s="110">
        <v>0</v>
      </c>
      <c r="CP43" s="109">
        <v>1</v>
      </c>
      <c r="CQ43" s="110">
        <v>0</v>
      </c>
      <c r="CR43" s="110">
        <v>0</v>
      </c>
      <c r="CS43" s="110">
        <v>0</v>
      </c>
      <c r="CT43" s="110">
        <v>0</v>
      </c>
      <c r="CU43" s="110">
        <v>0</v>
      </c>
      <c r="CV43" s="110">
        <v>0</v>
      </c>
      <c r="CW43" s="110">
        <v>0</v>
      </c>
      <c r="CX43" s="110">
        <v>0</v>
      </c>
      <c r="CY43" s="108" t="str">
        <f>HYPERLINK("https://www.washingtonpost.com/archive/politics/1991/10/18/texas-killer-said-to-have-problem-with-women/0af79d27-5ed2-4a1a-afb2-f6a38e9c32c2/?utm_term=.d12ad81ae494","1")</f>
        <v>1</v>
      </c>
      <c r="CZ43" s="108" t="str">
        <f>HYPERLINK("http://www.crimemagazine.com/lubys-cafeteria-massacre-1991","0")</f>
        <v>0</v>
      </c>
      <c r="DA43" s="51">
        <v>0</v>
      </c>
      <c r="DB43" s="51">
        <v>2</v>
      </c>
      <c r="DC43" s="101">
        <v>1</v>
      </c>
      <c r="DD43" s="107">
        <v>0</v>
      </c>
      <c r="DE43" s="107">
        <v>8</v>
      </c>
      <c r="DF43" s="51">
        <v>0</v>
      </c>
      <c r="DG43" s="51"/>
      <c r="DH43" s="51"/>
      <c r="DI43" s="51"/>
      <c r="DJ43" s="101">
        <v>1</v>
      </c>
      <c r="DK43" s="101">
        <v>1</v>
      </c>
      <c r="DL43" s="101" t="str">
        <f>HYPERLINK("http://www.crimemagazine.com/lubys-cafeteria-massacre-1991","He studied the mass shooting carried out by James Huberty in a fast-food restaurant in 1984.")</f>
        <v>He studied the mass shooting carried out by James Huberty in a fast-food restaurant in 1984.</v>
      </c>
      <c r="DM43" s="101" t="str">
        <f>HYPERLINK("http://www.crimemagazine.com/lubys-cafeteria-massacre-1991","0")</f>
        <v>0</v>
      </c>
      <c r="DN43" s="101" t="str">
        <f>HYPERLINK("http://www.crimemagazine.com/lubys-cafeteria-massacre-1991","2")</f>
        <v>2</v>
      </c>
      <c r="DO43" s="124" t="str">
        <f>HYPERLINK("http://www.crimemagazine.com/lubys-cafeteria-massacre-1991","He was obsessed with the Steely Dan song ""Don't Take Me Alive,"" which is about a violent confrontation with police.")</f>
        <v>He was obsessed with the Steely Dan song "Don't Take Me Alive," which is about a violent confrontation with police.</v>
      </c>
      <c r="DP43" s="101" t="str">
        <f>HYPERLINK("http://www.crimemagazine.com/lubys-cafeteria-massacre-1991","1")</f>
        <v>1</v>
      </c>
      <c r="DQ43" s="101" t="str">
        <f>HYPERLINK("http://www.crimemagazine.com/lubys-cafeteria-massacre-1991","0")</f>
        <v>0</v>
      </c>
      <c r="DR43" s="101" t="str">
        <f>HYPERLINK("https://www.nytimes.com/1991/10/18/us/portrait-of-texas-killer-impatient-and-troubled.html?pagewanted=all","0")</f>
        <v>0</v>
      </c>
      <c r="DS43" s="101" t="str">
        <f>HYPERLINK("http://www.crimemagazine.com/lubys-cafeteria-massacre-1991","3")</f>
        <v>3</v>
      </c>
      <c r="DT43" s="101">
        <v>2</v>
      </c>
      <c r="DU43" s="101" t="str">
        <f>HYPERLINK("https://www.nytimes.com/1991/10/18/us/portrait-of-texas-killer-impatient-and-troubled.html?pagewanted=all","0")</f>
        <v>0</v>
      </c>
      <c r="DV43" s="48" t="s">
        <v>100</v>
      </c>
      <c r="DW43" s="101">
        <v>0</v>
      </c>
      <c r="DX43" s="101" t="str">
        <f>HYPERLINK("https://www.latimes.com/archives/la-xpm-1991-10-22-mn-176-story.html","0")</f>
        <v>0</v>
      </c>
      <c r="DY43" s="51">
        <v>2</v>
      </c>
      <c r="DZ43" s="48">
        <v>0</v>
      </c>
    </row>
    <row r="44" spans="1:130" ht="50.25" customHeight="1">
      <c r="A44" s="96">
        <v>42</v>
      </c>
      <c r="B44" s="97" t="s">
        <v>272</v>
      </c>
      <c r="C44" s="97" t="s">
        <v>273</v>
      </c>
      <c r="D44" s="98">
        <v>33543</v>
      </c>
      <c r="E44" s="48" t="s">
        <v>157</v>
      </c>
      <c r="F44" s="119">
        <v>1</v>
      </c>
      <c r="G44" s="102" t="str">
        <f>HYPERLINK("https://www.desmoinesregister.com/story/news/2018/11/01/gang-lu-shooting-university-iowa-campus-iowa-city-guns-handgun-jessup-hall-van-allen-jessup-hall/1847462002/","11")</f>
        <v>11</v>
      </c>
      <c r="H44" s="101" t="str">
        <f>HYPERLINK("https://www.desmoinesregister.com/story/news/2018/11/01/gang-lu-shooting-university-iowa-campus-iowa-city-guns-handgun-jessup-hall-van-allen-jessup-hall/1847462002/","1991")</f>
        <v>1991</v>
      </c>
      <c r="I44" s="48" t="s">
        <v>274</v>
      </c>
      <c r="J44" s="101" t="str">
        <f>HYPERLINK("https://www.desmoinesregister.com/story/news/2018/11/01/gang-lu-shooting-university-iowa-campus-iowa-city-guns-handgun-jessup-hall-van-allen-jessup-hall/1847462002/","Iowa City  ")</f>
        <v xml:space="preserve">Iowa City  </v>
      </c>
      <c r="K44" s="102" t="str">
        <f>HYPERLINK("https://www.desmoinesregister.com/story/news/2018/11/01/gang-lu-shooting-university-iowa-campus-iowa-city-guns-handgun-jessup-hall-van-allen-jessup-hall/1847462002/","15")</f>
        <v>15</v>
      </c>
      <c r="L44" s="119">
        <v>1</v>
      </c>
      <c r="M44" s="102">
        <v>1</v>
      </c>
      <c r="N44" s="102" t="str">
        <f>HYPERLINK("https://www.desmoinesregister.com/story/news/2018/11/01/gang-lu-shooting-university-iowa-campus-iowa-city-guns-handgun-jessup-hall-van-allen-jessup-hall/1847462002/","1")</f>
        <v>1</v>
      </c>
      <c r="O44" s="102" t="str">
        <f>HYPERLINK("https://www.nytimes.com/1991/11/03/us/gunman-in-iowa-wrote-of-plans-in-five-letters.html","0")</f>
        <v>0</v>
      </c>
      <c r="P44" s="99" t="s">
        <v>100</v>
      </c>
      <c r="Q44" s="103">
        <v>0</v>
      </c>
      <c r="R44" s="103">
        <v>0</v>
      </c>
      <c r="S44" s="102" t="str">
        <f>HYPERLINK("https://www.thegazette.com/subject/news/education/higher-education/friends-of-university-of-iowa-student-say-he-was-expelled-following-online-threat-referencing-gang-lu-shooting-20160210","5")</f>
        <v>5</v>
      </c>
      <c r="T44" s="102" t="str">
        <f>HYPERLINK("https://www.thegazette.com/subject/news/education/higher-education/friends-of-university-of-iowa-student-say-he-was-expelled-following-online-threat-referencing-gang-lu-shooting-20160210","1")</f>
        <v>1</v>
      </c>
      <c r="U44" s="101" t="str">
        <f>HYPERLINK("https://www.desmoinesregister.com/story/news/2018/11/01/gang-lu-shooting-university-iowa-campus-iowa-city-guns-handgun-jessup-hall-van-allen-jessup-hall/1847462002/","0")</f>
        <v>0</v>
      </c>
      <c r="V44" s="101">
        <v>28</v>
      </c>
      <c r="W44" s="101" t="str">
        <f>HYPERLINK("https://www.desmoinesregister.com/story/news/2018/11/01/gang-lu-shooting-university-iowa-campus-iowa-city-guns-handgun-jessup-hall-van-allen-jessup-hall/1847462002/","0")</f>
        <v>0</v>
      </c>
      <c r="X44" s="101" t="str">
        <f>HYPERLINK("https://www.desmoinesregister.com/story/news/2018/11/01/gang-lu-shooting-university-iowa-campus-iowa-city-guns-handgun-jessup-hall-van-allen-jessup-hall/1847462002/","3")</f>
        <v>3</v>
      </c>
      <c r="Y44" s="101" t="str">
        <f>HYPERLINK("https://www.nytimes.com/1991/11/02/us/student-opens-fire-at-u-of-iowa-killing-4-before-shooting-himself.html","1")</f>
        <v>1</v>
      </c>
      <c r="Z44" s="101" t="str">
        <f>HYPERLINK("https://schoolshooters.info/sites/default/files/lu_sister_letter_1.0.pdf","0")</f>
        <v>0</v>
      </c>
      <c r="AA44" s="101" t="str">
        <f>HYPERLINK("https://schoolshooters.info/sites/default/files/lu_sister_letter_1.0.pdf","3")</f>
        <v>3</v>
      </c>
      <c r="AB44" s="101" t="str">
        <f>HYPERLINK("https://www.nytimes.com/1991/11/04/us/iowa-gunman-was-torn-by-academic-challenge.html?ref=michelmarriott","4")</f>
        <v>4</v>
      </c>
      <c r="AC44" s="101" t="str">
        <f>HYPERLINK("https://www.nytimes.com/1991/11/04/us/iowa-gunman-was-torn-by-academic-challenge.html?ref=michelmarriott","2")</f>
        <v>2</v>
      </c>
      <c r="AD44" s="101" t="str">
        <f>HYPERLINK("https://www.nytimes.com/1991/11/04/us/iowa-gunman-was-torn-by-academic-challenge.html?ref=michelmarriott","PhD, very gifted student")</f>
        <v>PhD, very gifted student</v>
      </c>
      <c r="AE44" s="101" t="str">
        <f>HYPERLINK("https://www.latimes.com/archives/la-xpm-1992-06-07-tm-411-story.html","3")</f>
        <v>3</v>
      </c>
      <c r="AF44" s="101" t="str">
        <f t="shared" ref="AF44:AG44" si="84">HYPERLINK("https://schoolshooters.info/sites/default/files/lu_sister_letter_1.0.pdf","2")</f>
        <v>2</v>
      </c>
      <c r="AG44" s="101" t="str">
        <f t="shared" si="84"/>
        <v>2</v>
      </c>
      <c r="AH44" s="101" t="str">
        <f>HYPERLINK("https://www.latimes.com/archives/la-xpm-1992-06-07-tm-411-story.html","0")</f>
        <v>0</v>
      </c>
      <c r="AI44" s="101">
        <v>0</v>
      </c>
      <c r="AJ44" s="101">
        <v>0</v>
      </c>
      <c r="AK44" s="101" t="str">
        <f>HYPERLINK("https://www.desmoinesregister.com/story/news/2018/11/01/gang-lu-shooting-university-iowa-campus-iowa-city-guns-handgun-jessup-hall-van-allen-jessup-hall/1847462002/","0")</f>
        <v>0</v>
      </c>
      <c r="AL44" s="101" t="str">
        <f>HYPERLINK("https://www.desmoinesregister.com/story/news/2018/11/01/gang-lu-shooting-university-iowa-campus-iowa-city-guns-handgun-jessup-hall-van-allen-jessup-hall/1847462002/","1")</f>
        <v>1</v>
      </c>
      <c r="AM44" s="51">
        <v>0</v>
      </c>
      <c r="AN44" s="48" t="s">
        <v>100</v>
      </c>
      <c r="AO44" s="101" t="str">
        <f>HYPERLINK("https://www.desmoinesregister.com/story/news/2018/11/01/gang-lu-shooting-university-iowa-campus-iowa-city-guns-handgun-jessup-hall-van-allen-jessup-hall/1847462002/","1")</f>
        <v>1</v>
      </c>
      <c r="AP44" s="101" t="str">
        <f>HYPERLINK("https://www.desmoinesregister.com/story/news/2018/11/01/gang-lu-shooting-university-iowa-campus-iowa-city-guns-handgun-jessup-hall-van-allen-jessup-hall/1847462002/","involved in physics department, regularly went to bars")</f>
        <v>involved in physics department, regularly went to bars</v>
      </c>
      <c r="AQ44" s="51">
        <v>0</v>
      </c>
      <c r="AR44" s="51">
        <v>0</v>
      </c>
      <c r="AS44" s="51">
        <v>0</v>
      </c>
      <c r="AT44" s="51">
        <v>0</v>
      </c>
      <c r="AU44" s="51" t="s">
        <v>100</v>
      </c>
      <c r="AV44" s="51" t="s">
        <v>100</v>
      </c>
      <c r="AW44" s="51" t="s">
        <v>100</v>
      </c>
      <c r="AX44" s="51">
        <v>0</v>
      </c>
      <c r="AY44" s="51">
        <v>0</v>
      </c>
      <c r="AZ44" s="51">
        <v>0</v>
      </c>
      <c r="BA44" s="51">
        <v>0</v>
      </c>
      <c r="BB44" s="107">
        <v>3</v>
      </c>
      <c r="BC44" s="101" t="str">
        <f t="shared" ref="BC44:BD44" si="85">HYPERLINK("https://www.desmoinesregister.com/story/news/2018/11/01/gang-lu-shooting-university-iowa-campus-iowa-city-guns-handgun-jessup-hall-van-allen-jessup-hall/1847462002/","0")</f>
        <v>0</v>
      </c>
      <c r="BD44" s="101" t="str">
        <f t="shared" si="85"/>
        <v>0</v>
      </c>
      <c r="BE44" s="101" t="str">
        <f t="shared" ref="BE44:BF44" si="86">HYPERLINK("https://schoolshooters.info/sites/default/files/lu_sister_letter_1.0.pdf","0")</f>
        <v>0</v>
      </c>
      <c r="BF44" s="101" t="str">
        <f t="shared" si="86"/>
        <v>0</v>
      </c>
      <c r="BG44" s="51"/>
      <c r="BH44" s="51">
        <v>0</v>
      </c>
      <c r="BI44" s="51">
        <v>0</v>
      </c>
      <c r="BJ44" s="101">
        <v>0</v>
      </c>
      <c r="BK44" s="101" t="str">
        <f>HYPERLINK("https://www.desmoinesregister.com/story/news/2018/11/01/gang-lu-shooting-university-iowa-campus-iowa-city-guns-handgun-jessup-hall-van-allen-jessup-hall/1847462002/","1")</f>
        <v>1</v>
      </c>
      <c r="BL44" s="108" t="str">
        <f>HYPERLINK("https://www.nytimes.com/1991/11/04/us/iowa-gunman-was-torn-by-academic-challenge.html?ref=michelmarriott","1")</f>
        <v>1</v>
      </c>
      <c r="BM44" s="108">
        <v>2</v>
      </c>
      <c r="BN44" s="110" t="s">
        <v>2993</v>
      </c>
      <c r="BO44" s="115">
        <v>1</v>
      </c>
      <c r="BP44" s="111">
        <v>0</v>
      </c>
      <c r="BQ44" s="111">
        <v>0</v>
      </c>
      <c r="BR44" s="111">
        <v>0</v>
      </c>
      <c r="BS44" s="115">
        <v>1</v>
      </c>
      <c r="BT44" s="111">
        <v>1</v>
      </c>
      <c r="BU44" s="115">
        <v>1</v>
      </c>
      <c r="BV44" s="111">
        <v>1</v>
      </c>
      <c r="BW44" s="111">
        <v>0</v>
      </c>
      <c r="BX44" s="111">
        <v>0</v>
      </c>
      <c r="BY44" s="101" t="str">
        <f>HYPERLINK("https://schoolshooters.info/sites/default/files/lu_sister_letter_1.0.pdf","2")</f>
        <v>2</v>
      </c>
      <c r="BZ44" s="101">
        <v>0</v>
      </c>
      <c r="CA44" s="101">
        <v>0</v>
      </c>
      <c r="CB44" s="51" t="s">
        <v>100</v>
      </c>
      <c r="CC44" s="101">
        <v>0</v>
      </c>
      <c r="CD44" s="51" t="s">
        <v>100</v>
      </c>
      <c r="CE44" s="101" t="str">
        <f>HYPERLINK("https://www.nytimes.com/1991/11/04/us/iowa-gunman-was-torn-by-academic-challenge.html?ref=michelmarriott","5")</f>
        <v>5</v>
      </c>
      <c r="CF44" s="107">
        <v>0</v>
      </c>
      <c r="CG44" s="51">
        <v>0</v>
      </c>
      <c r="CH44" s="101" t="str">
        <f>HYPERLINK("https://www.desmoinesregister.com/story/news/2018/11/01/gang-lu-shooting-university-iowa-campus-iowa-city-guns-handgun-jessup-hall-van-allen-jessup-hall/1847462002/","1")</f>
        <v>1</v>
      </c>
      <c r="CI44" s="51">
        <v>0</v>
      </c>
      <c r="CJ44" s="51" t="s">
        <v>100</v>
      </c>
      <c r="CK44" s="113">
        <v>0</v>
      </c>
      <c r="CL44" s="113"/>
      <c r="CM44" s="113"/>
      <c r="CN44" s="110">
        <v>0</v>
      </c>
      <c r="CO44" s="110">
        <v>0</v>
      </c>
      <c r="CP44" s="110">
        <v>0</v>
      </c>
      <c r="CQ44" s="110">
        <v>0</v>
      </c>
      <c r="CR44" s="109">
        <v>1</v>
      </c>
      <c r="CS44" s="108">
        <v>0</v>
      </c>
      <c r="CT44" s="110">
        <v>0</v>
      </c>
      <c r="CU44" s="110">
        <v>0</v>
      </c>
      <c r="CV44" s="109">
        <v>1</v>
      </c>
      <c r="CW44" s="110">
        <v>0</v>
      </c>
      <c r="CX44" s="109">
        <v>1</v>
      </c>
      <c r="CY44" s="110">
        <v>0</v>
      </c>
      <c r="CZ44" s="108" t="str">
        <f>HYPERLINK("https://www.desmoinesregister.com/story/news/2018/11/01/gang-lu-shooting-university-iowa-campus-iowa-city-guns-handgun-jessup-hall-van-allen-jessup-hall/1847462002/","0")</f>
        <v>0</v>
      </c>
      <c r="DA44" s="51">
        <v>0</v>
      </c>
      <c r="DB44" s="51">
        <v>2</v>
      </c>
      <c r="DC44" s="101" t="str">
        <f>HYPERLINK("https://www.desmoinesregister.com/story/news/2018/11/01/gang-lu-shooting-university-iowa-campus-iowa-city-guns-handgun-jessup-hall-van-allen-jessup-hall/1847462002/","0")</f>
        <v>0</v>
      </c>
      <c r="DD44" s="51"/>
      <c r="DE44" s="51"/>
      <c r="DF44" s="51"/>
      <c r="DG44" s="51"/>
      <c r="DH44" s="51"/>
      <c r="DI44" s="51"/>
      <c r="DJ44" s="51">
        <v>0</v>
      </c>
      <c r="DK44" s="101">
        <v>1</v>
      </c>
      <c r="DL44" s="101" t="str">
        <f>HYPERLINK("http://www.nytimes.com/1991/11/02/us/student-opens-fire-at-u-of-iowa-killing-4-before-shooting-himself.html","Occurred 2 weeks after the then-deadliest mass shooting in America.")</f>
        <v>Occurred 2 weeks after the then-deadliest mass shooting in America.</v>
      </c>
      <c r="DM44" s="101" t="str">
        <f>HYPERLINK("https://www.nytimes.com/1991/11/03/us/gunman-in-iowa-wrote-of-plans-in-five-letters.html","1")</f>
        <v>1</v>
      </c>
      <c r="DN44" s="101" t="str">
        <f>HYPERLINK("https://www.latimes.com/archives/la-xpm-1992-06-07-tm-411-story.html","2")</f>
        <v>2</v>
      </c>
      <c r="DO44" s="101" t="s">
        <v>2944</v>
      </c>
      <c r="DP44" s="101" t="str">
        <f>HYPERLINK("https://schoolshooters.info/sites/default/files/lu_sister_letter_1.0.pdf","1")</f>
        <v>1</v>
      </c>
      <c r="DQ44" s="101" t="str">
        <f>HYPERLINK("https://www.nytimes.com/1991/11/04/us/iowa-gunman-was-torn-by-academic-challenge.html?ref=michelmarriott","1")</f>
        <v>1</v>
      </c>
      <c r="DR44" s="101" t="str">
        <f>HYPERLINK("https://www.desmoinesregister.com/story/news/2018/11/01/gang-lu-shooting-university-iowa-campus-iowa-city-guns-handgun-jessup-hall-van-allen-jessup-hall/1847462002/","1")</f>
        <v>1</v>
      </c>
      <c r="DS44" s="101" t="str">
        <f>HYPERLINK("https://www.latimes.com/archives/la-xpm-1992-06-07-tm-411-story.html","1")</f>
        <v>1</v>
      </c>
      <c r="DT44" s="101" t="str">
        <f t="shared" ref="DT44" si="87">HYPERLINK("https://www.nytimes.com/1991/11/03/us/gunman-in-iowa-wrote-of-plans-in-five-letters.html","2")</f>
        <v>2</v>
      </c>
      <c r="DU44" s="101" t="str">
        <f>HYPERLINK("https://www.nytimes.com/1991/11/04/us/iowa-gunman-was-torn-by-academic-challenge.html?ref=michelmarriott","0")</f>
        <v>0</v>
      </c>
      <c r="DV44" s="48" t="s">
        <v>100</v>
      </c>
      <c r="DW44" s="101" t="str">
        <f>HYPERLINK("https://www.desmoinesregister.com/story/news/2018/11/01/gang-lu-shooting-university-iowa-campus-iowa-city-guns-handgun-jessup-hall-van-allen-jessup-hall/1847462002/","0")</f>
        <v>0</v>
      </c>
      <c r="DX44" s="101" t="str">
        <f>HYPERLINK("https://www.nytimes.com/1991/11/03/us/gunman-in-iowa-wrote-of-plans-in-five-letters.html","0")</f>
        <v>0</v>
      </c>
      <c r="DY44" s="51">
        <v>2</v>
      </c>
      <c r="DZ44" s="48">
        <v>0</v>
      </c>
    </row>
    <row r="45" spans="1:130" ht="50.25" customHeight="1">
      <c r="A45" s="96">
        <v>43</v>
      </c>
      <c r="B45" s="97" t="s">
        <v>276</v>
      </c>
      <c r="C45" s="97" t="s">
        <v>102</v>
      </c>
      <c r="D45" s="98">
        <v>33551</v>
      </c>
      <c r="E45" s="48" t="s">
        <v>103</v>
      </c>
      <c r="F45" s="99">
        <v>9</v>
      </c>
      <c r="G45" s="100" t="str">
        <f>HYPERLINK("https://www.nytimes.com/1991/11/11/us/man-kills-his-estranged-wife-and-three-others-in-kentucky.html","11")</f>
        <v>11</v>
      </c>
      <c r="H45" s="105" t="str">
        <f>HYPERLINK("https://www.nytimes.com/1991/11/11/us/man-kills-his-estranged-wife-and-three-others-in-kentucky.html","1991")</f>
        <v>1991</v>
      </c>
      <c r="I45" s="48" t="s">
        <v>277</v>
      </c>
      <c r="J45" s="105" t="s">
        <v>278</v>
      </c>
      <c r="K45" s="100">
        <v>17</v>
      </c>
      <c r="L45" s="100">
        <v>0</v>
      </c>
      <c r="M45" s="100" t="str">
        <f>HYPERLINK("https://www.apnews.com/2ef3eeb1eb4f91024720120a176329c8","2")</f>
        <v>2</v>
      </c>
      <c r="N45" s="125" t="str">
        <f>HYPERLINK("https://www.washingtonpost.com/archive/politics/1991/11/11/gunman-kills-four-and-self-in-kentucky/c3111990-c0ec-48f8-9200-4fa837a1dba4/","8")</f>
        <v>8</v>
      </c>
      <c r="O45" s="100">
        <v>0</v>
      </c>
      <c r="P45" s="99" t="s">
        <v>100</v>
      </c>
      <c r="Q45" s="103">
        <v>0</v>
      </c>
      <c r="R45" s="103">
        <v>0</v>
      </c>
      <c r="S45" s="100" t="str">
        <f>HYPERLINK("https://www.washingtonpost.com/archive/politics/1991/11/11/gunman-kills-four-and-self-in-kentucky/c3111990-c0ec-48f8-9200-4fa837a1dba4/?utm_term=.d6da75e7fc0f","4")</f>
        <v>4</v>
      </c>
      <c r="T45" s="100" t="str">
        <f>HYPERLINK("https://www.apnews.com/2ef3eeb1eb4f91024720120a176329c8","0")</f>
        <v>0</v>
      </c>
      <c r="U45" s="105" t="str">
        <f>HYPERLINK("https://www.apnews.com/2ef3eeb1eb4f91024720120a176329c8","0")</f>
        <v>0</v>
      </c>
      <c r="V45" s="105" t="str">
        <f>HYPERLINK("https://archive.bangordailynews.com/1991/11/12/gunman-in-kentucky-received-treatment-at-togus-for-stress/","45")</f>
        <v>45</v>
      </c>
      <c r="W45" s="105" t="str">
        <f>HYPERLINK("https://www.washingtonpost.com/archive/politics/1991/11/11/gunman-kills-four-and-self-in-kentucky/c3111990-c0ec-48f8-9200-4fa837a1dba4/?utm_term=.d6da75e7fc0f","0")</f>
        <v>0</v>
      </c>
      <c r="X45" s="48"/>
      <c r="Y45" s="48">
        <v>0</v>
      </c>
      <c r="Z45" s="105" t="str">
        <f>HYPERLINK("https://www.nytimes.com/1991/11/11/us/man-kills-his-estranged-wife-and-three-others-in-kentucky.html","0")</f>
        <v>0</v>
      </c>
      <c r="AA45" s="48"/>
      <c r="AB45" s="48"/>
      <c r="AC45" s="51"/>
      <c r="AD45" s="51"/>
      <c r="AE45" s="48"/>
      <c r="AF45" s="48"/>
      <c r="AG45" s="48"/>
      <c r="AH45" s="48"/>
      <c r="AI45" s="105" t="str">
        <f>HYPERLINK("https://www.apnews.com/2ef3eeb1eb4f91024720120a176329c8","3")</f>
        <v>3</v>
      </c>
      <c r="AJ45" s="105">
        <v>1</v>
      </c>
      <c r="AK45" s="48"/>
      <c r="AL45" s="48"/>
      <c r="AM45" s="105" t="str">
        <f>HYPERLINK("https://archive.bangordailynews.com/1991/11/12/gunman-in-kentucky-received-treatment-at-togus-for-stress/","1")</f>
        <v>1</v>
      </c>
      <c r="AN45" s="48"/>
      <c r="AO45" s="51"/>
      <c r="AP45" s="51"/>
      <c r="AQ45" s="105">
        <v>1</v>
      </c>
      <c r="AR45" s="48">
        <v>0</v>
      </c>
      <c r="AS45" s="101">
        <v>1</v>
      </c>
      <c r="AT45" s="105" t="str">
        <f>HYPERLINK("https://apnews.com/2ef3eeb1eb4f91024720120a176329c8","1")</f>
        <v>1</v>
      </c>
      <c r="AU45" s="105">
        <v>1</v>
      </c>
      <c r="AV45" s="48"/>
      <c r="AW45" s="48"/>
      <c r="AX45" s="48">
        <v>0</v>
      </c>
      <c r="AY45" s="48">
        <v>0</v>
      </c>
      <c r="AZ45" s="48">
        <v>0</v>
      </c>
      <c r="BA45" s="48">
        <v>0</v>
      </c>
      <c r="BB45" s="107">
        <v>3</v>
      </c>
      <c r="BC45" s="48"/>
      <c r="BD45" s="48">
        <v>0</v>
      </c>
      <c r="BE45" s="48"/>
      <c r="BF45" s="48"/>
      <c r="BG45" s="48"/>
      <c r="BH45" s="48"/>
      <c r="BI45" s="48">
        <v>0</v>
      </c>
      <c r="BJ45" s="105" t="str">
        <f>HYPERLINK("https://www.deseretnews.com/article/193084/KENTUCKIAN-KILLS-WIFE-3-OTHERS-AND-SELF.html","1")</f>
        <v>1</v>
      </c>
      <c r="BK45" s="48"/>
      <c r="BL45" s="127">
        <v>1</v>
      </c>
      <c r="BM45" s="127">
        <v>2</v>
      </c>
      <c r="BN45" s="115" t="s">
        <v>2994</v>
      </c>
      <c r="BO45" s="111">
        <v>1</v>
      </c>
      <c r="BP45" s="111">
        <v>0</v>
      </c>
      <c r="BQ45" s="111">
        <v>1</v>
      </c>
      <c r="BR45" s="111">
        <v>0</v>
      </c>
      <c r="BS45" s="111">
        <v>0</v>
      </c>
      <c r="BT45" s="111">
        <v>1</v>
      </c>
      <c r="BU45" s="111">
        <v>1</v>
      </c>
      <c r="BV45" s="111">
        <v>1</v>
      </c>
      <c r="BW45" s="111">
        <v>0</v>
      </c>
      <c r="BX45" s="111">
        <v>0</v>
      </c>
      <c r="BY45" s="105" t="str">
        <f>HYPERLINK("https://archive.bangordailynews.com/1991/11/12/gunman-in-kentucky-received-treatment-at-togus-for-stress/","1")</f>
        <v>1</v>
      </c>
      <c r="BZ45" s="105">
        <v>1</v>
      </c>
      <c r="CA45" s="48">
        <v>0</v>
      </c>
      <c r="CB45" s="48" t="s">
        <v>100</v>
      </c>
      <c r="CC45" s="48">
        <v>0</v>
      </c>
      <c r="CD45" s="105" t="str">
        <f>HYPERLINK("https://law.justia.com/cases/federal/district-courts/FSupp/921/1550/1988257/","1")</f>
        <v>1</v>
      </c>
      <c r="CE45" s="105" t="str">
        <f>HYPERLINK("https://archive.bangordailynews.com/1991/11/12/gunman-in-kentucky-received-treatment-at-togus-for-stress/","3")</f>
        <v>3</v>
      </c>
      <c r="CF45" s="52">
        <v>0</v>
      </c>
      <c r="CG45" s="48">
        <v>0</v>
      </c>
      <c r="CH45" s="48"/>
      <c r="CI45" s="105" t="str">
        <f>HYPERLINK("https://archive.bangordailynews.com/1991/11/12/gunman-in-kentucky-received-treatment-at-togus-for-stress/","1")</f>
        <v>1</v>
      </c>
      <c r="CJ45" s="101" t="str">
        <f>HYPERLINK("https://archive.bangordailynews.com/1991/11/12/gunman-in-kentucky-received-treatment-at-togus-for-stress/","back injury, war flashbacks, presumably PTSD")</f>
        <v>back injury, war flashbacks, presumably PTSD</v>
      </c>
      <c r="CK45" s="129">
        <v>0</v>
      </c>
      <c r="CL45" s="129"/>
      <c r="CM45" s="129"/>
      <c r="CN45" s="116">
        <v>0</v>
      </c>
      <c r="CO45" s="116">
        <v>0</v>
      </c>
      <c r="CP45" s="116">
        <v>0</v>
      </c>
      <c r="CQ45" s="116">
        <v>0</v>
      </c>
      <c r="CR45" s="116">
        <v>0</v>
      </c>
      <c r="CS45" s="116">
        <v>0</v>
      </c>
      <c r="CT45" s="116">
        <v>0</v>
      </c>
      <c r="CU45" s="118" t="str">
        <f t="shared" ref="CU45" si="88">HYPERLINK("https://www.apnews.com/2ef3eeb1eb4f91024720120a176329c8","1")</f>
        <v>1</v>
      </c>
      <c r="CV45" s="116">
        <v>0</v>
      </c>
      <c r="CW45" s="116">
        <v>0</v>
      </c>
      <c r="CX45" s="116">
        <v>0</v>
      </c>
      <c r="CY45" s="116">
        <v>0</v>
      </c>
      <c r="CZ45" s="118" t="str">
        <f t="shared" ref="CZ45" si="89">HYPERLINK("https://www.apnews.com/2ef3eeb1eb4f91024720120a176329c8","1")</f>
        <v>1</v>
      </c>
      <c r="DA45" s="48">
        <v>0</v>
      </c>
      <c r="DB45" s="48">
        <v>2</v>
      </c>
      <c r="DC45" s="52">
        <v>0</v>
      </c>
      <c r="DD45" s="107"/>
      <c r="DE45" s="107"/>
      <c r="DF45" s="107"/>
      <c r="DG45" s="107"/>
      <c r="DH45" s="107"/>
      <c r="DI45" s="107"/>
      <c r="DJ45" s="48">
        <v>0</v>
      </c>
      <c r="DK45" s="48">
        <v>0</v>
      </c>
      <c r="DL45" s="48" t="s">
        <v>100</v>
      </c>
      <c r="DM45" s="105" t="str">
        <f>HYPERLINK("https://www.deseret.com/1991/11/11/18950988/kentuckian-kills-wife-3-others-and-self","0")</f>
        <v>0</v>
      </c>
      <c r="DN45" s="48">
        <v>0</v>
      </c>
      <c r="DO45" s="48" t="s">
        <v>100</v>
      </c>
      <c r="DP45" s="105" t="str">
        <f t="shared" ref="DP45:DQ45" si="90">HYPERLINK("https://www.deseret.com/1991/11/11/18950988/kentuckian-kills-wife-3-others-and-self","0")</f>
        <v>0</v>
      </c>
      <c r="DQ45" s="105" t="str">
        <f t="shared" si="90"/>
        <v>0</v>
      </c>
      <c r="DR45" s="48"/>
      <c r="DS45" s="101" t="str">
        <f>HYPERLINK("https://archive.bangordailynews.com/1991/11/12/gunman-in-kentucky-received-treatment-at-togus-for-stress/","3")</f>
        <v>3</v>
      </c>
      <c r="DT45" s="105" t="str">
        <f>HYPERLINK("https://www.washingtonpost.com/archive/politics/1991/11/11/gunman-kills-four-and-self-in-kentucky/c3111990-c0ec-48f8-9200-4fa837a1dba4/?utm_term=.4f753c415f02","1")</f>
        <v>1</v>
      </c>
      <c r="DU45" s="105" t="str">
        <f>HYPERLINK("https://www.washingtonpost.com/archive/politics/1991/11/11/gunman-kills-four-and-self-in-kentucky/c3111990-c0ec-48f8-9200-4fa837a1dba4/","0")</f>
        <v>0</v>
      </c>
      <c r="DV45" s="48" t="s">
        <v>100</v>
      </c>
      <c r="DW45" s="105" t="str">
        <f>HYPERLINK("https://www.washingtonpost.com/archive/politics/1991/11/11/gunman-kills-four-and-self-in-kentucky/c3111990-c0ec-48f8-9200-4fa837a1dba4/?utm_term=.4f753c415f02","0")</f>
        <v>0</v>
      </c>
      <c r="DX45" s="105" t="str">
        <f>HYPERLINK("https://www.apnews.com/2ef3eeb1eb4f91024720120a176329c8","0")</f>
        <v>0</v>
      </c>
      <c r="DY45" s="48">
        <v>2</v>
      </c>
      <c r="DZ45" s="133" t="str">
        <f>HYPERLINK("https://www.washingtonpost.com/archive/politics/1991/11/11/gunman-kills-four-and-self-in-kentucky/c3111990-c0ec-48f8-9200-4fa837a1dba4/","0")</f>
        <v>0</v>
      </c>
    </row>
    <row r="46" spans="1:130" ht="50.25" customHeight="1">
      <c r="A46" s="96">
        <v>44</v>
      </c>
      <c r="B46" s="97" t="s">
        <v>280</v>
      </c>
      <c r="C46" s="97" t="s">
        <v>281</v>
      </c>
      <c r="D46" s="98">
        <v>33556</v>
      </c>
      <c r="E46" s="48" t="s">
        <v>178</v>
      </c>
      <c r="F46" s="119">
        <v>14</v>
      </c>
      <c r="G46" s="102" t="str">
        <f>HYPERLINK("https://www.nytimes.com/1991/11/15/us/ex-postal-worker-kills-3-and-wounds-6-in-michigan.html","11")</f>
        <v>11</v>
      </c>
      <c r="H46" s="101" t="str">
        <f>HYPERLINK("https://www.nytimes.com/1991/11/15/us/ex-postal-worker-kills-3-and-wounds-6-in-michigan.html","1991")</f>
        <v>1991</v>
      </c>
      <c r="I46" s="48" t="s">
        <v>282</v>
      </c>
      <c r="J46" s="101" t="s">
        <v>283</v>
      </c>
      <c r="K46" s="102">
        <v>22</v>
      </c>
      <c r="L46" s="102">
        <v>1</v>
      </c>
      <c r="M46" s="102" t="str">
        <f>HYPERLINK("https://www.latimes.com/archives/la-xpm-1991-11-15-mn-1435-story.html","1")</f>
        <v>1</v>
      </c>
      <c r="N46" s="102" t="str">
        <f>HYPERLINK("https://www.deseret.com/1991/11/15/18952007/fired-postal-worker-who-shot-9-people-dies-of-his-injuries","6")</f>
        <v>6</v>
      </c>
      <c r="O46" s="102" t="str">
        <f>HYPERLINK("https://www.nytimes.com/1991/11/15/us/ex-postal-worker-kills-3-and-wounds-6-in-michigan.html","0")</f>
        <v>0</v>
      </c>
      <c r="P46" s="99" t="s">
        <v>100</v>
      </c>
      <c r="Q46" s="103">
        <v>0</v>
      </c>
      <c r="R46" s="103">
        <v>0</v>
      </c>
      <c r="S46" s="102" t="str">
        <f>HYPERLINK("http://community.seattletimes.nwsource.com/archive/?date=19911115&amp;slug=1317398","4")</f>
        <v>4</v>
      </c>
      <c r="T46" s="102" t="str">
        <f>HYPERLINK("http://community.seattletimes.nwsource.com/archive/?date=19911115&amp;slug=1317398","6")</f>
        <v>6</v>
      </c>
      <c r="U46" s="101" t="str">
        <f>HYPERLINK("https://www.nytimes.com/1991/11/15/us/ex-postal-worker-kills-3-and-wounds-6-in-michigan.html","0")</f>
        <v>0</v>
      </c>
      <c r="V46" s="101">
        <v>31</v>
      </c>
      <c r="W46" s="101">
        <v>0</v>
      </c>
      <c r="X46" s="101" t="str">
        <f>HYPERLINK("https://timesmachine.nytimes.com/timesmachine/1991/11/15/209491.html?pageNumber=14","0")</f>
        <v>0</v>
      </c>
      <c r="Y46" s="48">
        <v>0</v>
      </c>
      <c r="Z46" s="101" t="str">
        <f>HYPERLINK("https://apnews.com/86d4f389023ad194af4a405820c3d191","0")</f>
        <v>0</v>
      </c>
      <c r="AA46" s="101">
        <v>1</v>
      </c>
      <c r="AB46" s="101" t="str">
        <f>HYPERLINK("http://community.seattletimes.nwsource.com/archive/?date=19911115&amp;slug=1317398","1")</f>
        <v>1</v>
      </c>
      <c r="AC46" s="51"/>
      <c r="AD46" s="51"/>
      <c r="AE46" s="101" t="str">
        <f>HYPERLINK("https://archive.seattletimes.com/archive/?date=19911115&amp;slug=1317398","3")</f>
        <v>3</v>
      </c>
      <c r="AF46" s="101" t="str">
        <f t="shared" ref="AF46:AG46" si="91">HYPERLINK("https://archive.seattletimes.com/archive/?date=19911115&amp;slug=1317398","2")</f>
        <v>2</v>
      </c>
      <c r="AG46" s="101" t="str">
        <f t="shared" si="91"/>
        <v>2</v>
      </c>
      <c r="AH46" s="101" t="str">
        <f>HYPERLINK("https://archive.seattletimes.com/archive/?date=19911115&amp;slug=1317398","0")</f>
        <v>0</v>
      </c>
      <c r="AI46" s="51">
        <v>0</v>
      </c>
      <c r="AJ46" s="51">
        <v>0</v>
      </c>
      <c r="AK46" s="101" t="str">
        <f t="shared" ref="AK46:AL46" si="92">HYPERLINK("https://www.deseret.com/1991/11/15/18952007/fired-postal-worker-who-shot-9-people-dies-of-his-injuries","0")</f>
        <v>0</v>
      </c>
      <c r="AL46" s="101" t="str">
        <f t="shared" si="92"/>
        <v>0</v>
      </c>
      <c r="AM46" s="101">
        <v>1</v>
      </c>
      <c r="AN46" s="101">
        <v>3</v>
      </c>
      <c r="AO46" s="101" t="str">
        <f>HYPERLINK("https://archive.seattletimes.com/archive/?date=19911115&amp;slug=1317398","2")</f>
        <v>2</v>
      </c>
      <c r="AP46" s="51" t="s">
        <v>837</v>
      </c>
      <c r="AQ46" s="101" t="str">
        <f>HYPERLINK("http://community.seattletimes.nwsource.com/archive/?date=19911115&amp;slug=1317398","1")</f>
        <v>1</v>
      </c>
      <c r="AR46" s="51">
        <v>0</v>
      </c>
      <c r="AS46" s="101">
        <v>1</v>
      </c>
      <c r="AT46" s="48">
        <v>0</v>
      </c>
      <c r="AU46" s="48" t="s">
        <v>100</v>
      </c>
      <c r="AV46" s="48" t="s">
        <v>100</v>
      </c>
      <c r="AW46" s="48" t="s">
        <v>100</v>
      </c>
      <c r="AX46" s="48">
        <v>0</v>
      </c>
      <c r="AY46" s="51">
        <v>0</v>
      </c>
      <c r="AZ46" s="51">
        <v>0</v>
      </c>
      <c r="BA46" s="51">
        <v>0</v>
      </c>
      <c r="BB46" s="107">
        <v>3</v>
      </c>
      <c r="BC46" s="101" t="str">
        <f>HYPERLINK("http://community.seattletimes.nwsource.com/archive/?date=19911115&amp;slug=1317398","0")</f>
        <v>0</v>
      </c>
      <c r="BD46" s="51">
        <v>0</v>
      </c>
      <c r="BE46" s="105">
        <v>1</v>
      </c>
      <c r="BF46" s="51">
        <v>0</v>
      </c>
      <c r="BG46" s="51"/>
      <c r="BH46" s="51">
        <v>1</v>
      </c>
      <c r="BI46" s="48">
        <v>0</v>
      </c>
      <c r="BJ46" s="51">
        <v>0</v>
      </c>
      <c r="BK46" s="101" t="str">
        <f>HYPERLINK("https://www.deseret.com/1991/11/15/18952007/fired-postal-worker-who-shot-9-people-dies-of-his-injuries","1")</f>
        <v>1</v>
      </c>
      <c r="BL46" s="108">
        <v>1</v>
      </c>
      <c r="BM46" s="109">
        <v>2</v>
      </c>
      <c r="BN46" s="110" t="s">
        <v>2995</v>
      </c>
      <c r="BO46" s="111">
        <v>1</v>
      </c>
      <c r="BP46" s="111">
        <v>0</v>
      </c>
      <c r="BQ46" s="111">
        <v>0</v>
      </c>
      <c r="BR46" s="111">
        <v>0</v>
      </c>
      <c r="BS46" s="111">
        <v>0</v>
      </c>
      <c r="BT46" s="111">
        <v>1</v>
      </c>
      <c r="BU46" s="111">
        <v>1</v>
      </c>
      <c r="BV46" s="111">
        <v>0</v>
      </c>
      <c r="BW46" s="111">
        <v>1</v>
      </c>
      <c r="BX46" s="111">
        <v>0</v>
      </c>
      <c r="BY46" s="101" t="str">
        <f>HYPERLINK("https://www.nytimes.com/1991/11/15/us/ex-postal-worker-kills-3-and-wounds-6-in-michigan.html","2")</f>
        <v>2</v>
      </c>
      <c r="BZ46" s="51">
        <v>0</v>
      </c>
      <c r="CA46" s="51">
        <v>0</v>
      </c>
      <c r="CB46" s="51" t="s">
        <v>100</v>
      </c>
      <c r="CC46" s="51">
        <v>0</v>
      </c>
      <c r="CD46" s="51" t="s">
        <v>100</v>
      </c>
      <c r="CE46" s="101" t="str">
        <f>HYPERLINK("https://www.latimes.com/archives/la-xpm-1991-11-15-mn-1435-story.html","5")</f>
        <v>5</v>
      </c>
      <c r="CF46" s="107">
        <v>0</v>
      </c>
      <c r="CG46" s="51">
        <v>0</v>
      </c>
      <c r="CH46" s="51">
        <v>0</v>
      </c>
      <c r="CI46" s="51">
        <v>0</v>
      </c>
      <c r="CJ46" s="51" t="s">
        <v>100</v>
      </c>
      <c r="CK46" s="117">
        <v>3</v>
      </c>
      <c r="CL46" s="113"/>
      <c r="CM46" s="113"/>
      <c r="CN46" s="108">
        <v>0</v>
      </c>
      <c r="CO46" s="108">
        <v>0</v>
      </c>
      <c r="CP46" s="108">
        <v>0</v>
      </c>
      <c r="CQ46" s="110">
        <v>0</v>
      </c>
      <c r="CR46" s="109">
        <v>1</v>
      </c>
      <c r="CS46" s="108">
        <v>0</v>
      </c>
      <c r="CT46" s="108" t="str">
        <f>HYPERLINK("https://www.latimes.com/archives/la-xpm-1991-11-15-mn-1435-story.html","1")</f>
        <v>1</v>
      </c>
      <c r="CU46" s="108">
        <v>0</v>
      </c>
      <c r="CV46" s="108">
        <v>0</v>
      </c>
      <c r="CW46" s="110">
        <v>0</v>
      </c>
      <c r="CX46" s="110">
        <v>0</v>
      </c>
      <c r="CY46" s="110">
        <v>0</v>
      </c>
      <c r="CZ46" s="108">
        <v>0</v>
      </c>
      <c r="DA46" s="51">
        <v>0</v>
      </c>
      <c r="DB46" s="51">
        <v>2</v>
      </c>
      <c r="DC46" s="101" t="str">
        <f>HYPERLINK("https://books.google.com/books?id=FdtZf_Ns9QwC&amp;pg=PA104&amp;lpg=PA104&amp;dq=thomas+mcilvane&amp;source=bl&amp;ots=jqDpBPxU7N&amp;sig=ACfU3U3qhlxo37tCa8CehCmUlasU5Txe5A&amp;hl=en&amp;sa=X&amp;ved=2ahUKEwia9bD7xczkAhUOEqwKHbX8Dko4ChDoATACegQIBxAB#v=onepage&amp;q=thomas%20mcilvane&amp;f=false","1")</f>
        <v>1</v>
      </c>
      <c r="DD46" s="51">
        <v>0</v>
      </c>
      <c r="DE46" s="51">
        <v>4</v>
      </c>
      <c r="DF46" s="51">
        <v>1</v>
      </c>
      <c r="DG46" s="51"/>
      <c r="DH46" s="51"/>
      <c r="DI46" s="51"/>
      <c r="DJ46" s="51">
        <v>0</v>
      </c>
      <c r="DK46" s="101" t="str">
        <f>HYPERLINK("https://www.deseret.com/1991/11/15/18952007/fired-postal-worker-who-shot-9-people-dies-of-his-injuries","1")</f>
        <v>1</v>
      </c>
      <c r="DL46" s="101" t="str">
        <f>HYPERLINK("https://www.deseret.com/1991/11/15/18952007/fired-postal-worker-who-shot-9-people-dies-of-his-injuries","Occurred 1 month after another postal worker (Joseph Harris) committed a mass shooting.")</f>
        <v>Occurred 1 month after another postal worker (Joseph Harris) committed a mass shooting.</v>
      </c>
      <c r="DM46" s="101" t="str">
        <f>HYPERLINK("https://www.nytimes.com/1991/11/15/us/ex-postal-worker-kills-3-and-wounds-6-in-michigan.html","0")</f>
        <v>0</v>
      </c>
      <c r="DN46" s="51">
        <v>0</v>
      </c>
      <c r="DO46" s="51" t="s">
        <v>100</v>
      </c>
      <c r="DP46" s="101" t="str">
        <f>HYPERLINK("http://community.seattletimes.nwsource.com/archive/?date=19911115&amp;slug=1317398","0")</f>
        <v>0</v>
      </c>
      <c r="DQ46" s="101" t="str">
        <f>HYPERLINK("https://www.nytimes.com/1991/11/15/us/ex-postal-worker-kills-3-and-wounds-6-in-michigan.html","0")</f>
        <v>0</v>
      </c>
      <c r="DR46" s="48">
        <v>0</v>
      </c>
      <c r="DS46" s="101" t="str">
        <f>HYPERLINK("https://archive.seattletimes.com/archive/?date=19911115&amp;slug=1317398","3")</f>
        <v>3</v>
      </c>
      <c r="DT46" s="101" t="str">
        <f>HYPERLINK("https://www.latimes.com/archives/la-xpm-1991-11-15-mn-1435-story.html","1")</f>
        <v>1</v>
      </c>
      <c r="DU46" s="101" t="str">
        <f>HYPERLINK("https://www.nytimes.com/1991/11/15/us/ex-postal-worker-kills-3-and-wounds-6-in-michigan.html","0")</f>
        <v>0</v>
      </c>
      <c r="DV46" s="48" t="s">
        <v>100</v>
      </c>
      <c r="DW46" s="101">
        <v>0</v>
      </c>
      <c r="DX46" s="101" t="str">
        <f>HYPERLINK("https://www.nytimes.com/1991/11/15/us/ex-postal-worker-kills-3-and-wounds-6-in-michigan.html","0")</f>
        <v>0</v>
      </c>
      <c r="DY46" s="48">
        <v>2</v>
      </c>
      <c r="DZ46" s="48">
        <v>0</v>
      </c>
    </row>
    <row r="47" spans="1:130" ht="50.25" customHeight="1">
      <c r="A47" s="96">
        <v>45</v>
      </c>
      <c r="B47" s="97" t="s">
        <v>285</v>
      </c>
      <c r="C47" s="97" t="s">
        <v>2996</v>
      </c>
      <c r="D47" s="98">
        <v>33678</v>
      </c>
      <c r="E47" s="48" t="s">
        <v>137</v>
      </c>
      <c r="F47" s="99">
        <v>15</v>
      </c>
      <c r="G47" s="100" t="str">
        <f>HYPERLINK("https://www.apnews.com/02ce266ecd834707a476a7f107ab3fb0","3")</f>
        <v>3</v>
      </c>
      <c r="H47" s="105" t="str">
        <f>HYPERLINK("https://casetext.com/case/rogovich-v-schriro-2","1992")</f>
        <v>1992</v>
      </c>
      <c r="I47" s="48" t="s">
        <v>286</v>
      </c>
      <c r="J47" s="105" t="str">
        <f>HYPERLINK("https://casetext.com/case/rogovich-v-schriro-2","Phoenix")</f>
        <v>Phoenix</v>
      </c>
      <c r="K47" s="100" t="str">
        <f t="shared" ref="K47:L47" si="93">HYPERLINK("http://cronkitenewsonline.com/2012/09/appeals-court-upholds-conviction-in-1992-phoenix-trailer-park-killing-spree/index.html","3")</f>
        <v>3</v>
      </c>
      <c r="L47" s="100" t="str">
        <f t="shared" si="93"/>
        <v>3</v>
      </c>
      <c r="M47" s="99">
        <v>0</v>
      </c>
      <c r="N47" s="125" t="str">
        <f>HYPERLINK("https://casetext.com/case/rogovich-v-schriro-2","8")</f>
        <v>8</v>
      </c>
      <c r="O47" s="100" t="str">
        <f>HYPERLINK("https://casetext.com/case/rogovich-v-schriro-2","1")</f>
        <v>1</v>
      </c>
      <c r="P47" s="100" t="str">
        <f>HYPERLINK("https://casetext.com/case/rogovich-v-schriro-2","4")</f>
        <v>4</v>
      </c>
      <c r="Q47" s="103">
        <v>0</v>
      </c>
      <c r="R47" s="103">
        <v>0</v>
      </c>
      <c r="S47" s="100" t="str">
        <f>HYPERLINK("https://www.apnews.com/02ce266ecd834707a476a7f107ab3fb0","4")</f>
        <v>4</v>
      </c>
      <c r="T47" s="100" t="str">
        <f t="shared" ref="T47" si="94">HYPERLINK("https://casetext.com/case/rogovich-v-schriro-2","0")</f>
        <v>0</v>
      </c>
      <c r="U47" s="105" t="str">
        <f>HYPERLINK("https://casetext.com/case/rogovich-v-schriro-2","0")</f>
        <v>0</v>
      </c>
      <c r="V47" s="105" t="str">
        <f>HYPERLINK("https://www.apnews.com/02ce266ecd834707a476a7f107ab3fb0","26")</f>
        <v>26</v>
      </c>
      <c r="W47" s="105" t="str">
        <f t="shared" ref="W47:X47" si="95">HYPERLINK("https://www.abc15.com/news/crime/death-row-diaries-man-kills-four-then-flees-police-in-a-van-belonging-to-a-local-radio-station","0")</f>
        <v>0</v>
      </c>
      <c r="X47" s="105" t="str">
        <f t="shared" si="95"/>
        <v>0</v>
      </c>
      <c r="Y47" s="48">
        <v>0</v>
      </c>
      <c r="Z47" s="105" t="str">
        <f>HYPERLINK("https://caselaw.findlaw.com/az-supreme-court/1250801.html","0")</f>
        <v>0</v>
      </c>
      <c r="AA47" s="48"/>
      <c r="AB47" s="48"/>
      <c r="AC47" s="51"/>
      <c r="AD47" s="51"/>
      <c r="AE47" s="48"/>
      <c r="AF47" s="48"/>
      <c r="AG47" s="48"/>
      <c r="AH47" s="48"/>
      <c r="AI47" s="105" t="str">
        <f>HYPERLINK("https://www.abc15.com/news/crime/death-row-diaries-man-kills-four-then-flees-police-in-a-van-belonging-to-a-local-radio-station","0")</f>
        <v>0</v>
      </c>
      <c r="AJ47" s="48">
        <v>0</v>
      </c>
      <c r="AK47" s="105" t="str">
        <f>HYPERLINK("https://www.apnews.com/02ce266ecd834707a476a7f107ab3fb0","1")</f>
        <v>1</v>
      </c>
      <c r="AL47" s="105" t="str">
        <f>HYPERLINK("https://www.apnews.com/02ce266ecd834707a476a7f107ab3fb0","0")</f>
        <v>0</v>
      </c>
      <c r="AM47" s="48">
        <v>0</v>
      </c>
      <c r="AN47" s="48" t="s">
        <v>100</v>
      </c>
      <c r="AO47" s="51"/>
      <c r="AP47" s="51"/>
      <c r="AQ47" s="105" t="str">
        <f>HYPERLINK("http://cdn.ca9.uscourts.gov/datastore/opinions/2012/09/18/08-99015.pdf","0")</f>
        <v>0</v>
      </c>
      <c r="AR47" s="48">
        <v>0</v>
      </c>
      <c r="AS47" s="48">
        <v>0</v>
      </c>
      <c r="AT47" s="48">
        <v>0</v>
      </c>
      <c r="AU47" s="48" t="s">
        <v>100</v>
      </c>
      <c r="AV47" s="48" t="s">
        <v>100</v>
      </c>
      <c r="AW47" s="48" t="s">
        <v>100</v>
      </c>
      <c r="AX47" s="48">
        <v>0</v>
      </c>
      <c r="AY47" s="48">
        <v>0</v>
      </c>
      <c r="AZ47" s="48">
        <v>0</v>
      </c>
      <c r="BA47" s="48">
        <v>0</v>
      </c>
      <c r="BB47" s="51">
        <v>0</v>
      </c>
      <c r="BC47" s="48">
        <v>0</v>
      </c>
      <c r="BD47" s="48">
        <v>0</v>
      </c>
      <c r="BE47" s="105" t="str">
        <f>HYPERLINK("http://cdn.ca9.uscourts.gov/datastore/opinions/2012/09/18/08-99015.pdf","1")</f>
        <v>1</v>
      </c>
      <c r="BF47" s="48"/>
      <c r="BG47" s="105" t="str">
        <f>HYPERLINK("http://cdn.ca9.uscourts.gov/datastore/opinions/2012/09/18/08-99015.pdf","6")</f>
        <v>6</v>
      </c>
      <c r="BH47" s="48">
        <v>0</v>
      </c>
      <c r="BI47" s="105" t="str">
        <f>HYPERLINK("http://cronkitenewsonline.com/2012/09/appeals-court-upholds-conviction-in-1992-phoenix-trailer-park-killing-spree/index.html","1")</f>
        <v>1</v>
      </c>
      <c r="BJ47" s="105" t="str">
        <f>HYPERLINK("https://www.abc15.com/news/crime/death-row-diaries-man-kills-four-then-flees-police-in-a-van-belonging-to-a-local-radio-station","1")</f>
        <v>1</v>
      </c>
      <c r="BK47" s="116">
        <v>0</v>
      </c>
      <c r="BL47" s="127">
        <v>1</v>
      </c>
      <c r="BM47" s="127">
        <v>1</v>
      </c>
      <c r="BN47" s="115" t="s">
        <v>3070</v>
      </c>
      <c r="BO47" s="116">
        <v>1</v>
      </c>
      <c r="BP47" s="116">
        <v>0</v>
      </c>
      <c r="BQ47" s="116">
        <v>1</v>
      </c>
      <c r="BR47" s="116">
        <v>0</v>
      </c>
      <c r="BS47" s="116">
        <v>0</v>
      </c>
      <c r="BT47" s="116">
        <v>1</v>
      </c>
      <c r="BU47" s="116">
        <v>0</v>
      </c>
      <c r="BV47" s="116">
        <v>0</v>
      </c>
      <c r="BW47" s="116">
        <v>0</v>
      </c>
      <c r="BX47" s="116">
        <v>0</v>
      </c>
      <c r="BY47" s="48">
        <v>0</v>
      </c>
      <c r="BZ47" s="48">
        <v>0</v>
      </c>
      <c r="CA47" s="48">
        <v>0</v>
      </c>
      <c r="CB47" s="48" t="s">
        <v>100</v>
      </c>
      <c r="CC47" s="48">
        <v>0</v>
      </c>
      <c r="CD47" s="48" t="s">
        <v>100</v>
      </c>
      <c r="CE47" s="105" t="str">
        <f>HYPERLINK("http://cdn.ca9.uscourts.gov/datastore/opinions/2012/09/18/08-99015.pdf","4")</f>
        <v>4</v>
      </c>
      <c r="CF47" s="52">
        <v>0</v>
      </c>
      <c r="CG47" s="48">
        <v>0</v>
      </c>
      <c r="CH47" s="105" t="str">
        <f>HYPERLINK("http://cdn.ca9.uscourts.gov/datastore/opinions/2012/09/18/08-99015.pdf","4")</f>
        <v>4</v>
      </c>
      <c r="CI47" s="48">
        <v>0</v>
      </c>
      <c r="CJ47" s="51" t="s">
        <v>100</v>
      </c>
      <c r="CK47" s="129">
        <v>0</v>
      </c>
      <c r="CL47" s="129"/>
      <c r="CM47" s="129"/>
      <c r="CN47" s="116">
        <v>0</v>
      </c>
      <c r="CO47" s="116">
        <v>0</v>
      </c>
      <c r="CP47" s="116">
        <v>0</v>
      </c>
      <c r="CQ47" s="116">
        <v>0</v>
      </c>
      <c r="CR47" s="116">
        <v>0</v>
      </c>
      <c r="CS47" s="116">
        <v>0</v>
      </c>
      <c r="CT47" s="116">
        <v>0</v>
      </c>
      <c r="CU47" s="118">
        <v>1</v>
      </c>
      <c r="CV47" s="116">
        <v>0</v>
      </c>
      <c r="CW47" s="116">
        <v>0</v>
      </c>
      <c r="CX47" s="116">
        <v>0</v>
      </c>
      <c r="CY47" s="127">
        <v>1</v>
      </c>
      <c r="CZ47" s="116">
        <v>0</v>
      </c>
      <c r="DA47" s="48">
        <v>0</v>
      </c>
      <c r="DB47" s="48">
        <v>2</v>
      </c>
      <c r="DC47" s="105" t="str">
        <f>HYPERLINK("https://www.abc15.com/news/crime/death-row-diaries-man-kills-four-then-flees-police-in-a-van-belonging-to-a-local-radio-station","0")</f>
        <v>0</v>
      </c>
      <c r="DD47" s="48"/>
      <c r="DE47" s="48"/>
      <c r="DF47" s="48"/>
      <c r="DG47" s="48"/>
      <c r="DH47" s="48"/>
      <c r="DI47" s="48"/>
      <c r="DJ47" s="48">
        <v>0</v>
      </c>
      <c r="DK47" s="48">
        <v>0</v>
      </c>
      <c r="DL47" s="48" t="s">
        <v>100</v>
      </c>
      <c r="DM47" s="105" t="str">
        <f>HYPERLINK("https://casetext.com/case/rogovich-v-schriro-2","0")</f>
        <v>0</v>
      </c>
      <c r="DN47" s="48">
        <v>0</v>
      </c>
      <c r="DO47" s="48" t="s">
        <v>100</v>
      </c>
      <c r="DP47" s="105" t="str">
        <f t="shared" ref="DP47:DQ47" si="96">HYPERLINK("https://casetext.com/case/rogovich-v-schriro-2","0")</f>
        <v>0</v>
      </c>
      <c r="DQ47" s="105" t="str">
        <f t="shared" si="96"/>
        <v>0</v>
      </c>
      <c r="DR47" s="48">
        <v>0</v>
      </c>
      <c r="DS47" s="51"/>
      <c r="DT47" s="105" t="str">
        <f t="shared" ref="DT47" si="97">HYPERLINK("https://caselaw.findlaw.com/az-supreme-court/1250801.html","1")</f>
        <v>1</v>
      </c>
      <c r="DU47" s="105" t="str">
        <f>HYPERLINK("https://casetext.com/case/rogovich-v-schriro-2","0")</f>
        <v>0</v>
      </c>
      <c r="DV47" s="48" t="s">
        <v>100</v>
      </c>
      <c r="DW47" s="105" t="str">
        <f>HYPERLINK("https://casetext.com/case/rogovich-v-schriro-2","2")</f>
        <v>2</v>
      </c>
      <c r="DX47" s="105" t="str">
        <f t="shared" ref="DX47:DZ47" si="98">HYPERLINK("https://casetext.com/case/rogovich-v-schriro-2","1")</f>
        <v>1</v>
      </c>
      <c r="DY47" s="105" t="str">
        <f t="shared" si="98"/>
        <v>1</v>
      </c>
      <c r="DZ47" s="105" t="str">
        <f t="shared" si="98"/>
        <v>1</v>
      </c>
    </row>
    <row r="48" spans="1:130" ht="50.25" customHeight="1">
      <c r="A48" s="96">
        <v>46</v>
      </c>
      <c r="B48" s="97" t="s">
        <v>288</v>
      </c>
      <c r="C48" s="97" t="s">
        <v>114</v>
      </c>
      <c r="D48" s="98">
        <v>33725</v>
      </c>
      <c r="E48" s="48" t="s">
        <v>157</v>
      </c>
      <c r="F48" s="99">
        <v>1</v>
      </c>
      <c r="G48" s="100">
        <v>5</v>
      </c>
      <c r="H48" s="101">
        <v>1992</v>
      </c>
      <c r="I48" s="48" t="s">
        <v>289</v>
      </c>
      <c r="J48" s="105" t="s">
        <v>290</v>
      </c>
      <c r="K48" s="100">
        <v>5</v>
      </c>
      <c r="L48" s="99">
        <v>3</v>
      </c>
      <c r="M48" s="102">
        <v>2</v>
      </c>
      <c r="N48" s="100">
        <v>0</v>
      </c>
      <c r="O48" s="100" t="str">
        <f>HYPERLINK("https://www.sacbee.com/news/local/history/article146987224.html","0")</f>
        <v>0</v>
      </c>
      <c r="P48" s="99" t="s">
        <v>100</v>
      </c>
      <c r="Q48" s="103">
        <v>0</v>
      </c>
      <c r="R48" s="103">
        <v>0</v>
      </c>
      <c r="S48" s="100" t="str">
        <f>HYPERLINK("https://www.nbcbayarea.com/news/local/State-Court-Upholds-1993-Death-Penalty-Case-164819036.html","4")</f>
        <v>4</v>
      </c>
      <c r="T48" s="102" t="str">
        <f>HYPERLINK("https://www.nbcbayarea.com/news/local/State-Court-Upholds-1993-Death-Penalty-Case-164819036.html","10")</f>
        <v>10</v>
      </c>
      <c r="U48" s="105" t="str">
        <f>HYPERLINK("https://www.sacbee.com/news/local/history/article146987224.html","1")</f>
        <v>1</v>
      </c>
      <c r="V48" s="105">
        <v>20</v>
      </c>
      <c r="W48" s="105">
        <v>0</v>
      </c>
      <c r="X48" s="105">
        <v>0</v>
      </c>
      <c r="Y48" s="51">
        <v>0</v>
      </c>
      <c r="Z48" s="105">
        <v>1</v>
      </c>
      <c r="AA48" s="48"/>
      <c r="AB48" s="105">
        <v>0</v>
      </c>
      <c r="AC48" s="101" t="str">
        <f>HYPERLINK("https://schoolshooters.info/sites/default/files/California-v-Houston-2007.pdf","0")</f>
        <v>0</v>
      </c>
      <c r="AD48" s="101" t="str">
        <f>HYPERLINK("https://schoolshooters.info/sites/default/files/California-v-Houston-2007.pdf","did not graduate high school due to failed classes, previously had to repeat grades and was on an IEP")</f>
        <v>did not graduate high school due to failed classes, previously had to repeat grades and was on an IEP</v>
      </c>
      <c r="AE48" s="105" t="str">
        <f>HYPERLINK("https://schoolshooters.info/sites/default/files/California-v-Houston-2007.pdf","3")</f>
        <v>3</v>
      </c>
      <c r="AF48" s="105" t="str">
        <f t="shared" ref="AF48:AG48" si="99">HYPERLINK("https://schoolshooters.info/sites/default/files/California-v-Houston-2007.pdf","2")</f>
        <v>2</v>
      </c>
      <c r="AG48" s="105" t="str">
        <f t="shared" si="99"/>
        <v>2</v>
      </c>
      <c r="AH48" s="105" t="str">
        <f>HYPERLINK("https://schoolshooters.info/sites/default/files/California-v-Houston-2007.pdf","0")</f>
        <v>0</v>
      </c>
      <c r="AI48" s="105">
        <v>0</v>
      </c>
      <c r="AJ48" s="48">
        <v>0</v>
      </c>
      <c r="AK48" s="105">
        <v>0</v>
      </c>
      <c r="AL48" s="105">
        <v>0</v>
      </c>
      <c r="AM48" s="48">
        <v>0</v>
      </c>
      <c r="AN48" s="48" t="s">
        <v>100</v>
      </c>
      <c r="AO48" s="101" t="str">
        <f>HYPERLINK("https://schoolshooters.info/sites/default/files/California-v-Houston-2007.pdf","0")</f>
        <v>0</v>
      </c>
      <c r="AP48" s="54"/>
      <c r="AQ48" s="48">
        <v>0</v>
      </c>
      <c r="AR48" s="48">
        <v>0</v>
      </c>
      <c r="AS48" s="101" t="str">
        <f>HYPERLINK("https://schoolshooters.info/sites/default/files/California-v-Houston-2007.pdf","1")</f>
        <v>1</v>
      </c>
      <c r="AT48" s="101" t="str">
        <f>HYPERLINK("https://schoolshooters.info/sites/default/files/California-v-Houston-2007.pdf","2")</f>
        <v>2</v>
      </c>
      <c r="AU48" s="101">
        <v>1</v>
      </c>
      <c r="AV48" s="101">
        <v>3</v>
      </c>
      <c r="AW48" s="51"/>
      <c r="AX48" s="51">
        <v>0</v>
      </c>
      <c r="AY48" s="48">
        <v>0</v>
      </c>
      <c r="AZ48" s="48">
        <v>0</v>
      </c>
      <c r="BA48" s="48">
        <v>0</v>
      </c>
      <c r="BB48" s="107">
        <v>0</v>
      </c>
      <c r="BC48" s="48">
        <v>0</v>
      </c>
      <c r="BD48" s="48">
        <v>0</v>
      </c>
      <c r="BE48" s="105" t="str">
        <f>HYPERLINK("https://schoolshooters.info/sites/default/files/California-v-Houston-2007.pdf","1")</f>
        <v>1</v>
      </c>
      <c r="BF48" s="101" t="str">
        <f>HYPERLINK("https://schoolshooters.info/sites/default/files/California-v-Houston-2007.pdf","0")</f>
        <v>0</v>
      </c>
      <c r="BG48" s="101" t="str">
        <f>HYPERLINK("https://schoolshooters.info/sites/default/files/California-v-Houston-2007.pdf","5")</f>
        <v>5</v>
      </c>
      <c r="BH48" s="51">
        <v>0</v>
      </c>
      <c r="BI48" s="48">
        <v>0</v>
      </c>
      <c r="BJ48" s="105" t="str">
        <f>HYPERLINK("https://www.sacbee.com/news/local/crime/article203031444.html","1")</f>
        <v>1</v>
      </c>
      <c r="BK48" s="105">
        <v>1</v>
      </c>
      <c r="BL48" s="109">
        <v>1</v>
      </c>
      <c r="BM48" s="109">
        <v>2</v>
      </c>
      <c r="BN48" s="115" t="s">
        <v>2997</v>
      </c>
      <c r="BO48" s="115">
        <v>1</v>
      </c>
      <c r="BP48" s="111">
        <v>0</v>
      </c>
      <c r="BQ48" s="111">
        <v>1</v>
      </c>
      <c r="BR48" s="111">
        <v>0</v>
      </c>
      <c r="BS48" s="111">
        <v>0</v>
      </c>
      <c r="BT48" s="111">
        <v>1</v>
      </c>
      <c r="BU48" s="111">
        <v>0</v>
      </c>
      <c r="BV48" s="111">
        <v>0</v>
      </c>
      <c r="BW48" s="111">
        <v>1</v>
      </c>
      <c r="BX48" s="111">
        <v>0</v>
      </c>
      <c r="BY48" s="105" t="str">
        <f>HYPERLINK("https://schoolshooters.info/sites/default/files/California-v-Houston-2007.pdf","1")</f>
        <v>1</v>
      </c>
      <c r="BZ48" s="51">
        <v>0</v>
      </c>
      <c r="CA48" s="51">
        <v>0</v>
      </c>
      <c r="CB48" s="48" t="s">
        <v>100</v>
      </c>
      <c r="CC48" s="48">
        <v>0</v>
      </c>
      <c r="CD48" s="48" t="s">
        <v>100</v>
      </c>
      <c r="CE48" s="105" t="str">
        <f>HYPERLINK("https://schoolshooters.info/sites/default/files/California-v-Houston-2007.pdf","4")</f>
        <v>4</v>
      </c>
      <c r="CF48" s="105" t="str">
        <f>HYPERLINK("https://schoolshooters.info/sites/default/files/California-v-Houston-2007.pdf","2")</f>
        <v>2</v>
      </c>
      <c r="CG48" s="48">
        <v>0</v>
      </c>
      <c r="CH48" s="105" t="str">
        <f>HYPERLINK("https://schoolshooters.info/sites/default/files/California-v-Houston-2007.pdf","0")</f>
        <v>0</v>
      </c>
      <c r="CI48" s="105" t="str">
        <f>HYPERLINK("https://schoolshooters.info/sites/default/files/California-v-Houston-2007.pdf","1")</f>
        <v>1</v>
      </c>
      <c r="CJ48" s="101" t="str">
        <f>HYPERLINK("https://schoolshooters.info/sites/default/files/California-v-Houston-2007.pdf","brain damage")</f>
        <v>brain damage</v>
      </c>
      <c r="CK48" s="129">
        <v>0</v>
      </c>
      <c r="CL48" s="129"/>
      <c r="CM48" s="129"/>
      <c r="CN48" s="116">
        <v>0</v>
      </c>
      <c r="CO48" s="116">
        <v>0</v>
      </c>
      <c r="CP48" s="116">
        <v>0</v>
      </c>
      <c r="CQ48" s="116">
        <v>0</v>
      </c>
      <c r="CR48" s="118" t="str">
        <f>HYPERLINK("https://www.sacbee.com/news/local/crime/article203031444.html","1")</f>
        <v>1</v>
      </c>
      <c r="CS48" s="116">
        <v>0</v>
      </c>
      <c r="CT48" s="116">
        <v>0</v>
      </c>
      <c r="CU48" s="118" t="str">
        <f>HYPERLINK("https://www.sacbee.com/news/local/crime/article203031444.html","1")</f>
        <v>1</v>
      </c>
      <c r="CV48" s="118" t="str">
        <f>HYPERLINK("https://schoolshooters.info/sites/default/files/California-v-Houston-2007.pdf","1")</f>
        <v>1</v>
      </c>
      <c r="CW48" s="118" t="str">
        <f>HYPERLINK("https://schoolshooters.info/sites/default/files/California-v-Houston-2007.pdf","1")</f>
        <v>1</v>
      </c>
      <c r="CX48" s="116">
        <v>0</v>
      </c>
      <c r="CY48" s="116">
        <v>0</v>
      </c>
      <c r="CZ48" s="118" t="str">
        <f>HYPERLINK("https://www.latimes.com/archives/la-xpm-1992-05-02-mn-1318-story.html","0")</f>
        <v>0</v>
      </c>
      <c r="DA48" s="105" t="str">
        <f>HYPERLINK("https://schoolshooters.info/sites/default/files/California-v-Houston-2007.pdf","2")</f>
        <v>2</v>
      </c>
      <c r="DB48" s="48">
        <v>2</v>
      </c>
      <c r="DC48" s="133" t="str">
        <f>HYPERLINK("https://schoolshooters.info/sites/default/files/California-v-Houston-2007.pdf","1")</f>
        <v>1</v>
      </c>
      <c r="DD48" s="107">
        <v>0</v>
      </c>
      <c r="DE48" s="107">
        <v>5</v>
      </c>
      <c r="DF48" s="107">
        <v>1</v>
      </c>
      <c r="DG48" s="107"/>
      <c r="DH48" s="107"/>
      <c r="DI48" s="107"/>
      <c r="DJ48" s="105" t="str">
        <f>HYPERLINK("https://sacramento.cbslocal.com/2012/08/02/state-supreme-court-upholds-death-penalty-for-houston-in-lindhurst-high-rampage/","1")</f>
        <v>1</v>
      </c>
      <c r="DK48" s="48">
        <v>0</v>
      </c>
      <c r="DL48" s="48" t="s">
        <v>100</v>
      </c>
      <c r="DM48" s="105" t="str">
        <f>HYPERLINK("https://www.nbcbayarea.com/news/local/State-Court-Upholds-1993-Death-Penalty-Case-164819036.html","1")</f>
        <v>1</v>
      </c>
      <c r="DN48" s="133">
        <v>2</v>
      </c>
      <c r="DO48" s="133" t="s">
        <v>840</v>
      </c>
      <c r="DP48" s="105" t="str">
        <f>HYPERLINK("https://sacramento.cbslocal.com/2012/08/02/state-supreme-court-upholds-death-penalty-for-houston-in-lindhurst-high-rampage/","1")</f>
        <v>1</v>
      </c>
      <c r="DQ48" s="105" t="str">
        <f>HYPERLINK("https://www.latimes.com/archives/la-xpm-1992-05-02-mn-1318-story.html","0")</f>
        <v>0</v>
      </c>
      <c r="DR48" s="101" t="str">
        <f>HYPERLINK("https://schoolshooters.info/sites/default/files/California-v-Houston-2007.pdf","1")</f>
        <v>1</v>
      </c>
      <c r="DS48" s="101" t="str">
        <f>HYPERLINK("https://schoolshooters.info/sites/default/files/California-v-Houston-2007.pdf","3")</f>
        <v>3</v>
      </c>
      <c r="DT48" s="105">
        <v>2</v>
      </c>
      <c r="DU48" s="105" t="str">
        <f>HYPERLINK("https://sacramento.cbslocal.com/2012/08/02/state-supreme-court-upholds-death-penalty-for-houston-in-lindhurst-high-rampage/","1")</f>
        <v>1</v>
      </c>
      <c r="DV48" s="105" t="str">
        <f>HYPERLINK("https://sacramento.cbslocal.com/2012/08/02/state-supreme-court-upholds-death-penalty-for-houston-in-lindhurst-high-rampage/","bandoliers, ammunition belt")</f>
        <v>bandoliers, ammunition belt</v>
      </c>
      <c r="DW48" s="105">
        <v>2</v>
      </c>
      <c r="DX48" s="105" t="str">
        <f>HYPERLINK("https://sacramento.cbslocal.com/2012/08/02/state-supreme-court-upholds-death-penalty-for-houston-in-lindhurst-high-rampage/","0")</f>
        <v>0</v>
      </c>
      <c r="DY48" s="101" t="str">
        <f>HYPERLINK("https://schoolshooters.info/sites/default/files/California-v-Houston-2007.pdf","1")</f>
        <v>1</v>
      </c>
      <c r="DZ48" s="133" t="str">
        <f>HYPERLINK("https://www.nbcbayarea.com/news/local/State-Court-Upholds-1993-Death-Penalty-Case-164819036.html","1")</f>
        <v>1</v>
      </c>
    </row>
    <row r="49" spans="1:130" ht="50.25" customHeight="1">
      <c r="A49" s="96">
        <v>47</v>
      </c>
      <c r="B49" s="97" t="s">
        <v>293</v>
      </c>
      <c r="C49" s="97" t="s">
        <v>190</v>
      </c>
      <c r="D49" s="98">
        <v>33892</v>
      </c>
      <c r="E49" s="48" t="s">
        <v>178</v>
      </c>
      <c r="F49" s="119">
        <v>15</v>
      </c>
      <c r="G49" s="102">
        <v>10</v>
      </c>
      <c r="H49" s="101">
        <v>1992</v>
      </c>
      <c r="I49" s="48" t="s">
        <v>294</v>
      </c>
      <c r="J49" s="101" t="s">
        <v>295</v>
      </c>
      <c r="K49" s="102" t="str">
        <f>HYPERLINK("https://www.upi.com/Archives/1992/10/15/Gunman-kills-four-self-at-state-welfare-office/9825719121600/","32")</f>
        <v>32</v>
      </c>
      <c r="L49" s="119">
        <v>2</v>
      </c>
      <c r="M49" s="102">
        <v>2</v>
      </c>
      <c r="N49" s="102" t="str">
        <f>HYPERLINK("https://www.nytimes.com/1992/10/16/nyregion/gunman-kills-4-who-collected-child-payments.html","2")</f>
        <v>2</v>
      </c>
      <c r="O49" s="102" t="str">
        <f>HYPERLINK("https://www.nytimes.com/1992/10/16/nyregion/gunman-kills-4-who-collected-child-payments.html","0")</f>
        <v>0</v>
      </c>
      <c r="P49" s="99" t="s">
        <v>100</v>
      </c>
      <c r="Q49" s="103">
        <v>0</v>
      </c>
      <c r="R49" s="103">
        <v>0</v>
      </c>
      <c r="S49" s="102">
        <v>4</v>
      </c>
      <c r="T49" s="102" t="str">
        <f>HYPERLINK("https://www.nytimes.com/1992/10/16/nyregion/gunman-kills-4-who-collected-child-payments.html","0")</f>
        <v>0</v>
      </c>
      <c r="U49" s="101" t="str">
        <f>HYPERLINK("https://www.upi.com/Archives/1992/10/15/Gunman-kills-four-self-at-state-welfare-office/9825719121600/","0")</f>
        <v>0</v>
      </c>
      <c r="V49" s="101">
        <v>50</v>
      </c>
      <c r="W49" s="101">
        <v>0</v>
      </c>
      <c r="X49" s="51"/>
      <c r="Y49" s="101" t="str">
        <f t="shared" ref="Y49:Z49" si="100">HYPERLINK("https://www.nytimes.com/1992/10/16/nyregion/gunman-kills-4-who-collected-child-payments.html","0")</f>
        <v>0</v>
      </c>
      <c r="Z49" s="101" t="str">
        <f t="shared" si="100"/>
        <v>0</v>
      </c>
      <c r="AA49" s="51"/>
      <c r="AB49" s="51" t="s">
        <v>818</v>
      </c>
      <c r="AC49" s="51"/>
      <c r="AD49" s="51"/>
      <c r="AE49" s="51"/>
      <c r="AF49" s="101" t="str">
        <f>HYPERLINK("https://www.nytimes.com/1992/10/17/nyregion/shooting-followed-tougher-efforts-to-collect-child-support.html","2")</f>
        <v>2</v>
      </c>
      <c r="AG49" s="51"/>
      <c r="AH49" s="51"/>
      <c r="AI49" s="101" t="str">
        <f>HYPERLINK("https://www.nytimes.com/1992/10/16/nyregion/gunman-kills-4-who-collected-child-payments.html","0")</f>
        <v>0</v>
      </c>
      <c r="AJ49" s="101">
        <v>1</v>
      </c>
      <c r="AK49" s="101" t="str">
        <f>HYPERLINK("https://www.nytimes.com/1992/10/17/nyregion/shooting-followed-tougher-efforts-to-collect-child-support.html","1")</f>
        <v>1</v>
      </c>
      <c r="AL49" s="101" t="str">
        <f>HYPERLINK("https://www.nytimes.com/1992/10/17/nyregion/shooting-followed-tougher-efforts-to-collect-child-support.html","0")</f>
        <v>0</v>
      </c>
      <c r="AM49" s="101">
        <v>1</v>
      </c>
      <c r="AN49" s="101" t="str">
        <f t="shared" ref="AN49:AO49" si="101">HYPERLINK("https://www.nytimes.com/1992/10/16/nyregion/gunman-kills-4-who-collected-child-payments.html","0")</f>
        <v>0</v>
      </c>
      <c r="AO49" s="101" t="str">
        <f t="shared" si="101"/>
        <v>0</v>
      </c>
      <c r="AP49" s="54"/>
      <c r="AQ49" s="101" t="str">
        <f>HYPERLINK("https://www.nytimes.com/1992/10/17/nyregion/shooting-followed-tougher-efforts-to-collect-child-support.html","1")</f>
        <v>1</v>
      </c>
      <c r="AR49" s="51">
        <v>0</v>
      </c>
      <c r="AS49" s="101" t="str">
        <f t="shared" ref="AS49:AT49" si="102">HYPERLINK("https://www.nytimes.com/1992/10/17/nyregion/shooting-followed-tougher-efforts-to-collect-child-support.html","1")</f>
        <v>1</v>
      </c>
      <c r="AT49" s="101" t="str">
        <f t="shared" si="102"/>
        <v>1</v>
      </c>
      <c r="AU49" s="101">
        <v>1</v>
      </c>
      <c r="AV49" s="51"/>
      <c r="AW49" s="51"/>
      <c r="AX49" s="51">
        <v>0</v>
      </c>
      <c r="AY49" s="51">
        <v>0</v>
      </c>
      <c r="AZ49" s="51">
        <v>0</v>
      </c>
      <c r="BA49" s="51">
        <v>0</v>
      </c>
      <c r="BB49" s="51">
        <v>0</v>
      </c>
      <c r="BC49" s="51">
        <v>0</v>
      </c>
      <c r="BD49" s="51">
        <v>0</v>
      </c>
      <c r="BE49" s="51"/>
      <c r="BF49" s="51"/>
      <c r="BG49" s="51"/>
      <c r="BH49" s="51"/>
      <c r="BI49" s="51">
        <v>0</v>
      </c>
      <c r="BJ49" s="101">
        <v>0</v>
      </c>
      <c r="BK49" s="101" t="str">
        <f>HYPERLINK("https://www.nytimes.com/1992/10/17/nyregion/shooting-followed-tougher-efforts-to-collect-child-support.html","0")</f>
        <v>0</v>
      </c>
      <c r="BL49" s="108">
        <v>1</v>
      </c>
      <c r="BM49" s="109">
        <v>0</v>
      </c>
      <c r="BN49" s="115" t="s">
        <v>2998</v>
      </c>
      <c r="BO49" s="115">
        <v>1</v>
      </c>
      <c r="BP49" s="111">
        <v>0</v>
      </c>
      <c r="BQ49" s="111">
        <v>0</v>
      </c>
      <c r="BR49" s="111">
        <v>0</v>
      </c>
      <c r="BS49" s="111">
        <v>0</v>
      </c>
      <c r="BT49" s="111">
        <v>1</v>
      </c>
      <c r="BU49" s="111">
        <v>0</v>
      </c>
      <c r="BV49" s="111">
        <v>0</v>
      </c>
      <c r="BW49" s="111">
        <v>0</v>
      </c>
      <c r="BX49" s="111">
        <v>0</v>
      </c>
      <c r="BY49" s="101" t="str">
        <f>HYPERLINK("https://www.nytimes.com/1992/10/16/nyregion/gunman-kills-4-who-collected-child-payments.html","1")</f>
        <v>1</v>
      </c>
      <c r="BZ49" s="51">
        <v>0</v>
      </c>
      <c r="CA49" s="101">
        <v>1</v>
      </c>
      <c r="CB49" s="101" t="str">
        <f>HYPERLINK("https://www.nytimes.com/1992/10/17/nyregion/shooting-followed-tougher-efforts-to-collect-child-support.html","1")</f>
        <v>1</v>
      </c>
      <c r="CC49" s="51">
        <v>0</v>
      </c>
      <c r="CD49" s="101" t="str">
        <f>HYPERLINK("https://www.nytimes.com/1992/10/17/nyregion/shooting-followed-tougher-efforts-to-collect-child-support.html","0")</f>
        <v>0</v>
      </c>
      <c r="CE49" s="51">
        <v>0</v>
      </c>
      <c r="CF49" s="107">
        <v>0</v>
      </c>
      <c r="CG49" s="51">
        <v>0</v>
      </c>
      <c r="CH49" s="101" t="str">
        <f>HYPERLINK("https://www.nytimes.com/1992/10/17/nyregion/shooting-followed-tougher-efforts-to-collect-child-support.html","5")</f>
        <v>5</v>
      </c>
      <c r="CI49" s="51">
        <v>0</v>
      </c>
      <c r="CJ49" s="51" t="s">
        <v>100</v>
      </c>
      <c r="CK49" s="113">
        <v>0</v>
      </c>
      <c r="CL49" s="113"/>
      <c r="CM49" s="113"/>
      <c r="CN49" s="110">
        <v>0</v>
      </c>
      <c r="CO49" s="110">
        <v>0</v>
      </c>
      <c r="CP49" s="110">
        <v>0</v>
      </c>
      <c r="CQ49" s="110">
        <v>0</v>
      </c>
      <c r="CR49" s="110">
        <v>0</v>
      </c>
      <c r="CS49" s="108" t="str">
        <f t="shared" ref="CS49:CT49" si="103">HYPERLINK("https://www.apnews.com/20cc1c416bdef14d0971d278359bc1be","1")</f>
        <v>1</v>
      </c>
      <c r="CT49" s="108" t="str">
        <f t="shared" si="103"/>
        <v>1</v>
      </c>
      <c r="CU49" s="110">
        <v>0</v>
      </c>
      <c r="CV49" s="108">
        <v>0</v>
      </c>
      <c r="CW49" s="110">
        <v>0</v>
      </c>
      <c r="CX49" s="110">
        <v>0</v>
      </c>
      <c r="CY49" s="110">
        <v>0</v>
      </c>
      <c r="CZ49" s="108" t="str">
        <f>HYPERLINK("https://www.nytimes.com/1992/10/17/nyregion/shooting-followed-tougher-efforts-to-collect-child-support.html","0")</f>
        <v>0</v>
      </c>
      <c r="DA49" s="51">
        <v>0</v>
      </c>
      <c r="DB49" s="51">
        <v>2</v>
      </c>
      <c r="DC49" s="101" t="str">
        <f>HYPERLINK("https://www.nytimes.com/1992/10/17/nyregion/shooting-followed-tougher-efforts-to-collect-child-support.html","0")</f>
        <v>0</v>
      </c>
      <c r="DD49" s="51"/>
      <c r="DE49" s="51"/>
      <c r="DF49" s="51"/>
      <c r="DG49" s="51"/>
      <c r="DH49" s="51"/>
      <c r="DI49" s="51"/>
      <c r="DJ49" s="51">
        <v>0</v>
      </c>
      <c r="DK49" s="51">
        <v>0</v>
      </c>
      <c r="DL49" s="48" t="s">
        <v>100</v>
      </c>
      <c r="DM49" s="101" t="str">
        <f>HYPERLINK("https://www.nytimes.com/1992/10/16/nyregion/gunman-kills-4-who-collected-child-payments.html","1")</f>
        <v>1</v>
      </c>
      <c r="DN49" s="51">
        <v>0</v>
      </c>
      <c r="DO49" s="51" t="s">
        <v>100</v>
      </c>
      <c r="DP49" s="101" t="str">
        <f>HYPERLINK("https://www.nytimes.com/1992/10/17/nyregion/shooting-followed-tougher-efforts-to-collect-child-support.html","0")</f>
        <v>0</v>
      </c>
      <c r="DQ49" s="101" t="str">
        <f>HYPERLINK("https://www.nytimes.com/1992/10/16/nyregion/gunman-kills-4-who-collected-child-payments.html","0")</f>
        <v>0</v>
      </c>
      <c r="DR49" s="101" t="str">
        <f>HYPERLINK("https://www.nytimes.com/1992/10/17/nyregion/shooting-followed-tougher-efforts-to-collect-child-support.html","0")</f>
        <v>0</v>
      </c>
      <c r="DS49" s="101" t="str">
        <f>HYPERLINK("https://www.nytimes.com/1992/10/16/nyregion/gunman-kills-4-who-collected-child-payments.html","3")</f>
        <v>3</v>
      </c>
      <c r="DT49" s="101" t="str">
        <f t="shared" ref="DT49" si="104">HYPERLINK("https://www.nytimes.com/1992/10/17/nyregion/shooting-followed-tougher-efforts-to-collect-child-support.html","1")</f>
        <v>1</v>
      </c>
      <c r="DU49" s="101" t="str">
        <f>HYPERLINK("https://www.nytimes.com/1992/10/16/nyregion/gunman-kills-4-who-collected-child-payments.html","0")</f>
        <v>0</v>
      </c>
      <c r="DV49" s="48" t="s">
        <v>100</v>
      </c>
      <c r="DW49" s="101" t="str">
        <f t="shared" ref="DW49:DX49" si="105">HYPERLINK("https://www.upi.com/Archives/1992/10/15/Gunman-kills-four-self-at-state-welfare-office/9825719121600/","0")</f>
        <v>0</v>
      </c>
      <c r="DX49" s="101" t="str">
        <f t="shared" si="105"/>
        <v>0</v>
      </c>
      <c r="DY49" s="51">
        <v>2</v>
      </c>
      <c r="DZ49" s="48">
        <v>0</v>
      </c>
    </row>
    <row r="50" spans="1:130" ht="50.25" customHeight="1">
      <c r="A50" s="96">
        <v>48</v>
      </c>
      <c r="B50" s="97" t="s">
        <v>296</v>
      </c>
      <c r="C50" s="97" t="s">
        <v>297</v>
      </c>
      <c r="D50" s="98">
        <v>33916</v>
      </c>
      <c r="E50" s="48" t="s">
        <v>137</v>
      </c>
      <c r="F50" s="99">
        <v>8</v>
      </c>
      <c r="G50" s="100" t="str">
        <f>HYPERLINK("https://www.nytimes.com/1992/11/09/us/gunman-kills-6-then-himself-in-california.html","11")</f>
        <v>11</v>
      </c>
      <c r="H50" s="105" t="str">
        <f>HYPERLINK("https://www.nytimes.com/1992/11/09/us/gunman-kills-6-then-himself-in-california.html","1992")</f>
        <v>1992</v>
      </c>
      <c r="I50" s="48" t="s">
        <v>298</v>
      </c>
      <c r="J50" s="105" t="str">
        <f>HYPERLINK("https://www.upi.com/Archives/1992/11/09/Man-kills-six-in-shooting-spree-takes-own-life/8024721285200/","Morro Bay")</f>
        <v>Morro Bay</v>
      </c>
      <c r="K50" s="100" t="str">
        <f>HYPERLINK("https://www.upi.com/Archives/1992/11/09/Man-kills-six-in-shooting-spree-takes-own-life/8024721285200/","5")</f>
        <v>5</v>
      </c>
      <c r="L50" s="100" t="str">
        <f>HYPERLINK("https://www.upi.com/Archives/1992/11/09/Man-kills-six-in-shooting-spree-takes-own-life/8024721285200/","3")</f>
        <v>3</v>
      </c>
      <c r="M50" s="100" t="str">
        <f>HYPERLINK("https://news.google.com/newspapers?id=_SdZAAAAIBAJ&amp;sjid=C0cNAAAAIBAJ&amp;pg=6601,992534&amp;dq=","1")</f>
        <v>1</v>
      </c>
      <c r="N50" s="100" t="str">
        <f>HYPERLINK("https://www.nytimes.com/1992/11/09/us/gunman-kills-6-then-himself-in-california.html","7")</f>
        <v>7</v>
      </c>
      <c r="O50" s="100">
        <v>1</v>
      </c>
      <c r="P50" s="100" t="str">
        <f>HYPERLINK("https://www.nytimes.com/1992/11/09/us/gunman-kills-6-then-himself-in-california.html","4")</f>
        <v>4</v>
      </c>
      <c r="Q50" s="103">
        <v>0</v>
      </c>
      <c r="R50" s="103">
        <v>0</v>
      </c>
      <c r="S50" s="100" t="str">
        <f>HYPERLINK("https://www.nytimes.com/1992/11/09/us/gunman-kills-6-then-himself-in-california.html","6")</f>
        <v>6</v>
      </c>
      <c r="T50" s="100">
        <v>1</v>
      </c>
      <c r="U50" s="105" t="str">
        <f>HYPERLINK("https://www.nytimes.com/1992/11/09/us/gunman-kills-6-then-himself-in-california.html","1")</f>
        <v>1</v>
      </c>
      <c r="V50" s="105" t="str">
        <f>HYPERLINK("https://www.nytimes.com/1992/11/09/us/gunman-kills-6-then-himself-in-california.html","43")</f>
        <v>43</v>
      </c>
      <c r="W50" s="105" t="str">
        <f>HYPERLINK("https://www.nytimes.com/1992/11/09/us/gunman-kills-6-then-himself-in-california.html","0")</f>
        <v>0</v>
      </c>
      <c r="X50" s="48">
        <v>0</v>
      </c>
      <c r="Y50" s="48">
        <v>0</v>
      </c>
      <c r="Z50" s="105">
        <v>0</v>
      </c>
      <c r="AA50" s="105" t="str">
        <f>HYPERLINK("https://news.google.com/newspapers?id=_SdZAAAAIBAJ&amp;sjid=C0cNAAAAIBAJ&amp;pg=6601,992534&amp;dq=","1")</f>
        <v>1</v>
      </c>
      <c r="AB50" s="48"/>
      <c r="AC50" s="51"/>
      <c r="AD50" s="51"/>
      <c r="AE50" s="48"/>
      <c r="AF50" s="105" t="str">
        <f>HYPERLINK("https://apnews.com/e7c32111c3c37566de67088b63102bce","1")</f>
        <v>1</v>
      </c>
      <c r="AG50" s="48"/>
      <c r="AH50" s="48"/>
      <c r="AI50" s="105">
        <v>3</v>
      </c>
      <c r="AJ50" s="105">
        <v>1</v>
      </c>
      <c r="AK50" s="105" t="str">
        <f t="shared" ref="AK50:AL50" si="106">HYPERLINK("https://news.google.com/newspapers?id=_SdZAAAAIBAJ&amp;sjid=C0cNAAAAIBAJ&amp;pg=6601,992534&amp;dq=","0")</f>
        <v>0</v>
      </c>
      <c r="AL50" s="105" t="str">
        <f t="shared" si="106"/>
        <v>0</v>
      </c>
      <c r="AM50" s="48">
        <v>0</v>
      </c>
      <c r="AN50" s="48" t="s">
        <v>100</v>
      </c>
      <c r="AO50" s="101" t="str">
        <f>HYPERLINK("https://news.google.com/newspapers?id=ewxSAAAAIBAJ&amp;sjid=HzUNAAAAIBAJ&amp;pg=1197,1880127&amp;dq=","1")</f>
        <v>1</v>
      </c>
      <c r="AP50" s="145" t="str">
        <f>HYPERLINK("https://news.google.com/newspapers?id=ewxSAAAAIBAJ&amp;sjid=HzUNAAAAIBAJ&amp;pg=1197,1880127&amp;dq=","church, gambling at a card room")</f>
        <v>church, gambling at a card room</v>
      </c>
      <c r="AQ50" s="105">
        <v>1</v>
      </c>
      <c r="AR50" s="48">
        <v>0</v>
      </c>
      <c r="AS50" s="101">
        <v>1</v>
      </c>
      <c r="AT50" s="48">
        <v>0</v>
      </c>
      <c r="AU50" s="48" t="s">
        <v>100</v>
      </c>
      <c r="AV50" s="48" t="s">
        <v>100</v>
      </c>
      <c r="AW50" s="48" t="s">
        <v>100</v>
      </c>
      <c r="AX50" s="48">
        <v>0</v>
      </c>
      <c r="AY50" s="48">
        <v>0</v>
      </c>
      <c r="AZ50" s="48">
        <v>0</v>
      </c>
      <c r="BA50" s="48">
        <v>0</v>
      </c>
      <c r="BB50" s="51">
        <v>0</v>
      </c>
      <c r="BC50" s="48"/>
      <c r="BD50" s="48"/>
      <c r="BE50" s="105">
        <v>0</v>
      </c>
      <c r="BF50" s="48">
        <v>0</v>
      </c>
      <c r="BG50" s="48" t="s">
        <v>818</v>
      </c>
      <c r="BH50" s="48"/>
      <c r="BI50" s="48">
        <v>0</v>
      </c>
      <c r="BJ50" s="105">
        <v>1</v>
      </c>
      <c r="BK50" s="48">
        <v>0</v>
      </c>
      <c r="BL50" s="118" t="str">
        <f>HYPERLINK("https://news.google.com/newspapers?id=_SdZAAAAIBAJ&amp;sjid=C0cNAAAAIBAJ&amp;pg=6601,992534&amp;dq=","1")</f>
        <v>1</v>
      </c>
      <c r="BM50" s="127">
        <v>2</v>
      </c>
      <c r="BN50" s="115" t="s">
        <v>3071</v>
      </c>
      <c r="BO50" s="111">
        <v>1</v>
      </c>
      <c r="BP50" s="111">
        <v>0</v>
      </c>
      <c r="BQ50" s="111">
        <v>1</v>
      </c>
      <c r="BR50" s="111">
        <v>0</v>
      </c>
      <c r="BS50" s="111">
        <v>0</v>
      </c>
      <c r="BT50" s="111">
        <v>1</v>
      </c>
      <c r="BU50" s="111">
        <v>1</v>
      </c>
      <c r="BV50" s="111">
        <v>1</v>
      </c>
      <c r="BW50" s="111">
        <v>1</v>
      </c>
      <c r="BX50" s="111">
        <v>1</v>
      </c>
      <c r="BY50" s="105" t="str">
        <f>HYPERLINK("https://news.google.com/newspapers?id=_SdZAAAAIBAJ&amp;sjid=C0cNAAAAIBAJ&amp;pg=6601,992534&amp;dq=","1")</f>
        <v>1</v>
      </c>
      <c r="BZ50" s="48">
        <v>0</v>
      </c>
      <c r="CA50" s="126">
        <v>0</v>
      </c>
      <c r="CB50" s="48" t="s">
        <v>100</v>
      </c>
      <c r="CC50" s="48"/>
      <c r="CD50" s="48" t="s">
        <v>100</v>
      </c>
      <c r="CE50" s="48">
        <v>0</v>
      </c>
      <c r="CF50" s="52">
        <v>0</v>
      </c>
      <c r="CG50" s="48">
        <v>0</v>
      </c>
      <c r="CH50" s="48">
        <v>0</v>
      </c>
      <c r="CI50" s="105">
        <v>1</v>
      </c>
      <c r="CJ50" s="101" t="s">
        <v>842</v>
      </c>
      <c r="CK50" s="129">
        <v>0</v>
      </c>
      <c r="CL50" s="129"/>
      <c r="CM50" s="129"/>
      <c r="CN50" s="116">
        <v>0</v>
      </c>
      <c r="CO50" s="116">
        <v>0</v>
      </c>
      <c r="CP50" s="116">
        <v>0</v>
      </c>
      <c r="CQ50" s="116">
        <v>0</v>
      </c>
      <c r="CR50" s="116">
        <v>0</v>
      </c>
      <c r="CS50" s="127">
        <v>1</v>
      </c>
      <c r="CT50" s="127">
        <v>1</v>
      </c>
      <c r="CU50" s="127">
        <v>1</v>
      </c>
      <c r="CV50" s="127">
        <v>1</v>
      </c>
      <c r="CW50" s="116">
        <v>0</v>
      </c>
      <c r="CX50" s="116">
        <v>0</v>
      </c>
      <c r="CY50" s="116">
        <v>0</v>
      </c>
      <c r="CZ50" s="118" t="str">
        <f>HYPERLINK("https://news.google.com/newspapers?id=_SdZAAAAIBAJ&amp;sjid=C0cNAAAAIBAJ&amp;pg=6601,992534&amp;dq=","0")</f>
        <v>0</v>
      </c>
      <c r="DA50" s="48">
        <v>0</v>
      </c>
      <c r="DB50" s="48">
        <v>2</v>
      </c>
      <c r="DC50" s="105">
        <v>1</v>
      </c>
      <c r="DD50" s="51">
        <v>0</v>
      </c>
      <c r="DE50" s="107">
        <v>9</v>
      </c>
      <c r="DF50" s="51">
        <v>0</v>
      </c>
      <c r="DG50" s="51"/>
      <c r="DH50" s="51"/>
      <c r="DI50" s="51"/>
      <c r="DJ50" s="48">
        <v>0</v>
      </c>
      <c r="DK50" s="48">
        <v>0</v>
      </c>
      <c r="DL50" s="48" t="s">
        <v>100</v>
      </c>
      <c r="DM50" s="105">
        <v>1</v>
      </c>
      <c r="DN50" s="48">
        <v>0</v>
      </c>
      <c r="DO50" s="48" t="s">
        <v>100</v>
      </c>
      <c r="DP50" s="105">
        <v>0</v>
      </c>
      <c r="DQ50" s="105" t="str">
        <f>HYPERLINK("https://www.nytimes.com/1992/11/09/us/gunman-kills-6-then-himself-in-california.html","0")</f>
        <v>0</v>
      </c>
      <c r="DR50" s="48">
        <v>0</v>
      </c>
      <c r="DS50" s="51"/>
      <c r="DT50" s="105">
        <v>2</v>
      </c>
      <c r="DU50" s="105">
        <v>0</v>
      </c>
      <c r="DV50" s="48" t="s">
        <v>100</v>
      </c>
      <c r="DW50" s="105" t="str">
        <f>HYPERLINK("https://www.upi.com/Archives/1992/11/09/Man-kills-six-in-shooting-spree-takes-own-life/8024721285200/","0")</f>
        <v>0</v>
      </c>
      <c r="DX50" s="105" t="str">
        <f>HYPERLINK("https://www.nytimes.com/1992/11/09/us/gunman-kills-6-then-himself-in-california.html","0")</f>
        <v>0</v>
      </c>
      <c r="DY50" s="48">
        <v>2</v>
      </c>
      <c r="DZ50" s="48">
        <v>0</v>
      </c>
    </row>
    <row r="51" spans="1:130" ht="50.25" customHeight="1">
      <c r="A51" s="96">
        <v>49</v>
      </c>
      <c r="B51" s="97" t="s">
        <v>300</v>
      </c>
      <c r="C51" s="97" t="s">
        <v>301</v>
      </c>
      <c r="D51" s="98">
        <v>34151</v>
      </c>
      <c r="E51" s="48" t="s">
        <v>178</v>
      </c>
      <c r="F51" s="119">
        <v>1</v>
      </c>
      <c r="G51" s="102" t="str">
        <f>HYPERLINK("http://www.ktvu.com/news/101-california-street-shooting-sparked-change-in-gun-laws","7")</f>
        <v>7</v>
      </c>
      <c r="H51" s="101">
        <v>1993</v>
      </c>
      <c r="I51" s="48" t="s">
        <v>302</v>
      </c>
      <c r="J51" s="101" t="str">
        <f>HYPERLINK("http://www.ktvu.com/news/101-california-street-shooting-sparked-change-in-gun-laws","San Francisco")</f>
        <v>San Francisco</v>
      </c>
      <c r="K51" s="102" t="str">
        <f>HYPERLINK("http://www.ktvu.com/news/101-california-street-shooting-sparked-change-in-gun-laws","5")</f>
        <v>5</v>
      </c>
      <c r="L51" s="119">
        <v>3</v>
      </c>
      <c r="M51" s="102">
        <v>0</v>
      </c>
      <c r="N51" s="122" t="str">
        <f>HYPERLINK("https://www.nytimes.com/1993/07/03/us/the-broker-who-killed-8-gunman-s-motives-a-puzzle.html","6")</f>
        <v>6</v>
      </c>
      <c r="O51" s="102" t="str">
        <f>HYPERLINK("https://www.nytimes.com/1993/07/03/us/the-broker-who-killed-8-gunman-s-motives-a-puzzle.html","0")</f>
        <v>0</v>
      </c>
      <c r="P51" s="99" t="s">
        <v>100</v>
      </c>
      <c r="Q51" s="103">
        <v>0</v>
      </c>
      <c r="R51" s="103">
        <v>0</v>
      </c>
      <c r="S51" s="102" t="str">
        <f>HYPERLINK("https://www.nytimes.com/1993/07/03/us/the-broker-who-killed-8-gunman-s-motives-a-puzzle.html","8")</f>
        <v>8</v>
      </c>
      <c r="T51" s="102" t="str">
        <f>HYPERLINK("https://www.nytimes.com/1993/07/03/us/the-broker-who-killed-8-gunman-s-motives-a-puzzle.html","6")</f>
        <v>6</v>
      </c>
      <c r="U51" s="101" t="str">
        <f>HYPERLINK("https://www.nytimes.com/1993/07/03/us/the-broker-who-killed-8-gunman-s-motives-a-puzzle.html","0")</f>
        <v>0</v>
      </c>
      <c r="V51" s="101">
        <v>55</v>
      </c>
      <c r="W51" s="101">
        <v>0</v>
      </c>
      <c r="X51" s="101">
        <v>0</v>
      </c>
      <c r="Y51" s="101">
        <v>1</v>
      </c>
      <c r="Z51" s="101" t="str">
        <f>HYPERLINK("https://www.latimes.com/archives/la-xpm-1993-07-03-mn-10731-story.html","0")</f>
        <v>0</v>
      </c>
      <c r="AA51" s="101" t="str">
        <f>HYPERLINK("https://www.latimes.com/archives/la-xpm-1993-07-03-mn-10731-story.html","1")</f>
        <v>1</v>
      </c>
      <c r="AB51" s="101" t="str">
        <f>HYPERLINK("https://www.latimes.com/archives/la-xpm-1993-07-03-mn-10731-story.html","4")</f>
        <v>4</v>
      </c>
      <c r="AC51" s="51"/>
      <c r="AD51" s="51"/>
      <c r="AE51" s="51"/>
      <c r="AF51" s="101" t="str">
        <f>HYPERLINK("https://www.upi.com/Archives/1993/07/14/Gunman-in-high-rise-massacre-to-be-cremated/9996742622400/","1")</f>
        <v>1</v>
      </c>
      <c r="AG51" s="51"/>
      <c r="AH51" s="51"/>
      <c r="AI51" s="101">
        <v>3</v>
      </c>
      <c r="AJ51" s="101" t="str">
        <f>HYPERLINK("https://www.chicagotribune.com/news/ct-xpm-1993-07-04-9307040062-story.html","0")</f>
        <v>0</v>
      </c>
      <c r="AK51" s="101" t="str">
        <f t="shared" ref="AK51:AL51" si="107">HYPERLINK("http://articles.latimes.com/1993-07-03/news/mn-10731_1_mortgage-business","1")</f>
        <v>1</v>
      </c>
      <c r="AL51" s="101" t="str">
        <f t="shared" si="107"/>
        <v>1</v>
      </c>
      <c r="AM51" s="51">
        <v>0</v>
      </c>
      <c r="AN51" s="48" t="s">
        <v>100</v>
      </c>
      <c r="AO51" s="146"/>
      <c r="AP51" s="146"/>
      <c r="AQ51" s="101" t="str">
        <f>HYPERLINK("https://www.chicagotribune.com/news/ct-xpm-1993-07-04-9307040062-story.html","0")</f>
        <v>0</v>
      </c>
      <c r="AR51" s="51">
        <v>0</v>
      </c>
      <c r="AS51" s="101" t="str">
        <f>HYPERLINK("http://articles.latimes.com/1993-07-03/news/mn-10731_1_mortgage-business","0")</f>
        <v>0</v>
      </c>
      <c r="AT51" s="51">
        <v>0</v>
      </c>
      <c r="AU51" s="51" t="s">
        <v>100</v>
      </c>
      <c r="AV51" s="51" t="s">
        <v>100</v>
      </c>
      <c r="AW51" s="51" t="s">
        <v>100</v>
      </c>
      <c r="AX51" s="51">
        <v>0</v>
      </c>
      <c r="AY51" s="51">
        <v>0</v>
      </c>
      <c r="AZ51" s="51">
        <v>0</v>
      </c>
      <c r="BA51" s="51">
        <v>0</v>
      </c>
      <c r="BB51" s="107">
        <v>0</v>
      </c>
      <c r="BC51" s="101" t="str">
        <f>HYPERLINK("https://www.latimes.com/archives/la-xpm-1993-07-03-mn-10731-story.html","0")</f>
        <v>0</v>
      </c>
      <c r="BD51" s="51">
        <v>0</v>
      </c>
      <c r="BE51" s="51"/>
      <c r="BF51" s="51"/>
      <c r="BG51" s="51"/>
      <c r="BH51" s="51"/>
      <c r="BI51" s="51">
        <v>0</v>
      </c>
      <c r="BJ51" s="101">
        <v>0</v>
      </c>
      <c r="BK51" s="101">
        <v>1</v>
      </c>
      <c r="BL51" s="109">
        <v>1</v>
      </c>
      <c r="BM51" s="109">
        <v>2</v>
      </c>
      <c r="BN51" s="115" t="s">
        <v>2999</v>
      </c>
      <c r="BO51" s="111">
        <v>1</v>
      </c>
      <c r="BP51" s="111">
        <v>0</v>
      </c>
      <c r="BQ51" s="111">
        <v>0</v>
      </c>
      <c r="BR51" s="111">
        <v>0</v>
      </c>
      <c r="BS51" s="111">
        <v>0</v>
      </c>
      <c r="BT51" s="111">
        <v>0</v>
      </c>
      <c r="BU51" s="111">
        <v>0</v>
      </c>
      <c r="BV51" s="111">
        <v>1</v>
      </c>
      <c r="BW51" s="147">
        <v>1</v>
      </c>
      <c r="BX51" s="111">
        <v>1</v>
      </c>
      <c r="BY51" s="101" t="str">
        <f>HYPERLINK("https://www.nytimes.com/1993/07/03/us/the-broker-who-killed-8-gunman-s-motives-a-puzzle.html","2")</f>
        <v>2</v>
      </c>
      <c r="BZ51" s="51">
        <v>0</v>
      </c>
      <c r="CA51" s="51">
        <v>0</v>
      </c>
      <c r="CB51" s="51" t="s">
        <v>100</v>
      </c>
      <c r="CC51" s="51">
        <v>0</v>
      </c>
      <c r="CD51" s="51" t="s">
        <v>100</v>
      </c>
      <c r="CE51" s="101" t="str">
        <f>HYPERLINK("https://www.chicagotribune.com/news/ct-xpm-1993-07-04-9307040062-story.html","5")</f>
        <v>5</v>
      </c>
      <c r="CF51" s="107">
        <v>0</v>
      </c>
      <c r="CG51" s="51">
        <v>0</v>
      </c>
      <c r="CH51" s="51">
        <v>0</v>
      </c>
      <c r="CI51" s="51">
        <v>0</v>
      </c>
      <c r="CJ51" s="51" t="s">
        <v>100</v>
      </c>
      <c r="CK51" s="113">
        <v>0</v>
      </c>
      <c r="CL51" s="113"/>
      <c r="CM51" s="113"/>
      <c r="CN51" s="110">
        <v>0</v>
      </c>
      <c r="CO51" s="110">
        <v>0</v>
      </c>
      <c r="CP51" s="110">
        <v>0</v>
      </c>
      <c r="CQ51" s="110">
        <v>0</v>
      </c>
      <c r="CR51" s="110">
        <v>0</v>
      </c>
      <c r="CS51" s="109">
        <v>1</v>
      </c>
      <c r="CT51" s="109">
        <v>1</v>
      </c>
      <c r="CU51" s="110">
        <v>0</v>
      </c>
      <c r="CV51" s="110">
        <v>0</v>
      </c>
      <c r="CW51" s="110">
        <v>0</v>
      </c>
      <c r="CX51" s="108" t="str">
        <f>HYPERLINK("https://www.chicagotribune.com/news/ct-xpm-1993-07-04-9307040062-story.html","1")</f>
        <v>1</v>
      </c>
      <c r="CY51" s="110">
        <v>0</v>
      </c>
      <c r="CZ51" s="108" t="str">
        <f>HYPERLINK("https://www.chicagotribune.com/news/ct-xpm-1993-07-04-9307040062-story.html","0")</f>
        <v>0</v>
      </c>
      <c r="DA51" s="101" t="str">
        <f>HYPERLINK("https://www.chicagotribune.com/news/ct-xpm-1993-07-04-9307040062-story.html","2")</f>
        <v>2</v>
      </c>
      <c r="DB51" s="51">
        <v>2</v>
      </c>
      <c r="DC51" s="101" t="str">
        <f>HYPERLINK("https://www.nytimes.com/1993/07/03/us/the-broker-who-killed-8-gunman-s-motives-a-puzzle.html","0")</f>
        <v>0</v>
      </c>
      <c r="DD51" s="51"/>
      <c r="DE51" s="51"/>
      <c r="DF51" s="51"/>
      <c r="DG51" s="51"/>
      <c r="DH51" s="51"/>
      <c r="DI51" s="51"/>
      <c r="DJ51" s="51">
        <v>0</v>
      </c>
      <c r="DK51" s="51">
        <v>0</v>
      </c>
      <c r="DL51" s="48" t="s">
        <v>100</v>
      </c>
      <c r="DM51" s="101" t="str">
        <f>HYPERLINK("https://www.chicagotribune.com/news/ct-xpm-1993-07-04-9307040062-story.html","1")</f>
        <v>1</v>
      </c>
      <c r="DN51" s="51">
        <v>0</v>
      </c>
      <c r="DO51" s="51" t="s">
        <v>100</v>
      </c>
      <c r="DP51" s="51">
        <v>0</v>
      </c>
      <c r="DQ51" s="101" t="str">
        <f>HYPERLINK("https://www.nytimes.com/1993/07/03/us/the-broker-who-killed-8-gunman-s-motives-a-puzzle.html","0")</f>
        <v>0</v>
      </c>
      <c r="DR51" s="101" t="str">
        <f>HYPERLINK("https://www.latimes.com/archives/la-xpm-1993-07-03-mn-10731-story.html","0")</f>
        <v>0</v>
      </c>
      <c r="DS51" s="101" t="str">
        <f>HYPERLINK("https://www.latimes.com/archives/la-xpm-1993-07-07-mn-10800-story.html","1")</f>
        <v>1</v>
      </c>
      <c r="DT51" s="101" t="str">
        <f t="shared" ref="DT51" si="108">HYPERLINK("https://www.nytimes.com/1993/07/03/us/the-broker-who-killed-8-gunman-s-motives-a-puzzle.html","3")</f>
        <v>3</v>
      </c>
      <c r="DU51" s="101" t="str">
        <f>HYPERLINK("http://www.ktvu.com/news/101-california-street-shooting-sparked-change-in-gun-laws","1")</f>
        <v>1</v>
      </c>
      <c r="DV51" s="101" t="str">
        <f>HYPERLINK("http://www.ktvu.com/news/101-california-street-shooting-sparked-change-in-gun-laws","ear protection")</f>
        <v>ear protection</v>
      </c>
      <c r="DW51" s="101">
        <v>0</v>
      </c>
      <c r="DX51" s="101" t="str">
        <f>HYPERLINK("https://www.nytimes.com/1993/07/03/us/the-broker-who-killed-8-gunman-s-motives-a-puzzle.html","0")</f>
        <v>0</v>
      </c>
      <c r="DY51" s="51">
        <v>2</v>
      </c>
      <c r="DZ51" s="48">
        <v>0</v>
      </c>
    </row>
    <row r="52" spans="1:130" ht="50.25" customHeight="1">
      <c r="A52" s="96">
        <v>50</v>
      </c>
      <c r="B52" s="97" t="s">
        <v>305</v>
      </c>
      <c r="C52" s="97" t="s">
        <v>306</v>
      </c>
      <c r="D52" s="98">
        <v>34187</v>
      </c>
      <c r="E52" s="48" t="s">
        <v>157</v>
      </c>
      <c r="F52" s="119">
        <v>6</v>
      </c>
      <c r="G52" s="102">
        <v>8</v>
      </c>
      <c r="H52" s="101">
        <v>1993</v>
      </c>
      <c r="I52" s="48" t="s">
        <v>307</v>
      </c>
      <c r="J52" s="101" t="s">
        <v>308</v>
      </c>
      <c r="K52" s="102">
        <v>33</v>
      </c>
      <c r="L52" s="102" t="str">
        <f>HYPERLINK("https://www.washingtonpost.com/archive/politics/1993/08/08/4-killed-when-gunman-opens-fire-in-restaurant/7120b492-adee-440b-b5bd-318e934c8c5a/?utm_term=.51977e8f43b7","0")</f>
        <v>0</v>
      </c>
      <c r="M52" s="102">
        <v>0</v>
      </c>
      <c r="N52" s="102" t="str">
        <f>HYPERLINK("https://www.nytimes.com/1993/08/08/us/soldier-kills-4-people-and-hurts-6-in-a-restaurant-in-north-carolina.html","5")</f>
        <v>5</v>
      </c>
      <c r="O52" s="102" t="str">
        <f>HYPERLINK("https://www.washingtonpost.com/archive/politics/1993/08/08/4-killed-when-gunman-opens-fire-in-restaurant/7120b492-adee-440b-b5bd-318e934c8c5a/?utm_term=.95bf44d27ed8","0")</f>
        <v>0</v>
      </c>
      <c r="P52" s="99" t="s">
        <v>100</v>
      </c>
      <c r="Q52" s="103">
        <v>0</v>
      </c>
      <c r="R52" s="103">
        <v>0</v>
      </c>
      <c r="S52" s="102">
        <v>4</v>
      </c>
      <c r="T52" s="102" t="str">
        <f>HYPERLINK("https://www.washingtonpost.com/archive/politics/1993/08/08/4-killed-when-gunman-opens-fire-in-restaurant/7120b492-adee-440b-b5bd-318e934c8c5a/?utm_term=.95bf44d27ed8","7")</f>
        <v>7</v>
      </c>
      <c r="U52" s="101" t="str">
        <f>HYPERLINK("https://www.washingtonpost.com/archive/politics/1993/08/08/4-killed-when-gunman-opens-fire-in-restaurant/7120b492-adee-440b-b5bd-318e934c8c5a/?utm_term=.95bf44d27ed8","0")</f>
        <v>0</v>
      </c>
      <c r="V52" s="101">
        <v>22</v>
      </c>
      <c r="W52" s="101">
        <v>0</v>
      </c>
      <c r="X52" s="101" t="str">
        <f>HYPERLINK("https://www.fayobserver.com/photogallery/NC/20180806/NEWS/806009988/PH/1","0")</f>
        <v>0</v>
      </c>
      <c r="Y52" s="48">
        <v>0</v>
      </c>
      <c r="Z52" s="101" t="str">
        <f>HYPERLINK("https://deathpenaltycurriculum.org/node/87","0")</f>
        <v>0</v>
      </c>
      <c r="AA52" s="51"/>
      <c r="AB52" s="51" t="s">
        <v>818</v>
      </c>
      <c r="AC52" s="51"/>
      <c r="AD52" s="51"/>
      <c r="AE52" s="101" t="str">
        <f t="shared" ref="AE52:AF52" si="109">HYPERLINK("https://www.greensboro.com/relatives-are-in-disbelief-fayetteville-deaths-motive-is-a-mystery/article_37f4b3e7-08ea-5fbf-b202-f282e9ca062a.html","2")</f>
        <v>2</v>
      </c>
      <c r="AF52" s="101" t="str">
        <f t="shared" si="109"/>
        <v>2</v>
      </c>
      <c r="AG52" s="101" t="str">
        <f t="shared" ref="AG52:AH52" si="110">HYPERLINK("https://www.greensboro.com/relatives-are-in-disbelief-fayetteville-deaths-motive-is-a-mystery/article_37f4b3e7-08ea-5fbf-b202-f282e9ca062a.html","1")</f>
        <v>1</v>
      </c>
      <c r="AH52" s="101" t="str">
        <f t="shared" si="110"/>
        <v>1</v>
      </c>
      <c r="AI52" s="101">
        <v>1</v>
      </c>
      <c r="AJ52" s="101">
        <v>0</v>
      </c>
      <c r="AK52" s="101">
        <v>1</v>
      </c>
      <c r="AL52" s="101" t="str">
        <f>HYPERLINK("https://www.washingtonpost.com/archive/politics/1993/08/08/4-killed-when-gunman-opens-fire-in-restaurant/7120b492-adee-440b-b5bd-318e934c8c5a/?utm_term=.882d20b50bec","0")</f>
        <v>0</v>
      </c>
      <c r="AM52" s="101">
        <v>1</v>
      </c>
      <c r="AN52" s="101">
        <v>0</v>
      </c>
      <c r="AO52" s="101" t="str">
        <f>HYPERLINK("https://www.fayobserver.com/news/20190806/from-archives-26-years-ago-today-tragedy-at-luigis","0")</f>
        <v>0</v>
      </c>
      <c r="AP52" s="51"/>
      <c r="AQ52" s="51">
        <v>0</v>
      </c>
      <c r="AR52" s="51">
        <v>0</v>
      </c>
      <c r="AS52" s="51">
        <v>0</v>
      </c>
      <c r="AT52" s="48">
        <v>0</v>
      </c>
      <c r="AU52" s="48" t="s">
        <v>100</v>
      </c>
      <c r="AV52" s="48" t="s">
        <v>100</v>
      </c>
      <c r="AW52" s="48" t="s">
        <v>100</v>
      </c>
      <c r="AX52" s="48">
        <v>0</v>
      </c>
      <c r="AY52" s="51">
        <v>0</v>
      </c>
      <c r="AZ52" s="51">
        <v>0</v>
      </c>
      <c r="BA52" s="51">
        <v>0</v>
      </c>
      <c r="BB52" s="107">
        <v>0</v>
      </c>
      <c r="BC52" s="51">
        <v>0</v>
      </c>
      <c r="BD52" s="51">
        <v>0</v>
      </c>
      <c r="BE52" s="101" t="str">
        <f>HYPERLINK("https://www.chicagotribune.com/news/ct-xpm-1993-08-09-9308090199-story.html","0")</f>
        <v>0</v>
      </c>
      <c r="BF52" s="101" t="str">
        <f>HYPERLINK("https://www.chicagotribune.com/news/ct-xpm-1993-08-09-9308090199-story.html","1")</f>
        <v>1</v>
      </c>
      <c r="BG52" s="101" t="str">
        <f>HYPERLINK("https://deathpenaltycurriculum.org/node/87","1")</f>
        <v>1</v>
      </c>
      <c r="BH52" s="51">
        <v>0</v>
      </c>
      <c r="BI52" s="101">
        <v>1</v>
      </c>
      <c r="BJ52" s="101" t="str">
        <f>HYPERLINK("https://deathpenaltycurriculum.org/node/87","0")</f>
        <v>0</v>
      </c>
      <c r="BK52" s="101" t="str">
        <f>HYPERLINK("https://www.washingtonpost.com/archive/politics/1993/08/08/4-killed-when-gunman-opens-fire-in-restaurant/7120b492-adee-440b-b5bd-318e934c8c5a/?utm_term=.95bf44d27ed8","0")</f>
        <v>0</v>
      </c>
      <c r="BL52" s="108" t="str">
        <f>HYPERLINK("https://deathpenaltycurriculum.org/node/87","1")</f>
        <v>1</v>
      </c>
      <c r="BM52" s="108">
        <v>0</v>
      </c>
      <c r="BN52" s="115" t="s">
        <v>3000</v>
      </c>
      <c r="BO52" s="111">
        <v>0</v>
      </c>
      <c r="BP52" s="111">
        <v>0</v>
      </c>
      <c r="BQ52" s="111">
        <v>0</v>
      </c>
      <c r="BR52" s="111">
        <v>0</v>
      </c>
      <c r="BS52" s="111">
        <v>1</v>
      </c>
      <c r="BT52" s="111">
        <v>1</v>
      </c>
      <c r="BU52" s="111">
        <v>0</v>
      </c>
      <c r="BV52" s="111">
        <v>0</v>
      </c>
      <c r="BW52" s="111">
        <v>1</v>
      </c>
      <c r="BX52" s="111">
        <v>0</v>
      </c>
      <c r="BY52" s="101">
        <v>2</v>
      </c>
      <c r="BZ52" s="51">
        <v>0</v>
      </c>
      <c r="CA52" s="51">
        <v>0</v>
      </c>
      <c r="CB52" s="51" t="s">
        <v>100</v>
      </c>
      <c r="CC52" s="51">
        <v>0</v>
      </c>
      <c r="CD52" s="51" t="s">
        <v>100</v>
      </c>
      <c r="CE52" s="51">
        <v>0</v>
      </c>
      <c r="CF52" s="101" t="str">
        <f>HYPERLINK("https://www.chicagotribune.com/news/ct-xpm-1993-08-09-9308090199-story.html","1")</f>
        <v>1</v>
      </c>
      <c r="CG52" s="51">
        <v>0</v>
      </c>
      <c r="CH52" s="101" t="str">
        <f>HYPERLINK("https://deathpenaltycurriculum.org/node/87","5")</f>
        <v>5</v>
      </c>
      <c r="CI52" s="51">
        <v>0</v>
      </c>
      <c r="CJ52" s="51" t="s">
        <v>100</v>
      </c>
      <c r="CK52" s="117">
        <v>1</v>
      </c>
      <c r="CL52" s="117">
        <v>3</v>
      </c>
      <c r="CM52" s="117"/>
      <c r="CN52" s="108">
        <v>0</v>
      </c>
      <c r="CO52" s="110">
        <v>0</v>
      </c>
      <c r="CP52" s="110">
        <v>0</v>
      </c>
      <c r="CQ52" s="108" t="str">
        <f>HYPERLINK("https://www.nytimes.com/1993/08/08/us/soldier-kills-4-people-and-hurts-6-in-a-restaurant-in-north-carolina.html","1")</f>
        <v>1</v>
      </c>
      <c r="CR52" s="110">
        <v>0</v>
      </c>
      <c r="CS52" s="110">
        <v>0</v>
      </c>
      <c r="CT52" s="110">
        <v>0</v>
      </c>
      <c r="CU52" s="110">
        <v>0</v>
      </c>
      <c r="CV52" s="110">
        <v>0</v>
      </c>
      <c r="CW52" s="110">
        <v>0</v>
      </c>
      <c r="CX52" s="110">
        <v>0</v>
      </c>
      <c r="CY52" s="108" t="str">
        <f>HYPERLINK("https://www.nytimes.com/1993/08/08/us/soldier-kills-4-people-and-hurts-6-in-a-restaurant-in-north-carolina.html","1")</f>
        <v>1</v>
      </c>
      <c r="CZ52" s="108" t="str">
        <f>HYPERLINK("https://deathpenaltycurriculum.org/node/87","0")</f>
        <v>0</v>
      </c>
      <c r="DA52" s="51">
        <v>0</v>
      </c>
      <c r="DB52" s="51">
        <v>2</v>
      </c>
      <c r="DC52" s="51">
        <v>0</v>
      </c>
      <c r="DD52" s="51"/>
      <c r="DE52" s="51"/>
      <c r="DF52" s="51"/>
      <c r="DG52" s="51"/>
      <c r="DH52" s="51"/>
      <c r="DI52" s="51"/>
      <c r="DJ52" s="51">
        <v>0</v>
      </c>
      <c r="DK52" s="51">
        <v>0</v>
      </c>
      <c r="DL52" s="48" t="s">
        <v>100</v>
      </c>
      <c r="DM52" s="101" t="str">
        <f>HYPERLINK("https://deathpenaltycurriculum.org/node/87","0")</f>
        <v>0</v>
      </c>
      <c r="DN52" s="101" t="str">
        <f>HYPERLINK("https://deathpenaltycurriculum.org/node/87","1")</f>
        <v>1</v>
      </c>
      <c r="DO52" s="101" t="str">
        <f>HYPERLINK("https://deathpenaltycurriculum.org/node/87","Earlier in the day he watched the movie The Unforgiven and imitated the drinking and shooting going on. He called several people and then did the mass shooting that night.")</f>
        <v>Earlier in the day he watched the movie The Unforgiven and imitated the drinking and shooting going on. He called several people and then did the mass shooting that night.</v>
      </c>
      <c r="DP52" s="101" t="str">
        <f>HYPERLINK("https://deathpenaltycurriculum.org/node/87","0")</f>
        <v>0</v>
      </c>
      <c r="DQ52" s="101" t="str">
        <f>HYPERLINK("https://www.washingtonpost.com/archive/politics/1993/08/08/4-killed-when-gunman-opens-fire-in-restaurant/7120b492-adee-440b-b5bd-318e934c8c5a/?utm_term=.95bf44d27ed8","0")</f>
        <v>0</v>
      </c>
      <c r="DR52" s="48">
        <v>0</v>
      </c>
      <c r="DS52" s="101" t="str">
        <f>HYPERLINK("https://www.nytimes.com/1993/08/08/us/soldier-kills-4-people-and-hurts-6-in-a-restaurant-in-north-carolina.html","3")</f>
        <v>3</v>
      </c>
      <c r="DT52" s="101">
        <v>3</v>
      </c>
      <c r="DU52" s="101" t="str">
        <f>HYPERLINK("https://www.nytimes.com/1993/08/08/us/soldier-kills-4-people-and-hurts-6-in-a-restaurant-in-north-carolina.html","0")</f>
        <v>0</v>
      </c>
      <c r="DV52" s="48" t="s">
        <v>100</v>
      </c>
      <c r="DW52" s="101">
        <v>2</v>
      </c>
      <c r="DX52" s="101" t="str">
        <f>HYPERLINK("https://www.washingtonpost.com/archive/politics/1993/08/08/4-killed-when-gunman-opens-fire-in-restaurant/7120b492-adee-440b-b5bd-318e934c8c5a/?utm_term=.95bf44d27ed8","0")</f>
        <v>0</v>
      </c>
      <c r="DY52" s="105" t="str">
        <f>HYPERLINK("https://deathpenaltycurriculum.org/node/87","0")</f>
        <v>0</v>
      </c>
      <c r="DZ52" s="133" t="str">
        <f>HYPERLINK("https://apnews.com/2b512c3b87b4dd2f14cee792f510bb24","3")</f>
        <v>3</v>
      </c>
    </row>
    <row r="53" spans="1:130" ht="50.25" customHeight="1">
      <c r="A53" s="96">
        <v>51</v>
      </c>
      <c r="B53" s="97" t="s">
        <v>309</v>
      </c>
      <c r="C53" s="97" t="s">
        <v>221</v>
      </c>
      <c r="D53" s="98">
        <v>34256</v>
      </c>
      <c r="E53" s="48" t="s">
        <v>178</v>
      </c>
      <c r="F53" s="119">
        <v>14</v>
      </c>
      <c r="G53" s="102">
        <v>10</v>
      </c>
      <c r="H53" s="101">
        <v>1993</v>
      </c>
      <c r="I53" s="48" t="s">
        <v>310</v>
      </c>
      <c r="J53" s="101" t="s">
        <v>311</v>
      </c>
      <c r="K53" s="102">
        <v>5</v>
      </c>
      <c r="L53" s="119">
        <v>3</v>
      </c>
      <c r="M53" s="102" t="str">
        <f>HYPERLINK("https://www.nytimes.com/1993/10/15/us/man-kills-4-people-and-then-himself-at-california-gym.html","1")</f>
        <v>1</v>
      </c>
      <c r="N53" s="122" t="str">
        <f>HYPERLINK("https://www.latimes.com/archives/la-xpm-1993-10-15-mn-45964-story.html","4")</f>
        <v>4</v>
      </c>
      <c r="O53" s="102" t="str">
        <f>HYPERLINK("http://articles.latimes.com/1993-10-15/news/mn-45964_1_fitness-club","0")</f>
        <v>0</v>
      </c>
      <c r="P53" s="99" t="s">
        <v>100</v>
      </c>
      <c r="Q53" s="103">
        <v>0</v>
      </c>
      <c r="R53" s="103">
        <v>0</v>
      </c>
      <c r="S53" s="102">
        <v>4</v>
      </c>
      <c r="T53" s="102" t="str">
        <f>HYPERLINK("http://articles.latimes.com/1993-10-15/news/mn-45964_1_fitness-club","2")</f>
        <v>2</v>
      </c>
      <c r="U53" s="101" t="str">
        <f>HYPERLINK("https://www.latimes.com/archives/la-xpm-1993-10-15-mn-45964-story.html","0")</f>
        <v>0</v>
      </c>
      <c r="V53" s="101">
        <v>19</v>
      </c>
      <c r="W53" s="101">
        <v>0</v>
      </c>
      <c r="X53" s="101">
        <v>0</v>
      </c>
      <c r="Y53" s="51">
        <v>0</v>
      </c>
      <c r="Z53" s="101" t="str">
        <f>HYPERLINK("https://www.latimes.com/archives/la-xpm-1993-10-15-mn-45897-story.html","0")</f>
        <v>0</v>
      </c>
      <c r="AA53" s="101">
        <v>1</v>
      </c>
      <c r="AB53" s="101">
        <v>2</v>
      </c>
      <c r="AC53" s="101" t="str">
        <f>HYPERLINK("https://www.nytimes.com/1993/10/16/us/motive-is-sought-in-killings-at-club.html","2")</f>
        <v>2</v>
      </c>
      <c r="AD53" s="101" t="str">
        <f>HYPERLINK("https://www.nytimes.com/1993/10/16/us/motive-is-sought-in-killings-at-club.html","dean's list")</f>
        <v>dean's list</v>
      </c>
      <c r="AE53" s="141" t="str">
        <f t="shared" ref="AE53:AF53" si="111">HYPERLINK("https://www.latimes.com/archives/la-xpm-1993-10-15-mn-45964-story.html","1")</f>
        <v>1</v>
      </c>
      <c r="AF53" s="141" t="str">
        <f t="shared" si="111"/>
        <v>1</v>
      </c>
      <c r="AG53" s="141" t="str">
        <f>HYPERLINK("https://www.latimes.com/archives/la-xpm-1993-10-15-mn-45964-story.html","0")</f>
        <v>0</v>
      </c>
      <c r="AH53" s="141" t="str">
        <f>HYPERLINK("https://www.latimes.com/archives/la-xpm-1993-10-15-mn-45964-story.html","1")</f>
        <v>1</v>
      </c>
      <c r="AI53" s="51">
        <v>0</v>
      </c>
      <c r="AJ53" s="51">
        <v>0</v>
      </c>
      <c r="AK53" s="51">
        <v>0</v>
      </c>
      <c r="AL53" s="51"/>
      <c r="AM53" s="51">
        <v>0</v>
      </c>
      <c r="AN53" s="48" t="s">
        <v>100</v>
      </c>
      <c r="AO53" s="101" t="str">
        <f>HYPERLINK("https://www.latimes.com/archives/la-xpm-1993-10-15-mn-45964-story.html","0")</f>
        <v>0</v>
      </c>
      <c r="AP53" s="54"/>
      <c r="AQ53" s="51">
        <v>0</v>
      </c>
      <c r="AR53" s="51">
        <v>0</v>
      </c>
      <c r="AS53" s="101" t="str">
        <f>HYPERLINK("https://www.apnews.com/22aa69037e3f2cbe1c3331ac73299022","0")</f>
        <v>0</v>
      </c>
      <c r="AT53" s="51">
        <v>0</v>
      </c>
      <c r="AU53" s="51" t="s">
        <v>100</v>
      </c>
      <c r="AV53" s="51" t="s">
        <v>100</v>
      </c>
      <c r="AW53" s="51" t="s">
        <v>100</v>
      </c>
      <c r="AX53" s="51">
        <v>0</v>
      </c>
      <c r="AY53" s="51">
        <v>0</v>
      </c>
      <c r="AZ53" s="51">
        <v>0</v>
      </c>
      <c r="BA53" s="51">
        <v>0</v>
      </c>
      <c r="BB53" s="107">
        <v>0</v>
      </c>
      <c r="BC53" s="51">
        <v>0</v>
      </c>
      <c r="BD53" s="51">
        <v>0</v>
      </c>
      <c r="BE53" s="101" t="str">
        <f>HYPERLINK("http://articles.latimes.com/1993-10-17/news/mn-46854_1_writing-class","0")</f>
        <v>0</v>
      </c>
      <c r="BF53" s="101" t="str">
        <f>HYPERLINK("https://www.latimes.com/archives/la-xpm-1993-10-17-mn-46854-story.html","0")</f>
        <v>0</v>
      </c>
      <c r="BG53" s="51"/>
      <c r="BH53" s="51">
        <v>2</v>
      </c>
      <c r="BI53" s="51">
        <v>0</v>
      </c>
      <c r="BJ53" s="51">
        <v>0</v>
      </c>
      <c r="BK53" s="51">
        <v>0</v>
      </c>
      <c r="BL53" s="108">
        <v>1</v>
      </c>
      <c r="BM53" s="109">
        <v>1</v>
      </c>
      <c r="BN53" s="115" t="s">
        <v>2983</v>
      </c>
      <c r="BO53" s="111">
        <v>1</v>
      </c>
      <c r="BP53" s="111">
        <v>0</v>
      </c>
      <c r="BQ53" s="111">
        <v>1</v>
      </c>
      <c r="BR53" s="111">
        <v>0</v>
      </c>
      <c r="BS53" s="111">
        <v>0</v>
      </c>
      <c r="BT53" s="111">
        <v>1</v>
      </c>
      <c r="BU53" s="111">
        <v>0</v>
      </c>
      <c r="BV53" s="111">
        <v>1</v>
      </c>
      <c r="BW53" s="111">
        <v>0</v>
      </c>
      <c r="BX53" s="111">
        <v>0</v>
      </c>
      <c r="BY53" s="101" t="str">
        <f>HYPERLINK("https://www.upi.com/Archives/1993/10/15/Five-dead-in-health-club-shootings/4365750657600/","2")</f>
        <v>2</v>
      </c>
      <c r="BZ53" s="51">
        <v>0</v>
      </c>
      <c r="CA53" s="101">
        <v>1</v>
      </c>
      <c r="CB53" s="105" t="str">
        <f>HYPERLINK("https://www.latimes.com/archives/la-xpm-1993-10-15-mn-45964-story.html","0")</f>
        <v>0</v>
      </c>
      <c r="CC53" s="48">
        <v>0</v>
      </c>
      <c r="CD53" s="101" t="str">
        <f t="shared" ref="CD53:CE53" si="112">HYPERLINK("https://www.nytimes.com/1993/10/16/us/motive-is-sought-in-killings-at-club.html","1")</f>
        <v>1</v>
      </c>
      <c r="CE53" s="101" t="str">
        <f t="shared" si="112"/>
        <v>1</v>
      </c>
      <c r="CF53" s="107">
        <v>0</v>
      </c>
      <c r="CG53" s="51">
        <v>0</v>
      </c>
      <c r="CH53" s="101">
        <v>3</v>
      </c>
      <c r="CI53" s="101" t="s">
        <v>832</v>
      </c>
      <c r="CJ53" s="101" t="s">
        <v>3105</v>
      </c>
      <c r="CK53" s="113">
        <v>0</v>
      </c>
      <c r="CL53" s="113"/>
      <c r="CM53" s="113"/>
      <c r="CN53" s="110">
        <v>0</v>
      </c>
      <c r="CO53" s="110">
        <v>0</v>
      </c>
      <c r="CP53" s="110">
        <v>0</v>
      </c>
      <c r="CQ53" s="110">
        <v>0</v>
      </c>
      <c r="CR53" s="110">
        <v>0</v>
      </c>
      <c r="CS53" s="110">
        <v>0</v>
      </c>
      <c r="CT53" s="110">
        <v>0</v>
      </c>
      <c r="CU53" s="110">
        <v>0</v>
      </c>
      <c r="CV53" s="110">
        <v>0</v>
      </c>
      <c r="CW53" s="110">
        <v>0</v>
      </c>
      <c r="CX53" s="110">
        <v>0</v>
      </c>
      <c r="CY53" s="108" t="str">
        <f>HYPERLINK("https://www.nytimes.com/1993/10/16/us/motive-is-sought-in-killings-at-club.html","1")</f>
        <v>1</v>
      </c>
      <c r="CZ53" s="108" t="str">
        <f>HYPERLINK("https://www.nytimes.com/1993/10/16/us/motive-is-sought-in-killings-at-club.html","0")</f>
        <v>0</v>
      </c>
      <c r="DA53" s="51">
        <v>0</v>
      </c>
      <c r="DB53" s="51">
        <v>2</v>
      </c>
      <c r="DC53" s="101" t="str">
        <f>HYPERLINK("http://articles.latimes.com/1993-10-17/news/mn-46854_1_writing-class","1")</f>
        <v>1</v>
      </c>
      <c r="DD53" s="51">
        <v>2</v>
      </c>
      <c r="DE53" s="51">
        <v>7</v>
      </c>
      <c r="DF53" s="51">
        <v>0</v>
      </c>
      <c r="DG53" s="51"/>
      <c r="DH53" s="51"/>
      <c r="DI53" s="51"/>
      <c r="DJ53" s="101" t="str">
        <f>HYPERLINK("https://www.latimes.com/archives/la-xpm-1993-10-17-mn-46854-story.html","1")</f>
        <v>1</v>
      </c>
      <c r="DK53" s="51">
        <v>0</v>
      </c>
      <c r="DL53" s="48" t="s">
        <v>100</v>
      </c>
      <c r="DM53" s="101" t="str">
        <f>HYPERLINK("https://www.nytimes.com/1993/10/16/us/motive-is-sought-in-killings-at-club.html","0")</f>
        <v>0</v>
      </c>
      <c r="DN53" s="51">
        <v>0</v>
      </c>
      <c r="DO53" s="51" t="s">
        <v>100</v>
      </c>
      <c r="DP53" s="51">
        <v>0</v>
      </c>
      <c r="DQ53" s="101" t="str">
        <f>HYPERLINK("https://www.nytimes.com/1993/10/16/us/motive-is-sought-in-killings-at-club.html","0")</f>
        <v>0</v>
      </c>
      <c r="DR53" s="101" t="str">
        <f>HYPERLINK("http://articles.latimes.com/1993-10-15/news/mn-45964_1_fitness-club","0")</f>
        <v>0</v>
      </c>
      <c r="DS53" s="101" t="str">
        <f>HYPERLINK("https://www.latimes.com/archives/la-xpm-1993-10-15-mn-45964-story.html","0")</f>
        <v>0</v>
      </c>
      <c r="DT53" s="101" t="str">
        <f>HYPERLINK("https://www.upi.com/Archives/1993/10/15/Five-dead-in-health-club-shootings/4365750657600/","1")</f>
        <v>1</v>
      </c>
      <c r="DU53" s="101" t="str">
        <f>HYPERLINK("https://www.nytimes.com/1993/10/16/us/motive-is-sought-in-killings-at-club.html","0")</f>
        <v>0</v>
      </c>
      <c r="DV53" s="48" t="s">
        <v>100</v>
      </c>
      <c r="DW53" s="101">
        <v>0</v>
      </c>
      <c r="DX53" s="101" t="str">
        <f>HYPERLINK("https://www.latimes.com/archives/la-xpm-1993-10-15-mn-45964-story.html","0")</f>
        <v>0</v>
      </c>
      <c r="DY53" s="51">
        <v>2</v>
      </c>
      <c r="DZ53" s="48">
        <v>0</v>
      </c>
    </row>
    <row r="54" spans="1:130" ht="50.25" customHeight="1">
      <c r="A54" s="96">
        <v>52</v>
      </c>
      <c r="B54" s="97" t="s">
        <v>312</v>
      </c>
      <c r="C54" s="97" t="s">
        <v>313</v>
      </c>
      <c r="D54" s="98">
        <v>34305</v>
      </c>
      <c r="E54" s="48" t="s">
        <v>178</v>
      </c>
      <c r="F54" s="119">
        <v>2</v>
      </c>
      <c r="G54" s="102" t="str">
        <f>HYPERLINK("http://articles.latimes.com/19%2093-12-03/news/mn-63376_1_police-officers","12")</f>
        <v>12</v>
      </c>
      <c r="H54" s="101" t="str">
        <f>HYPERLINK("http://articles.latimes.com/19%2093-12-03/news/mn-63376_1_police-officers","1993")</f>
        <v>1993</v>
      </c>
      <c r="I54" s="48" t="s">
        <v>314</v>
      </c>
      <c r="J54" s="101" t="str">
        <f>HYPERLINK("http://articles.latimes.com/19%2093-12-03/news/mn-63376_1_police-officers","Oxnard")</f>
        <v>Oxnard</v>
      </c>
      <c r="K54" s="102" t="str">
        <f>HYPERLINK("https://www.wired.com/1994/06/rage/","5")</f>
        <v>5</v>
      </c>
      <c r="L54" s="119">
        <v>3</v>
      </c>
      <c r="M54" s="102" t="str">
        <f>HYPERLINK("https://www.wired.com/1994/06/rage/","1")</f>
        <v>1</v>
      </c>
      <c r="N54" s="102" t="str">
        <f>HYPERLINK("https://www.wired.com/1994/06/rage/","6")</f>
        <v>6</v>
      </c>
      <c r="O54" s="102" t="str">
        <f>HYPERLINK("http://archive.vcstar.com/news/shattered-lives-ep-371064179-352927291.html/","1")</f>
        <v>1</v>
      </c>
      <c r="P54" s="122">
        <v>8</v>
      </c>
      <c r="Q54" s="103">
        <v>0</v>
      </c>
      <c r="R54" s="103">
        <v>0</v>
      </c>
      <c r="S54" s="102" t="str">
        <f>HYPERLINK("https://www.latimes.com/archives/la-xpm-1993-12-03-mn-63376-story.html","4")</f>
        <v>4</v>
      </c>
      <c r="T54" s="102">
        <v>5</v>
      </c>
      <c r="U54" s="101" t="str">
        <f>HYPERLINK("https://www.wired.com/1994/06/rage/","0")</f>
        <v>0</v>
      </c>
      <c r="V54" s="101" t="str">
        <f>HYPERLINK("http://articles.latimes.com/19%2093-12-03/news/mn-63376_1_police-officers","33")</f>
        <v>33</v>
      </c>
      <c r="W54" s="101" t="str">
        <f>HYPERLINK("http://articles.latimes.com/19%2093-12-03/news/mn-63376_1_police-officers","0")</f>
        <v>0</v>
      </c>
      <c r="X54" s="101" t="str">
        <f>HYPERLINK("https://www.vcstar.com/picture-gallery/news/local/2018/11/26/ventura-county-first-mass-shooting-images/2092603002/","0")</f>
        <v>0</v>
      </c>
      <c r="Y54" s="105" t="str">
        <f t="shared" ref="Y54:Z54" si="113">HYPERLINK("https://www.wired.com/1994/06/rage/","0")</f>
        <v>0</v>
      </c>
      <c r="Z54" s="101" t="str">
        <f t="shared" si="113"/>
        <v>0</v>
      </c>
      <c r="AA54" s="101" t="str">
        <f>HYPERLINK("https://www.wired.com/1994/06/rage/","1")</f>
        <v>1</v>
      </c>
      <c r="AB54" s="101">
        <v>3</v>
      </c>
      <c r="AC54" s="101">
        <v>0</v>
      </c>
      <c r="AD54" s="101" t="s">
        <v>843</v>
      </c>
      <c r="AE54" s="101" t="str">
        <f>HYPERLINK("https://www.wired.com/1994/06/rage/","3")</f>
        <v>3</v>
      </c>
      <c r="AF54" s="101" t="str">
        <f t="shared" ref="AF54:AG54" si="114">HYPERLINK("https://www.wired.com/1994/06/rage/","1")</f>
        <v>1</v>
      </c>
      <c r="AG54" s="101" t="str">
        <f t="shared" si="114"/>
        <v>1</v>
      </c>
      <c r="AH54" s="101" t="str">
        <f t="shared" ref="AH54:AI54" si="115">HYPERLINK("https://www.wired.com/1994/06/rage/","0")</f>
        <v>0</v>
      </c>
      <c r="AI54" s="101" t="str">
        <f t="shared" si="115"/>
        <v>0</v>
      </c>
      <c r="AJ54" s="51">
        <v>0</v>
      </c>
      <c r="AK54" s="101">
        <v>0</v>
      </c>
      <c r="AL54" s="51">
        <v>2</v>
      </c>
      <c r="AM54" s="101" t="str">
        <f>HYPERLINK("http://archive.vcstar.com/news/shattered-lives-ep-371064179-352927291.html/","0")</f>
        <v>0</v>
      </c>
      <c r="AN54" s="48" t="s">
        <v>100</v>
      </c>
      <c r="AO54" s="101" t="str">
        <f>HYPERLINK("https://apnews.com/5c5e1d1a851161acc0ccb336a3b2ea14","2")</f>
        <v>2</v>
      </c>
      <c r="AP54" s="101" t="str">
        <f>HYPERLINK("https://apnews.com/5c5e1d1a851161acc0ccb336a3b2ea14","involved in neighborhood, environmental causes, local politics")</f>
        <v>involved in neighborhood, environmental causes, local politics</v>
      </c>
      <c r="AQ54" s="101" t="str">
        <f>HYPERLINK("https://www.wired.com/1994/06/rage/","0")</f>
        <v>0</v>
      </c>
      <c r="AR54" s="51">
        <v>0</v>
      </c>
      <c r="AS54" s="101" t="str">
        <f>HYPERLINK("https://www.latimes.com/archives/la-xpm-1993-12-11-me-652-story.html","0")</f>
        <v>0</v>
      </c>
      <c r="AT54" s="48">
        <v>0</v>
      </c>
      <c r="AU54" s="48" t="s">
        <v>100</v>
      </c>
      <c r="AV54" s="48" t="s">
        <v>100</v>
      </c>
      <c r="AW54" s="48" t="s">
        <v>100</v>
      </c>
      <c r="AX54" s="48">
        <v>0</v>
      </c>
      <c r="AY54" s="51">
        <v>0</v>
      </c>
      <c r="AZ54" s="51">
        <v>0</v>
      </c>
      <c r="BA54" s="51">
        <v>0</v>
      </c>
      <c r="BB54" s="107">
        <v>0</v>
      </c>
      <c r="BC54" s="101" t="str">
        <f t="shared" ref="BC54:BD54" si="116">HYPERLINK("https://www.wired.com/1994/06/rage/","0")</f>
        <v>0</v>
      </c>
      <c r="BD54" s="101" t="str">
        <f t="shared" si="116"/>
        <v>0</v>
      </c>
      <c r="BE54" s="101">
        <v>0</v>
      </c>
      <c r="BF54" s="101" t="str">
        <f>HYPERLINK("https://www.latimes.com/archives/la-xpm-1993-12-04-me-63804-story.html","1")</f>
        <v>1</v>
      </c>
      <c r="BG54" s="51"/>
      <c r="BH54" s="51">
        <v>1</v>
      </c>
      <c r="BI54" s="101">
        <v>1</v>
      </c>
      <c r="BJ54" s="101" t="str">
        <f>HYPERLINK("http://archive.vcstar.com/news/shattered-lives-ep-371064179-352927291.html/","0")</f>
        <v>0</v>
      </c>
      <c r="BK54" s="101" t="str">
        <f>HYPERLINK("https://www.wired.com/1994/06/rage/","1")</f>
        <v>1</v>
      </c>
      <c r="BL54" s="108" t="str">
        <f>HYPERLINK("https://www.latimes.com/archives/la-xpm-1993-12-11-me-652-story.html","1")</f>
        <v>1</v>
      </c>
      <c r="BM54" s="109">
        <v>1</v>
      </c>
      <c r="BN54" s="115" t="s">
        <v>3001</v>
      </c>
      <c r="BO54" s="111">
        <v>1</v>
      </c>
      <c r="BP54" s="111">
        <v>1</v>
      </c>
      <c r="BQ54" s="111">
        <v>1</v>
      </c>
      <c r="BR54" s="111">
        <v>0</v>
      </c>
      <c r="BS54" s="111">
        <v>0</v>
      </c>
      <c r="BT54" s="111">
        <v>0</v>
      </c>
      <c r="BU54" s="111">
        <v>0</v>
      </c>
      <c r="BV54" s="148">
        <v>1</v>
      </c>
      <c r="BW54" s="111">
        <v>1</v>
      </c>
      <c r="BX54" s="111">
        <v>1</v>
      </c>
      <c r="BY54" s="101" t="str">
        <f>HYPERLINK("https://www.wired.com/1994/06/rage/","2")</f>
        <v>2</v>
      </c>
      <c r="BZ54" s="101" t="str">
        <f>HYPERLINK("https://www.latimes.com/archives/la-xpm-1993-12-11-me-652-story.html","0")</f>
        <v>0</v>
      </c>
      <c r="CA54" s="101" t="str">
        <f>HYPERLINK("http://articles.latimes.com/1993-12-11/local/me-652_1_oxnard-unemployment-office","0")</f>
        <v>0</v>
      </c>
      <c r="CB54" s="51" t="s">
        <v>100</v>
      </c>
      <c r="CC54" s="101" t="str">
        <f>HYPERLINK("http://articles.latimes.com/1993-12-11/local/me-652_1_oxnard-unemployment-office ","0")</f>
        <v>0</v>
      </c>
      <c r="CD54" s="51" t="s">
        <v>100</v>
      </c>
      <c r="CE54" s="101" t="str">
        <f>HYPERLINK("http://articles.latimes.com/1993-12-11/local/me-652_1_oxnard-unemployment-office ","2")</f>
        <v>2</v>
      </c>
      <c r="CF54" s="101" t="str">
        <f>HYPERLINK("https://www.latimes.com/archives/la-xpm-1993-12-04-me-63804-story.html","1")</f>
        <v>1</v>
      </c>
      <c r="CG54" s="51">
        <v>0</v>
      </c>
      <c r="CH54" s="51">
        <v>0</v>
      </c>
      <c r="CI54" s="51">
        <v>0</v>
      </c>
      <c r="CJ54" s="51" t="s">
        <v>100</v>
      </c>
      <c r="CK54" s="113">
        <v>0</v>
      </c>
      <c r="CL54" s="113"/>
      <c r="CM54" s="113"/>
      <c r="CN54" s="110">
        <v>0</v>
      </c>
      <c r="CO54" s="110">
        <v>0</v>
      </c>
      <c r="CP54" s="108">
        <v>0</v>
      </c>
      <c r="CQ54" s="110">
        <v>0</v>
      </c>
      <c r="CR54" s="108" t="str">
        <f t="shared" ref="CR54:CS54" si="117">HYPERLINK("https://www.latimes.com/archives/la-xpm-1993-12-11-me-652-story.html","1")</f>
        <v>1</v>
      </c>
      <c r="CS54" s="108" t="str">
        <f t="shared" si="117"/>
        <v>1</v>
      </c>
      <c r="CT54" s="110">
        <v>0</v>
      </c>
      <c r="CU54" s="110">
        <v>0</v>
      </c>
      <c r="CV54" s="110">
        <v>0</v>
      </c>
      <c r="CW54" s="110">
        <v>0</v>
      </c>
      <c r="CX54" s="110">
        <v>0</v>
      </c>
      <c r="CY54" s="110">
        <v>0</v>
      </c>
      <c r="CZ54" s="108" t="str">
        <f>HYPERLINK("https://www.wired.com/1994/06/rage/","0")</f>
        <v>0</v>
      </c>
      <c r="DA54" s="101">
        <v>1</v>
      </c>
      <c r="DB54" s="51">
        <v>2</v>
      </c>
      <c r="DC54" s="101" t="str">
        <f>HYPERLINK("https://www.wired.com/1994/06/rage/ ","0")</f>
        <v>0</v>
      </c>
      <c r="DD54" s="51"/>
      <c r="DE54" s="51"/>
      <c r="DF54" s="51"/>
      <c r="DG54" s="51"/>
      <c r="DH54" s="51"/>
      <c r="DI54" s="51"/>
      <c r="DJ54" s="101" t="str">
        <f>HYPERLINK("http://www.apnewsarchive.com/1993/Unemployment-Office-Gunman-Left-Behind-Was-Pacifist-and-Nice-Guy-With-PM-Office-Shooting-Scene-Bjt/id-5c5e1d1a851161acc0ccb336a3b2ea14","0 ")</f>
        <v xml:space="preserve">0 </v>
      </c>
      <c r="DK54" s="51">
        <v>0</v>
      </c>
      <c r="DL54" s="48" t="s">
        <v>100</v>
      </c>
      <c r="DM54" s="101" t="str">
        <f>HYPERLINK("https://www.wired.com/1994/06/rage/","1")</f>
        <v>1</v>
      </c>
      <c r="DN54" s="51">
        <v>0</v>
      </c>
      <c r="DO54" s="51" t="s">
        <v>100</v>
      </c>
      <c r="DP54" s="101" t="str">
        <f t="shared" ref="DP54:DQ54" si="118">HYPERLINK("https://www.wired.com/1994/06/rage/","0")</f>
        <v>0</v>
      </c>
      <c r="DQ54" s="101" t="str">
        <f t="shared" si="118"/>
        <v>0</v>
      </c>
      <c r="DR54" s="105" t="str">
        <f>HYPERLINK("https://www.latimes.com/archives/la-xpm-1993-12-11-me-652-story.html","0")</f>
        <v>0</v>
      </c>
      <c r="DS54" s="101" t="str">
        <f>HYPERLINK("https://www.wired.com/1994/06/rage/","1")</f>
        <v>1</v>
      </c>
      <c r="DT54" s="101" t="str">
        <f>HYPERLINK("https://www.latimes.com/archives/la-xpm-1993-12-03-mn-63376-story.html","4")</f>
        <v>4</v>
      </c>
      <c r="DU54" s="101" t="str">
        <f>HYPERLINK("https://www.wired.com/1994/06/rage/","0")</f>
        <v>0</v>
      </c>
      <c r="DV54" s="48" t="s">
        <v>100</v>
      </c>
      <c r="DW54" s="101" t="str">
        <f>HYPERLINK("https://www.nytimes.com/1993/12/04/us/man-s-7-year-search-to-find-job-ended-with-5-dead-in-california.html","1")</f>
        <v>1</v>
      </c>
      <c r="DX54" s="101" t="str">
        <f>HYPERLINK("http://archive.vcstar.com/news/shattered-lives-ep-371064179-352927291.html/","0")</f>
        <v>0</v>
      </c>
      <c r="DY54" s="48">
        <v>2</v>
      </c>
      <c r="DZ54" s="48">
        <v>0</v>
      </c>
    </row>
    <row r="55" spans="1:130" ht="50.25" customHeight="1">
      <c r="A55" s="96">
        <v>53</v>
      </c>
      <c r="B55" s="97" t="s">
        <v>315</v>
      </c>
      <c r="C55" s="97" t="s">
        <v>316</v>
      </c>
      <c r="D55" s="98">
        <v>34310</v>
      </c>
      <c r="E55" s="48" t="s">
        <v>203</v>
      </c>
      <c r="F55" s="99">
        <v>7</v>
      </c>
      <c r="G55" s="100" t="str">
        <f>HYPERLINK("http://www.nytimes.com/1993/12/09/nyregion/death-lirr-suspect-notes-past-accused-portrait-boiling-resentment.html","12")</f>
        <v>12</v>
      </c>
      <c r="H55" s="101" t="str">
        <f>HYPERLINK("https://www.nytimes.com/1993/12/09/nyregion/death-lirr-suspect-notes-past-accused-portrait-boiling-resentment.html","1993")</f>
        <v>1993</v>
      </c>
      <c r="I55" s="48" t="s">
        <v>317</v>
      </c>
      <c r="J55" s="101" t="str">
        <f>HYPERLINK("https://nypost.com/2013/11/24/victims-families-still-in-mouring-20-years-after-lirr-massacre/","Nassau County")</f>
        <v>Nassau County</v>
      </c>
      <c r="K55" s="100" t="str">
        <f>HYPERLINK("https://www.bostonglobe.com/news/nation/2014/04/24/man-convicted-long-island-train-shooting-tried-start-prison-riot/ZnUUCZua3DmfRP09mtUrUJ/story.html","32")</f>
        <v>32</v>
      </c>
      <c r="L55" s="99">
        <v>2</v>
      </c>
      <c r="M55" s="102">
        <v>0</v>
      </c>
      <c r="N55" s="149" t="str">
        <f>HYPERLINK("https://www.nytimes.com/1993/12/09/nyregion/death-lirr-suspect-notes-past-accused-portrait-boiling-resentment.html","8")</f>
        <v>8</v>
      </c>
      <c r="O55" s="100" t="str">
        <f>HYPERLINK("https://www.bostonglobe.com/news/nation/2014/04/24/man-convicted-long-island-train-shooting-tried-start-prison-riot/ZnUUCZua3DmfRP09mtUrUJ/story.html","0")</f>
        <v>0</v>
      </c>
      <c r="P55" s="99" t="s">
        <v>100</v>
      </c>
      <c r="Q55" s="103">
        <v>0</v>
      </c>
      <c r="R55" s="103">
        <v>0</v>
      </c>
      <c r="S55" s="100" t="str">
        <f>HYPERLINK("https://www.bostonglobe.com/news/nation/2014/04/24/man-convicted-long-island-train-shooting-tried-start-prison-riot/ZnUUCZua3DmfRP09mtUrUJ/story.html","6")</f>
        <v>6</v>
      </c>
      <c r="T55" s="100">
        <v>19</v>
      </c>
      <c r="U55" s="105" t="str">
        <f>HYPERLINK("https://nypost.com/2013/11/24/victims-families-still-in-mouring-20-years-after-lirr-massacre/","0")</f>
        <v>0</v>
      </c>
      <c r="V55" s="105" t="str">
        <f>HYPERLINK("https://www.nytimes.com/1993/12/09/nyregion/death-lirr-suspect-notes-past-accused-portrait-boiling-resentment.html","35")</f>
        <v>35</v>
      </c>
      <c r="W55" s="105" t="str">
        <f>HYPERLINK("https://www.nytimes.com/1993/12/09/nyregion/death-lirr-suspect-notes-past-accused-portrait-boiling-resentment.html","0")</f>
        <v>0</v>
      </c>
      <c r="X55" s="105" t="str">
        <f>HYPERLINK("https://www.nydailynews.com/new-york/lirr-bloodbath-remembered-20-years-article-1.1539603","1")</f>
        <v>1</v>
      </c>
      <c r="Y55" s="105">
        <v>1</v>
      </c>
      <c r="Z55" s="105" t="str">
        <f>HYPERLINK("https://www.nytimes.com/1993/12/10/nyregion/death-on-the-lirr-police-look-for-the-spark-that-led-to-the-shootings.html","0")</f>
        <v>0</v>
      </c>
      <c r="AA55" s="105" t="str">
        <f>HYPERLINK("https://www.nytimes.com/1993/12/12/nyregion/tormented-life-special-report-long-slide-privilege-ends-slaughter-train.html","1")</f>
        <v>1</v>
      </c>
      <c r="AB55" s="105" t="str">
        <f t="shared" ref="AB55:AC55" si="119">HYPERLINK("https://www.nytimes.com/1993/12/09/nyregion/death-lirr-suspect-notes-past-accused-portrait-boiling-resentment.html","2")</f>
        <v>2</v>
      </c>
      <c r="AC55" s="101" t="str">
        <f t="shared" si="119"/>
        <v>2</v>
      </c>
      <c r="AD55" s="101" t="str">
        <f>HYPERLINK("https://www.nytimes.com/1993/12/09/nyregion/death-lirr-suspect-notes-past-accused-portrait-boiling-resentment.html","dean's list")</f>
        <v>dean's list</v>
      </c>
      <c r="AE55" s="48"/>
      <c r="AF55" s="105" t="str">
        <f>HYPERLINK("https://www.nytimes.com/1993/12/12/nyregion/tormented-life-special-report-long-slide-privilege-ends-slaughter-train.html","4")</f>
        <v>4</v>
      </c>
      <c r="AG55" s="48"/>
      <c r="AH55" s="48"/>
      <c r="AI55" s="105" t="str">
        <f>HYPERLINK("https://www.nytimes.com/1993/12/10/nyregion/death-on-the-lirr-police-look-for-the-spark-that-led-to-the-shootings.html","3")</f>
        <v>3</v>
      </c>
      <c r="AJ55" s="105" t="str">
        <f>HYPERLINK("https://www.nytimes.com/1993/12/10/nyregion/death-on-the-lirr-police-look-for-the-spark-that-led-to-the-shootings.html","0")</f>
        <v>0</v>
      </c>
      <c r="AK55" s="105" t="str">
        <f>HYPERLINK("https://www.nytimes.com/1993/12/09/nyregion/death-lirr-suspect-notes-past-accused-portrait-boiling-resentment.html","0")</f>
        <v>0</v>
      </c>
      <c r="AL55" s="105" t="str">
        <f>HYPERLINK("https://www.nytimes.com/1993/12/12/nyregion/tormented-life-special-report-long-slide-privilege-ends-slaughter-train.html","0")</f>
        <v>0</v>
      </c>
      <c r="AM55" s="48">
        <v>0</v>
      </c>
      <c r="AN55" s="48" t="s">
        <v>100</v>
      </c>
      <c r="AO55" s="101" t="str">
        <f>HYPERLINK("https://www.nytimes.com/1993/12/09/nyregion/death-lirr-suspect-notes-past-accused-portrait-boiling-resentment.html","0")</f>
        <v>0</v>
      </c>
      <c r="AP55" s="54"/>
      <c r="AQ55" s="105" t="str">
        <f>HYPERLINK("https://www.nytimes.com/1993/12/09/nyregion/death-lirr-suspect-notes-past-accused-portrait-boiling-resentment.html","1")</f>
        <v>1</v>
      </c>
      <c r="AR55" s="48">
        <v>0</v>
      </c>
      <c r="AS55" s="101" t="str">
        <f>HYPERLINK("https://www.nytimes.com/1993/12/09/nyregion/death-lirr-suspect-notes-past-accused-portrait-boiling-resentment.html","1")</f>
        <v>1</v>
      </c>
      <c r="AT55" s="105">
        <v>1</v>
      </c>
      <c r="AU55" s="126">
        <v>1</v>
      </c>
      <c r="AV55" s="126">
        <v>3</v>
      </c>
      <c r="AW55" s="48"/>
      <c r="AX55" s="48">
        <v>0</v>
      </c>
      <c r="AY55" s="48">
        <v>0</v>
      </c>
      <c r="AZ55" s="48">
        <v>0</v>
      </c>
      <c r="BA55" s="48">
        <v>0</v>
      </c>
      <c r="BB55" s="107">
        <v>0</v>
      </c>
      <c r="BC55" s="48">
        <v>0</v>
      </c>
      <c r="BD55" s="48">
        <v>0</v>
      </c>
      <c r="BE55" s="105" t="str">
        <f t="shared" ref="BE55:BF55" si="120">HYPERLINK("https://www.nytimes.com/1993/12/12/nyregion/tormented-life-special-report-long-slide-privilege-ends-slaughter-train.html","0")</f>
        <v>0</v>
      </c>
      <c r="BF55" s="101" t="str">
        <f t="shared" si="120"/>
        <v>0</v>
      </c>
      <c r="BG55" s="51"/>
      <c r="BH55" s="51">
        <v>2</v>
      </c>
      <c r="BI55" s="105" t="str">
        <f>HYPERLINK("https://www.nytimes.com/1993/12/12/nyregion/tormented-life-special-report-long-slide-privilege-ends-slaughter-train.html","1")</f>
        <v>1</v>
      </c>
      <c r="BJ55" s="105" t="str">
        <f>HYPERLINK("https://www.nytimes.com/1993/12/10/nyregion/death-on-the-lirr-police-look-for-the-spark-that-led-to-the-shootings.html","0")</f>
        <v>0</v>
      </c>
      <c r="BK55" s="101" t="str">
        <f t="shared" ref="BK55:BL55" si="121">HYPERLINK("https://www.nytimes.com/1993/12/12/nyregion/tormented-life-special-report-long-slide-privilege-ends-slaughter-train.html","1")</f>
        <v>1</v>
      </c>
      <c r="BL55" s="108" t="str">
        <f t="shared" si="121"/>
        <v>1</v>
      </c>
      <c r="BM55" s="109">
        <v>3</v>
      </c>
      <c r="BN55" s="115" t="s">
        <v>3151</v>
      </c>
      <c r="BO55" s="111">
        <v>1</v>
      </c>
      <c r="BP55" s="111">
        <v>0</v>
      </c>
      <c r="BQ55" s="111">
        <v>0</v>
      </c>
      <c r="BR55" s="111">
        <v>1</v>
      </c>
      <c r="BS55" s="111">
        <v>1</v>
      </c>
      <c r="BT55" s="111">
        <v>1</v>
      </c>
      <c r="BU55" s="111">
        <v>1</v>
      </c>
      <c r="BV55" s="111">
        <v>1</v>
      </c>
      <c r="BW55" s="111">
        <v>1</v>
      </c>
      <c r="BX55" s="111">
        <v>1</v>
      </c>
      <c r="BY55" s="48">
        <v>0</v>
      </c>
      <c r="BZ55" s="51">
        <v>0</v>
      </c>
      <c r="CA55" s="51">
        <v>0</v>
      </c>
      <c r="CB55" s="48" t="s">
        <v>100</v>
      </c>
      <c r="CC55" s="48">
        <v>0</v>
      </c>
      <c r="CD55" s="48" t="s">
        <v>100</v>
      </c>
      <c r="CE55" s="105" t="str">
        <f>HYPERLINK("https://www.nytimes.com/1993/12/12/nyregion/tormented-life-special-report-long-slide-privilege-ends-slaughter-train.html","5")</f>
        <v>5</v>
      </c>
      <c r="CF55" s="105" t="str">
        <f>HYPERLINK("https://www.nytimes.com/1993/12/12/nyregion/tormented-life-special-report-long-slide-privilege-ends-slaughter-train.html","0")</f>
        <v>0</v>
      </c>
      <c r="CG55" s="48">
        <v>0</v>
      </c>
      <c r="CH55" s="105" t="str">
        <f>HYPERLINK("https://www.nytimes.com/1993/12/12/nyregion/tormented-life-special-report-long-slide-privilege-ends-slaughter-train.html","0")</f>
        <v>0</v>
      </c>
      <c r="CI55" s="101">
        <v>1</v>
      </c>
      <c r="CJ55" s="101" t="s">
        <v>844</v>
      </c>
      <c r="CK55" s="117">
        <v>1</v>
      </c>
      <c r="CL55" s="113"/>
      <c r="CM55" s="113"/>
      <c r="CN55" s="109">
        <v>2</v>
      </c>
      <c r="CO55" s="110">
        <v>0</v>
      </c>
      <c r="CP55" s="110">
        <v>0</v>
      </c>
      <c r="CQ55" s="110">
        <v>0</v>
      </c>
      <c r="CR55" s="110">
        <v>0</v>
      </c>
      <c r="CS55" s="109">
        <v>1</v>
      </c>
      <c r="CT55" s="109">
        <v>1</v>
      </c>
      <c r="CU55" s="110">
        <v>0</v>
      </c>
      <c r="CV55" s="110">
        <v>0</v>
      </c>
      <c r="CW55" s="116">
        <v>0</v>
      </c>
      <c r="CX55" s="116">
        <v>0</v>
      </c>
      <c r="CY55" s="116">
        <v>0</v>
      </c>
      <c r="CZ55" s="108" t="str">
        <f>HYPERLINK("https://www.nytimes.com/1993/12/12/nyregion/tormented-life-special-report-long-slide-privilege-ends-slaughter-train.html","0")</f>
        <v>0</v>
      </c>
      <c r="DA55" s="105" t="str">
        <f>HYPERLINK("https://www.nytimes.com/1993/12/12/nyregion/tormented-life-special-report-long-slide-privilege-ends-slaughter-train.html","2")</f>
        <v>2</v>
      </c>
      <c r="DB55" s="48">
        <v>2</v>
      </c>
      <c r="DC55" s="101" t="str">
        <f>HYPERLINK("https://www.nytimes.com/1993/12/12/nyregion/tormented-life-special-report-long-slide-privilege-ends-slaughter-train.html","0")</f>
        <v>0</v>
      </c>
      <c r="DD55" s="48"/>
      <c r="DE55" s="48"/>
      <c r="DF55" s="48"/>
      <c r="DG55" s="48"/>
      <c r="DH55" s="48"/>
      <c r="DI55" s="48"/>
      <c r="DJ55" s="48">
        <v>0</v>
      </c>
      <c r="DK55" s="48">
        <v>0</v>
      </c>
      <c r="DL55" s="48" t="s">
        <v>100</v>
      </c>
      <c r="DM55" s="105" t="str">
        <f>HYPERLINK("https://www.nytimes.com/1993/12/09/nyregion/death-lirr-suspect-notes-past-accused-portrait-boiling-resentment.html","1")</f>
        <v>1</v>
      </c>
      <c r="DN55" s="51">
        <v>0</v>
      </c>
      <c r="DO55" s="51" t="s">
        <v>100</v>
      </c>
      <c r="DP55" s="101" t="str">
        <f>HYPERLINK("https://www.nytimes.com/1993/12/12/nyregion/tormented-life-special-report-long-slide-privilege-ends-slaughter-train.html","1")</f>
        <v>1</v>
      </c>
      <c r="DQ55" s="101" t="str">
        <f>HYPERLINK("https://nypost.com/2013/11/24/victims-families-still-in-mouring-20-years-after-lirr-massacre/","0")</f>
        <v>0</v>
      </c>
      <c r="DR55" s="48">
        <v>0</v>
      </c>
      <c r="DS55" s="101" t="str">
        <f>HYPERLINK("https://www.nytimes.com/1993/12/12/nyregion/tormented-life-special-report-long-slide-privilege-ends-slaughter-train.html","1")</f>
        <v>1</v>
      </c>
      <c r="DT55" s="105" t="str">
        <f t="shared" ref="DT55" si="122">HYPERLINK("https://www.nytimes.com/1993/12/12/nyregion/tormented-life-special-report-long-slide-privilege-ends-slaughter-train.html","1")</f>
        <v>1</v>
      </c>
      <c r="DU55" s="105" t="str">
        <f>HYPERLINK("https://www.nytimes.com/1993/12/12/nyregion/tormented-life-special-report-long-slide-privilege-ends-slaughter-train.html","0")</f>
        <v>0</v>
      </c>
      <c r="DV55" s="48" t="s">
        <v>100</v>
      </c>
      <c r="DW55" s="105" t="str">
        <f>HYPERLINK("https://www.bostonglobe.com/news/nation/2014/04/24/man-convicted-long-island-train-shooting-tried-start-prison-riot/ZnUUCZua3DmfRP09mtUrUJ/story.html","2")</f>
        <v>2</v>
      </c>
      <c r="DX55" s="105" t="str">
        <f>HYPERLINK("https://nypost.com/2013/11/24/victims-families-still-in-mouring-20-years-after-lirr-massacre/","0")</f>
        <v>0</v>
      </c>
      <c r="DY55" s="105">
        <v>0</v>
      </c>
      <c r="DZ55" s="133" t="str">
        <f>HYPERLINK("https://www.newsday.com/long-island/nassau/colin-ferguson-punished-for-trying-to-incite-a-prison-riot-1.7815821","3")</f>
        <v>3</v>
      </c>
    </row>
    <row r="56" spans="1:130" ht="50.25" customHeight="1">
      <c r="A56" s="96">
        <v>54</v>
      </c>
      <c r="B56" s="97" t="s">
        <v>318</v>
      </c>
      <c r="C56" s="97" t="s">
        <v>319</v>
      </c>
      <c r="D56" s="98">
        <v>34317</v>
      </c>
      <c r="E56" s="48" t="s">
        <v>203</v>
      </c>
      <c r="F56" s="99">
        <v>14</v>
      </c>
      <c r="G56" s="100" t="str">
        <f>HYPERLINK(" http://kdvr.com/2012/07/27/lone-survivor-of-mass-shooting-18-years-ago-tells-what-life-is-like-now/","12")</f>
        <v>12</v>
      </c>
      <c r="H56" s="101" t="str">
        <f>HYPERLINK("https://kdvr.com/2012/07/27/lone-survivor-of-mass-shooting-18-years-ago-tells-what-life-is-like-now/","1993")</f>
        <v>1993</v>
      </c>
      <c r="I56" s="48" t="s">
        <v>320</v>
      </c>
      <c r="J56" s="101" t="s">
        <v>321</v>
      </c>
      <c r="K56" s="100" t="str">
        <f>HYPERLINK(" http://www.nytimes.com/1993/12/16/us/gunman-kills-4-workers-at-colorado-restaurant.html","6")</f>
        <v>6</v>
      </c>
      <c r="L56" s="100" t="str">
        <f>HYPERLINK("http://www.nytimes.com/1993/12/16/us/gunman-kills-4-workers-at-colorado-restaurant.html","3")</f>
        <v>3</v>
      </c>
      <c r="M56" s="102" t="str">
        <f>HYPERLINK("http://www.nytimes.com/1993/12/16/us/gunman-kills-4-workers-at-colorado-restaurant.html","1")</f>
        <v>1</v>
      </c>
      <c r="N56" s="100" t="str">
        <f>HYPERLINK("https://www.nytimes.com/1993/12/16/us/gunman-kills-4-workers-at-colorado-restaurant.html","6")</f>
        <v>6</v>
      </c>
      <c r="O56" s="100">
        <v>0</v>
      </c>
      <c r="P56" s="99" t="s">
        <v>100</v>
      </c>
      <c r="Q56" s="103">
        <v>0</v>
      </c>
      <c r="R56" s="103">
        <v>0</v>
      </c>
      <c r="S56" s="100" t="str">
        <f>HYPERLINK("http://www.nytimes.com/1993/12/16/us/gunman-kills-4-workers-at-colorado-restaurant.html","4")</f>
        <v>4</v>
      </c>
      <c r="T56" s="100" t="str">
        <f>HYPERLINK("https://www.nytimes.com/1993/12/16/us/gunman-kills-4-workers-at-colorado-restaurant.html","1")</f>
        <v>1</v>
      </c>
      <c r="U56" s="105" t="str">
        <f>HYPERLINK("https://caselaw.findlaw.com/co-supreme-court/1386758.html","0")</f>
        <v>0</v>
      </c>
      <c r="V56" s="100" t="str">
        <f>HYPERLINK("http://www.nytimes.com/1993/12/16/us/gunman-kills-4-workers-at-colorado-restaurant.html","19")</f>
        <v>19</v>
      </c>
      <c r="W56" s="105" t="str">
        <f>HYPERLINK("http://www.cnn.com/2014/07/31/us/death-row-stories-dunlap/index.html","0")</f>
        <v>0</v>
      </c>
      <c r="X56" s="105" t="str">
        <f>HYPERLINK(" http://www.cnn.com/2014/07/31/us/death-row-stories-dunlap/index.html","1")</f>
        <v>1</v>
      </c>
      <c r="Y56" s="105">
        <v>0</v>
      </c>
      <c r="Z56" s="105" t="str">
        <f>HYPERLINK("https://caselaw.findlaw.com/co-supreme-court/1386758.html","0")</f>
        <v>0</v>
      </c>
      <c r="AA56" s="105">
        <v>1</v>
      </c>
      <c r="AB56" s="105">
        <v>1</v>
      </c>
      <c r="AC56" s="101" t="str">
        <f>HYPERLINK("https://www.sentinelcolorado.com/news/personal-experience-public-debate-aurora-rep-has-unique-tie-to-death-penalty-debate/","1")</f>
        <v>1</v>
      </c>
      <c r="AD56" s="101" t="str">
        <f>HYPERLINK("https://www.sentinelcolorado.com/news/personal-experience-public-debate-aurora-rep-has-unique-tie-to-death-penalty-debate/","not notable")</f>
        <v>not notable</v>
      </c>
      <c r="AE56" s="105" t="str">
        <f t="shared" ref="AE56:AF56" si="123">HYPERLINK("https://web.archive.org/web/20150421030616/http:/www.cofpd.org/docs-dun/final-clemency-petition-5-6.pdf","2")</f>
        <v>2</v>
      </c>
      <c r="AF56" s="105" t="str">
        <f t="shared" si="123"/>
        <v>2</v>
      </c>
      <c r="AG56" s="105" t="str">
        <f t="shared" ref="AG56:AH56" si="124">HYPERLINK("https://web.archive.org/web/20150421030616/http:/www.cofpd.org/docs-dun/final-clemency-petition-5-6.pdf","1")</f>
        <v>1</v>
      </c>
      <c r="AH56" s="105" t="str">
        <f t="shared" si="124"/>
        <v>1</v>
      </c>
      <c r="AI56" s="105">
        <v>1</v>
      </c>
      <c r="AJ56" s="105">
        <v>0</v>
      </c>
      <c r="AK56" s="105">
        <v>1</v>
      </c>
      <c r="AL56" s="105" t="str">
        <f>HYPERLINK("https://www.nytimes.com/1993/12/16/us/gunman-kills-4-workers-at-colorado-restaurant.html","0")</f>
        <v>0</v>
      </c>
      <c r="AM56" s="48">
        <v>0</v>
      </c>
      <c r="AN56" s="48" t="s">
        <v>100</v>
      </c>
      <c r="AO56" s="51">
        <v>0</v>
      </c>
      <c r="AP56" s="54"/>
      <c r="AQ56" s="105" t="str">
        <f t="shared" ref="AQ56:DS56" si="125">HYPERLINK("https://web.archive.org/web/20150421030616/http:/www.cofpd.org/docs-dun/final-clemency-petition-5-6.pdf","1")</f>
        <v>1</v>
      </c>
      <c r="AR56" s="48">
        <v>0</v>
      </c>
      <c r="AS56" s="101">
        <v>1</v>
      </c>
      <c r="AT56" s="48">
        <v>0</v>
      </c>
      <c r="AU56" s="48" t="s">
        <v>100</v>
      </c>
      <c r="AV56" s="48" t="s">
        <v>100</v>
      </c>
      <c r="AW56" s="48" t="s">
        <v>100</v>
      </c>
      <c r="AX56" s="48">
        <v>0</v>
      </c>
      <c r="AY56" s="48">
        <v>0</v>
      </c>
      <c r="AZ56" s="48">
        <v>0</v>
      </c>
      <c r="BA56" s="48">
        <v>0</v>
      </c>
      <c r="BB56" s="141" t="str">
        <f>HYPERLINK("http://www.cnn.com/TRANSCRIPTS/1409/07/drow.02.html","1")</f>
        <v>1</v>
      </c>
      <c r="BC56" s="105">
        <v>0</v>
      </c>
      <c r="BD56" s="105">
        <v>0</v>
      </c>
      <c r="BE56" s="105">
        <v>0</v>
      </c>
      <c r="BF56" s="101" t="str">
        <f>HYPERLINK("https://web.archive.org/web/20150421030616/http:/www.cofpd.org/docs-dun/final-clemency-petition-5-6.pdf","0")</f>
        <v>0</v>
      </c>
      <c r="BG56" s="101" t="str">
        <f>HYPERLINK("https://web.archive.org/web/20150421030616/http:/www.cofpd.org/docs-dun/final-clemency-petition-5-6.pdf","6")</f>
        <v>6</v>
      </c>
      <c r="BH56" s="51">
        <v>0</v>
      </c>
      <c r="BI56" s="48">
        <v>0</v>
      </c>
      <c r="BJ56" s="48">
        <v>0</v>
      </c>
      <c r="BK56" s="101" t="str">
        <f>HYPERLINK("  http://www.nytimes.com/1993/12/16/us/gunman-kills-4-workers-at-colorado-restaurant.html","1")</f>
        <v>1</v>
      </c>
      <c r="BL56" s="108">
        <v>1</v>
      </c>
      <c r="BM56" s="109">
        <v>2</v>
      </c>
      <c r="BN56" s="115" t="s">
        <v>3002</v>
      </c>
      <c r="BO56" s="111">
        <v>1</v>
      </c>
      <c r="BP56" s="111">
        <v>1</v>
      </c>
      <c r="BQ56" s="111">
        <v>0</v>
      </c>
      <c r="BR56" s="111">
        <v>0</v>
      </c>
      <c r="BS56" s="111">
        <v>0</v>
      </c>
      <c r="BT56" s="111">
        <v>1</v>
      </c>
      <c r="BU56" s="111">
        <v>1</v>
      </c>
      <c r="BV56" s="111">
        <v>0</v>
      </c>
      <c r="BW56" s="111">
        <v>1</v>
      </c>
      <c r="BX56" s="111">
        <v>0</v>
      </c>
      <c r="BY56" s="105">
        <v>1</v>
      </c>
      <c r="BZ56" s="105" t="str">
        <f>HYPERLINK("https://web.archive.org/web/20150421030616/http:/www.cofpd.org/docs-dun/final-clemency-petition-5-6.pdf","1")</f>
        <v>1</v>
      </c>
      <c r="CA56" s="101">
        <v>1</v>
      </c>
      <c r="CB56" s="105" t="str">
        <f>HYPERLINK("https://web.archive.org/web/20150421030616/http:/www.cofpd.org/docs-dun/final-clemency-petition-5-6.pdf","0")</f>
        <v>0</v>
      </c>
      <c r="CC56" s="105">
        <v>0</v>
      </c>
      <c r="CD56" s="133" t="str">
        <f>HYPERLINK("https://web.archive.org/web/20150421030616/http:/www.cofpd.org/docs-dun/final-clemency-petition-5-6.pdf","0")</f>
        <v>0</v>
      </c>
      <c r="CE56" s="105" t="str">
        <f t="shared" ref="CE56:CF56" si="126">HYPERLINK("https://web.archive.org/web/20150421030616/http:/www.cofpd.org/docs-dun/final-clemency-petition-5-6.pdf","1")</f>
        <v>1</v>
      </c>
      <c r="CF56" s="105" t="str">
        <f t="shared" si="126"/>
        <v>1</v>
      </c>
      <c r="CG56" s="48">
        <v>0</v>
      </c>
      <c r="CH56" s="48"/>
      <c r="CI56" s="105">
        <v>1</v>
      </c>
      <c r="CJ56" s="101" t="str">
        <f>HYPERLINK("https://web.archive.org/web/20150421030616/http:/www.cofpd.org/docs-dun/final-clemency-petition-5-6.pdf","brain damage")</f>
        <v>brain damage</v>
      </c>
      <c r="CK56" s="113">
        <v>0</v>
      </c>
      <c r="CL56" s="113"/>
      <c r="CM56" s="113"/>
      <c r="CN56" s="108">
        <v>0</v>
      </c>
      <c r="CO56" s="108">
        <v>0</v>
      </c>
      <c r="CP56" s="108">
        <v>0</v>
      </c>
      <c r="CQ56" s="110">
        <v>0</v>
      </c>
      <c r="CR56" s="108" t="str">
        <f>HYPERLINK("https://caselaw.findlaw.com/co-supreme-court/1386758.html","1")</f>
        <v>1</v>
      </c>
      <c r="CS56" s="108">
        <v>0</v>
      </c>
      <c r="CT56" s="110">
        <v>0</v>
      </c>
      <c r="CU56" s="108">
        <v>0</v>
      </c>
      <c r="CV56" s="108">
        <v>0</v>
      </c>
      <c r="CW56" s="116">
        <v>0</v>
      </c>
      <c r="CX56" s="116">
        <v>0</v>
      </c>
      <c r="CY56" s="116">
        <v>0</v>
      </c>
      <c r="CZ56" s="108" t="str">
        <f>HYPERLINK("https://caselaw.findlaw.com/co-supreme-court/1386758.html","0")</f>
        <v>0</v>
      </c>
      <c r="DA56" s="105">
        <v>1</v>
      </c>
      <c r="DB56" s="48">
        <v>2</v>
      </c>
      <c r="DC56" s="101" t="str">
        <f>HYPERLINK("https://caselaw.findlaw.com/co-supreme-court/1386758.html","1")</f>
        <v>1</v>
      </c>
      <c r="DD56" s="51">
        <v>0</v>
      </c>
      <c r="DE56" s="107">
        <v>4</v>
      </c>
      <c r="DF56" s="51">
        <v>1</v>
      </c>
      <c r="DG56" s="51"/>
      <c r="DH56" s="51"/>
      <c r="DI56" s="51"/>
      <c r="DJ56" s="48">
        <v>0</v>
      </c>
      <c r="DK56" s="48">
        <v>0</v>
      </c>
      <c r="DL56" s="48" t="s">
        <v>100</v>
      </c>
      <c r="DM56" s="105" t="str">
        <f>HYPERLINK("https://caselaw.findlaw.com/co-supreme-court/1386758.html","0")</f>
        <v>0</v>
      </c>
      <c r="DN56" s="51">
        <v>0</v>
      </c>
      <c r="DO56" s="51" t="s">
        <v>100</v>
      </c>
      <c r="DP56" s="101" t="str">
        <f t="shared" ref="DP56:DQ56" si="127">HYPERLINK("https://caselaw.findlaw.com/co-supreme-court/1386758.html","0")</f>
        <v>0</v>
      </c>
      <c r="DQ56" s="101" t="str">
        <f t="shared" si="127"/>
        <v>0</v>
      </c>
      <c r="DR56" s="48">
        <v>0</v>
      </c>
      <c r="DS56" s="101" t="str">
        <f t="shared" si="125"/>
        <v>1</v>
      </c>
      <c r="DT56" s="105" t="str">
        <f>HYPERLINK("http://www.nytimes.com/1993/12/16/us/gunman-kills-4-workers-at-colorado-restaurant.html","1")</f>
        <v>1</v>
      </c>
      <c r="DU56" s="105" t="str">
        <f>HYPERLINK("https://caselaw.findlaw.com/co-supreme-court/1386758.html","0")</f>
        <v>0</v>
      </c>
      <c r="DV56" s="48" t="s">
        <v>100</v>
      </c>
      <c r="DW56" s="105" t="str">
        <f>HYPERLINK("https://www.cnn.com/2014/07/31/us/death-row-stories-dunlap/index.html","2")</f>
        <v>2</v>
      </c>
      <c r="DX56" s="105" t="str">
        <f>HYPERLINK("https://caselaw.findlaw.com/co-supreme-court/1386758.html","1")</f>
        <v>1</v>
      </c>
      <c r="DY56" s="105" t="str">
        <f>HYPERLINK("https://web.archive.org/web/20150421030616/http:/www.cofpd.org/docs-dun/final-clemency-petition-5-6.pdf","0")</f>
        <v>0</v>
      </c>
      <c r="DZ56" s="133" t="str">
        <f>HYPERLINK("https://www.cnn.com/2014/07/31/us/death-row-stories-dunlap/index.html","1")</f>
        <v>1</v>
      </c>
    </row>
    <row r="57" spans="1:130" ht="50.25" customHeight="1">
      <c r="A57" s="96">
        <v>55</v>
      </c>
      <c r="B57" s="97" t="s">
        <v>322</v>
      </c>
      <c r="C57" s="97" t="s">
        <v>323</v>
      </c>
      <c r="D57" s="98">
        <v>34505</v>
      </c>
      <c r="E57" s="48" t="s">
        <v>95</v>
      </c>
      <c r="F57" s="99">
        <v>20</v>
      </c>
      <c r="G57" s="100" t="str">
        <f>HYPERLINK("https://www.nytimes.com/1994/06/22/us/an-airman-s-revenge-5-minutes-of-terror.html","6")</f>
        <v>6</v>
      </c>
      <c r="H57" s="101" t="str">
        <f>HYPERLINK("https://www.nytimes.com/1994/06/22/us/an-airman-s-revenge-5-minutes-of-terror.html","1994")</f>
        <v>1994</v>
      </c>
      <c r="I57" s="48" t="s">
        <v>324</v>
      </c>
      <c r="J57" s="101" t="str">
        <f>HYPERLINK("http://articles.latimes.com/1994-06-22/news/mn-7137_1_air-force","Spokane ")</f>
        <v xml:space="preserve">Spokane </v>
      </c>
      <c r="K57" s="100" t="str">
        <f>HYPERLINK("https://www.latimes.com/archives/la-xpm-1994-06-22-mn-7137-story.html","47")</f>
        <v>47</v>
      </c>
      <c r="L57" s="99">
        <v>3</v>
      </c>
      <c r="M57" s="102">
        <v>0</v>
      </c>
      <c r="N57" s="100" t="str">
        <f>HYPERLINK("https://www.nytimes.com/1994/06/22/us/an-airman-s-revenge-5-minutes-of-terror.html","6")</f>
        <v>6</v>
      </c>
      <c r="O57" s="100" t="str">
        <f>HYPERLINK("https://www.nytimes.com/1994/06/22/us/an-airman-s-revenge-5-minutes-of-terror.html?mtrref=undefined","0")</f>
        <v>0</v>
      </c>
      <c r="P57" s="99" t="s">
        <v>100</v>
      </c>
      <c r="Q57" s="103">
        <v>1</v>
      </c>
      <c r="R57" s="103">
        <v>1</v>
      </c>
      <c r="S57" s="100" t="str">
        <f>HYPERLINK("https://www.nytimes.com/1994/06/22/us/an-airman-s-revenge-5-minutes-of-terror.html","4")</f>
        <v>4</v>
      </c>
      <c r="T57" s="100">
        <v>23</v>
      </c>
      <c r="U57" s="105" t="str">
        <f>HYPERLINK("https://www.hsdl.org/?view&amp;did=744680","0")</f>
        <v>0</v>
      </c>
      <c r="V57" s="105" t="str">
        <f>HYPERLINK("https://www.nytimes.com/1994/06/22/us/an-airman-s-revenge-5-minutes-of-terror.html","20")</f>
        <v>20</v>
      </c>
      <c r="W57" s="105" t="str">
        <f>HYPERLINK("https://www.nytimes.com/1994/06/22/us/an-airman-s-revenge-5-minutes-of-terror.html","0")</f>
        <v>0</v>
      </c>
      <c r="X57" s="105" t="str">
        <f>HYPERLINK("http://www.spokesman.com/galleries/2010/jun/17/looking-back-fairchild-shootings/","0")</f>
        <v>0</v>
      </c>
      <c r="Y57" s="48">
        <v>0</v>
      </c>
      <c r="Z57" s="48">
        <v>0</v>
      </c>
      <c r="AA57" s="48"/>
      <c r="AB57" s="105">
        <v>2</v>
      </c>
      <c r="AC57" s="101" t="str">
        <f>HYPERLINK("https://www.upi.com/Archives/1994/06/21/Teacher-Mellberg-was-a-loner/1176772171200/","2")</f>
        <v>2</v>
      </c>
      <c r="AD57" s="101" t="str">
        <f>HYPERLINK("https://www.upi.com/Archives/1994/06/21/Teacher-Mellberg-was-a-loner/1176772171200/","diligent student")</f>
        <v>diligent student</v>
      </c>
      <c r="AE57" s="48"/>
      <c r="AF57" s="48"/>
      <c r="AG57" s="48"/>
      <c r="AH57" s="48"/>
      <c r="AI57" s="48">
        <v>0</v>
      </c>
      <c r="AJ57" s="48">
        <v>0</v>
      </c>
      <c r="AK57" s="105" t="str">
        <f>HYPERLINK("https://www.nytimes.com/1994/06/22/us/an-airman-s-revenge-5-minutes-of-terror.html","0")</f>
        <v>0</v>
      </c>
      <c r="AL57" s="48">
        <v>2</v>
      </c>
      <c r="AM57" s="105" t="str">
        <f>HYPERLINK("http://www.spokesman.com/stories/2014/jun/15/in-one-week-20-years-ago-fairchild-air-force-base/","1")</f>
        <v>1</v>
      </c>
      <c r="AN57" s="105" t="str">
        <f>HYPERLINK("http://www.spokesman.com/stories/2014/jun/15/in-one-week-20-years-ago-fairchild-air-force-base/","2")</f>
        <v>2</v>
      </c>
      <c r="AO57" s="101" t="str">
        <f>HYPERLINK("https://www.spokesman.com/stories/2014/jun/15/in-one-week-20-years-ago-fairchild-air-force-base/","0")</f>
        <v>0</v>
      </c>
      <c r="AP57" s="54"/>
      <c r="AQ57" s="48">
        <v>0</v>
      </c>
      <c r="AR57" s="48">
        <v>0</v>
      </c>
      <c r="AS57" s="51">
        <v>0</v>
      </c>
      <c r="AT57" s="48">
        <v>0</v>
      </c>
      <c r="AU57" s="48" t="s">
        <v>100</v>
      </c>
      <c r="AV57" s="48" t="s">
        <v>100</v>
      </c>
      <c r="AW57" s="48" t="s">
        <v>100</v>
      </c>
      <c r="AX57" s="48">
        <v>0</v>
      </c>
      <c r="AY57" s="48">
        <v>0</v>
      </c>
      <c r="AZ57" s="48">
        <v>0</v>
      </c>
      <c r="BA57" s="48">
        <v>0</v>
      </c>
      <c r="BB57" s="107">
        <v>0</v>
      </c>
      <c r="BC57" s="105">
        <v>0</v>
      </c>
      <c r="BD57" s="105" t="str">
        <f>HYPERLINK("http://community.seattletimes.nwsource.com/archive/?date=19940621&amp;slug=1916670","1")</f>
        <v>1</v>
      </c>
      <c r="BE57" s="105">
        <v>0</v>
      </c>
      <c r="BF57" s="101" t="str">
        <f>HYPERLINK("https://www.upi.com/Archives/1994/06/21/Teacher-Mellberg-was-a-loner/1176772171200/","0")</f>
        <v>0</v>
      </c>
      <c r="BG57" s="101" t="str">
        <f>HYPERLINK("https://products.kitsapsun.com/archive/1994/10-03/300407_fairchild_air_base__newspaper__.html","5")</f>
        <v>5</v>
      </c>
      <c r="BH57" s="51">
        <v>1</v>
      </c>
      <c r="BI57" s="48">
        <v>0</v>
      </c>
      <c r="BJ57" s="48">
        <v>0</v>
      </c>
      <c r="BK57" s="101" t="str">
        <f>HYPERLINK("https://www.nytimes.com/1994/06/22/us/an-airman-s-revenge-5-minutes-of-terror.html","1")</f>
        <v>1</v>
      </c>
      <c r="BL57" s="108" t="str">
        <f>HYPERLINK("https://www.latimes.com/archives/la-xpm-1994-06-22-mn-7137-story.html","1")</f>
        <v>1</v>
      </c>
      <c r="BM57" s="109">
        <v>2</v>
      </c>
      <c r="BN57" s="115" t="s">
        <v>3003</v>
      </c>
      <c r="BO57" s="111">
        <v>1</v>
      </c>
      <c r="BP57" s="111">
        <v>1</v>
      </c>
      <c r="BQ57" s="111">
        <v>0</v>
      </c>
      <c r="BR57" s="111">
        <v>0</v>
      </c>
      <c r="BS57" s="111">
        <v>0</v>
      </c>
      <c r="BT57" s="111">
        <v>0</v>
      </c>
      <c r="BU57" s="111">
        <v>0</v>
      </c>
      <c r="BV57" s="111">
        <v>0</v>
      </c>
      <c r="BW57" s="111">
        <v>1</v>
      </c>
      <c r="BX57" s="111">
        <v>1</v>
      </c>
      <c r="BY57" s="48">
        <v>0</v>
      </c>
      <c r="BZ57" s="101" t="str">
        <f>HYPERLINK("http://www.spokesman.com/stories/2014/jun/15/in-one-week-20-years-ago-fairchild-air-force-base/","1")</f>
        <v>1</v>
      </c>
      <c r="CA57" s="123">
        <v>1</v>
      </c>
      <c r="CB57" s="126">
        <v>0</v>
      </c>
      <c r="CC57" s="48">
        <v>0</v>
      </c>
      <c r="CD57" s="105" t="str">
        <f>HYPERLINK("https://apnews.com/60e457fded655d6ff932695474e20473","1")</f>
        <v>1</v>
      </c>
      <c r="CE57" s="105" t="str">
        <f>HYPERLINK("https://www.hsdl.org/?view&amp;did=744680","2")</f>
        <v>2</v>
      </c>
      <c r="CF57" s="52">
        <v>0</v>
      </c>
      <c r="CG57" s="105" t="str">
        <f>HYPERLINK("https://www.tandfonline.com/doi/pdf/10.1080/00223980.2016.1175998","1")</f>
        <v>1</v>
      </c>
      <c r="CH57" s="48">
        <v>0</v>
      </c>
      <c r="CI57" s="48">
        <v>0</v>
      </c>
      <c r="CJ57" s="51" t="s">
        <v>100</v>
      </c>
      <c r="CK57" s="113">
        <v>0</v>
      </c>
      <c r="CL57" s="113"/>
      <c r="CM57" s="113"/>
      <c r="CN57" s="110">
        <v>0</v>
      </c>
      <c r="CO57" s="110">
        <v>0</v>
      </c>
      <c r="CP57" s="110">
        <v>0</v>
      </c>
      <c r="CQ57" s="110">
        <v>0</v>
      </c>
      <c r="CR57" s="108" t="str">
        <f>HYPERLINK("https://www.latimes.com/archives/la-xpm-1994-06-22-mn-7137-story.html","1")</f>
        <v>1</v>
      </c>
      <c r="CS57" s="110">
        <v>0</v>
      </c>
      <c r="CT57" s="110">
        <v>0</v>
      </c>
      <c r="CU57" s="110">
        <v>0</v>
      </c>
      <c r="CV57" s="108">
        <v>0</v>
      </c>
      <c r="CW57" s="116">
        <v>0</v>
      </c>
      <c r="CX57" s="116">
        <v>0</v>
      </c>
      <c r="CY57" s="116">
        <v>0</v>
      </c>
      <c r="CZ57" s="108" t="str">
        <f>HYPERLINK("https://www.latimes.com/archives/la-xpm-1994-06-22-mn-7137-story.html","0")</f>
        <v>0</v>
      </c>
      <c r="DA57" s="48">
        <v>0</v>
      </c>
      <c r="DB57" s="48">
        <v>2</v>
      </c>
      <c r="DC57" s="101">
        <v>1</v>
      </c>
      <c r="DD57" s="51">
        <v>0</v>
      </c>
      <c r="DE57" s="107">
        <v>0</v>
      </c>
      <c r="DF57" s="51">
        <v>1</v>
      </c>
      <c r="DG57" s="51"/>
      <c r="DH57" s="51"/>
      <c r="DI57" s="51"/>
      <c r="DJ57" s="48">
        <v>0</v>
      </c>
      <c r="DK57" s="48">
        <v>0</v>
      </c>
      <c r="DL57" s="48" t="s">
        <v>100</v>
      </c>
      <c r="DM57" s="105" t="str">
        <f>HYPERLINK("https://www.latimes.com/archives/la-xpm-1994-06-22-mn-7137-story.html","0")</f>
        <v>0</v>
      </c>
      <c r="DN57" s="51">
        <v>0</v>
      </c>
      <c r="DO57" s="51" t="s">
        <v>100</v>
      </c>
      <c r="DP57" s="51">
        <v>0</v>
      </c>
      <c r="DQ57" s="101" t="str">
        <f>HYPERLINK("https://www.latimes.com/archives/la-xpm-1994-06-22-mn-7137-story.html","0")</f>
        <v>0</v>
      </c>
      <c r="DR57" s="48">
        <v>0</v>
      </c>
      <c r="DS57" s="101" t="str">
        <f>HYPERLINK("https://www.spokesman.com/stories/2014/jun/15/in-one-week-20-years-ago-fairchild-air-force-base/","3")</f>
        <v>3</v>
      </c>
      <c r="DT57" s="105" t="str">
        <f>HYPERLINK("http://www.spokesman.com/stories/2014/jun/15/in-one-week-20-years-ago-fairchild-air-force-base/","1")</f>
        <v>1</v>
      </c>
      <c r="DU57" s="105" t="str">
        <f>HYPERLINK("https://www.nytimes.com/1994/06/22/us/an-airman-s-revenge-5-minutes-of-terror.html?mtrref=undefined","0")</f>
        <v>0</v>
      </c>
      <c r="DV57" s="48" t="s">
        <v>100</v>
      </c>
      <c r="DW57" s="105" t="str">
        <f>HYPERLINK("https://www.upi.com/Archives/1994/06/21/Teacher-Mellberg-was-a-loner/1176772171200/","1")</f>
        <v>1</v>
      </c>
      <c r="DX57" s="105" t="str">
        <f>HYPERLINK("https://www.hsdl.org/?view&amp;did=744680","0")</f>
        <v>0</v>
      </c>
      <c r="DY57" s="48">
        <v>2</v>
      </c>
      <c r="DZ57" s="48">
        <v>0</v>
      </c>
    </row>
    <row r="58" spans="1:130" ht="50.25" customHeight="1">
      <c r="A58" s="96">
        <v>56</v>
      </c>
      <c r="B58" s="96" t="s">
        <v>315</v>
      </c>
      <c r="C58" s="97" t="s">
        <v>325</v>
      </c>
      <c r="D58" s="98">
        <v>34699</v>
      </c>
      <c r="E58" s="48" t="s">
        <v>103</v>
      </c>
      <c r="F58" s="99">
        <v>31</v>
      </c>
      <c r="G58" s="100" t="str">
        <f>HYPERLINK("https://caselaw.findlaw.com/nc-court-of-appeals/1359423.html","12")</f>
        <v>12</v>
      </c>
      <c r="H58" s="101" t="str">
        <f>HYPERLINK("https://caselaw.findlaw.com/nc-court-of-appeals/1359423.html","1994")</f>
        <v>1994</v>
      </c>
      <c r="I58" s="52" t="s">
        <v>847</v>
      </c>
      <c r="J58" s="141" t="str">
        <f>HYPERLINK("https://fultonhistory.com/Newspaper%2024/Rockingham%20NC%20Richmond%20County%20Journal/Rockingham%20NC%20Richmond%20County%20Journal%201995/Rockingham%20NC%20%20Richmond%20County%20Journal%201995%20-%200018.pdf","Raeford, Hoke County, NC")</f>
        <v>Raeford, Hoke County, NC</v>
      </c>
      <c r="K58" s="100" t="str">
        <f>HYPERLINK("https://caselaw.findlaw.com/nc-court-of-appeals/1359423.html","33")</f>
        <v>33</v>
      </c>
      <c r="L58" s="100">
        <v>0</v>
      </c>
      <c r="M58" s="102" t="str">
        <f>HYPERLINK("http://fultonhistory.com/Newspaper%2024/Rockingham%20NC%20Richmond%20County%20Journal/Rockingham%20NC%20Richmond%20County%20Journal%201995/Rockingham%20NC%20%20Richmond%20County%20Journal%201995%20-%200018.pdf"," 2")</f>
        <v xml:space="preserve"> 2</v>
      </c>
      <c r="N58" s="100" t="str">
        <f>HYPERLINK("https://www.apnews.com/d0126666cf574fca9f1e9c109cb4c923","4")</f>
        <v>4</v>
      </c>
      <c r="O58" s="100" t="str">
        <f>HYPERLINK("https://www.apnews.com/d0126666cf574fca9f1e9c109cb4c923","1")</f>
        <v>1</v>
      </c>
      <c r="P58" s="100" t="str">
        <f>HYPERLINK("https://www.apnews.com/d0126666cf574fca9f1e9c109cb4c923","5")</f>
        <v>5</v>
      </c>
      <c r="Q58" s="140">
        <v>0</v>
      </c>
      <c r="R58" s="140">
        <v>0</v>
      </c>
      <c r="S58" s="100" t="str">
        <f>HYPERLINK("http://fultonhistory.com/Newspaper%2024/Rockingham%20NC%20Richmond%20County%20Journal/Rockingham%20NC%20Richmond%20County%20Journal%201995/Rockingham%20NC%20%20Richmond%20County%20Journal%201995%20-%200018.pdf","5")</f>
        <v>5</v>
      </c>
      <c r="T58" s="100">
        <v>1</v>
      </c>
      <c r="U58" s="105" t="str">
        <f>HYPERLINK("https://www.apnews.com/d0126666cf574fca9f1e9c109cb4c923","0")</f>
        <v>0</v>
      </c>
      <c r="V58" s="105" t="str">
        <f>HYPERLINK("https://www.apnews.com/d0126666cf574fca9f1e9c109cb4c923","18")</f>
        <v>18</v>
      </c>
      <c r="W58" s="105" t="str">
        <f>HYPERLINK("https://caselaw.findlaw.com/nc-court-of-appeals/1359423.html","0")</f>
        <v>0</v>
      </c>
      <c r="X58" s="105" t="str">
        <f>HYPERLINK("http://fultonhistory.com/Newspaper%2024/Rockingham%20NC%20Richmond%20County%20Journal/Rockingham%20NC%20Richmond%20County%20Journal%201995/Rockingham%20NC%20%20Richmond%20County%20Journal%201995%20-%200018.pdf","1")</f>
        <v>1</v>
      </c>
      <c r="Y58" s="48">
        <v>0</v>
      </c>
      <c r="Z58" s="48">
        <v>0</v>
      </c>
      <c r="AA58" s="48"/>
      <c r="AB58" s="105" t="str">
        <f>HYPERLINK("http://www.thenews-journal.com/graphics/cent.pdf","0")</f>
        <v>0</v>
      </c>
      <c r="AC58" s="51"/>
      <c r="AD58" s="51"/>
      <c r="AE58" s="105" t="str">
        <f t="shared" ref="AE58:AF58" si="128">HYPERLINK("https://www.newspapers.com/clip/39637783/asheville-citizen-times/","2")</f>
        <v>2</v>
      </c>
      <c r="AF58" s="105" t="str">
        <f t="shared" si="128"/>
        <v>2</v>
      </c>
      <c r="AG58" s="105" t="str">
        <f t="shared" ref="AG58:AH58" si="129">HYPERLINK("https://www.newspapers.com/clip/39637783/asheville-citizen-times/","1")</f>
        <v>1</v>
      </c>
      <c r="AH58" s="105" t="str">
        <f t="shared" si="129"/>
        <v>1</v>
      </c>
      <c r="AI58" s="48">
        <v>0</v>
      </c>
      <c r="AJ58" s="48">
        <v>0</v>
      </c>
      <c r="AK58" s="48">
        <v>0</v>
      </c>
      <c r="AL58" s="48"/>
      <c r="AM58" s="48">
        <v>0</v>
      </c>
      <c r="AN58" s="48" t="s">
        <v>100</v>
      </c>
      <c r="AO58" s="51"/>
      <c r="AP58" s="54"/>
      <c r="AQ58" s="105" t="str">
        <f>HYPERLINK("https://webapps.doc.state.nc.us/opi/viewoffender.do?method=view&amp;offenderID=0466900&amp;searchLastName=ferguson&amp;searchFirstName=rodriguez&amp;listurl=pagelistoffendersearchresults&amp;listpage=1","1")</f>
        <v>1</v>
      </c>
      <c r="AR58" s="48">
        <v>0</v>
      </c>
      <c r="AS58" s="101" t="str">
        <f>HYPERLINK("https://webapps.doc.state.nc.us/opi/viewoffender.do?method=view&amp;offenderID=0466900&amp;searchLastName=ferguson&amp;searchFirstName=rodriguez&amp;listurl=pagelistoffendersearchresults&amp;listpage=1","1")</f>
        <v>1</v>
      </c>
      <c r="AT58" s="52">
        <v>0</v>
      </c>
      <c r="AU58" s="52" t="s">
        <v>100</v>
      </c>
      <c r="AV58" s="52" t="s">
        <v>100</v>
      </c>
      <c r="AW58" s="52" t="s">
        <v>100</v>
      </c>
      <c r="AX58" s="48">
        <v>0</v>
      </c>
      <c r="AY58" s="51">
        <v>0</v>
      </c>
      <c r="AZ58" s="51">
        <v>0</v>
      </c>
      <c r="BA58" s="48">
        <v>0</v>
      </c>
      <c r="BB58" s="107">
        <v>0</v>
      </c>
      <c r="BC58" s="48"/>
      <c r="BD58" s="48"/>
      <c r="BE58" s="48"/>
      <c r="BF58" s="51"/>
      <c r="BG58" s="101" t="str">
        <f>HYPERLINK("https://caselaw.findlaw.com/nc-court-of-appeals/1359423.html","3")</f>
        <v>3</v>
      </c>
      <c r="BH58" s="51">
        <v>0</v>
      </c>
      <c r="BI58" s="48">
        <v>0</v>
      </c>
      <c r="BJ58" s="48">
        <v>0</v>
      </c>
      <c r="BK58" s="51">
        <v>0</v>
      </c>
      <c r="BL58" s="110">
        <v>0</v>
      </c>
      <c r="BM58" s="110" t="s">
        <v>100</v>
      </c>
      <c r="BN58" s="110"/>
      <c r="BO58" s="110">
        <v>0</v>
      </c>
      <c r="BP58" s="110">
        <v>0</v>
      </c>
      <c r="BQ58" s="110">
        <v>0</v>
      </c>
      <c r="BR58" s="110">
        <v>0</v>
      </c>
      <c r="BS58" s="110">
        <v>0</v>
      </c>
      <c r="BT58" s="110">
        <v>0</v>
      </c>
      <c r="BU58" s="110">
        <v>0</v>
      </c>
      <c r="BV58" s="110">
        <v>0</v>
      </c>
      <c r="BW58" s="110">
        <v>0</v>
      </c>
      <c r="BX58" s="110">
        <v>0</v>
      </c>
      <c r="BY58" s="48">
        <v>0</v>
      </c>
      <c r="BZ58" s="51">
        <v>0</v>
      </c>
      <c r="CA58" s="51">
        <v>0</v>
      </c>
      <c r="CB58" s="48" t="s">
        <v>100</v>
      </c>
      <c r="CC58" s="48">
        <v>0</v>
      </c>
      <c r="CD58" s="48" t="s">
        <v>100</v>
      </c>
      <c r="CE58" s="105" t="str">
        <f>HYPERLINK("https://newspaperarchive.com/wilson-daily-times-dec-08-1997-p-7/","3")</f>
        <v>3</v>
      </c>
      <c r="CF58" s="52">
        <v>0</v>
      </c>
      <c r="CG58" s="48">
        <v>0</v>
      </c>
      <c r="CH58" s="105" t="str">
        <f>HYPERLINK("https://newspaperarchive.com/wilson-daily-times-dec-08-1997-p-7/","4")</f>
        <v>4</v>
      </c>
      <c r="CI58" s="48">
        <v>0</v>
      </c>
      <c r="CJ58" s="51" t="s">
        <v>100</v>
      </c>
      <c r="CK58" s="113">
        <v>0</v>
      </c>
      <c r="CL58" s="113"/>
      <c r="CM58" s="113"/>
      <c r="CN58" s="110">
        <v>0</v>
      </c>
      <c r="CO58" s="110">
        <v>0</v>
      </c>
      <c r="CP58" s="110">
        <v>0</v>
      </c>
      <c r="CQ58" s="110">
        <v>0</v>
      </c>
      <c r="CR58" s="110">
        <v>0</v>
      </c>
      <c r="CS58" s="110">
        <v>0</v>
      </c>
      <c r="CT58" s="110">
        <v>0</v>
      </c>
      <c r="CU58" s="110">
        <v>0</v>
      </c>
      <c r="CV58" s="109">
        <v>1</v>
      </c>
      <c r="CW58" s="116">
        <v>0</v>
      </c>
      <c r="CX58" s="116">
        <v>0</v>
      </c>
      <c r="CY58" s="118" t="str">
        <f>HYPERLINK("https://www.apnews.com/d0126666cf574fca9f1e9c109cb4c923","1")</f>
        <v>1</v>
      </c>
      <c r="CZ58" s="108" t="str">
        <f>HYPERLINK("https://www.apnews.com/d0126666cf574fca9f1e9c109cb4c923","0")</f>
        <v>0</v>
      </c>
      <c r="DA58" s="48">
        <v>0</v>
      </c>
      <c r="DB58" s="48">
        <v>2</v>
      </c>
      <c r="DC58" s="141" t="str">
        <f>HYPERLINK("https://newspaperarchive.com/wilson-daily-times-dec-08-1997-p-7/","1")</f>
        <v>1</v>
      </c>
      <c r="DD58" s="107">
        <v>0</v>
      </c>
      <c r="DE58" s="107">
        <v>1</v>
      </c>
      <c r="DF58" s="107">
        <v>0</v>
      </c>
      <c r="DG58" s="51"/>
      <c r="DH58" s="51"/>
      <c r="DI58" s="51"/>
      <c r="DJ58" s="48">
        <v>0</v>
      </c>
      <c r="DK58" s="48">
        <v>0</v>
      </c>
      <c r="DL58" s="48" t="s">
        <v>100</v>
      </c>
      <c r="DM58" s="105" t="str">
        <f>HYPERLINK("https://caselaw.findlaw.com/nc-court-of-appeals/1359423.html","0")</f>
        <v>0</v>
      </c>
      <c r="DN58" s="51">
        <v>0</v>
      </c>
      <c r="DO58" s="51" t="s">
        <v>100</v>
      </c>
      <c r="DP58" s="101" t="str">
        <f t="shared" ref="DP58:DQ58" si="130">HYPERLINK("https://newspaperarchive.com/wilson-daily-times-dec-08-1997-p-7/","0")</f>
        <v>0</v>
      </c>
      <c r="DQ58" s="101" t="str">
        <f t="shared" si="130"/>
        <v>0</v>
      </c>
      <c r="DR58" s="48"/>
      <c r="DS58" s="51"/>
      <c r="DT58" s="105" t="str">
        <f t="shared" ref="DT58" si="131">HYPERLINK("https://newspaperarchive.com/wilson-daily-times-dec-08-1997-p-7/","1")</f>
        <v>1</v>
      </c>
      <c r="DU58" s="105" t="str">
        <f>HYPERLINK("https://newspaperarchive.com/wilson-daily-times-dec-08-1997-p-7/","0")</f>
        <v>0</v>
      </c>
      <c r="DV58" s="48" t="s">
        <v>100</v>
      </c>
      <c r="DW58" s="105">
        <v>2</v>
      </c>
      <c r="DX58" s="105" t="str">
        <f t="shared" ref="DX58:DY58" si="132">HYPERLINK("https://caselaw.findlaw.com/nc-court-of-appeals/1359423.html","0")</f>
        <v>0</v>
      </c>
      <c r="DY58" s="105" t="str">
        <f t="shared" si="132"/>
        <v>0</v>
      </c>
      <c r="DZ58" s="133" t="str">
        <f>HYPERLINK("https://caselaw.findlaw.com/nc-court-of-appeals/1359423.html","3")</f>
        <v>3</v>
      </c>
    </row>
    <row r="59" spans="1:130" ht="50.25" customHeight="1">
      <c r="A59" s="96">
        <v>57</v>
      </c>
      <c r="B59" s="97" t="s">
        <v>327</v>
      </c>
      <c r="C59" s="97" t="s">
        <v>221</v>
      </c>
      <c r="D59" s="98">
        <v>34792</v>
      </c>
      <c r="E59" s="48" t="s">
        <v>95</v>
      </c>
      <c r="F59" s="119">
        <v>3</v>
      </c>
      <c r="G59" s="102">
        <v>4</v>
      </c>
      <c r="H59" s="101">
        <v>1995</v>
      </c>
      <c r="I59" s="48" t="s">
        <v>328</v>
      </c>
      <c r="J59" s="101" t="str">
        <f>HYPERLINK("https://www.nytimes.com/1995/04/04/us/6-die-in-texas-office-shooting.html","Corpus Christi")</f>
        <v>Corpus Christi</v>
      </c>
      <c r="K59" s="102">
        <v>43</v>
      </c>
      <c r="L59" s="119">
        <v>0</v>
      </c>
      <c r="M59" s="102" t="str">
        <f>HYPERLINK("https://www.sfgate.com/news/article/Police-Report-They-ve-Found-No-Motive-in-Texas-3038633.php","0")</f>
        <v>0</v>
      </c>
      <c r="N59" s="102" t="str">
        <f>HYPERLINK("https://www.deseretnews.com/article/413430/GUNMANS-WORKPLACE-MASSACRE-HEAPS-MORE-GRIEF-ON-TEXAS-CITY.html","6")</f>
        <v>6</v>
      </c>
      <c r="O59" s="102" t="str">
        <f>HYPERLINK("https://www.deseretnews.com/article/413430/GUNMANS-WORKPLACE-MASSACRE-HEAPS-MORE-GRIEF-ON-TEXAS-CITY.html","0")</f>
        <v>0</v>
      </c>
      <c r="P59" s="99" t="s">
        <v>100</v>
      </c>
      <c r="Q59" s="103">
        <v>0</v>
      </c>
      <c r="R59" s="103">
        <v>0</v>
      </c>
      <c r="S59" s="102" t="str">
        <f>HYPERLINK("https://www.latimes.com/archives/la-xpm-1995-04-04-mn-50876-story.html","5")</f>
        <v>5</v>
      </c>
      <c r="T59" s="102" t="str">
        <f>HYPERLINK("https://www.sfgate.com/news/article/Police-Report-They-ve-Found-No-Motive-in-Texas-3038633.php","0")</f>
        <v>0</v>
      </c>
      <c r="U59" s="101" t="str">
        <f>HYPERLINK("https://www.greensboro.com/six-killed-in-workplace-shooting/article_5b0f2020-5c38-54c7-b871-e88460a6cbc8.html","0")</f>
        <v>0</v>
      </c>
      <c r="V59" s="101">
        <v>28</v>
      </c>
      <c r="W59" s="101">
        <v>0</v>
      </c>
      <c r="X59" s="51"/>
      <c r="Y59" s="51">
        <v>0</v>
      </c>
      <c r="Z59" s="51">
        <v>0</v>
      </c>
      <c r="AA59" s="51"/>
      <c r="AB59" s="101">
        <v>2</v>
      </c>
      <c r="AC59" s="101" t="str">
        <f>HYPERLINK("https://www.deseret.com/1995/4/4/19168002/gunman-s-workplace-massacre-heaps-more-grief-on-texas-city","2")</f>
        <v>2</v>
      </c>
      <c r="AD59" s="101" t="str">
        <f>HYPERLINK("https://www.deseret.com/1995/4/4/19168002/gunman-s-workplace-massacre-heaps-more-grief-on-texas-city","studious, nearly completed an engineering degree")</f>
        <v>studious, nearly completed an engineering degree</v>
      </c>
      <c r="AE59" s="51"/>
      <c r="AF59" s="51"/>
      <c r="AG59" s="51"/>
      <c r="AH59" s="51"/>
      <c r="AI59" s="51">
        <v>0</v>
      </c>
      <c r="AJ59" s="51">
        <v>0</v>
      </c>
      <c r="AK59" s="101">
        <v>0</v>
      </c>
      <c r="AL59" s="101">
        <v>2</v>
      </c>
      <c r="AM59" s="51">
        <v>0</v>
      </c>
      <c r="AN59" s="48" t="s">
        <v>100</v>
      </c>
      <c r="AO59" s="51"/>
      <c r="AP59" s="51"/>
      <c r="AQ59" s="101" t="str">
        <f>HYPERLINK("http://www.vpc.org/studies/wgun950403.htm","0")</f>
        <v>0</v>
      </c>
      <c r="AR59" s="51">
        <v>0</v>
      </c>
      <c r="AS59" s="51">
        <v>0</v>
      </c>
      <c r="AT59" s="51">
        <v>0</v>
      </c>
      <c r="AU59" s="51" t="s">
        <v>100</v>
      </c>
      <c r="AV59" s="51" t="s">
        <v>100</v>
      </c>
      <c r="AW59" s="51" t="s">
        <v>100</v>
      </c>
      <c r="AX59" s="51">
        <v>0</v>
      </c>
      <c r="AY59" s="51">
        <v>0</v>
      </c>
      <c r="AZ59" s="51">
        <v>0</v>
      </c>
      <c r="BA59" s="51">
        <v>0</v>
      </c>
      <c r="BB59" s="107">
        <v>0</v>
      </c>
      <c r="BC59" s="101" t="str">
        <f>HYPERLINK("https://www.apnews.com/43e3a168e8024ac986b4794bea137e07","0")</f>
        <v>0</v>
      </c>
      <c r="BD59" s="51"/>
      <c r="BE59" s="101" t="str">
        <f t="shared" ref="BE59:BF59" si="133">HYPERLINK("https://www.apnews.com/43e3a168e8024ac986b4794bea137e07","0")</f>
        <v>0</v>
      </c>
      <c r="BF59" s="101" t="str">
        <f t="shared" si="133"/>
        <v>0</v>
      </c>
      <c r="BG59" s="51"/>
      <c r="BH59" s="51">
        <v>1</v>
      </c>
      <c r="BI59" s="51">
        <v>0</v>
      </c>
      <c r="BJ59" s="51">
        <v>0</v>
      </c>
      <c r="BK59" s="101" t="str">
        <f>HYPERLINK("https://www.apnews.com/43e3a168e8024ac986b4794bea137e07","1")</f>
        <v>1</v>
      </c>
      <c r="BL59" s="111">
        <v>0</v>
      </c>
      <c r="BM59" s="108" t="s">
        <v>100</v>
      </c>
      <c r="BN59" s="115"/>
      <c r="BO59" s="111">
        <v>0</v>
      </c>
      <c r="BP59" s="111">
        <v>0</v>
      </c>
      <c r="BQ59" s="111">
        <v>0</v>
      </c>
      <c r="BR59" s="111">
        <v>0</v>
      </c>
      <c r="BS59" s="111">
        <v>0</v>
      </c>
      <c r="BT59" s="111">
        <v>0</v>
      </c>
      <c r="BU59" s="111">
        <v>0</v>
      </c>
      <c r="BV59" s="111">
        <v>0</v>
      </c>
      <c r="BW59" s="111">
        <v>0</v>
      </c>
      <c r="BX59" s="111">
        <v>0</v>
      </c>
      <c r="BY59" s="101" t="str">
        <f>HYPERLINK("https://www.greensboro.com/six-killed-in-workplace-shooting/article_5b0f2020-5c38-54c7-b871-e88460a6cbc8.html","2")</f>
        <v>2</v>
      </c>
      <c r="BZ59" s="51">
        <v>0</v>
      </c>
      <c r="CA59" s="51">
        <v>0</v>
      </c>
      <c r="CB59" s="51" t="s">
        <v>100</v>
      </c>
      <c r="CC59" s="51">
        <v>0</v>
      </c>
      <c r="CD59" s="51" t="s">
        <v>100</v>
      </c>
      <c r="CE59" s="101">
        <v>1</v>
      </c>
      <c r="CF59" s="107">
        <v>0</v>
      </c>
      <c r="CG59" s="51">
        <v>0</v>
      </c>
      <c r="CH59" s="51"/>
      <c r="CI59" s="144" t="s">
        <v>833</v>
      </c>
      <c r="CJ59" s="51" t="s">
        <v>100</v>
      </c>
      <c r="CK59" s="113">
        <v>0</v>
      </c>
      <c r="CL59" s="113"/>
      <c r="CM59" s="113"/>
      <c r="CN59" s="110">
        <v>0</v>
      </c>
      <c r="CO59" s="110">
        <v>0</v>
      </c>
      <c r="CP59" s="110">
        <v>0</v>
      </c>
      <c r="CQ59" s="110">
        <v>0</v>
      </c>
      <c r="CR59" s="109">
        <v>1</v>
      </c>
      <c r="CS59" s="110">
        <v>0</v>
      </c>
      <c r="CT59" s="110">
        <v>0</v>
      </c>
      <c r="CU59" s="110">
        <v>0</v>
      </c>
      <c r="CV59" s="110">
        <v>0</v>
      </c>
      <c r="CW59" s="110">
        <v>0</v>
      </c>
      <c r="CX59" s="110">
        <v>0</v>
      </c>
      <c r="CY59" s="108" t="str">
        <f>HYPERLINK("https://www.sfgate.com/news/article/Police-Report-They-ve-Found-No-Motive-in-Texas-3038633.php","1")</f>
        <v>1</v>
      </c>
      <c r="CZ59" s="108" t="str">
        <f>HYPERLINK("https://www.nytimes.com/1995/04/04/us/6-die-in-texas-office-shooting.html","0")</f>
        <v>0</v>
      </c>
      <c r="DA59" s="51">
        <v>0</v>
      </c>
      <c r="DB59" s="51">
        <v>2</v>
      </c>
      <c r="DC59" s="101" t="str">
        <f>HYPERLINK("https://www.apnews.com/43e3a168e8024ac986b4794bea137e07","0")</f>
        <v>0</v>
      </c>
      <c r="DD59" s="51"/>
      <c r="DE59" s="51"/>
      <c r="DF59" s="51"/>
      <c r="DG59" s="51"/>
      <c r="DH59" s="51"/>
      <c r="DI59" s="51"/>
      <c r="DJ59" s="51">
        <v>0</v>
      </c>
      <c r="DK59" s="51">
        <v>0</v>
      </c>
      <c r="DL59" s="48" t="s">
        <v>100</v>
      </c>
      <c r="DM59" s="101" t="str">
        <f>HYPERLINK("https://www.sfgate.com/news/article/Police-Report-They-ve-Found-No-Motive-in-Texas-3038633.php","0")</f>
        <v>0</v>
      </c>
      <c r="DN59" s="51">
        <v>0</v>
      </c>
      <c r="DO59" s="51" t="s">
        <v>100</v>
      </c>
      <c r="DP59" s="101" t="str">
        <f>HYPERLINK("https://www.apnews.com/43e3a168e8024ac986b4794bea137e07","0")</f>
        <v>0</v>
      </c>
      <c r="DQ59" s="101" t="str">
        <f>HYPERLINK("https://www.nytimes.com/1995/04/04/us/6-die-in-texas-office-shooting.html","0")</f>
        <v>0</v>
      </c>
      <c r="DR59" s="51">
        <v>0</v>
      </c>
      <c r="DS59" s="51"/>
      <c r="DT59" s="101">
        <v>2</v>
      </c>
      <c r="DU59" s="101" t="str">
        <f>HYPERLINK("https://www.latimes.com/archives/la-xpm-1995-04-04-mn-50876-story.html","0")</f>
        <v>0</v>
      </c>
      <c r="DV59" s="48" t="s">
        <v>100</v>
      </c>
      <c r="DW59" s="101">
        <v>0</v>
      </c>
      <c r="DX59" s="101" t="str">
        <f>HYPERLINK("https://www.greensboro.com/six-killed-in-workplace-shooting/article_5b0f2020-5c38-54c7-b871-e88460a6cbc8.html","0")</f>
        <v>0</v>
      </c>
      <c r="DY59" s="51">
        <v>2</v>
      </c>
      <c r="DZ59" s="48">
        <v>0</v>
      </c>
    </row>
    <row r="60" spans="1:130" ht="50.25" customHeight="1">
      <c r="A60" s="96">
        <v>58</v>
      </c>
      <c r="B60" s="97" t="s">
        <v>330</v>
      </c>
      <c r="C60" s="97" t="s">
        <v>331</v>
      </c>
      <c r="D60" s="98">
        <v>34899</v>
      </c>
      <c r="E60" s="48" t="s">
        <v>123</v>
      </c>
      <c r="F60" s="119">
        <v>19</v>
      </c>
      <c r="G60" s="102">
        <v>7</v>
      </c>
      <c r="H60" s="101">
        <v>1995</v>
      </c>
      <c r="I60" s="48" t="s">
        <v>332</v>
      </c>
      <c r="J60" s="101" t="s">
        <v>333</v>
      </c>
      <c r="K60" s="102">
        <v>5</v>
      </c>
      <c r="L60" s="102">
        <v>3</v>
      </c>
      <c r="M60" s="102">
        <v>0</v>
      </c>
      <c r="N60" s="102" t="str">
        <f>HYPERLINK("https://www.latimes.com/archives/la-xpm-1997-02-08-me-26751-story.html","6")</f>
        <v>6</v>
      </c>
      <c r="O60" s="102" t="str">
        <f>HYPERLINK("https://www.upi.com/Archives/1995/07/19/Four-LA-city-workers-shot-to-death/3373806126400/","0")</f>
        <v>0</v>
      </c>
      <c r="P60" s="99" t="s">
        <v>100</v>
      </c>
      <c r="Q60" s="103">
        <v>0</v>
      </c>
      <c r="R60" s="103">
        <v>0</v>
      </c>
      <c r="S60" s="102">
        <v>4</v>
      </c>
      <c r="T60" s="102" t="str">
        <f>HYPERLINK("https://www.latimes.com/archives/la-xpm-1996-11-06-me-61893-story.html","0")</f>
        <v>0</v>
      </c>
      <c r="U60" s="101" t="str">
        <f>HYPERLINK("https://www.latimes.com/archives/la-xpm-1996-11-06-me-61893-story.html","0")</f>
        <v>0</v>
      </c>
      <c r="V60" s="101">
        <v>42</v>
      </c>
      <c r="W60" s="101">
        <v>0</v>
      </c>
      <c r="X60" s="101" t="str">
        <f>HYPERLINK("https://www.amazon.com/Vintage-photo-of-Willie-Woods/dp/B07LH7L99J","1")</f>
        <v>1</v>
      </c>
      <c r="Y60" s="48">
        <v>0</v>
      </c>
      <c r="Z60" s="51">
        <v>0</v>
      </c>
      <c r="AA60" s="51"/>
      <c r="AB60" s="51"/>
      <c r="AC60" s="51"/>
      <c r="AD60" s="51"/>
      <c r="AE60" s="51"/>
      <c r="AF60" s="51"/>
      <c r="AG60" s="51"/>
      <c r="AH60" s="51"/>
      <c r="AI60" s="101">
        <v>1</v>
      </c>
      <c r="AJ60" s="101">
        <v>1</v>
      </c>
      <c r="AK60" s="101">
        <v>1</v>
      </c>
      <c r="AL60" s="101">
        <v>0</v>
      </c>
      <c r="AM60" s="101" t="str">
        <f>HYPERLINK("https://www.latimes.com/archives/la-xpm-1995-07-20-mn-26055-story.html","1")</f>
        <v>1</v>
      </c>
      <c r="AN60" s="105" t="str">
        <f>HYPERLINK("https://www.latimes.com/archives/la-xpm-1995-07-20-mn-26055-story.html","3")</f>
        <v>3</v>
      </c>
      <c r="AO60" s="51"/>
      <c r="AP60" s="51"/>
      <c r="AQ60" s="51">
        <v>0</v>
      </c>
      <c r="AR60" s="51">
        <v>0</v>
      </c>
      <c r="AS60" s="51">
        <v>0</v>
      </c>
      <c r="AT60" s="48">
        <v>0</v>
      </c>
      <c r="AU60" s="48" t="s">
        <v>100</v>
      </c>
      <c r="AV60" s="48" t="s">
        <v>100</v>
      </c>
      <c r="AW60" s="48" t="s">
        <v>100</v>
      </c>
      <c r="AX60" s="48">
        <v>0</v>
      </c>
      <c r="AY60" s="51">
        <v>0</v>
      </c>
      <c r="AZ60" s="51">
        <v>0</v>
      </c>
      <c r="BA60" s="51">
        <v>0</v>
      </c>
      <c r="BB60" s="51">
        <v>0</v>
      </c>
      <c r="BC60" s="101" t="str">
        <f t="shared" ref="BC60:BD60" si="134">HYPERLINK("https://www.upi.com/Archives/1995/07/19/Four-LA-city-workers-shot-to-death/3373806126400/","0")</f>
        <v>0</v>
      </c>
      <c r="BD60" s="101" t="str">
        <f t="shared" si="134"/>
        <v>0</v>
      </c>
      <c r="BE60" s="51"/>
      <c r="BF60" s="51"/>
      <c r="BG60" s="101">
        <v>1</v>
      </c>
      <c r="BH60" s="51"/>
      <c r="BI60" s="51">
        <v>0</v>
      </c>
      <c r="BJ60" s="51">
        <v>0</v>
      </c>
      <c r="BK60" s="101" t="str">
        <f>HYPERLINK("https://www.latimes.com/archives/la-xpm-1996-11-06-me-61893-story.html","1")</f>
        <v>1</v>
      </c>
      <c r="BL60" s="108" t="str">
        <f>HYPERLINK("https://www.deseretnews.com/article/428920/DISGRUNTLED-RADIO-REPAIRMAN-KILLS-4-IN-LA.html","1")</f>
        <v>1</v>
      </c>
      <c r="BM60" s="109">
        <v>0</v>
      </c>
      <c r="BN60" s="110" t="s">
        <v>3020</v>
      </c>
      <c r="BO60" s="111">
        <v>1</v>
      </c>
      <c r="BP60" s="111">
        <v>0</v>
      </c>
      <c r="BQ60" s="111">
        <v>0</v>
      </c>
      <c r="BR60" s="111">
        <v>0</v>
      </c>
      <c r="BS60" s="111">
        <v>0</v>
      </c>
      <c r="BT60" s="111">
        <v>1</v>
      </c>
      <c r="BU60" s="111">
        <v>0</v>
      </c>
      <c r="BV60" s="111">
        <v>0</v>
      </c>
      <c r="BW60" s="111">
        <v>0</v>
      </c>
      <c r="BX60" s="111">
        <v>0</v>
      </c>
      <c r="BY60" s="51">
        <v>0</v>
      </c>
      <c r="BZ60" s="51">
        <v>0</v>
      </c>
      <c r="CA60" s="51">
        <v>0</v>
      </c>
      <c r="CB60" s="51" t="s">
        <v>100</v>
      </c>
      <c r="CC60" s="107">
        <v>0</v>
      </c>
      <c r="CD60" s="107" t="s">
        <v>100</v>
      </c>
      <c r="CE60" s="51">
        <v>0</v>
      </c>
      <c r="CF60" s="107">
        <v>0</v>
      </c>
      <c r="CG60" s="51">
        <v>0</v>
      </c>
      <c r="CH60" s="51">
        <v>0</v>
      </c>
      <c r="CI60" s="51">
        <v>0</v>
      </c>
      <c r="CJ60" s="51" t="s">
        <v>100</v>
      </c>
      <c r="CK60" s="113">
        <v>0</v>
      </c>
      <c r="CL60" s="113"/>
      <c r="CM60" s="113"/>
      <c r="CN60" s="110">
        <v>0</v>
      </c>
      <c r="CO60" s="110">
        <v>0</v>
      </c>
      <c r="CP60" s="110">
        <v>0</v>
      </c>
      <c r="CQ60" s="110">
        <v>0</v>
      </c>
      <c r="CR60" s="108" t="str">
        <f>HYPERLINK("https://www.latimes.com/archives/la-xpm-1996-11-06-me-61893-story.html","1")</f>
        <v>1</v>
      </c>
      <c r="CS60" s="110">
        <v>0</v>
      </c>
      <c r="CT60" s="110">
        <v>0</v>
      </c>
      <c r="CU60" s="110">
        <v>0</v>
      </c>
      <c r="CV60" s="110">
        <v>0</v>
      </c>
      <c r="CW60" s="110">
        <v>0</v>
      </c>
      <c r="CX60" s="110">
        <v>0</v>
      </c>
      <c r="CY60" s="110">
        <v>0</v>
      </c>
      <c r="CZ60" s="108" t="str">
        <f>HYPERLINK("https://www.latimes.com/archives/la-xpm-1996-11-06-me-61893-story.html","0")</f>
        <v>0</v>
      </c>
      <c r="DA60" s="51">
        <v>0</v>
      </c>
      <c r="DB60" s="51">
        <v>2</v>
      </c>
      <c r="DC60" s="101">
        <v>0</v>
      </c>
      <c r="DD60" s="51"/>
      <c r="DE60" s="51"/>
      <c r="DF60" s="51"/>
      <c r="DG60" s="51"/>
      <c r="DH60" s="51"/>
      <c r="DI60" s="51"/>
      <c r="DJ60" s="51">
        <v>0</v>
      </c>
      <c r="DK60" s="51">
        <v>0</v>
      </c>
      <c r="DL60" s="48" t="s">
        <v>100</v>
      </c>
      <c r="DM60" s="101" t="str">
        <f>HYPERLINK("https://www.latimes.com/archives/la-xpm-1996-11-06-me-61893-story.html","0")</f>
        <v>0</v>
      </c>
      <c r="DN60" s="51">
        <v>0</v>
      </c>
      <c r="DO60" s="51" t="s">
        <v>100</v>
      </c>
      <c r="DP60" s="101">
        <v>0</v>
      </c>
      <c r="DQ60" s="101" t="str">
        <f>HYPERLINK("https://www.latimes.com/archives/la-xpm-1996-11-06-me-61893-story.html","0")</f>
        <v>0</v>
      </c>
      <c r="DR60" s="48">
        <v>0</v>
      </c>
      <c r="DS60" s="101" t="str">
        <f>HYPERLINK("https://www.latimes.com/archives/la-xpm-1995-07-20-mn-26055-story.html","3")</f>
        <v>3</v>
      </c>
      <c r="DT60" s="101" t="str">
        <f>HYPERLINK("https://www.upi.com/Archives/1995/07/19/Four-LA-city-workers-shot-to-death/3373806126400/","1")</f>
        <v>1</v>
      </c>
      <c r="DU60" s="101" t="str">
        <f>HYPERLINK("https://www.latimes.com/archives/la-xpm-1996-11-06-me-61893-story.html","0")</f>
        <v>0</v>
      </c>
      <c r="DV60" s="48" t="s">
        <v>100</v>
      </c>
      <c r="DW60" s="101">
        <v>2</v>
      </c>
      <c r="DX60" s="101" t="str">
        <f>HYPERLINK("https://www.nytimes.com/1995/07/20/us/9-fatally-shot-in-california-in-2-incidents-over-2-days.html","0")</f>
        <v>0</v>
      </c>
      <c r="DY60" s="48"/>
      <c r="DZ60" s="133" t="str">
        <f>HYPERLINK("https://www.latimes.com/archives/la-xpm-1996-11-06-me-61893-story.html","2")</f>
        <v>2</v>
      </c>
    </row>
    <row r="61" spans="1:130" ht="50.25" customHeight="1">
      <c r="A61" s="96">
        <v>59</v>
      </c>
      <c r="B61" s="97" t="s">
        <v>334</v>
      </c>
      <c r="C61" s="97" t="s">
        <v>212</v>
      </c>
      <c r="D61" s="98">
        <v>35052</v>
      </c>
      <c r="E61" s="48" t="s">
        <v>203</v>
      </c>
      <c r="F61" s="119">
        <v>19</v>
      </c>
      <c r="G61" s="102" t="str">
        <f>HYPERLINK("http://www.nydailynews.com/archives/news/shoe-store-slaughter-shooter-kills-5-wounds-3-article-1.695170","12")</f>
        <v>12</v>
      </c>
      <c r="H61" s="101" t="str">
        <f>HYPERLINK("http://www.nydailynews.com/archives/news/shoe-store-slaughter-shooter-kills-5-wounds-3-article-1.695170","1995")</f>
        <v>1995</v>
      </c>
      <c r="I61" s="48" t="s">
        <v>335</v>
      </c>
      <c r="J61" s="101" t="s">
        <v>336</v>
      </c>
      <c r="K61" s="102">
        <v>32</v>
      </c>
      <c r="L61" s="102" t="str">
        <f>HYPERLINK("https://www.nytimes.com/1995/12/21/nyregion/bronx-gunman-was-under-treatment-for-schizophrenia.html","2")</f>
        <v>2</v>
      </c>
      <c r="M61" s="102">
        <v>0</v>
      </c>
      <c r="N61" s="102" t="str">
        <f>HYPERLINK("https://www.nytimes.com/1995/12/20/us/5-are-killed-by-gunman-in-bronx-shoe-store.html","4")</f>
        <v>4</v>
      </c>
      <c r="O61" s="102">
        <v>0</v>
      </c>
      <c r="P61" s="99" t="s">
        <v>100</v>
      </c>
      <c r="Q61" s="103">
        <v>0</v>
      </c>
      <c r="R61" s="103">
        <v>0</v>
      </c>
      <c r="S61" s="102" t="str">
        <f>HYPERLINK("http://www.nytimes.com/1995/12/21/nyregion/bronx-gunman-was-under-treatment-for-schizophrenia.html","5")</f>
        <v>5</v>
      </c>
      <c r="T61" s="102">
        <v>3</v>
      </c>
      <c r="U61" s="101" t="str">
        <f>HYPERLINK("https://www.nytimes.com/1995/12/20/us/5-are-killed-by-gunman-in-bronx-shoe-store.html","1")</f>
        <v>1</v>
      </c>
      <c r="V61" s="101" t="str">
        <f>HYPERLINK("https://www.nytimes.com/1995/12/20/us/5-are-killed-by-gunman-in-bronx-shoe-store.html","22")</f>
        <v>22</v>
      </c>
      <c r="W61" s="101" t="str">
        <f>HYPERLINK("https://www.nytimes.com/1995/12/20/us/5-are-killed-by-gunman-in-bronx-shoe-store.html","0")</f>
        <v>0</v>
      </c>
      <c r="X61" s="101">
        <v>1</v>
      </c>
      <c r="Y61" s="48">
        <v>0</v>
      </c>
      <c r="Z61" s="51">
        <v>0</v>
      </c>
      <c r="AA61" s="51"/>
      <c r="AB61" s="101" t="str">
        <f>HYPERLINK("http://www.nydailynews.com/archives/news/shoe-store-slaughter-shooter-kills-5-wounds-3-article-1.695170","0")</f>
        <v>0</v>
      </c>
      <c r="AC61" s="101" t="str">
        <f>HYPERLINK("https://www.nydailynews.com/archives/news/shoe-store-slaughter-shooter-kills-5-wounds-3-article-1.695170","0")</f>
        <v>0</v>
      </c>
      <c r="AD61" s="101" t="str">
        <f>HYPERLINK("https://www.nytimes.com/1997/10/25/nyregion/man-convicted-of-murder-in-5-killings-in-shoe-store.html","high school dropout")</f>
        <v>high school dropout</v>
      </c>
      <c r="AE61" s="51"/>
      <c r="AF61" s="101" t="str">
        <f>HYPERLINK("https://archive.seattletimes.com/archive/?date=19951220&amp;slug=2158611","2")</f>
        <v>2</v>
      </c>
      <c r="AG61" s="51"/>
      <c r="AH61" s="51"/>
      <c r="AI61" s="101">
        <v>0</v>
      </c>
      <c r="AJ61" s="101" t="str">
        <f>HYPERLINK("https://archive.seattletimes.com/archive/?date=19951220&amp;slug=2158611","1")</f>
        <v>1</v>
      </c>
      <c r="AK61" s="101">
        <v>0</v>
      </c>
      <c r="AL61" s="51"/>
      <c r="AM61" s="51">
        <v>0</v>
      </c>
      <c r="AN61" s="48" t="s">
        <v>100</v>
      </c>
      <c r="AO61" s="101" t="str">
        <f>HYPERLINK("https://www.nydailynews.com/archives/news/shoe-store-slaughter-shooter-kills-5-wounds-3-article-1.695170","1")</f>
        <v>1</v>
      </c>
      <c r="AP61" s="101" t="str">
        <f>HYPERLINK("https://www.nydailynews.com/archives/news/shoe-store-slaughter-shooter-kills-5-wounds-3-article-1.695170","therapy group")</f>
        <v>therapy group</v>
      </c>
      <c r="AQ61" s="101" t="str">
        <f>HYPERLINK("https://www.nytimes.com/1995/12/21/nyregion/bronx-gunman-was-under-treatment-for-schizophrenia.html","1")</f>
        <v>1</v>
      </c>
      <c r="AR61" s="101" t="str">
        <f>HYPERLINK("https://www.nytimes.com/1997/09/23/nyregion/trial-opens-in-fatal-shootings-at-bronx-shoe-store-in-1995.html","1")</f>
        <v>1</v>
      </c>
      <c r="AS61" s="101" t="str">
        <f>HYPERLINK("https://www.nytimes.com/1995/12/21/nyregion/bronx-gunman-was-under-treatment-for-schizophrenia.html","1")</f>
        <v>1</v>
      </c>
      <c r="AT61" s="48">
        <v>0</v>
      </c>
      <c r="AU61" s="48" t="s">
        <v>100</v>
      </c>
      <c r="AV61" s="48" t="s">
        <v>100</v>
      </c>
      <c r="AW61" s="48" t="s">
        <v>100</v>
      </c>
      <c r="AX61" s="48">
        <v>0</v>
      </c>
      <c r="AY61" s="51">
        <v>0</v>
      </c>
      <c r="AZ61" s="106" t="s">
        <v>809</v>
      </c>
      <c r="BA61" s="51">
        <v>0</v>
      </c>
      <c r="BB61" s="51">
        <v>0</v>
      </c>
      <c r="BC61" s="51">
        <v>0</v>
      </c>
      <c r="BD61" s="51">
        <v>0</v>
      </c>
      <c r="BE61" s="51"/>
      <c r="BF61" s="51"/>
      <c r="BG61" s="51"/>
      <c r="BH61" s="51">
        <v>0</v>
      </c>
      <c r="BI61" s="51">
        <v>0</v>
      </c>
      <c r="BJ61" s="51">
        <v>0</v>
      </c>
      <c r="BK61" s="51">
        <v>0</v>
      </c>
      <c r="BL61" s="108" t="str">
        <f>HYPERLINK("https://www.nytimes.com/1995/12/21/nyregion/bronx-gunman-was-under-treatment-for-schizophrenia.html","1")</f>
        <v>1</v>
      </c>
      <c r="BM61" s="109">
        <v>3</v>
      </c>
      <c r="BN61" s="115" t="s">
        <v>3072</v>
      </c>
      <c r="BO61" s="110">
        <v>1</v>
      </c>
      <c r="BP61" s="116">
        <v>1</v>
      </c>
      <c r="BQ61" s="116">
        <v>0</v>
      </c>
      <c r="BR61" s="116">
        <v>0</v>
      </c>
      <c r="BS61" s="116">
        <v>0</v>
      </c>
      <c r="BT61" s="110">
        <v>1</v>
      </c>
      <c r="BU61" s="110">
        <v>1</v>
      </c>
      <c r="BV61" s="110">
        <v>0</v>
      </c>
      <c r="BW61" s="111">
        <v>0</v>
      </c>
      <c r="BX61" s="110">
        <v>1</v>
      </c>
      <c r="BY61" s="51">
        <v>0</v>
      </c>
      <c r="BZ61" s="101" t="str">
        <f>HYPERLINK("http://www.nytimes.com/1995/12/21/nyregion/bronx-gunman-was-under-treatment-for-schizophrenia.html","1")</f>
        <v>1</v>
      </c>
      <c r="CA61" s="101" t="str">
        <f>HYPERLINK("https://www.nydailynews.com/archives/news/shoe-store-slaughter-shooter-kills-5-wounds-3-article-1.695170","1")</f>
        <v>1</v>
      </c>
      <c r="CB61" s="101" t="str">
        <f>HYPERLINK("https://archive.seattletimes.com/archive/?date=19951220&amp;slug=2158611","0")</f>
        <v>0</v>
      </c>
      <c r="CC61" s="101" t="str">
        <f>HYPERLINK("https://www.nytimes.com/1997/09/23/nyregion/trial-opens-in-fatal-shootings-at-bronx-shoe-store-in-1995.html","1")</f>
        <v>1</v>
      </c>
      <c r="CD61" s="101" t="str">
        <f>HYPERLINK("https://archive.seattletimes.com/archive/?date=19951220&amp;slug=2158611","1")</f>
        <v>1</v>
      </c>
      <c r="CE61" s="101" t="str">
        <f>HYPERLINK("http://www.nytimes.com/1995/12/21/nyregion/bronx-gunman-was-under-treatment-for-schizophrenia.html","2")</f>
        <v>2</v>
      </c>
      <c r="CF61" s="107">
        <v>0</v>
      </c>
      <c r="CG61" s="51">
        <v>0</v>
      </c>
      <c r="CH61" s="101" t="str">
        <f>HYPERLINK("http://www.nytimes.com/1995/12/21/nyregion/bronx-gunman-was-under-treatment-for-schizophrenia.html","3")</f>
        <v>3</v>
      </c>
      <c r="CI61" s="51">
        <v>0</v>
      </c>
      <c r="CJ61" s="51" t="s">
        <v>100</v>
      </c>
      <c r="CK61" s="113">
        <v>0</v>
      </c>
      <c r="CL61" s="113"/>
      <c r="CM61" s="113"/>
      <c r="CN61" s="110">
        <v>0</v>
      </c>
      <c r="CO61" s="110">
        <v>0</v>
      </c>
      <c r="CP61" s="110">
        <v>0</v>
      </c>
      <c r="CQ61" s="110">
        <v>0</v>
      </c>
      <c r="CR61" s="110">
        <v>0</v>
      </c>
      <c r="CS61" s="110">
        <v>0</v>
      </c>
      <c r="CT61" s="110">
        <v>0</v>
      </c>
      <c r="CU61" s="110">
        <v>0</v>
      </c>
      <c r="CV61" s="110">
        <v>0</v>
      </c>
      <c r="CW61" s="110">
        <v>0</v>
      </c>
      <c r="CX61" s="108" t="str">
        <f>HYPERLINK("https://www.nytimes.com/1997/09/23/nyregion/trial-opens-in-fatal-shootings-at-bronx-shoe-store-in-1995.html","1")</f>
        <v>1</v>
      </c>
      <c r="CY61" s="110">
        <v>0</v>
      </c>
      <c r="CZ61" s="108" t="str">
        <f>HYPERLINK("https://www.nytimes.com/1997/09/23/nyregion/trial-opens-in-fatal-shootings-at-bronx-shoe-store-in-1995.html","0")</f>
        <v>0</v>
      </c>
      <c r="DA61" s="101">
        <v>2</v>
      </c>
      <c r="DB61" s="51">
        <v>2</v>
      </c>
      <c r="DC61" s="51">
        <v>0</v>
      </c>
      <c r="DD61" s="51"/>
      <c r="DE61" s="51"/>
      <c r="DF61" s="51"/>
      <c r="DG61" s="51"/>
      <c r="DH61" s="51"/>
      <c r="DI61" s="51"/>
      <c r="DJ61" s="51">
        <v>0</v>
      </c>
      <c r="DK61" s="101">
        <v>0</v>
      </c>
      <c r="DL61" s="48" t="s">
        <v>100</v>
      </c>
      <c r="DM61" s="101" t="str">
        <f>HYPERLINK("https://www.nytimes.com/1997/09/23/nyregion/trial-opens-in-fatal-shootings-at-bronx-shoe-store-in-1995.html","0")</f>
        <v>0</v>
      </c>
      <c r="DN61" s="51">
        <v>0</v>
      </c>
      <c r="DO61" s="51" t="s">
        <v>100</v>
      </c>
      <c r="DP61" s="101" t="str">
        <f>HYPERLINK("https://www.nytimes.com/1997/09/23/nyregion/trial-opens-in-fatal-shootings-at-bronx-shoe-store-in-1995.html","0")</f>
        <v>0</v>
      </c>
      <c r="DQ61" s="101" t="str">
        <f>HYPERLINK("https://www.nytimes.com/1995/12/21/nyregion/bronx-gunman-was-under-treatment-for-schizophrenia.html","0")</f>
        <v>0</v>
      </c>
      <c r="DR61" s="48">
        <v>0</v>
      </c>
      <c r="DS61" s="101" t="str">
        <f>HYPERLINK("https://www.nytimes.com/1997/09/23/nyregion/trial-opens-in-fatal-shootings-at-bronx-shoe-store-in-1995.html","1")</f>
        <v>1</v>
      </c>
      <c r="DT61" s="101" t="str">
        <f>HYPERLINK("http://www.nytimes.com/1995/12/20/us/5-are-killed-by-gunman-in-bronx-shoe-store.html","1")</f>
        <v>1</v>
      </c>
      <c r="DU61" s="101" t="str">
        <f>HYPERLINK("https://www.nytimes.com/1997/10/25/nyregion/man-convicted-of-murder-in-5-killings-in-shoe-store.html","1")</f>
        <v>1</v>
      </c>
      <c r="DV61" s="101" t="str">
        <f>HYPERLINK("https://www.nytimes.com/1997/10/25/nyregion/man-convicted-of-murder-in-5-killings-in-shoe-store.html","matches, lighter fluid")</f>
        <v>matches, lighter fluid</v>
      </c>
      <c r="DW61" s="101" t="str">
        <f>HYPERLINK("https://www.nytimes.com/1995/12/21/nyregion/bronx-gunman-was-under-treatment-for-schizophrenia.html","2")</f>
        <v>2</v>
      </c>
      <c r="DX61" s="101" t="str">
        <f>HYPERLINK("https://www.nytimes.com/1995/12/20/us/5-are-killed-by-gunman-in-bronx-shoe-store.html","1")</f>
        <v>1</v>
      </c>
      <c r="DY61" s="105" t="str">
        <f>HYPERLINK("https://www.nydailynews.com/archives/boroughs/5th-anniversary-shoe-store-massacre-article-1.883148","1")</f>
        <v>1</v>
      </c>
      <c r="DZ61" s="133" t="str">
        <f>HYPERLINK("https://www.nydailynews.com/archives/boroughs/5th-anniversary-shoe-store-massacre-article-1.883148","3")</f>
        <v>3</v>
      </c>
    </row>
    <row r="62" spans="1:130" ht="50.25" customHeight="1">
      <c r="A62" s="96">
        <v>60</v>
      </c>
      <c r="B62" s="97" t="s">
        <v>338</v>
      </c>
      <c r="C62" s="97" t="s">
        <v>339</v>
      </c>
      <c r="D62" s="98">
        <v>35104</v>
      </c>
      <c r="E62" s="48" t="s">
        <v>157</v>
      </c>
      <c r="F62" s="119">
        <v>9</v>
      </c>
      <c r="G62" s="102" t="str">
        <f>HYPERLINK("https://www.washingtonpost.com/archive/politics/1996/02/10/fired-worker-shoots-5-dead-kills-himself/fe3750b6-0748-4f95-a3b6-bb8948705e80/?utm_term=.79c1563d0600","2")</f>
        <v>2</v>
      </c>
      <c r="H62" s="101" t="str">
        <f>HYPERLINK("https://www.washingtonpost.com/archive/politics/1996/02/10/fired-worker-shoots-5-dead-kills-himself/fe3750b6-0748-4f95-a3b6-bb8948705e80/?utm_term=.79c1563d0600","1996")</f>
        <v>1996</v>
      </c>
      <c r="I62" s="48" t="s">
        <v>340</v>
      </c>
      <c r="J62" s="101" t="str">
        <f>HYPERLINK("http://www.apnewsarchive.com/1996/City-Worker-Recalls-the-Bullet-That-Missed-Her/id-cec11122f0b4c232725599b3ae3d7bcf","Fort Lauerdale ")</f>
        <v xml:space="preserve">Fort Lauerdale </v>
      </c>
      <c r="K62" s="102" t="str">
        <f>HYPERLINK("http://www.apnewsarchive.com/1996/City-Worker-Recalls-the-Bullet-That-Missed-Her/id-cec11122f0b4c232725599b3ae3d7bcf","9")</f>
        <v>9</v>
      </c>
      <c r="L62" s="119">
        <v>0</v>
      </c>
      <c r="M62" s="102">
        <v>0</v>
      </c>
      <c r="N62" s="102" t="str">
        <f>HYPERLINK("https://www.washingtonpost.com/archive/politics/1996/02/10/fired-worker-shoots-5-dead-kills-himself/fe3750b6-0748-4f95-a3b6-bb8948705e80/?noredirect=on&amp;utm_term=.f54bc6882ca8","6")</f>
        <v>6</v>
      </c>
      <c r="O62" s="102" t="str">
        <f>HYPERLINK("https://www.washingtonpost.com/archive/politics/1996/02/10/fired-worker-shoots-5-dead-kills-himself/fe3750b6-0748-4f95-a3b6-bb8948705e80/?noredirect=on&amp;utm_term=.cb3ee21d275f","0")</f>
        <v>0</v>
      </c>
      <c r="P62" s="99" t="s">
        <v>100</v>
      </c>
      <c r="Q62" s="103">
        <v>0</v>
      </c>
      <c r="R62" s="103">
        <v>0</v>
      </c>
      <c r="S62" s="102" t="str">
        <f>HYPERLINK("https://apnews.com/cec11122f0b4c232725599b3ae3d7bcf","5")</f>
        <v>5</v>
      </c>
      <c r="T62" s="102">
        <v>1</v>
      </c>
      <c r="U62" s="101" t="str">
        <f>HYPERLINK("https://www.washingtonpost.com/archive/politics/1996/02/10/fired-worker-shoots-5-dead-kills-himself/fe3750b6-0748-4f95-a3b6-bb8948705e80/?noredirect=on&amp;utm_term=.cb3ee21d275f","0")</f>
        <v>0</v>
      </c>
      <c r="V62" s="101" t="str">
        <f>HYPERLINK("https://www.washingtonpost.com/archive/politics/1996/02/10/fired-worker-shoots-5-dead-kills-himself/fe3750b6-0748-4f95-a3b6-bb8948705e80/?utm_term=.79c1563d0600","41")</f>
        <v>41</v>
      </c>
      <c r="W62" s="101" t="str">
        <f>HYPERLINK("https://www.washingtonpost.com/archive/politics/1996/02/10/fired-worker-shoots-5-dead-kills-himself/fe3750b6-0748-4f95-a3b6-bb8948705e80/?utm_term=.79c1563d0600","0")</f>
        <v>0</v>
      </c>
      <c r="X62" s="101" t="str">
        <f>HYPERLINK("http://www.apnewsarchive.com/1996/City-Worker-Recalls-the-Bullet-That-Missed-Her/id-cec11122f0b4c232725599b3ae3d7bcf","1")</f>
        <v>1</v>
      </c>
      <c r="Y62" s="48">
        <v>0</v>
      </c>
      <c r="Z62" s="101" t="str">
        <f>HYPERLINK("https://www.washingtonpost.com/archive/politics/1996/02/10/fired-worker-shoots-5-dead-kills-himself/fe3750b6-0748-4f95-a3b6-bb8948705e80/?noredirect=on&amp;utm_term=.f54bc6882ca8","0")</f>
        <v>0</v>
      </c>
      <c r="AA62" s="101" t="str">
        <f>HYPERLINK("https://www.washingtonpost.com/archive/politics/1996/02/10/fired-worker-shoots-5-dead-kills-himself/fe3750b6-0748-4f95-a3b6-bb8948705e80/?noredirect=on&amp;utm_term=.f54bc6882ca8","1")</f>
        <v>1</v>
      </c>
      <c r="AB62" s="51" t="s">
        <v>818</v>
      </c>
      <c r="AC62" s="51"/>
      <c r="AD62" s="51"/>
      <c r="AE62" s="107"/>
      <c r="AF62" s="107"/>
      <c r="AG62" s="107"/>
      <c r="AH62" s="107"/>
      <c r="AI62" s="101" t="str">
        <f>HYPERLINK("https://www.washingtonpost.com/archive/politics/1996/02/10/fired-worker-shoots-5-dead-kills-himself/fe3750b6-0748-4f95-a3b6-bb8948705e80/?noredirect=on&amp;utm_term=.f54bc6882ca8","2")</f>
        <v>2</v>
      </c>
      <c r="AJ62" s="101" t="str">
        <f>HYPERLINK("https://www.washingtonpost.com/archive/politics/1996/02/10/fired-worker-shoots-5-dead-kills-himself/fe3750b6-0748-4f95-a3b6-bb8948705e80/?noredirect=on&amp;utm_term=.f54bc6882ca8","1")</f>
        <v>1</v>
      </c>
      <c r="AK62" s="101" t="str">
        <f>HYPERLINK("https://www.nytimes.com/1996/02/11/us/florida-killer-said-victims-were-racists-police-say.html","0")</f>
        <v>0</v>
      </c>
      <c r="AL62" s="101">
        <v>0</v>
      </c>
      <c r="AM62" s="101" t="str">
        <f>HYPERLINK("https://www.washingtonpost.com/archive/politics/1996/02/10/fired-worker-shoots-5-dead-kills-himself/fe3750b6-0748-4f95-a3b6-bb8948705e80/?noredirect=on&amp;utm_term=.f54bc6882ca8","1")</f>
        <v>1</v>
      </c>
      <c r="AN62" s="101" t="str">
        <f>HYPERLINK("https://www.washingtonpost.com/archive/politics/1996/02/10/fired-worker-shoots-5-dead-kills-himself/fe3750b6-0748-4f95-a3b6-bb8948705e80/?noredirect=on&amp;utm_term=.f54bc6882ca8","3")</f>
        <v>3</v>
      </c>
      <c r="AO62" s="101" t="str">
        <f>HYPERLINK("https://www.washingtonpost.com/archive/politics/1996/02/10/fired-worker-shoots-5-dead-kills-himself/fe3750b6-0748-4f95-a3b6-bb8948705e80/?noredirect=on","1")</f>
        <v>1</v>
      </c>
      <c r="AP62" s="150" t="str">
        <f>HYPERLINK("https://www.washingtonpost.com/archive/politics/1996/02/10/fired-worker-shoots-5-dead-kills-himself/fe3750b6-0748-4f95-a3b6-bb8948705e80/?noredirect=on","church")</f>
        <v>church</v>
      </c>
      <c r="AQ62" s="101" t="str">
        <f>HYPERLINK("https://www.nytimes.com/1996/02/10/us/5-beach-workers-in-florida-are-slain-by-ex-colleague.html","0")</f>
        <v>0</v>
      </c>
      <c r="AR62" s="51">
        <v>0</v>
      </c>
      <c r="AS62" s="51">
        <v>0</v>
      </c>
      <c r="AT62" s="48">
        <v>0</v>
      </c>
      <c r="AU62" s="48" t="s">
        <v>100</v>
      </c>
      <c r="AV62" s="48" t="s">
        <v>100</v>
      </c>
      <c r="AW62" s="48" t="s">
        <v>100</v>
      </c>
      <c r="AX62" s="48">
        <v>0</v>
      </c>
      <c r="AY62" s="51">
        <v>0</v>
      </c>
      <c r="AZ62" s="51">
        <v>0</v>
      </c>
      <c r="BA62" s="51">
        <v>0</v>
      </c>
      <c r="BB62" s="51">
        <v>0</v>
      </c>
      <c r="BC62" s="101" t="str">
        <f>HYPERLINK("https://www.washingtonpost.com/archive/politics/1996/02/10/fired-worker-shoots-5-dead-kills-himself/fe3750b6-0748-4f95-a3b6-bb8948705e80/?noredirect=on&amp;utm_term=.cb3ee21d275f","1")</f>
        <v>1</v>
      </c>
      <c r="BD62" s="101">
        <v>0</v>
      </c>
      <c r="BE62" s="51"/>
      <c r="BF62" s="51"/>
      <c r="BG62" s="51"/>
      <c r="BH62" s="51"/>
      <c r="BI62" s="51">
        <v>0</v>
      </c>
      <c r="BJ62" s="51">
        <v>0</v>
      </c>
      <c r="BK62" s="101" t="str">
        <f>HYPERLINK("https://www.nytimes.com/1996/02/11/us/florida-killer-said-victims-were-racists-police-say.html","1")</f>
        <v>1</v>
      </c>
      <c r="BL62" s="108" t="str">
        <f>HYPERLINK("https://apnews.com/cec11122f0b4c232725599b3ae3d7bcf","1")</f>
        <v>1</v>
      </c>
      <c r="BM62" s="108">
        <v>0</v>
      </c>
      <c r="BN62" s="110" t="s">
        <v>3024</v>
      </c>
      <c r="BO62" s="111">
        <v>1</v>
      </c>
      <c r="BP62" s="111">
        <v>0</v>
      </c>
      <c r="BQ62" s="111">
        <v>1</v>
      </c>
      <c r="BR62" s="111">
        <v>0</v>
      </c>
      <c r="BS62" s="111">
        <v>0</v>
      </c>
      <c r="BT62" s="111">
        <v>1</v>
      </c>
      <c r="BU62" s="111">
        <v>0</v>
      </c>
      <c r="BV62" s="111">
        <v>0</v>
      </c>
      <c r="BW62" s="111">
        <v>0</v>
      </c>
      <c r="BX62" s="111">
        <v>0</v>
      </c>
      <c r="BY62" s="101" t="str">
        <f>HYPERLINK("https://www.nytimes.com/1996/02/11/us/florida-killer-said-victims-were-racists-police-say.html","2")</f>
        <v>2</v>
      </c>
      <c r="BZ62" s="51">
        <v>0</v>
      </c>
      <c r="CA62" s="101" t="str">
        <f>HYPERLINK("https://www.washingtonpost.com/archive/politics/1996/02/10/fired-worker-shoots-5-dead-kills-himself/fe3750b6-0748-4f95-a3b6-bb8948705e80/?noredirect=on&amp;utm_term=.f54bc6882ca8","0")</f>
        <v>0</v>
      </c>
      <c r="CB62" s="51" t="s">
        <v>100</v>
      </c>
      <c r="CC62" s="51">
        <v>0</v>
      </c>
      <c r="CD62" s="51" t="s">
        <v>100</v>
      </c>
      <c r="CE62" s="101" t="str">
        <f>HYPERLINK("https://www.washingtonpost.com/archive/politics/1996/02/10/fired-worker-shoots-5-dead-kills-himself/fe3750b6-0748-4f95-a3b6-bb8948705e80/?noredirect=on&amp;utm_term=.cb3ee21d275f","5")</f>
        <v>5</v>
      </c>
      <c r="CF62" s="107">
        <v>0</v>
      </c>
      <c r="CG62" s="51">
        <v>0</v>
      </c>
      <c r="CH62" s="101" t="str">
        <f>HYPERLINK("https://apnews.com/cec11122f0b4c232725599b3ae3d7bcf","2")</f>
        <v>2</v>
      </c>
      <c r="CI62" s="51">
        <v>0</v>
      </c>
      <c r="CJ62" s="51" t="s">
        <v>100</v>
      </c>
      <c r="CK62" s="117">
        <v>1</v>
      </c>
      <c r="CL62" s="117"/>
      <c r="CM62" s="117"/>
      <c r="CN62" s="108">
        <v>0</v>
      </c>
      <c r="CO62" s="108">
        <v>0</v>
      </c>
      <c r="CP62" s="108">
        <v>0</v>
      </c>
      <c r="CQ62" s="110">
        <v>0</v>
      </c>
      <c r="CR62" s="109">
        <v>1</v>
      </c>
      <c r="CS62" s="108">
        <v>0</v>
      </c>
      <c r="CT62" s="110">
        <v>0</v>
      </c>
      <c r="CU62" s="108">
        <v>0</v>
      </c>
      <c r="CV62" s="108">
        <v>0</v>
      </c>
      <c r="CW62" s="110">
        <v>0</v>
      </c>
      <c r="CX62" s="110">
        <v>0</v>
      </c>
      <c r="CY62" s="110">
        <v>0</v>
      </c>
      <c r="CZ62" s="108" t="str">
        <f>HYPERLINK("https://apnews.com/cec11122f0b4c232725599b3ae3d7bcf","0")</f>
        <v>0</v>
      </c>
      <c r="DA62" s="51">
        <v>0</v>
      </c>
      <c r="DB62" s="51">
        <v>2</v>
      </c>
      <c r="DC62" s="101" t="str">
        <f>HYPERLINK("https://www.washingtonpost.com/archive/politics/1996/02/10/fired-worker-shoots-5-dead-kills-himself/fe3750b6-0748-4f95-a3b6-bb8948705e80/?noredirect=on&amp;utm_term=.775b1dacb721","1")</f>
        <v>1</v>
      </c>
      <c r="DD62" s="51">
        <v>0</v>
      </c>
      <c r="DE62" s="51">
        <v>4</v>
      </c>
      <c r="DF62" s="51">
        <v>1</v>
      </c>
      <c r="DG62" s="51"/>
      <c r="DH62" s="51"/>
      <c r="DI62" s="51"/>
      <c r="DJ62" s="51">
        <v>0</v>
      </c>
      <c r="DK62" s="51">
        <v>0</v>
      </c>
      <c r="DL62" s="48" t="s">
        <v>100</v>
      </c>
      <c r="DM62" s="101" t="str">
        <f>HYPERLINK("https://www.nytimes.com/1996/02/11/us/florida-killer-said-victims-were-racists-police-say.html","1")</f>
        <v>1</v>
      </c>
      <c r="DN62" s="51">
        <v>0</v>
      </c>
      <c r="DO62" s="51" t="s">
        <v>100</v>
      </c>
      <c r="DP62" s="101">
        <v>0</v>
      </c>
      <c r="DQ62" s="101" t="str">
        <f>HYPERLINK("https://apnews.com/cec11122f0b4c232725599b3ae3d7bcf","0")</f>
        <v>0</v>
      </c>
      <c r="DR62" s="48">
        <v>0</v>
      </c>
      <c r="DS62" s="101">
        <v>3</v>
      </c>
      <c r="DT62" s="101" t="str">
        <f t="shared" ref="DT62" si="135">HYPERLINK("https://apnews.com/cec11122f0b4c232725599b3ae3d7bcf","2")</f>
        <v>2</v>
      </c>
      <c r="DU62" s="101" t="str">
        <f>HYPERLINK("https://apnews.com/cec11122f0b4c232725599b3ae3d7bcf","0")</f>
        <v>0</v>
      </c>
      <c r="DV62" s="48" t="s">
        <v>100</v>
      </c>
      <c r="DW62" s="101" t="str">
        <f>HYPERLINK("https://apnews.com/cec11122f0b4c232725599b3ae3d7bcf","0")</f>
        <v>0</v>
      </c>
      <c r="DX62" s="101" t="str">
        <f>HYPERLINK("https://www.washingtonpost.com/archive/politics/1996/02/10/fired-worker-shoots-5-dead-kills-himself/fe3750b6-0748-4f95-a3b6-bb8948705e80/?noredirect=on&amp;utm_term=.cb3ee21d275f","0")</f>
        <v>0</v>
      </c>
      <c r="DY62" s="48">
        <v>2</v>
      </c>
      <c r="DZ62" s="48">
        <v>0</v>
      </c>
    </row>
    <row r="63" spans="1:130" ht="50.25" customHeight="1">
      <c r="A63" s="96">
        <v>61</v>
      </c>
      <c r="B63" s="97" t="s">
        <v>341</v>
      </c>
      <c r="C63" s="97" t="s">
        <v>306</v>
      </c>
      <c r="D63" s="98">
        <v>35179</v>
      </c>
      <c r="E63" s="48" t="s">
        <v>123</v>
      </c>
      <c r="F63" s="119">
        <v>24</v>
      </c>
      <c r="G63" s="102">
        <v>4</v>
      </c>
      <c r="H63" s="101">
        <v>1996</v>
      </c>
      <c r="I63" s="48" t="s">
        <v>342</v>
      </c>
      <c r="J63" s="101" t="s">
        <v>343</v>
      </c>
      <c r="K63" s="102">
        <v>24</v>
      </c>
      <c r="L63" s="102" t="str">
        <f>HYPERLINK("http://articles.latimes.com/1996-04-25/news/mn-62698_1_department-officers","0")</f>
        <v>0</v>
      </c>
      <c r="M63" s="102">
        <v>0</v>
      </c>
      <c r="N63" s="102" t="str">
        <f>HYPERLINK("https://www.latimes.com/archives/la-xpm-1996-04-25-mn-62698-story.html","6")</f>
        <v>6</v>
      </c>
      <c r="O63" s="102">
        <v>1</v>
      </c>
      <c r="P63" s="102" t="str">
        <f>HYPERLINK("https://www.latimes.com/archives/la-xpm-1996-04-25-mn-62698-story.html","7")</f>
        <v>7</v>
      </c>
      <c r="Q63" s="103">
        <v>1</v>
      </c>
      <c r="R63" s="103">
        <v>1</v>
      </c>
      <c r="S63" s="102">
        <v>5</v>
      </c>
      <c r="T63" s="102">
        <v>3</v>
      </c>
      <c r="U63" s="101" t="str">
        <f>HYPERLINK("https://www.latimes.com/archives/la-xpm-1996-04-25-mn-62698-story.html","0")</f>
        <v>0</v>
      </c>
      <c r="V63" s="101">
        <v>32</v>
      </c>
      <c r="W63" s="101">
        <v>0</v>
      </c>
      <c r="X63" s="101">
        <v>1</v>
      </c>
      <c r="Y63" s="48">
        <v>0</v>
      </c>
      <c r="Z63" s="101" t="str">
        <f>HYPERLINK("https://www.latimes.com/archives/la-xpm-1996-04-25-mn-62698-story.html","0")</f>
        <v>0</v>
      </c>
      <c r="AA63" s="51"/>
      <c r="AB63" s="51" t="s">
        <v>818</v>
      </c>
      <c r="AC63" s="51"/>
      <c r="AD63" s="51"/>
      <c r="AE63" s="51"/>
      <c r="AF63" s="51"/>
      <c r="AG63" s="51"/>
      <c r="AH63" s="51"/>
      <c r="AI63" s="101">
        <v>2</v>
      </c>
      <c r="AJ63" s="101" t="str">
        <f>HYPERLINK("https://caselaw.findlaw.com/ms-supreme-court/1166620.html","1")</f>
        <v>1</v>
      </c>
      <c r="AK63" s="101">
        <v>1</v>
      </c>
      <c r="AL63" s="101" t="str">
        <f>HYPERLINK("https://www.deseretnews.com/article/485460/FIREMAN-WAS-TIME-BOMB-WAITING.html","0")</f>
        <v>0</v>
      </c>
      <c r="AM63" s="51">
        <v>0</v>
      </c>
      <c r="AN63" s="48" t="s">
        <v>100</v>
      </c>
      <c r="AO63" s="51"/>
      <c r="AP63" s="51"/>
      <c r="AQ63" s="51">
        <v>0</v>
      </c>
      <c r="AR63" s="101" t="str">
        <f>HYPERLINK("https://www.newspapers.com/image/542542939/?terms=victoria%2Bminor%2Bkenneth%2Btornes","1")</f>
        <v>1</v>
      </c>
      <c r="AS63" s="51">
        <v>0</v>
      </c>
      <c r="AT63" s="48">
        <v>0</v>
      </c>
      <c r="AU63" s="48" t="s">
        <v>100</v>
      </c>
      <c r="AV63" s="48" t="s">
        <v>100</v>
      </c>
      <c r="AW63" s="48" t="s">
        <v>100</v>
      </c>
      <c r="AX63" s="48">
        <v>0</v>
      </c>
      <c r="AY63" s="51">
        <v>0</v>
      </c>
      <c r="AZ63" s="51">
        <v>0</v>
      </c>
      <c r="BA63" s="51">
        <v>0</v>
      </c>
      <c r="BB63" s="51">
        <v>0</v>
      </c>
      <c r="BC63" s="101">
        <v>0</v>
      </c>
      <c r="BD63" s="51">
        <v>0</v>
      </c>
      <c r="BE63" s="51"/>
      <c r="BF63" s="51"/>
      <c r="BG63" s="51"/>
      <c r="BH63" s="51"/>
      <c r="BI63" s="51">
        <v>0</v>
      </c>
      <c r="BJ63" s="101">
        <v>1</v>
      </c>
      <c r="BK63" s="101" t="str">
        <f>HYPERLINK("https://www.deseretnews.com/article/485460/FIREMAN-WAS-TIME-BOMB-WAITING.html","1")</f>
        <v>1</v>
      </c>
      <c r="BL63" s="108">
        <v>0</v>
      </c>
      <c r="BM63" s="108" t="s">
        <v>100</v>
      </c>
      <c r="BN63" s="115"/>
      <c r="BO63" s="111">
        <v>0</v>
      </c>
      <c r="BP63" s="111">
        <v>0</v>
      </c>
      <c r="BQ63" s="111">
        <v>0</v>
      </c>
      <c r="BR63" s="111">
        <v>0</v>
      </c>
      <c r="BS63" s="111">
        <v>0</v>
      </c>
      <c r="BT63" s="111">
        <v>0</v>
      </c>
      <c r="BU63" s="111">
        <v>0</v>
      </c>
      <c r="BV63" s="111">
        <v>0</v>
      </c>
      <c r="BW63" s="111">
        <v>0</v>
      </c>
      <c r="BX63" s="111">
        <v>0</v>
      </c>
      <c r="BY63" s="101" t="str">
        <f>HYPERLINK("https://www.washingtonpost.com/archive/politics/1996/04/25/firefighter-kills-wife-four-colleagues-before-being-wounded/f5b9eab9-d1cc-4c59-b2db-d664fe68c611/?utm_term=.f1cb89cf704b","2")</f>
        <v>2</v>
      </c>
      <c r="BZ63" s="51">
        <v>0</v>
      </c>
      <c r="CA63" s="51">
        <v>0</v>
      </c>
      <c r="CB63" s="51" t="s">
        <v>100</v>
      </c>
      <c r="CC63" s="51">
        <v>0</v>
      </c>
      <c r="CD63" s="51" t="s">
        <v>100</v>
      </c>
      <c r="CE63" s="51">
        <v>0</v>
      </c>
      <c r="CF63" s="107">
        <v>0</v>
      </c>
      <c r="CG63" s="51">
        <v>0</v>
      </c>
      <c r="CH63" s="51">
        <v>0</v>
      </c>
      <c r="CI63" s="51">
        <v>0</v>
      </c>
      <c r="CJ63" s="51" t="s">
        <v>100</v>
      </c>
      <c r="CK63" s="113">
        <v>0</v>
      </c>
      <c r="CL63" s="113"/>
      <c r="CM63" s="113"/>
      <c r="CN63" s="110">
        <v>0</v>
      </c>
      <c r="CO63" s="110">
        <v>0</v>
      </c>
      <c r="CP63" s="110">
        <v>0</v>
      </c>
      <c r="CQ63" s="110">
        <v>0</v>
      </c>
      <c r="CR63" s="108">
        <v>1</v>
      </c>
      <c r="CS63" s="110">
        <v>0</v>
      </c>
      <c r="CT63" s="110">
        <v>0</v>
      </c>
      <c r="CU63" s="108">
        <v>1</v>
      </c>
      <c r="CV63" s="108">
        <v>0</v>
      </c>
      <c r="CW63" s="110">
        <v>0</v>
      </c>
      <c r="CX63" s="110">
        <v>0</v>
      </c>
      <c r="CY63" s="110">
        <v>0</v>
      </c>
      <c r="CZ63" s="108">
        <v>1</v>
      </c>
      <c r="DA63" s="51">
        <v>0</v>
      </c>
      <c r="DB63" s="51">
        <v>2</v>
      </c>
      <c r="DC63" s="101">
        <v>1</v>
      </c>
      <c r="DD63" s="51">
        <v>0</v>
      </c>
      <c r="DE63" s="107">
        <v>9</v>
      </c>
      <c r="DF63" s="51">
        <v>1</v>
      </c>
      <c r="DG63" s="51"/>
      <c r="DH63" s="51"/>
      <c r="DI63" s="51"/>
      <c r="DJ63" s="51">
        <v>0</v>
      </c>
      <c r="DK63" s="51">
        <v>0</v>
      </c>
      <c r="DL63" s="48" t="s">
        <v>100</v>
      </c>
      <c r="DM63" s="101" t="str">
        <f>HYPERLINK("https://www.wlbt.com/story/18995724/new-book-details-shooting-rampage-at-jackson-fire-station/","0")</f>
        <v>0</v>
      </c>
      <c r="DN63" s="51">
        <v>0</v>
      </c>
      <c r="DO63" s="51" t="s">
        <v>100</v>
      </c>
      <c r="DP63" s="101" t="str">
        <f t="shared" ref="DP63:DQ63" si="136">HYPERLINK("https://www.washingtonpost.com/archive/politics/1996/04/25/firefighter-kills-wife-four-colleagues-before-being-wounded/f5b9eab9-d1cc-4c59-b2db-d664fe68c611/?utm_term=.f1cb89cf704b","0")</f>
        <v>0</v>
      </c>
      <c r="DQ63" s="101" t="str">
        <f t="shared" si="136"/>
        <v>0</v>
      </c>
      <c r="DR63" s="48">
        <v>0</v>
      </c>
      <c r="DS63" s="101" t="str">
        <f>HYPERLINK("https://www.newspapers.com/image/542542939/?terms=victoria%2Bminor%2Bkenneth%2Btornes","1")</f>
        <v>1</v>
      </c>
      <c r="DT63" s="101">
        <v>3</v>
      </c>
      <c r="DU63" s="101" t="str">
        <f>HYPERLINK("https://www.washingtonpost.com/archive/politics/1996/04/25/firefighter-kills-wife-four-colleagues-before-being-wounded/f5b9eab9-d1cc-4c59-b2db-d664fe68c611/?utm_term=.f1cb89cf704b","0")</f>
        <v>0</v>
      </c>
      <c r="DV63" s="48" t="s">
        <v>100</v>
      </c>
      <c r="DW63" s="101">
        <v>2</v>
      </c>
      <c r="DX63" s="101" t="str">
        <f>HYPERLINK("https://www.deseretnews.com/article/485460/FIREMAN-WAS-TIME-BOMB-WAITING.html","1")</f>
        <v>1</v>
      </c>
      <c r="DY63" s="48">
        <v>0</v>
      </c>
      <c r="DZ63" s="133" t="str">
        <f>HYPERLINK("http://www.enterprise-journal.com/news/article_0a6f69e7-c067-57a5-8a01-81b5d1283b56.html","1")</f>
        <v>1</v>
      </c>
    </row>
    <row r="64" spans="1:130" ht="50.25" customHeight="1">
      <c r="A64" s="96">
        <v>62</v>
      </c>
      <c r="B64" s="97" t="s">
        <v>344</v>
      </c>
      <c r="C64" s="97" t="s">
        <v>194</v>
      </c>
      <c r="D64" s="98">
        <v>35661</v>
      </c>
      <c r="E64" s="48" t="s">
        <v>203</v>
      </c>
      <c r="F64" s="119">
        <v>19</v>
      </c>
      <c r="G64" s="102" t="str">
        <f>HYPERLINK("http://www.concordmonitor.com/Somber-memories-20-years-after-small-town-shootings-11846765","8")</f>
        <v>8</v>
      </c>
      <c r="H64" s="101" t="str">
        <f>HYPERLINK("http://www.concordmonitor.com/Somber-memories-20-years-after-small-town-shootings-11846765","1997")</f>
        <v>1997</v>
      </c>
      <c r="I64" s="48" t="s">
        <v>345</v>
      </c>
      <c r="J64" s="101" t="str">
        <f>HYPERLINK("http://content.time.com/time/magazine/article/0,9171,138219,00.html","Colebrook")</f>
        <v>Colebrook</v>
      </c>
      <c r="K64" s="102" t="str">
        <f>HYPERLINK("http://content.time.com/time/magazine/article/0,9171,138219,00.html","29")</f>
        <v>29</v>
      </c>
      <c r="L64" s="119">
        <v>2</v>
      </c>
      <c r="M64" s="102">
        <v>2</v>
      </c>
      <c r="N64" s="122">
        <v>6</v>
      </c>
      <c r="O64" s="102" t="str">
        <f>HYPERLINK("https://www.wmur.com/article/north-country-town-prepares-to-mark-20-years-since-drega-shootings/12027308","1")</f>
        <v>1</v>
      </c>
      <c r="P64" s="122">
        <v>8</v>
      </c>
      <c r="Q64" s="103">
        <v>1</v>
      </c>
      <c r="R64" s="103">
        <v>1</v>
      </c>
      <c r="S64" s="102" t="str">
        <f>HYPERLINK("http://www.caledonianrecord.com/news/colebrook-shootings-years-later-remembering-the-victims-and-the-resiliency/article_21ef7759-6d41-5f62-9453-bd94c76d3560.html ","4")</f>
        <v>4</v>
      </c>
      <c r="T64" s="102">
        <v>4</v>
      </c>
      <c r="U64" s="101" t="str">
        <f>HYPERLINK("http://content.time.com/time/magazine/article/0,9171,138219,00.html","0")</f>
        <v>0</v>
      </c>
      <c r="V64" s="101" t="str">
        <f>HYPERLINK("http://www.concordmonitor.com/Somber-memories-20-years-after-small-town-shootings-11846765","62")</f>
        <v>62</v>
      </c>
      <c r="W64" s="101" t="str">
        <f>HYPERLINK("http://www.concordmonitor.com/Somber-memories-20-years-after-small-town-shootings-11846765","0")</f>
        <v>0</v>
      </c>
      <c r="X64" s="101">
        <v>0</v>
      </c>
      <c r="Y64" s="48">
        <v>0</v>
      </c>
      <c r="Z64" s="101" t="str">
        <f>HYPERLINK("https://www.concordmonitor.com/Somber-memories-20-years-after-small-town-shootings-11846765","0")</f>
        <v>0</v>
      </c>
      <c r="AA64" s="101" t="str">
        <f>HYPERLINK("https://books.google.com/books?id=_oF7CgAAQBAJ&amp;pg=PA29&amp;dq=carl+drega+born&amp;hl=en&amp;newbks=1&amp;newbks_redir=0&amp;sa=X&amp;ved=2ahUKEwjimdeOpJDoAhVEbs0KHcftDxMQ6AEwAHoECAQQAg#v=onepage&amp;q=carl%20drega%20born&amp;f=false","1")</f>
        <v>1</v>
      </c>
      <c r="AB64" s="51"/>
      <c r="AC64" s="51"/>
      <c r="AD64" s="51"/>
      <c r="AE64" s="101" t="str">
        <f>HYPERLINK("https://books.google.com/books?id=_oF7CgAAQBAJ&amp;pg=PA29&amp;dq=carl+drega+born&amp;hl=en&amp;newbks=1&amp;newbks_redir=0&amp;sa=X&amp;ved=2ahUKEwjimdeOpJDoAhVEbs0KHcftDxMQ6AEwAHoECAQQAg#v=onepage&amp;q=carl%20drega%20born&amp;f=false","3")</f>
        <v>3</v>
      </c>
      <c r="AF64" s="101" t="str">
        <f t="shared" ref="AF64:AG64" si="137">HYPERLINK("https://books.google.com/books?id=_oF7CgAAQBAJ&amp;pg=PA29&amp;dq=carl+drega+born&amp;hl=en&amp;newbks=1&amp;newbks_redir=0&amp;sa=X&amp;ved=2ahUKEwjimdeOpJDoAhVEbs0KHcftDxMQ6AEwAHoECAQQAg#v=onepage&amp;q=carl%20drega%20born&amp;f=false","6")</f>
        <v>6</v>
      </c>
      <c r="AG64" s="101" t="str">
        <f t="shared" si="137"/>
        <v>6</v>
      </c>
      <c r="AH64" s="101" t="str">
        <f>HYPERLINK("https://books.google.com/books?id=_oF7CgAAQBAJ&amp;pg=PA29&amp;dq=carl+drega+born&amp;hl=en&amp;newbks=1&amp;newbks_redir=0&amp;sa=X&amp;ved=2ahUKEwjimdeOpJDoAhVEbs0KHcftDxMQ6AEwAHoECAQQAg#v=onepage&amp;q=carl%20drega%20born&amp;f=false","0")</f>
        <v>0</v>
      </c>
      <c r="AI64" s="101" t="str">
        <f>HYPERLINK("https://books.google.com/books?id=_oF7CgAAQBAJ&amp;pg=PA95&amp;lpg=PA95&amp;dq=carl+drega+sister&amp;source=bl&amp;ots=FT7MDSJNJ3&amp;sig=ACfU3U2XgDhmqdtwKMr3MUgw60MwrTe-gA&amp;hl=en&amp;sa=X&amp;ved=2ahUKEwiOuqf3xvrnAhXKIDQIHZb4DzMQ6AEwBnoECAsQAQ#v=onepage&amp;q=carl%20drega%20sister&amp;f=false","1")</f>
        <v>1</v>
      </c>
      <c r="AJ64" s="51">
        <v>0</v>
      </c>
      <c r="AK64" s="101">
        <v>1</v>
      </c>
      <c r="AL64" s="101" t="str">
        <f>HYPERLINK("https://www.concordmonitor.com/Somber-memories-20-years-after-small-town-shootings-11846765","0")</f>
        <v>0</v>
      </c>
      <c r="AM64" s="51">
        <v>0</v>
      </c>
      <c r="AN64" s="48" t="s">
        <v>100</v>
      </c>
      <c r="AO64" s="101" t="str">
        <f>HYPERLINK("http://content.time.com/time/magazine/article/0,9171,138219,00.html","0")</f>
        <v>0</v>
      </c>
      <c r="AP64" s="51"/>
      <c r="AQ64" s="101" t="str">
        <f>HYPERLINK("https://www.concordmonitor.com/Somber-memories-20-years-after-small-town-shootings-11846765","1")</f>
        <v>1</v>
      </c>
      <c r="AR64" s="51">
        <v>0</v>
      </c>
      <c r="AS64" s="101" t="str">
        <f>HYPERLINK("https://www.concordmonitor.com/Somber-memories-20-years-after-small-town-shootings-11846765","1")</f>
        <v>1</v>
      </c>
      <c r="AT64" s="105" t="str">
        <f>HYPERLINK("https://www.concordmonitor.com/Somber-memories-20-years-after-small-town-shootings-11846765","0")</f>
        <v>0</v>
      </c>
      <c r="AU64" s="48" t="s">
        <v>100</v>
      </c>
      <c r="AV64" s="48" t="s">
        <v>100</v>
      </c>
      <c r="AW64" s="48" t="s">
        <v>100</v>
      </c>
      <c r="AX64" s="48">
        <v>0</v>
      </c>
      <c r="AY64" s="51">
        <v>0</v>
      </c>
      <c r="AZ64" s="51">
        <v>0</v>
      </c>
      <c r="BA64" s="51">
        <v>0</v>
      </c>
      <c r="BB64" s="51">
        <v>0</v>
      </c>
      <c r="BC64" s="101">
        <v>1</v>
      </c>
      <c r="BD64" s="51">
        <v>0</v>
      </c>
      <c r="BE64" s="51"/>
      <c r="BF64" s="51"/>
      <c r="BG64" s="51"/>
      <c r="BH64" s="51"/>
      <c r="BI64" s="101">
        <v>1</v>
      </c>
      <c r="BJ64" s="101">
        <v>0</v>
      </c>
      <c r="BK64" s="101" t="str">
        <f>HYPERLINK("http://content.time.com/time/magazine/article/0,9171,138219,00.html","0")</f>
        <v>0</v>
      </c>
      <c r="BL64" s="108" t="str">
        <f>HYPERLINK("http://content.time.com/time/magazine/article/0,9171,138219,00.html","1")</f>
        <v>1</v>
      </c>
      <c r="BM64" s="109">
        <v>3</v>
      </c>
      <c r="BN64" s="115" t="s">
        <v>3073</v>
      </c>
      <c r="BO64" s="111">
        <v>1</v>
      </c>
      <c r="BP64" s="111">
        <v>0</v>
      </c>
      <c r="BQ64" s="111">
        <v>0</v>
      </c>
      <c r="BR64" s="111">
        <v>0</v>
      </c>
      <c r="BS64" s="111">
        <v>1</v>
      </c>
      <c r="BT64" s="111">
        <v>1</v>
      </c>
      <c r="BU64" s="111">
        <v>1</v>
      </c>
      <c r="BV64" s="111">
        <v>1</v>
      </c>
      <c r="BW64" s="111">
        <v>1</v>
      </c>
      <c r="BX64" s="111">
        <v>0</v>
      </c>
      <c r="BY64" s="101" t="str">
        <f>HYPERLINK("https://www.concordmonitor.com/Somber-memories-20-years-after-small-town-shootings-11846765","0")</f>
        <v>0</v>
      </c>
      <c r="BZ64" s="51">
        <v>0</v>
      </c>
      <c r="CA64" s="51">
        <v>0</v>
      </c>
      <c r="CB64" s="51" t="s">
        <v>100</v>
      </c>
      <c r="CC64" s="51">
        <v>0</v>
      </c>
      <c r="CD64" s="51" t="s">
        <v>100</v>
      </c>
      <c r="CE64" s="101" t="str">
        <f>HYPERLINK("http://content.time.com/time/magazine/article/0,9171,138219,00.html","5")</f>
        <v>5</v>
      </c>
      <c r="CF64" s="107">
        <v>0</v>
      </c>
      <c r="CG64" s="51">
        <v>0</v>
      </c>
      <c r="CH64" s="51">
        <v>0</v>
      </c>
      <c r="CI64" s="51">
        <v>0</v>
      </c>
      <c r="CJ64" s="51" t="s">
        <v>100</v>
      </c>
      <c r="CK64" s="113">
        <v>0</v>
      </c>
      <c r="CL64" s="113"/>
      <c r="CM64" s="113"/>
      <c r="CN64" s="110">
        <v>0</v>
      </c>
      <c r="CO64" s="110">
        <v>0</v>
      </c>
      <c r="CP64" s="110">
        <v>0</v>
      </c>
      <c r="CQ64" s="110">
        <v>0</v>
      </c>
      <c r="CR64" s="110">
        <v>0</v>
      </c>
      <c r="CS64" s="110">
        <v>0</v>
      </c>
      <c r="CT64" s="109">
        <v>1</v>
      </c>
      <c r="CU64" s="110">
        <v>0</v>
      </c>
      <c r="CV64" s="108" t="str">
        <f>HYPERLINK("https://www.concordmonitor.com/Somber-memories-20-years-after-small-town-shootings-11846765","1")</f>
        <v>1</v>
      </c>
      <c r="CW64" s="110">
        <v>0</v>
      </c>
      <c r="CX64" s="110">
        <v>0</v>
      </c>
      <c r="CY64" s="110">
        <v>0</v>
      </c>
      <c r="CZ64" s="108" t="str">
        <f>HYPERLINK("http://content.time.com/time/magazine/article/0,9171,138219,00.html","0")</f>
        <v>0</v>
      </c>
      <c r="DA64" s="51">
        <v>0</v>
      </c>
      <c r="DB64" s="51">
        <v>2</v>
      </c>
      <c r="DC64" s="101">
        <v>0</v>
      </c>
      <c r="DD64" s="51"/>
      <c r="DE64" s="51"/>
      <c r="DF64" s="51"/>
      <c r="DG64" s="51"/>
      <c r="DH64" s="51"/>
      <c r="DI64" s="51"/>
      <c r="DJ64" s="51">
        <v>0</v>
      </c>
      <c r="DK64" s="51">
        <v>0</v>
      </c>
      <c r="DL64" s="48" t="s">
        <v>100</v>
      </c>
      <c r="DM64" s="101" t="str">
        <f>HYPERLINK("http://content.time.com/time/magazine/article/0,9171,138219,00.html","0")</f>
        <v>0</v>
      </c>
      <c r="DN64" s="51">
        <v>0</v>
      </c>
      <c r="DO64" s="51" t="s">
        <v>100</v>
      </c>
      <c r="DP64" s="101" t="str">
        <f>HYPERLINK("https://www.concordmonitor.com/Somber-memories-20-years-after-small-town-shootings-11846765","0")</f>
        <v>0</v>
      </c>
      <c r="DQ64" s="101" t="str">
        <f>HYPERLINK("http://content.time.com/time/magazine/article/0,9171,138219,00.html","0")</f>
        <v>0</v>
      </c>
      <c r="DR64" s="105" t="str">
        <f>HYPERLINK("http://content.time.com/time/magazine/article/0,9171,138219,00.html","1")</f>
        <v>1</v>
      </c>
      <c r="DS64" s="101" t="str">
        <f>HYPERLINK("http://content.time.com/time/magazine/article/0,9171,138219,00.html","1")</f>
        <v>1</v>
      </c>
      <c r="DT64" s="101">
        <v>2</v>
      </c>
      <c r="DU64" s="101" t="str">
        <f>HYPERLINK("http://content.time.com/time/magazine/article/0,9171,138219,00.html","1")</f>
        <v>1</v>
      </c>
      <c r="DV64" s="101" t="str">
        <f>HYPERLINK("https://www.nytimes.com/1998/03/29/us/from-wild-talk-and-friendship-to-five-deaths-in-a-schoolyard.html?mcubz=0","bulletproof vest, pipe bombs")</f>
        <v>bulletproof vest, pipe bombs</v>
      </c>
      <c r="DW64" s="101" t="str">
        <f>HYPERLINK("http://content.time.com/time/magazine/article/0,9171,138219,00.html","1")</f>
        <v>1</v>
      </c>
      <c r="DX64" s="101" t="str">
        <f>HYPERLINK("https://www.concordmonitor.com/Somber-memories-20-years-after-small-town-shootings-11846765","1")</f>
        <v>1</v>
      </c>
      <c r="DY64" s="48">
        <v>2</v>
      </c>
      <c r="DZ64" s="48">
        <v>0</v>
      </c>
    </row>
    <row r="65" spans="1:130" ht="50.25" customHeight="1">
      <c r="A65" s="96">
        <v>63</v>
      </c>
      <c r="B65" s="97" t="s">
        <v>348</v>
      </c>
      <c r="C65" s="97" t="s">
        <v>349</v>
      </c>
      <c r="D65" s="98">
        <v>35688</v>
      </c>
      <c r="E65" s="48" t="s">
        <v>95</v>
      </c>
      <c r="F65" s="119">
        <v>15</v>
      </c>
      <c r="G65" s="102">
        <v>9</v>
      </c>
      <c r="H65" s="101" t="str">
        <f>HYPERLINK("https://www.aikenstandard.com/news/twenty-years-later-remembering-the-shooting-at-phelon-plant-in/article_4b5b7132-9983-11e7-b425-9f5c8ce770f8.html","1997")</f>
        <v>1997</v>
      </c>
      <c r="I65" s="48" t="s">
        <v>350</v>
      </c>
      <c r="J65" s="101" t="s">
        <v>851</v>
      </c>
      <c r="K65" s="102" t="str">
        <f>HYPERLINK("http://www.clarkprosecutor.org/html/death/US/wise992.htm","40
")</f>
        <v xml:space="preserve">40
</v>
      </c>
      <c r="L65" s="119">
        <v>0</v>
      </c>
      <c r="M65" s="102">
        <v>0</v>
      </c>
      <c r="N65" s="102" t="str">
        <f>HYPERLINK("https://www.aikenstandard.com/news/twenty-years-later-remembering-the-shooting-at-phelon-plant-in/article_4b5b7132-9983-11e7-b425-9f5c8ce770f8.html","6")</f>
        <v>6</v>
      </c>
      <c r="O65" s="102" t="str">
        <f>HYPERLINK("https://www.aikenstandard.com/news/twenty-years-later-remembering-the-shooting-at-phelon-plant-in/article_4b5b7132-9983-11e7-b425-9f5c8ce770f8.html","0")</f>
        <v>0</v>
      </c>
      <c r="P65" s="99" t="s">
        <v>100</v>
      </c>
      <c r="Q65" s="103">
        <v>0</v>
      </c>
      <c r="R65" s="103">
        <v>0</v>
      </c>
      <c r="S65" s="102">
        <v>4</v>
      </c>
      <c r="T65" s="102" t="str">
        <f>HYPERLINK("https://www.deseretnews.com/article/821840/SC-man-guilty-of-killing-4-in-1997-shooting-spree.html","3")</f>
        <v>3</v>
      </c>
      <c r="U65" s="101" t="str">
        <f>HYPERLINK("https://www.aikenstandard.com/news/twenty-years-later-remembering-the-shooting-at-phelon-plant-in/article_4b5b7132-9983-11e7-b425-9f5c8ce770f8.html","0")</f>
        <v>0</v>
      </c>
      <c r="V65" s="101">
        <v>43</v>
      </c>
      <c r="W65" s="101">
        <v>0</v>
      </c>
      <c r="X65" s="101">
        <v>1</v>
      </c>
      <c r="Y65" s="51">
        <v>0</v>
      </c>
      <c r="Z65" s="101">
        <v>0</v>
      </c>
      <c r="AA65" s="101" t="str">
        <f>HYPERLINK("http://www.clarkprosecutor.org/html/death/US/wise992.htm","1")</f>
        <v>1</v>
      </c>
      <c r="AB65" s="101">
        <v>2</v>
      </c>
      <c r="AC65" s="51"/>
      <c r="AD65" s="51"/>
      <c r="AE65" s="51"/>
      <c r="AF65" s="51"/>
      <c r="AG65" s="51"/>
      <c r="AH65" s="51"/>
      <c r="AI65" s="101">
        <v>0</v>
      </c>
      <c r="AJ65" s="101">
        <v>0</v>
      </c>
      <c r="AK65" s="101" t="str">
        <f t="shared" ref="AK65:AL65" si="138">HYPERLINK("https://www.aikenstandard.com/news/twenty-years-later-remembering-the-shooting-at-phelon-plant-in/article_4b5b7132-9983-11e7-b425-9f5c8ce770f8.html","0")</f>
        <v>0</v>
      </c>
      <c r="AL65" s="101" t="str">
        <f t="shared" si="138"/>
        <v>0</v>
      </c>
      <c r="AM65" s="51">
        <v>0</v>
      </c>
      <c r="AN65" s="48" t="s">
        <v>100</v>
      </c>
      <c r="AO65" s="101" t="str">
        <f>HYPERLINK("http://www.clarkprosecutor.org/html/death/US/wise992.htm","1")</f>
        <v>1</v>
      </c>
      <c r="AP65" s="101" t="str">
        <f>HYPERLINK("http://www.clarkprosecutor.org/html/death/US/wise992.htm","church")</f>
        <v>church</v>
      </c>
      <c r="AQ65" s="101" t="str">
        <f>HYPERLINK("http://www.clarkprosecutor.org/html/death/US/wise992.htm","1")</f>
        <v>1</v>
      </c>
      <c r="AR65" s="51">
        <v>0</v>
      </c>
      <c r="AS65" s="101" t="str">
        <f>HYPERLINK("http://www.clarkprosecutor.org/html/death/US/wise992.htm","1")</f>
        <v>1</v>
      </c>
      <c r="AT65" s="101" t="str">
        <f>HYPERLINK("http://www.clarkprosecutor.org/html/death/US/wise992.htm","0")</f>
        <v>0</v>
      </c>
      <c r="AU65" s="51" t="s">
        <v>100</v>
      </c>
      <c r="AV65" s="51" t="s">
        <v>100</v>
      </c>
      <c r="AW65" s="51" t="s">
        <v>100</v>
      </c>
      <c r="AX65" s="51">
        <v>0</v>
      </c>
      <c r="AY65" s="51">
        <v>0</v>
      </c>
      <c r="AZ65" s="51">
        <v>0</v>
      </c>
      <c r="BA65" s="51">
        <v>0</v>
      </c>
      <c r="BB65" s="107">
        <v>0</v>
      </c>
      <c r="BC65" s="101" t="str">
        <f>HYPERLINK("https://www.aikenstandard.com/news/twenty-years-later-remembering-the-shooting-at-phelon-plant-in/article_4b5b7132-9983-11e7-b425-9f5c8ce770f8.html","1")</f>
        <v>1</v>
      </c>
      <c r="BD65" s="51">
        <v>0</v>
      </c>
      <c r="BE65" s="51"/>
      <c r="BF65" s="51"/>
      <c r="BG65" s="51"/>
      <c r="BH65" s="51"/>
      <c r="BI65" s="51">
        <v>0</v>
      </c>
      <c r="BJ65" s="101" t="str">
        <f>HYPERLINK("http://www.aikenstandard.com/news/twenty-years-later-remembering-the-shooting-at-phelon-plant-in/article_4b5b7132-9983-11e7-","0")</f>
        <v>0</v>
      </c>
      <c r="BK65" s="101" t="str">
        <f>HYPERLINK("https://www.chicagotribune.com/news/ct-xpm-2001-02-04-0103040315-story.html","1")</f>
        <v>1</v>
      </c>
      <c r="BL65" s="108" t="str">
        <f>HYPERLINK("https://www.aikenstandard.com/news/twenty-years-later-remembering-the-shooting-at-phelon-plant-in/article_4b5b7132-9983-11e7-b425-9f5c8ce770f8.html","1")</f>
        <v>1</v>
      </c>
      <c r="BM65" s="109">
        <v>1</v>
      </c>
      <c r="BN65" s="115" t="s">
        <v>3025</v>
      </c>
      <c r="BO65" s="111">
        <v>1</v>
      </c>
      <c r="BP65" s="111">
        <v>0</v>
      </c>
      <c r="BQ65" s="111">
        <v>0</v>
      </c>
      <c r="BR65" s="111">
        <v>0</v>
      </c>
      <c r="BS65" s="111">
        <v>0</v>
      </c>
      <c r="BT65" s="111">
        <v>1</v>
      </c>
      <c r="BU65" s="111">
        <v>1</v>
      </c>
      <c r="BV65" s="111">
        <v>0</v>
      </c>
      <c r="BW65" s="111">
        <v>0</v>
      </c>
      <c r="BX65" s="111">
        <v>0</v>
      </c>
      <c r="BY65" s="101" t="str">
        <f>HYPERLINK("https://www.aikenstandard.com/news/twenty-years-later-remembering-the-shooting-at-phelon-plant-in/article_4b5b7132-9983-11e7-b425-9f5c8ce770f8.html","2")</f>
        <v>2</v>
      </c>
      <c r="BZ65" s="51">
        <v>0</v>
      </c>
      <c r="CA65" s="51">
        <v>0</v>
      </c>
      <c r="CB65" s="51" t="s">
        <v>100</v>
      </c>
      <c r="CC65" s="51">
        <v>0</v>
      </c>
      <c r="CD65" s="101" t="s">
        <v>100</v>
      </c>
      <c r="CE65" s="101">
        <v>0</v>
      </c>
      <c r="CF65" s="101" t="str">
        <f>HYPERLINK("http://www.clarkprosecutor.org/html/death/US/wise992.htm","0")</f>
        <v>0</v>
      </c>
      <c r="CG65" s="101">
        <v>0</v>
      </c>
      <c r="CH65" s="101" t="str">
        <f>HYPERLINK("http://www.clarkprosecutor.org/html/death/US/wise992.htm","3")</f>
        <v>3</v>
      </c>
      <c r="CI65" s="51" t="s">
        <v>833</v>
      </c>
      <c r="CJ65" s="51" t="s">
        <v>100</v>
      </c>
      <c r="CK65" s="113">
        <v>0</v>
      </c>
      <c r="CL65" s="113"/>
      <c r="CM65" s="113"/>
      <c r="CN65" s="111">
        <v>0</v>
      </c>
      <c r="CO65" s="110">
        <v>0</v>
      </c>
      <c r="CP65" s="110">
        <v>0</v>
      </c>
      <c r="CQ65" s="110">
        <v>0</v>
      </c>
      <c r="CR65" s="108" t="str">
        <f>HYPERLINK("https://www.aikenstandard.com/news/twenty-years-later-remembering-the-shooting-at-phelon-plant-in/article_4b5b7132-9983-11e7-b425-9f5c8ce770f8.html","1")</f>
        <v>1</v>
      </c>
      <c r="CS65" s="110">
        <v>0</v>
      </c>
      <c r="CT65" s="110">
        <v>0</v>
      </c>
      <c r="CU65" s="110">
        <v>0</v>
      </c>
      <c r="CV65" s="108">
        <v>0</v>
      </c>
      <c r="CW65" s="110">
        <v>0</v>
      </c>
      <c r="CX65" s="110">
        <v>0</v>
      </c>
      <c r="CY65" s="110">
        <v>0</v>
      </c>
      <c r="CZ65" s="108" t="str">
        <f>HYPERLINK("https://www.wistv.com/story/4073669/man-who-killed-four-in-aiken-county-plant-put-to-death/","0")</f>
        <v>0</v>
      </c>
      <c r="DA65" s="51">
        <v>0</v>
      </c>
      <c r="DB65" s="51">
        <v>2</v>
      </c>
      <c r="DC65" s="141" t="str">
        <f>HYPERLINK("http://www.clarkprosecutor.org/html/death/US/wise992.htm","1")</f>
        <v>1</v>
      </c>
      <c r="DD65" s="107">
        <v>3</v>
      </c>
      <c r="DE65" s="107">
        <v>4</v>
      </c>
      <c r="DF65" s="107">
        <v>0</v>
      </c>
      <c r="DG65" s="107"/>
      <c r="DH65" s="107"/>
      <c r="DI65" s="107"/>
      <c r="DJ65" s="51">
        <v>0</v>
      </c>
      <c r="DK65" s="51">
        <v>0</v>
      </c>
      <c r="DL65" s="48" t="s">
        <v>100</v>
      </c>
      <c r="DM65" s="101" t="str">
        <f>HYPERLINK("https://www.aikenstandard.com/news/twenty-years-later-remembering-the-shooting-at-phelon-plant-in/article_4b5b7132-9983-11e7-b425-9f5c8ce770f8.html","0")</f>
        <v>0</v>
      </c>
      <c r="DN65" s="51">
        <v>0</v>
      </c>
      <c r="DO65" s="51" t="s">
        <v>100</v>
      </c>
      <c r="DP65" s="101" t="str">
        <f>HYPERLINK("http://www.clarkprosecutor.org/html/death/US/wise992.htm","1")</f>
        <v>1</v>
      </c>
      <c r="DQ65" s="101" t="str">
        <f>HYPERLINK("https://www.aikenstandard.com/news/twenty-years-later-remembering-the-shooting-at-phelon-plant-in/article_4b5b7132-9983-11e7-b425-9f5c8ce770f8.html","0")</f>
        <v>0</v>
      </c>
      <c r="DR65" s="51">
        <v>0</v>
      </c>
      <c r="DS65" s="51"/>
      <c r="DT65" s="101">
        <v>1</v>
      </c>
      <c r="DU65" s="101" t="str">
        <f>HYPERLINK("https://www.aikenstandard.com/news/twenty-years-later-remembering-the-shooting-at-phelon-plant-in/article_4b5b7132-9983-11e7-b425-9f5c8ce770f8.html","0")</f>
        <v>0</v>
      </c>
      <c r="DV65" s="48" t="s">
        <v>100</v>
      </c>
      <c r="DW65" s="101" t="str">
        <f>HYPERLINK("https://www.deseretnews.com/article/821840/SC-man-guilty-of-killing-4-in-1997-shooting-spree.html","2")</f>
        <v>2</v>
      </c>
      <c r="DX65" s="101" t="str">
        <f>HYPERLINK("https://www.latimes.com/archives/la-xpm-1997-sep-17-mn-33193-story.html","0")</f>
        <v>0</v>
      </c>
      <c r="DY65" s="101" t="str">
        <f>HYPERLINK("https://www.wistv.com/story/4073669/man-who-killed-four-in-aiken-county-plant-put-to-death/","0")</f>
        <v>0</v>
      </c>
      <c r="DZ65" s="133" t="str">
        <f>HYPERLINK("https://www.aikenstandard.com/news/twenty-years-later-remembering-the-shooting-at-phelon-plant-in/article_4b5b7132-9983-11e7-b425-9f5c8ce770f8.html","1")</f>
        <v>1</v>
      </c>
    </row>
    <row r="66" spans="1:130" ht="50.25" customHeight="1">
      <c r="A66" s="96">
        <v>64</v>
      </c>
      <c r="B66" s="97" t="s">
        <v>351</v>
      </c>
      <c r="C66" s="97" t="s">
        <v>352</v>
      </c>
      <c r="D66" s="98">
        <v>35767</v>
      </c>
      <c r="E66" s="48" t="s">
        <v>123</v>
      </c>
      <c r="F66" s="99">
        <v>3</v>
      </c>
      <c r="G66" s="100" t="str">
        <f>HYPERLINK("https://caselaw.findlaw.com/fl-supreme-court/1559835.html","12")</f>
        <v>12</v>
      </c>
      <c r="H66" s="105" t="str">
        <f>HYPERLINK("https://caselaw.findlaw.com/fl-supreme-court/1559835.html","1997")</f>
        <v>1997</v>
      </c>
      <c r="I66" s="48" t="s">
        <v>353</v>
      </c>
      <c r="J66" s="105" t="str">
        <f>HYPERLINK("https://caselaw.findlaw.com/fl-supreme-court/1559835.html","Bartow")</f>
        <v>Bartow</v>
      </c>
      <c r="K66" s="100" t="str">
        <f>HYPERLINK("https://caselaw.findlaw.com/fl-supreme-court/1559835.html","9")</f>
        <v>9</v>
      </c>
      <c r="L66" s="100" t="str">
        <f>HYPERLINK("https://caselaw.findlaw.com/fl-supreme-court/1559835.html","0")</f>
        <v>0</v>
      </c>
      <c r="M66" s="100" t="str">
        <f>HYPERLINK("http://worldpopulationreview.com/us-cities/bartow-fl-population/","1")</f>
        <v>1</v>
      </c>
      <c r="N66" s="100" t="str">
        <f>HYPERLINK("https://caselaw.findlaw.com/fl-supreme-court/1559835.html","6")</f>
        <v>6</v>
      </c>
      <c r="O66" s="100" t="str">
        <f>HYPERLINK("https://caselaw.findlaw.com/fl-supreme-court/1559835.html","0")</f>
        <v>0</v>
      </c>
      <c r="P66" s="99" t="s">
        <v>100</v>
      </c>
      <c r="Q66" s="103">
        <v>0</v>
      </c>
      <c r="R66" s="103">
        <v>0</v>
      </c>
      <c r="S66" s="100" t="str">
        <f>HYPERLINK("https://www.cbsnews.com/news/to-catch-a-killer-01-03-2007/","4")</f>
        <v>4</v>
      </c>
      <c r="T66" s="100" t="str">
        <f>HYPERLINK("https://caselaw.findlaw.com/fl-supreme-court/1559835.html","0")</f>
        <v>0</v>
      </c>
      <c r="U66" s="105" t="str">
        <f>HYPERLINK("https://caselaw.findlaw.com/fl-supreme-court/1559835.html","0")</f>
        <v>0</v>
      </c>
      <c r="V66" s="105" t="str">
        <f>HYPERLINK("https://caselaw.findlaw.com/fl-supreme-court/1559835.html","59")</f>
        <v>59</v>
      </c>
      <c r="W66" s="105" t="str">
        <f>HYPERLINK("https://caselaw.findlaw.com/fl-supreme-court/1559835.html","0")</f>
        <v>0</v>
      </c>
      <c r="X66" s="105" t="str">
        <f>HYPERLINK("https://www.newschief.com/news/20190823/polk-judge-denies-request-to-delay-resentencing-of-convicted-mass-murderer-nelson-serrano","2")</f>
        <v>2</v>
      </c>
      <c r="Y66" s="105" t="str">
        <f>HYPERLINK("https://www.newschief.com/news/20190823/polk-judge-denies-request-to-delay-resentencing-of-convicted-mass-murderer-nelson-serrano","1")</f>
        <v>1</v>
      </c>
      <c r="Z66" s="105" t="str">
        <f>HYPERLINK("https://caselaw.findlaw.com/fl-supreme-court/1559835.html","0")</f>
        <v>0</v>
      </c>
      <c r="AA66" s="105" t="str">
        <f>HYPERLINK("https://wfsu.org/gavel2gavel/transcript/pdfs/15-258.pdf","1")</f>
        <v>1</v>
      </c>
      <c r="AB66" s="105" t="str">
        <f>HYPERLINK("https://wfsu.org/gavel2gavel/transcript/pdfs/15-258.pdf","3")</f>
        <v>3</v>
      </c>
      <c r="AC66" s="51"/>
      <c r="AD66" s="51"/>
      <c r="AE66" s="48"/>
      <c r="AF66" s="48"/>
      <c r="AG66" s="48"/>
      <c r="AH66" s="48"/>
      <c r="AI66" s="105" t="str">
        <f>HYPERLINK("https://caselaw.findlaw.com/fl-supreme-court/1559835.html","2")</f>
        <v>2</v>
      </c>
      <c r="AJ66" s="105" t="str">
        <f t="shared" ref="AJ66:AL66" si="139">HYPERLINK("https://caselaw.findlaw.com/fl-supreme-court/1559835.html","1")</f>
        <v>1</v>
      </c>
      <c r="AK66" s="105" t="str">
        <f t="shared" si="139"/>
        <v>1</v>
      </c>
      <c r="AL66" s="105" t="str">
        <f t="shared" si="139"/>
        <v>1</v>
      </c>
      <c r="AM66" s="48">
        <v>0</v>
      </c>
      <c r="AN66" s="48" t="s">
        <v>100</v>
      </c>
      <c r="AO66" s="51"/>
      <c r="AP66" s="51"/>
      <c r="AQ66" s="105" t="str">
        <f>HYPERLINK("https://caselaw.findlaw.com/fl-supreme-court/1559835.html","0")</f>
        <v>0</v>
      </c>
      <c r="AR66" s="48">
        <v>0</v>
      </c>
      <c r="AS66" s="105" t="str">
        <f>HYPERLINK("https://caselaw.findlaw.com/fl-supreme-court/1559835.html","0")</f>
        <v>0</v>
      </c>
      <c r="AT66" s="48">
        <v>0</v>
      </c>
      <c r="AU66" s="48" t="s">
        <v>100</v>
      </c>
      <c r="AV66" s="48" t="s">
        <v>100</v>
      </c>
      <c r="AW66" s="48" t="s">
        <v>100</v>
      </c>
      <c r="AX66" s="48">
        <v>0</v>
      </c>
      <c r="AY66" s="48">
        <v>0</v>
      </c>
      <c r="AZ66" s="48">
        <v>0</v>
      </c>
      <c r="BA66" s="48">
        <v>0</v>
      </c>
      <c r="BB66" s="107">
        <v>0</v>
      </c>
      <c r="BC66" s="48">
        <v>0</v>
      </c>
      <c r="BD66" s="48">
        <v>0</v>
      </c>
      <c r="BE66" s="48"/>
      <c r="BF66" s="48"/>
      <c r="BG66" s="48"/>
      <c r="BH66" s="48"/>
      <c r="BI66" s="48">
        <v>0</v>
      </c>
      <c r="BJ66" s="48">
        <v>0</v>
      </c>
      <c r="BK66" s="126" t="str">
        <f>HYPERLINK("https://www.seattletimes.com/nation-world/families-still-mourning-from-bartow-mass-murder-20-years-ago/","1")</f>
        <v>1</v>
      </c>
      <c r="BL66" s="118" t="str">
        <f>HYPERLINK("https://caselaw.findlaw.com/fl-supreme-court/1559835.html","1")</f>
        <v>1</v>
      </c>
      <c r="BM66" s="127">
        <v>2</v>
      </c>
      <c r="BN66" s="115" t="s">
        <v>3074</v>
      </c>
      <c r="BO66" s="111">
        <v>1</v>
      </c>
      <c r="BP66" s="111">
        <v>0</v>
      </c>
      <c r="BQ66" s="111">
        <v>0</v>
      </c>
      <c r="BR66" s="111">
        <v>0</v>
      </c>
      <c r="BS66" s="111">
        <v>0</v>
      </c>
      <c r="BT66" s="111">
        <v>1</v>
      </c>
      <c r="BU66" s="111">
        <v>1</v>
      </c>
      <c r="BV66" s="111">
        <v>0</v>
      </c>
      <c r="BW66" s="111">
        <v>0</v>
      </c>
      <c r="BX66" s="111">
        <v>0</v>
      </c>
      <c r="BY66" s="48">
        <v>0</v>
      </c>
      <c r="BZ66" s="48">
        <v>0</v>
      </c>
      <c r="CA66" s="48">
        <v>0</v>
      </c>
      <c r="CB66" s="48" t="s">
        <v>100</v>
      </c>
      <c r="CC66" s="48">
        <v>0</v>
      </c>
      <c r="CD66" s="48" t="s">
        <v>100</v>
      </c>
      <c r="CE66" s="48">
        <v>0</v>
      </c>
      <c r="CF66" s="105" t="str">
        <f>HYPERLINK("https://caselaw.findlaw.com/fl-supreme-court/1559835.html","0")</f>
        <v>0</v>
      </c>
      <c r="CG66" s="48">
        <v>0</v>
      </c>
      <c r="CH66" s="105" t="str">
        <f>HYPERLINK("https://caselaw.findlaw.com/fl-supreme-court/1559835.html","0")</f>
        <v>0</v>
      </c>
      <c r="CI66" s="48">
        <v>0</v>
      </c>
      <c r="CJ66" s="51" t="s">
        <v>100</v>
      </c>
      <c r="CK66" s="129">
        <v>0</v>
      </c>
      <c r="CL66" s="129"/>
      <c r="CM66" s="129"/>
      <c r="CN66" s="116">
        <v>0</v>
      </c>
      <c r="CO66" s="116">
        <v>0</v>
      </c>
      <c r="CP66" s="116">
        <v>0</v>
      </c>
      <c r="CQ66" s="116">
        <v>0</v>
      </c>
      <c r="CR66" s="118">
        <v>1</v>
      </c>
      <c r="CS66" s="116">
        <v>0</v>
      </c>
      <c r="CT66" s="116">
        <v>0</v>
      </c>
      <c r="CU66" s="116">
        <v>0</v>
      </c>
      <c r="CV66" s="118">
        <v>1</v>
      </c>
      <c r="CW66" s="116">
        <v>0</v>
      </c>
      <c r="CX66" s="116">
        <v>0</v>
      </c>
      <c r="CY66" s="116">
        <v>0</v>
      </c>
      <c r="CZ66" s="116">
        <v>0</v>
      </c>
      <c r="DA66" s="48">
        <v>0</v>
      </c>
      <c r="DB66" s="48">
        <v>2</v>
      </c>
      <c r="DC66" s="133" t="str">
        <f>HYPERLINK("https://caselaw.findlaw.com/fl-supreme-court/1559835.html","1")</f>
        <v>1</v>
      </c>
      <c r="DD66" s="107">
        <v>0</v>
      </c>
      <c r="DE66" s="107">
        <v>9</v>
      </c>
      <c r="DF66" s="107">
        <v>0</v>
      </c>
      <c r="DG66" s="107"/>
      <c r="DH66" s="107"/>
      <c r="DI66" s="107"/>
      <c r="DJ66" s="48">
        <v>0</v>
      </c>
      <c r="DK66" s="48">
        <v>0</v>
      </c>
      <c r="DL66" s="48" t="s">
        <v>100</v>
      </c>
      <c r="DM66" s="105" t="str">
        <f>HYPERLINK("https://www.newschief.com/news/20190823/polk-judge-denies-request-to-delay-resentencing-of-convicted-mass-murderer-nelson-serrano","0")</f>
        <v>0</v>
      </c>
      <c r="DN66" s="48">
        <v>0</v>
      </c>
      <c r="DO66" s="48" t="s">
        <v>100</v>
      </c>
      <c r="DP66" s="105" t="str">
        <f>HYPERLINK("https://caselaw.findlaw.com/fl-supreme-court/1559835.html","1")</f>
        <v>1</v>
      </c>
      <c r="DQ66" s="105" t="str">
        <f>HYPERLINK("https://www.newschief.com/news/20190823/polk-judge-denies-request-to-delay-resentencing-of-convicted-mass-murderer-nelson-serrano","0")</f>
        <v>0</v>
      </c>
      <c r="DR66" s="48"/>
      <c r="DS66" s="101" t="str">
        <f>HYPERLINK("https://caselaw.findlaw.com/fl-supreme-court/1559835.html","1")</f>
        <v>1</v>
      </c>
      <c r="DT66" s="105" t="str">
        <f t="shared" ref="DT66" si="140">HYPERLINK("https://caselaw.findlaw.com/fl-supreme-court/1559835.html","2")</f>
        <v>2</v>
      </c>
      <c r="DU66" s="105" t="str">
        <f>HYPERLINK("https://caselaw.findlaw.com/fl-supreme-court/1559835.html","0")</f>
        <v>0</v>
      </c>
      <c r="DV66" s="48" t="s">
        <v>100</v>
      </c>
      <c r="DW66" s="105" t="str">
        <f>HYPERLINK("https://www.newschief.com/news/20190823/polk-judge-denies-request-to-delay-resentencing-of-convicted-mass-murderer-nelson-serrano","2")</f>
        <v>2</v>
      </c>
      <c r="DX66" s="105" t="str">
        <f>HYPERLINK("https://www.newschief.com/news/20190823/polk-judge-denies-request-to-delay-resentencing-of-convicted-mass-murderer-nelson-serrano","1")</f>
        <v>1</v>
      </c>
      <c r="DY66" s="105" t="str">
        <f>HYPERLINK("https://www.cbsnews.com/news/to-catch-a-killer-01-03-2007/","0")</f>
        <v>0</v>
      </c>
      <c r="DZ66" s="105" t="str">
        <f>HYPERLINK("https://www.newschief.com/news/20190823/polk-judge-denies-request-to-delay-resentencing-of-convicted-mass-murderer-nelson-serrano","1")</f>
        <v>1</v>
      </c>
    </row>
    <row r="67" spans="1:130" ht="50.25" customHeight="1">
      <c r="A67" s="96">
        <v>65</v>
      </c>
      <c r="B67" s="97" t="s">
        <v>355</v>
      </c>
      <c r="C67" s="97" t="s">
        <v>356</v>
      </c>
      <c r="D67" s="98">
        <v>35782</v>
      </c>
      <c r="E67" s="48" t="s">
        <v>178</v>
      </c>
      <c r="F67" s="119">
        <v>18</v>
      </c>
      <c r="G67" s="102" t="str">
        <f>HYPERLINK("http://abc7news.com/news/a-history-of-mass-shootings-in-the-united-states/1107514/","12")</f>
        <v>12</v>
      </c>
      <c r="H67" s="101" t="str">
        <f>HYPERLINK("http://abc7news.com/news/a-history-of-mass-shootings-in-the-united-states/1107514/","1997")</f>
        <v>1997</v>
      </c>
      <c r="I67" s="48" t="s">
        <v>357</v>
      </c>
      <c r="J67" s="101" t="str">
        <f>HYPERLINK("https://www.nytimes.com/1997/12/20/us/dismissed-worker-kills-4-and-then-is-slain.html?mcubz=3","Orange")</f>
        <v>Orange</v>
      </c>
      <c r="K67" s="102" t="str">
        <f>HYPERLINK("https://abc7news.com/news/a-history-of-mass-shootings-in-the-united-states/1107514/","5")</f>
        <v>5</v>
      </c>
      <c r="L67" s="102" t="str">
        <f>HYPERLINK("http://articles.latimes.com/1997/dec/20/news/mn-431","3")</f>
        <v>3</v>
      </c>
      <c r="M67" s="102" t="str">
        <f>HYPERLINK("http://www.nytimes.com/1997/12/20/us/dismissed-worker-kills-4-and-then-is-slain.html?mcubz=3","1")</f>
        <v>1</v>
      </c>
      <c r="N67" s="102" t="str">
        <f>HYPERLINK("http://articles.latimes.com/1997/dec/20/news/mn-431","6")</f>
        <v>6</v>
      </c>
      <c r="O67" s="102" t="str">
        <f>HYPERLINK("https://www.nytimes.com/1997/12/20/us/dismissed-worker-kills-4-and-then-is-slain.html?mcubz=3","0")</f>
        <v>0</v>
      </c>
      <c r="P67" s="99" t="s">
        <v>100</v>
      </c>
      <c r="Q67" s="103">
        <v>0</v>
      </c>
      <c r="R67" s="103">
        <v>0</v>
      </c>
      <c r="S67" s="102" t="str">
        <f>HYPERLINK("https://www.nytimes.com/1997/12/20/us/dismissed-worker-kills-4-and-then-is-slain.html?mcubz=3","4")</f>
        <v>4</v>
      </c>
      <c r="T67" s="102">
        <v>3</v>
      </c>
      <c r="U67" s="101" t="str">
        <f>HYPERLINK("https://www.latimes.com/archives/la-xpm-1997-dec-20-mn-431-story.html","0")</f>
        <v>0</v>
      </c>
      <c r="V67" s="101" t="str">
        <f>HYPERLINK("http://articles.latimes.com/1997/dec/20/news/mn-431","41")</f>
        <v>41</v>
      </c>
      <c r="W67" s="101" t="str">
        <f>HYPERLINK("http://articles.latimes.com/1997/dec/20/news/mn-431","0")</f>
        <v>0</v>
      </c>
      <c r="X67" s="101" t="str">
        <f>HYPERLINK("http://articles.latimes.com/1997/dec/20/news/mn-431","2")</f>
        <v>2</v>
      </c>
      <c r="Y67" s="105">
        <v>1</v>
      </c>
      <c r="Z67" s="101" t="str">
        <f>HYPERLINK("https://www.latimes.com/archives/la-xpm-1997-dec-20-mn-431-story.html","0")</f>
        <v>0</v>
      </c>
      <c r="AA67" s="51"/>
      <c r="AB67" s="101" t="str">
        <f>HYPERLINK("https://www.latimes.com/archives/la-xpm-1997-dec-20-mn-431-story.html","1")</f>
        <v>1</v>
      </c>
      <c r="AC67" s="51"/>
      <c r="AD67" s="51"/>
      <c r="AE67" s="101" t="str">
        <f>HYPERLINK("https://www.latimes.com/archives/la-xpm-1997-dec-20-mn-431-story.html","2")</f>
        <v>2</v>
      </c>
      <c r="AF67" s="101" t="str">
        <f>HYPERLINK("https://www.latimes.com/archives/la-xpm-1997-dec-20-mn-431-story.html","5")</f>
        <v>5</v>
      </c>
      <c r="AG67" s="101" t="str">
        <f>HYPERLINK("https://www.latimes.com/archives/la-xpm-1997-dec-20-mn-431-story.html","1")</f>
        <v>1</v>
      </c>
      <c r="AH67" s="101" t="str">
        <f>HYPERLINK("https://www.latimes.com/archives/la-xpm-1997-dec-20-mn-431-story.html","4")</f>
        <v>4</v>
      </c>
      <c r="AI67" s="101">
        <v>2</v>
      </c>
      <c r="AJ67" s="101" t="str">
        <f>HYPERLINK("https://www.latimes.com/archives/la-xpm-1997-dec-20-mn-431-story.html","0")</f>
        <v>0</v>
      </c>
      <c r="AK67" s="101" t="str">
        <f>HYPERLINK("http://www.nytimes.com/1997/12/20/us/dismissed-worker-kills-4-and-then-is-slain.html?mcubz=3","0")</f>
        <v>0</v>
      </c>
      <c r="AL67" s="101" t="str">
        <f>HYPERLINK("https://www.latimes.com/archives/la-xpm-1997-dec-20-mn-431-story.html","0")</f>
        <v>0</v>
      </c>
      <c r="AM67" s="101" t="str">
        <f>HYPERLINK("http://articles.latimes.com/1997/dec/20/news/mn-431","1")</f>
        <v>1</v>
      </c>
      <c r="AN67" s="101">
        <v>0</v>
      </c>
      <c r="AO67" s="101" t="str">
        <f>HYPERLINK("https://www.latimes.com/archives/la-xpm-1997-dec-20-mn-431-story.html","1")</f>
        <v>1</v>
      </c>
      <c r="AP67" s="101" t="str">
        <f>HYPERLINK("https://www.latimes.com/archives/la-xpm-1997-dec-20-mn-431-story.html","involved in neighborhood community")</f>
        <v>involved in neighborhood community</v>
      </c>
      <c r="AQ67" s="101" t="str">
        <f>HYPERLINK("https://www.latimes.com/archives/la-xpm-1997-dec-20-mn-431-story.html","0")</f>
        <v>0</v>
      </c>
      <c r="AR67" s="51">
        <v>0</v>
      </c>
      <c r="AS67" s="101">
        <v>1</v>
      </c>
      <c r="AT67" s="105" t="str">
        <f>HYPERLINK("https://www.latimes.com/archives/la-xpm-1997-dec-20-mn-431-story.html","0")</f>
        <v>0</v>
      </c>
      <c r="AU67" s="48" t="s">
        <v>100</v>
      </c>
      <c r="AV67" s="48" t="s">
        <v>100</v>
      </c>
      <c r="AW67" s="48" t="s">
        <v>100</v>
      </c>
      <c r="AX67" s="48">
        <v>0</v>
      </c>
      <c r="AY67" s="51">
        <v>0</v>
      </c>
      <c r="AZ67" s="51">
        <v>0</v>
      </c>
      <c r="BA67" s="51">
        <v>0</v>
      </c>
      <c r="BB67" s="107">
        <v>0</v>
      </c>
      <c r="BC67" s="101">
        <v>0</v>
      </c>
      <c r="BD67" s="101" t="str">
        <f t="shared" ref="BD67:BF67" si="141">HYPERLINK("https://www.latimes.com/archives/la-xpm-1997-dec-20-mn-431-story.html","0")</f>
        <v>0</v>
      </c>
      <c r="BE67" s="101" t="str">
        <f t="shared" si="141"/>
        <v>0</v>
      </c>
      <c r="BF67" s="101" t="str">
        <f t="shared" si="141"/>
        <v>0</v>
      </c>
      <c r="BG67" s="51"/>
      <c r="BH67" s="51">
        <v>0</v>
      </c>
      <c r="BI67" s="51">
        <v>0</v>
      </c>
      <c r="BJ67" s="101">
        <v>0</v>
      </c>
      <c r="BK67" s="101" t="str">
        <f>HYPERLINK("http://www.nytimes.com/1997/12/20/us/dismissed-worker-kills-4-and-then-is-slain.html?mcubz=3","1")</f>
        <v>1</v>
      </c>
      <c r="BL67" s="108" t="str">
        <f>HYPERLINK("http://articles.latimes.com/1997/dec/20/news/mn-431","1")</f>
        <v>1</v>
      </c>
      <c r="BM67" s="109">
        <v>2</v>
      </c>
      <c r="BN67" s="115" t="s">
        <v>3026</v>
      </c>
      <c r="BO67" s="111">
        <v>1</v>
      </c>
      <c r="BP67" s="111">
        <v>0</v>
      </c>
      <c r="BQ67" s="111">
        <v>1</v>
      </c>
      <c r="BR67" s="111">
        <v>0</v>
      </c>
      <c r="BS67" s="111">
        <v>0</v>
      </c>
      <c r="BT67" s="111">
        <v>1</v>
      </c>
      <c r="BU67" s="111">
        <v>1</v>
      </c>
      <c r="BV67" s="111">
        <v>0</v>
      </c>
      <c r="BW67" s="111">
        <v>0</v>
      </c>
      <c r="BX67" s="111">
        <v>0</v>
      </c>
      <c r="BY67" s="101" t="str">
        <f>HYPERLINK("https://www.latimes.com/archives/la-xpm-1997-dec-20-mn-431-story.html","2")</f>
        <v>2</v>
      </c>
      <c r="BZ67" s="101">
        <v>0</v>
      </c>
      <c r="CA67" s="51">
        <v>0</v>
      </c>
      <c r="CB67" s="51" t="s">
        <v>100</v>
      </c>
      <c r="CC67" s="51">
        <v>0</v>
      </c>
      <c r="CD67" s="51" t="s">
        <v>100</v>
      </c>
      <c r="CE67" s="51">
        <v>0</v>
      </c>
      <c r="CF67" s="107">
        <v>0</v>
      </c>
      <c r="CG67" s="51">
        <v>0</v>
      </c>
      <c r="CH67" s="101" t="str">
        <f>HYPERLINK("https://www.latimes.com/archives/la-xpm-1997-dec-20-mn-431-story.html","0")</f>
        <v>0</v>
      </c>
      <c r="CI67" s="101">
        <v>1</v>
      </c>
      <c r="CJ67" s="101" t="str">
        <f>HYPERLINK("https://www.nytimes.com/1997/12/20/us/dismissed-worker-kills-4-and-then-is-slain.html?mcubz=3","back injury")</f>
        <v>back injury</v>
      </c>
      <c r="CK67" s="113">
        <v>0</v>
      </c>
      <c r="CL67" s="113"/>
      <c r="CM67" s="113"/>
      <c r="CN67" s="108">
        <v>0</v>
      </c>
      <c r="CO67" s="108">
        <v>0</v>
      </c>
      <c r="CP67" s="108">
        <v>0</v>
      </c>
      <c r="CQ67" s="110">
        <v>0</v>
      </c>
      <c r="CR67" s="109">
        <v>1</v>
      </c>
      <c r="CS67" s="108">
        <v>0</v>
      </c>
      <c r="CT67" s="109">
        <v>1</v>
      </c>
      <c r="CU67" s="108">
        <v>0</v>
      </c>
      <c r="CV67" s="108">
        <v>0</v>
      </c>
      <c r="CW67" s="110">
        <v>0</v>
      </c>
      <c r="CX67" s="110">
        <v>0</v>
      </c>
      <c r="CY67" s="110">
        <v>0</v>
      </c>
      <c r="CZ67" s="108" t="str">
        <f>HYPERLINK("https://www.latimes.com/archives/la-xpm-1997-dec-20-mn-431-story.html","0")</f>
        <v>0</v>
      </c>
      <c r="DA67" s="51">
        <v>0</v>
      </c>
      <c r="DB67" s="51">
        <v>2</v>
      </c>
      <c r="DC67" s="101" t="str">
        <f>HYPERLINK("http://articles.latimes.com/1997/dec/20/news/mn-431 ","0")</f>
        <v>0</v>
      </c>
      <c r="DD67" s="51"/>
      <c r="DE67" s="51"/>
      <c r="DF67" s="51"/>
      <c r="DG67" s="51"/>
      <c r="DH67" s="51"/>
      <c r="DI67" s="51"/>
      <c r="DJ67" s="51">
        <v>0</v>
      </c>
      <c r="DK67" s="101">
        <v>0</v>
      </c>
      <c r="DL67" s="48" t="s">
        <v>100</v>
      </c>
      <c r="DM67" s="101" t="str">
        <f>HYPERLINK("https://www.latimes.com/archives/la-xpm-1997-dec-20-mn-431-story.html","0")</f>
        <v>0</v>
      </c>
      <c r="DN67" s="51">
        <v>0</v>
      </c>
      <c r="DO67" s="51" t="s">
        <v>100</v>
      </c>
      <c r="DP67" s="101" t="str">
        <f t="shared" ref="DP67:DQ67" si="142">HYPERLINK("https://www.latimes.com/archives/la-xpm-1997-dec-20-mn-431-story.html","0")</f>
        <v>0</v>
      </c>
      <c r="DQ67" s="101" t="str">
        <f t="shared" si="142"/>
        <v>0</v>
      </c>
      <c r="DR67" s="48">
        <v>0</v>
      </c>
      <c r="DS67" s="101" t="str">
        <f>HYPERLINK("https://www.latimes.com/archives/la-xpm-1997-dec-20-mn-431-story.html","3")</f>
        <v>3</v>
      </c>
      <c r="DT67" s="101">
        <v>3</v>
      </c>
      <c r="DU67" s="101" t="str">
        <f>HYPERLINK("https://www.latimes.com/archives/la-xpm-1997-dec-20-mn-431-story.html","0")</f>
        <v>0</v>
      </c>
      <c r="DV67" s="48" t="s">
        <v>100</v>
      </c>
      <c r="DW67" s="101" t="str">
        <f>HYPERLINK("http://articles.latimes.com/1997/dec/20/news/mn-431","1")</f>
        <v>1</v>
      </c>
      <c r="DX67" s="101" t="str">
        <f>HYPERLINK("https://www.latimes.com/archives/la-xpm-1997-dec-20-mn-431-story.html","0")</f>
        <v>0</v>
      </c>
      <c r="DY67" s="48">
        <v>2</v>
      </c>
      <c r="DZ67" s="48">
        <v>0</v>
      </c>
    </row>
    <row r="68" spans="1:130" ht="50.25" customHeight="1">
      <c r="A68" s="96">
        <v>66</v>
      </c>
      <c r="B68" s="97" t="s">
        <v>360</v>
      </c>
      <c r="C68" s="97" t="s">
        <v>361</v>
      </c>
      <c r="D68" s="98">
        <v>35860</v>
      </c>
      <c r="E68" s="48" t="s">
        <v>157</v>
      </c>
      <c r="F68" s="99">
        <v>6</v>
      </c>
      <c r="G68" s="100">
        <v>3</v>
      </c>
      <c r="H68" s="101">
        <v>1998</v>
      </c>
      <c r="I68" s="48" t="s">
        <v>362</v>
      </c>
      <c r="J68" s="101" t="s">
        <v>363</v>
      </c>
      <c r="K68" s="100">
        <v>7</v>
      </c>
      <c r="L68" s="100">
        <v>2</v>
      </c>
      <c r="M68" s="102">
        <v>1</v>
      </c>
      <c r="N68" s="100" t="str">
        <f>HYPERLINK("https://www.nytimes.com/1998/03/07/nyregion/rampage-connecticut-overview-connecticut-lottery-worker-kills-4-bosses-then.html","6")</f>
        <v>6</v>
      </c>
      <c r="O68" s="100">
        <v>0</v>
      </c>
      <c r="P68" s="99" t="s">
        <v>100</v>
      </c>
      <c r="Q68" s="103">
        <v>0</v>
      </c>
      <c r="R68" s="103">
        <v>0</v>
      </c>
      <c r="S68" s="100">
        <v>4</v>
      </c>
      <c r="T68" s="100">
        <v>0</v>
      </c>
      <c r="U68" s="105" t="str">
        <f>HYPERLINK("https://www.nytimes.com/1998/03/08/nyregion/in-a-province-of-winners-worker-who-lost-out-takes-revenge.html","0")</f>
        <v>0</v>
      </c>
      <c r="V68" s="105">
        <v>35</v>
      </c>
      <c r="W68" s="105">
        <v>0</v>
      </c>
      <c r="X68" s="105">
        <v>0</v>
      </c>
      <c r="Y68" s="48">
        <v>0</v>
      </c>
      <c r="Z68" s="105" t="str">
        <f>HYPERLINK("https://www.nytimes.com/1998/03/08/nyregion/in-a-province-of-winners-worker-who-lost-out-takes-revenge.html","0")</f>
        <v>0</v>
      </c>
      <c r="AA68" s="48"/>
      <c r="AB68" s="105">
        <v>3</v>
      </c>
      <c r="AC68" s="101" t="str">
        <f>HYPERLINK("https://www.nytimes.com/1998/03/07/nyregion/rampage-connecticut-overview-connecticut-lottery-worker-kills-4-bosses-then.html","2")</f>
        <v>2</v>
      </c>
      <c r="AD68" s="101" t="str">
        <f>HYPERLINK("https://www.nytimes.com/1998/03/07/nyregion/rampage-connecticut-overview-connecticut-lottery-worker-kills-4-bosses-then.html","genius")</f>
        <v>genius</v>
      </c>
      <c r="AE68" s="105" t="str">
        <f t="shared" ref="AE68:AG68" si="143">HYPERLINK("https://www.courant.com/news/connecticut/hc-xpm-1998-03-08-9803080035-story.html","3")</f>
        <v>3</v>
      </c>
      <c r="AF68" s="105" t="str">
        <f t="shared" si="143"/>
        <v>3</v>
      </c>
      <c r="AG68" s="105" t="str">
        <f t="shared" si="143"/>
        <v>3</v>
      </c>
      <c r="AH68" s="105" t="str">
        <f>HYPERLINK("https://www.courant.com/news/connecticut/hc-xpm-1998-03-08-9803080035-story.html","0")</f>
        <v>0</v>
      </c>
      <c r="AI68" s="105">
        <v>0</v>
      </c>
      <c r="AJ68" s="105">
        <v>0</v>
      </c>
      <c r="AK68" s="105">
        <v>1</v>
      </c>
      <c r="AL68" s="105">
        <v>1</v>
      </c>
      <c r="AM68" s="48">
        <v>0</v>
      </c>
      <c r="AN68" s="48" t="s">
        <v>100</v>
      </c>
      <c r="AO68" s="101" t="str">
        <f>HYPERLINK("https://www.nytimes.com/1998/03/07/nyregion/rampage-connecticut-overview-connecticut-lottery-worker-kills-4-bosses-then.html","0")</f>
        <v>0</v>
      </c>
      <c r="AP68" s="54"/>
      <c r="AQ68" s="48">
        <v>0</v>
      </c>
      <c r="AR68" s="48">
        <v>0</v>
      </c>
      <c r="AS68" s="51">
        <v>0</v>
      </c>
      <c r="AT68" s="48">
        <v>0</v>
      </c>
      <c r="AU68" s="48" t="s">
        <v>100</v>
      </c>
      <c r="AV68" s="48" t="s">
        <v>100</v>
      </c>
      <c r="AW68" s="48" t="s">
        <v>100</v>
      </c>
      <c r="AX68" s="48">
        <v>0</v>
      </c>
      <c r="AY68" s="48">
        <v>0</v>
      </c>
      <c r="AZ68" s="51">
        <v>0</v>
      </c>
      <c r="BA68" s="48">
        <v>0</v>
      </c>
      <c r="BB68" s="107">
        <v>0</v>
      </c>
      <c r="BC68" s="105">
        <v>0</v>
      </c>
      <c r="BD68" s="105">
        <v>0</v>
      </c>
      <c r="BE68" s="105">
        <v>0</v>
      </c>
      <c r="BF68" s="101">
        <v>0</v>
      </c>
      <c r="BG68" s="51"/>
      <c r="BH68" s="51">
        <v>1</v>
      </c>
      <c r="BI68" s="48">
        <v>0</v>
      </c>
      <c r="BJ68" s="105">
        <v>1</v>
      </c>
      <c r="BK68" s="101">
        <v>1</v>
      </c>
      <c r="BL68" s="108" t="str">
        <f>HYPERLINK("https://www.courant.com/breaking-news/hc-lottery-shooting-newington-1998-story.html","1")</f>
        <v>1</v>
      </c>
      <c r="BM68" s="109">
        <v>2</v>
      </c>
      <c r="BN68" s="110" t="s">
        <v>3152</v>
      </c>
      <c r="BO68" s="111">
        <v>1</v>
      </c>
      <c r="BP68" s="151">
        <v>1</v>
      </c>
      <c r="BQ68" s="151">
        <v>1</v>
      </c>
      <c r="BR68" s="151">
        <v>0</v>
      </c>
      <c r="BS68" s="111">
        <v>0</v>
      </c>
      <c r="BT68" s="111">
        <v>1</v>
      </c>
      <c r="BU68" s="111">
        <v>0</v>
      </c>
      <c r="BV68" s="111">
        <v>1</v>
      </c>
      <c r="BW68" s="111">
        <v>0</v>
      </c>
      <c r="BX68" s="111">
        <v>0</v>
      </c>
      <c r="BY68" s="105">
        <v>1</v>
      </c>
      <c r="BZ68" s="101">
        <v>1</v>
      </c>
      <c r="CA68" s="101" t="str">
        <f>HYPERLINK("https://www.nytimes.com/1998/03/09/nyregion/father-of-lottery-killer-says-son-not-a-monster.html","1")</f>
        <v>1</v>
      </c>
      <c r="CB68" s="105" t="str">
        <f>HYPERLINK("https://www.nytimes.com/1998/03/09/nyregion/father-of-lottery-killer-says-son-not-a-monster.html","0")</f>
        <v>0</v>
      </c>
      <c r="CC68" s="105">
        <v>1</v>
      </c>
      <c r="CD68" s="126">
        <v>1</v>
      </c>
      <c r="CE68" s="105">
        <v>1</v>
      </c>
      <c r="CF68" s="105" t="str">
        <f>HYPERLINK("https://www.courant.com/news/connecticut/hc-xpm-1998-03-08-9803080035-story.html","0")</f>
        <v>0</v>
      </c>
      <c r="CG68" s="48">
        <v>0</v>
      </c>
      <c r="CH68" s="105" t="str">
        <f>HYPERLINK("https://www.nytimes.com/1998/03/08/nyregion/in-a-province-of-winners-worker-who-lost-out-takes-revenge.html","5")</f>
        <v>5</v>
      </c>
      <c r="CI68" s="105" t="str">
        <f>HYPERLINK("https://www.nytimes.com/1998/03/08/nyregion/in-a-province-of-winners-worker-who-lost-out-takes-revenge.html","1")</f>
        <v>1</v>
      </c>
      <c r="CJ68" s="101" t="str">
        <f>HYPERLINK("https://www.nytimes.com/1998/03/08/nyregion/in-a-province-of-winners-worker-who-lost-out-takes-revenge.html","stress-related medical leave")</f>
        <v>stress-related medical leave</v>
      </c>
      <c r="CK68" s="113">
        <v>0</v>
      </c>
      <c r="CL68" s="113"/>
      <c r="CM68" s="113"/>
      <c r="CN68" s="110">
        <v>0</v>
      </c>
      <c r="CO68" s="110">
        <v>0</v>
      </c>
      <c r="CP68" s="110">
        <v>0</v>
      </c>
      <c r="CQ68" s="110">
        <v>0</v>
      </c>
      <c r="CR68" s="108" t="str">
        <f>HYPERLINK("https://www.nytimes.com/1998/03/08/nyregion/in-a-province-of-winners-worker-who-lost-out-takes-revenge.html","1")</f>
        <v>1</v>
      </c>
      <c r="CS68" s="110">
        <v>0</v>
      </c>
      <c r="CT68" s="110">
        <v>0</v>
      </c>
      <c r="CU68" s="110">
        <v>0</v>
      </c>
      <c r="CV68" s="110">
        <v>0</v>
      </c>
      <c r="CW68" s="116">
        <v>0</v>
      </c>
      <c r="CX68" s="116">
        <v>0</v>
      </c>
      <c r="CY68" s="116">
        <v>0</v>
      </c>
      <c r="CZ68" s="108" t="str">
        <f>HYPERLINK("https://www.nytimes.com/1998/03/08/nyregion/in-a-province-of-winners-worker-who-lost-out-takes-revenge.html","0")</f>
        <v>0</v>
      </c>
      <c r="DA68" s="48">
        <v>0</v>
      </c>
      <c r="DB68" s="48">
        <v>2</v>
      </c>
      <c r="DC68" s="101">
        <v>0</v>
      </c>
      <c r="DD68" s="48"/>
      <c r="DE68" s="48"/>
      <c r="DF68" s="48"/>
      <c r="DG68" s="48"/>
      <c r="DH68" s="48"/>
      <c r="DI68" s="48"/>
      <c r="DJ68" s="48">
        <v>0</v>
      </c>
      <c r="DK68" s="48">
        <v>0</v>
      </c>
      <c r="DL68" s="48" t="s">
        <v>100</v>
      </c>
      <c r="DM68" s="105" t="str">
        <f>HYPERLINK("https://www.nytimes.com/1998/03/08/nyregion/in-a-province-of-winners-worker-who-lost-out-takes-revenge.html","0")</f>
        <v>0</v>
      </c>
      <c r="DN68" s="51">
        <v>0</v>
      </c>
      <c r="DO68" s="51" t="s">
        <v>100</v>
      </c>
      <c r="DP68" s="51">
        <v>0</v>
      </c>
      <c r="DQ68" s="101" t="str">
        <f>HYPERLINK("https://www.nytimes.com/1998/03/08/nyregion/in-a-province-of-winners-worker-who-lost-out-takes-revenge.html","0")</f>
        <v>0</v>
      </c>
      <c r="DR68" s="105">
        <v>1</v>
      </c>
      <c r="DS68" s="101" t="str">
        <f>HYPERLINK("https://www.nytimes.com/1998/03/07/nyregion/rampage-connecticut-overview-connecticut-lottery-worker-kills-4-bosses-then.html","2")</f>
        <v>2</v>
      </c>
      <c r="DT68" s="105">
        <v>1</v>
      </c>
      <c r="DU68" s="105" t="str">
        <f t="shared" ref="DU68" si="144">HYPERLINK("https://www.courant.com/breaking-news/hc-lottery-shooting-newington-1998-story.html","1")</f>
        <v>1</v>
      </c>
      <c r="DV68" s="105" t="str">
        <f>HYPERLINK("https://www.courant.com/breaking-news/hc-lottery-shooting-newington-1998-story.html","knife")</f>
        <v>knife</v>
      </c>
      <c r="DW68" s="105" t="str">
        <f>HYPERLINK("https://www.nytimes.com/1998/03/07/nyregion/rampage-connecticut-overview-connecticut-lottery-worker-kills-4-bosses-then.html","0")</f>
        <v>0</v>
      </c>
      <c r="DX68" s="105" t="str">
        <f>HYPERLINK("https://www.nytimes.com/1998/03/08/nyregion/in-a-province-of-winners-worker-who-lost-out-takes-revenge.html","0")</f>
        <v>0</v>
      </c>
      <c r="DY68" s="48">
        <v>2</v>
      </c>
      <c r="DZ68" s="48">
        <v>0</v>
      </c>
    </row>
    <row r="69" spans="1:130" ht="50.25" customHeight="1">
      <c r="A69" s="96">
        <v>67</v>
      </c>
      <c r="B69" s="97" t="s">
        <v>366</v>
      </c>
      <c r="C69" s="97" t="s">
        <v>367</v>
      </c>
      <c r="D69" s="98">
        <v>35878</v>
      </c>
      <c r="E69" s="48" t="s">
        <v>203</v>
      </c>
      <c r="F69" s="119">
        <v>24</v>
      </c>
      <c r="G69" s="102" t="str">
        <f>HYPERLINK("https://www.arktimes.com/ArkansasBlog/archives/2016/02/18/abc-news-goes-looking-for-the-westside-school-shooters","3")</f>
        <v>3</v>
      </c>
      <c r="H69" s="101" t="str">
        <f>HYPERLINK("https://www.arktimes.com/ArkansasBlog/archives/2016/02/18/abc-news-goes-looking-for-the-westside-school-shooters","1998")</f>
        <v>1998</v>
      </c>
      <c r="I69" s="48" t="s">
        <v>368</v>
      </c>
      <c r="J69" s="101" t="str">
        <f>HYPERLINK("https://abcnews.go.com/US/living-us-mass-school-shooters-incarcerated/story?id=36986507","Jonesboro ")</f>
        <v xml:space="preserve">Jonesboro </v>
      </c>
      <c r="K69" s="102" t="str">
        <f>HYPERLINK("https://abcnews.go.com/US/living-us-mass-school-shooters-incarcerated/story?id=36986507","4")</f>
        <v>4</v>
      </c>
      <c r="L69" s="119">
        <v>0</v>
      </c>
      <c r="M69" s="102" t="str">
        <f>HYPERLINK("http://www.nytimes.com/1998/03/29/us/from-wild-talk-and-friendship-to-five-deaths-in-a-schoolyard.html?mcubz=0","2")</f>
        <v>2</v>
      </c>
      <c r="N69" s="102" t="str">
        <f>HYPERLINK("http://www.nytimes.com/1998/03/29/us/from-wild-talk-and-friendship-to-five-deaths-in-a-schoolyard.html?mcubz=0","0")</f>
        <v>0</v>
      </c>
      <c r="O69" s="102" t="str">
        <f>HYPERLINK("https://www.nytimes.com/1998/03/29/us/from-wild-talk-and-friendship-to-five-deaths-in-a-schoolyard.html?mcubz=0","0")</f>
        <v>0</v>
      </c>
      <c r="P69" s="99" t="s">
        <v>100</v>
      </c>
      <c r="Q69" s="103">
        <v>0</v>
      </c>
      <c r="R69" s="103">
        <v>0</v>
      </c>
      <c r="S69" s="102" t="str">
        <f>HYPERLINK("http://www.nytimes.com/1998/03/29/us/from-wild-talk-and-friendship-to-five-deaths-in-a-schoolyard.html?mcubz=0","5")</f>
        <v>5</v>
      </c>
      <c r="T69" s="102" t="str">
        <f>HYPERLINK("https://abcnews.go.com/US/living-us-mass-school-shooters-incarcerated/story?id=36986507","10")</f>
        <v>10</v>
      </c>
      <c r="U69" s="101" t="str">
        <f>HYPERLINK("https://www.nytimes.com/1998/03/29/us/from-wild-talk-and-friendship-to-five-deaths-in-a-schoolyard.html?mcubz=0","0")</f>
        <v>0</v>
      </c>
      <c r="V69" s="101" t="str">
        <f>HYPERLINK("https://www.arktimes.com/ArkansasBlog/archives/2016/02/18/abc-news-goes-looking-for-the-westside-school-shooters","11")</f>
        <v>11</v>
      </c>
      <c r="W69" s="101">
        <v>0</v>
      </c>
      <c r="X69" s="101" t="str">
        <f>HYPERLINK("https://abcnews.go.com/US/living-us-mass-school-shooters-incarcerated/story?id=36986507","0")</f>
        <v>0</v>
      </c>
      <c r="Y69" s="105" t="str">
        <f>HYPERLINK("https://www.nytimes.com/1998/03/29/us/from-wild-talk-and-friendship-to-five-deaths-in-a-schoolyard.html?mcubz=0","0")</f>
        <v>0</v>
      </c>
      <c r="Z69" s="51">
        <v>0</v>
      </c>
      <c r="AA69" s="101"/>
      <c r="AB69" s="101" t="str">
        <f>HYPERLINK("https://www.nytimes.com/1998/03/29/us/from-wild-talk-and-friendship-to-five-deaths-in-a-schoolyard.html?mcubz=0","0")</f>
        <v>0</v>
      </c>
      <c r="AC69" s="101" t="str">
        <f>HYPERLINK("https://abcnews.go.com/US/living-us-mass-school-shooters-incarcerated/story?id=36986507","1")</f>
        <v>1</v>
      </c>
      <c r="AD69" s="101" t="str">
        <f>HYPERLINK("https://abcnews.go.com/US/living-us-mass-school-shooters-incarcerated/story?id=36986507","did just enough to get by")</f>
        <v>did just enough to get by</v>
      </c>
      <c r="AE69" s="141" t="str">
        <f>HYPERLINK("http://content.time.com/time/magazine/article/0,9171,138881,00.html","3")</f>
        <v>3</v>
      </c>
      <c r="AF69" s="141" t="str">
        <f t="shared" ref="AF69:AG69" si="145">HYPERLINK("http://content.time.com/time/magazine/article/0,9171,138881,00.html","2")</f>
        <v>2</v>
      </c>
      <c r="AG69" s="141" t="str">
        <f t="shared" si="145"/>
        <v>2</v>
      </c>
      <c r="AH69" s="141" t="str">
        <f>HYPERLINK("http://content.time.com/time/magazine/article/0,9171,138881,00.html","0")</f>
        <v>0</v>
      </c>
      <c r="AI69" s="51">
        <v>0</v>
      </c>
      <c r="AJ69" s="51">
        <v>0</v>
      </c>
      <c r="AK69" s="101" t="str">
        <f>HYPERLINK("https://www.nytimes.com/1998/03/29/us/from-wild-talk-and-friendship-to-five-deaths-in-a-schoolyard.html?mcubz=0","0")</f>
        <v>0</v>
      </c>
      <c r="AL69" s="51"/>
      <c r="AM69" s="51">
        <v>0</v>
      </c>
      <c r="AN69" s="48" t="s">
        <v>100</v>
      </c>
      <c r="AO69" s="101" t="str">
        <f>HYPERLINK("http://content.time.com/time/magazine/article/0,9171,138881,00.html","1")</f>
        <v>1</v>
      </c>
      <c r="AP69" s="101" t="str">
        <f>HYPERLINK("http://content.time.com/time/magazine/article/0,9171,138881,00.html","band")</f>
        <v>band</v>
      </c>
      <c r="AQ69" s="51">
        <v>0</v>
      </c>
      <c r="AR69" s="51">
        <v>0</v>
      </c>
      <c r="AS69" s="51">
        <v>0</v>
      </c>
      <c r="AT69" s="48">
        <v>0</v>
      </c>
      <c r="AU69" s="48" t="s">
        <v>100</v>
      </c>
      <c r="AV69" s="48" t="s">
        <v>100</v>
      </c>
      <c r="AW69" s="48" t="s">
        <v>100</v>
      </c>
      <c r="AX69" s="48">
        <v>0</v>
      </c>
      <c r="AY69" s="51">
        <v>0</v>
      </c>
      <c r="AZ69" s="51">
        <v>0</v>
      </c>
      <c r="BA69" s="51">
        <v>0</v>
      </c>
      <c r="BB69" s="141" t="str">
        <f>HYPERLINK("http://content.time.com/time/magazine/article/0,9171,138881,00.html","1")</f>
        <v>1</v>
      </c>
      <c r="BC69" s="101" t="str">
        <f>HYPERLINK("http://www.nytimes.com/1998/03/29/us/from-wild-talk-and-friendship-to-five-deaths-in-a-schoolyard.html?mcubz=0","1")</f>
        <v>1</v>
      </c>
      <c r="BD69" s="51">
        <v>0</v>
      </c>
      <c r="BE69" s="101" t="str">
        <f t="shared" ref="BE69:BF69" si="146">HYPERLINK("https://www.nytimes.com/1998/03/29/us/from-wild-talk-and-friendship-to-five-deaths-in-a-schoolyard.html?mcubz=0","0")</f>
        <v>0</v>
      </c>
      <c r="BF69" s="101" t="str">
        <f t="shared" si="146"/>
        <v>0</v>
      </c>
      <c r="BG69" s="51"/>
      <c r="BH69" s="51">
        <v>1</v>
      </c>
      <c r="BI69" s="51"/>
      <c r="BJ69" s="51">
        <v>0</v>
      </c>
      <c r="BK69" s="51">
        <v>0</v>
      </c>
      <c r="BL69" s="108">
        <v>0</v>
      </c>
      <c r="BM69" s="108" t="s">
        <v>100</v>
      </c>
      <c r="BN69" s="152"/>
      <c r="BO69" s="152">
        <v>0</v>
      </c>
      <c r="BP69" s="152">
        <v>0</v>
      </c>
      <c r="BQ69" s="152">
        <v>0</v>
      </c>
      <c r="BR69" s="152">
        <v>0</v>
      </c>
      <c r="BS69" s="152">
        <v>0</v>
      </c>
      <c r="BT69" s="152">
        <v>0</v>
      </c>
      <c r="BU69" s="152">
        <v>0</v>
      </c>
      <c r="BV69" s="152">
        <v>0</v>
      </c>
      <c r="BW69" s="152">
        <v>0</v>
      </c>
      <c r="BX69" s="152">
        <v>0</v>
      </c>
      <c r="BY69" s="51">
        <v>0</v>
      </c>
      <c r="BZ69" s="51">
        <v>0</v>
      </c>
      <c r="CA69" s="51">
        <v>0</v>
      </c>
      <c r="CB69" s="51" t="s">
        <v>100</v>
      </c>
      <c r="CC69" s="51">
        <v>0</v>
      </c>
      <c r="CD69" s="51" t="s">
        <v>100</v>
      </c>
      <c r="CE69" s="51">
        <v>0</v>
      </c>
      <c r="CF69" s="107">
        <v>0</v>
      </c>
      <c r="CG69" s="51">
        <v>0</v>
      </c>
      <c r="CH69" s="101" t="str">
        <f>HYPERLINK("https://www.nytimes.com/1998/03/29/us/from-wild-talk-and-friendship-to-five-deaths-in-a-schoolyard.html?mcubz=0","2")</f>
        <v>2</v>
      </c>
      <c r="CI69" s="51">
        <v>0</v>
      </c>
      <c r="CJ69" s="51" t="s">
        <v>100</v>
      </c>
      <c r="CK69" s="113">
        <v>0</v>
      </c>
      <c r="CL69" s="113"/>
      <c r="CM69" s="113"/>
      <c r="CN69" s="110">
        <v>0</v>
      </c>
      <c r="CO69" s="110">
        <v>0</v>
      </c>
      <c r="CP69" s="110">
        <v>0</v>
      </c>
      <c r="CQ69" s="110">
        <v>0</v>
      </c>
      <c r="CR69" s="110">
        <v>0</v>
      </c>
      <c r="CS69" s="110">
        <v>0</v>
      </c>
      <c r="CT69" s="110">
        <v>0</v>
      </c>
      <c r="CU69" s="110">
        <v>0</v>
      </c>
      <c r="CV69" s="110">
        <v>0</v>
      </c>
      <c r="CW69" s="110">
        <v>0</v>
      </c>
      <c r="CX69" s="108" t="str">
        <f t="shared" ref="CX69:CX70" si="147">HYPERLINK("https://abcnews.go.com/US/living-us-mass-school-shooters-incarcerated/story?id=36986507","1")</f>
        <v>1</v>
      </c>
      <c r="CY69" s="110">
        <v>0</v>
      </c>
      <c r="CZ69" s="108" t="str">
        <f t="shared" ref="CZ69:CZ70" si="148">HYPERLINK("https://www.nytimes.com/1998/03/29/us/from-wild-talk-and-friendship-to-five-deaths-in-a-schoolyard.html?mcubz=0","0")</f>
        <v>0</v>
      </c>
      <c r="DA69" s="51">
        <v>0</v>
      </c>
      <c r="DB69" s="51">
        <v>2</v>
      </c>
      <c r="DC69" s="101">
        <v>1</v>
      </c>
      <c r="DD69" s="51">
        <v>0</v>
      </c>
      <c r="DE69" s="51">
        <v>6</v>
      </c>
      <c r="DF69" s="51">
        <v>1</v>
      </c>
      <c r="DG69" s="51"/>
      <c r="DH69" s="51"/>
      <c r="DI69" s="51"/>
      <c r="DJ69" s="51">
        <v>0</v>
      </c>
      <c r="DK69" s="101" t="str">
        <f>HYPERLINK("http://abcnews.go.com/US/living-us-mass-school-shooters-incarcerated/story?id=36986507","0")</f>
        <v>0</v>
      </c>
      <c r="DL69" s="48" t="s">
        <v>100</v>
      </c>
      <c r="DM69" s="101" t="str">
        <f t="shared" ref="DM69:DM70" si="149">HYPERLINK("https://www.nytimes.com/1998/03/29/us/from-wild-talk-and-friendship-to-five-deaths-in-a-schoolyard.html?mcubz=0","0")</f>
        <v>0</v>
      </c>
      <c r="DN69" s="51">
        <v>0</v>
      </c>
      <c r="DO69" s="51" t="s">
        <v>100</v>
      </c>
      <c r="DP69" s="101" t="str">
        <f t="shared" ref="DP69:DP70" si="150">HYPERLINK("https://www.nytimes.com/1998/08/12/us/judge-punishes-arkansas-boys-who-killed-5.html","1")</f>
        <v>1</v>
      </c>
      <c r="DQ69" s="101" t="str">
        <f t="shared" ref="DQ69:DQ70" si="151">HYPERLINK("https://www.nytimes.com/1998/03/29/us/from-wild-talk-and-friendship-to-five-deaths-in-a-schoolyard.html?mcubz=0","0")</f>
        <v>0</v>
      </c>
      <c r="DR69" s="105">
        <v>1</v>
      </c>
      <c r="DS69" s="101" t="str">
        <f>HYPERLINK("https://www.nytimes.com/1998/03/29/us/from-wild-talk-and-friendship-to-five-deaths-in-a-schoolyard.html","3")</f>
        <v>3</v>
      </c>
      <c r="DT69" s="101" t="str">
        <f t="shared" ref="DT69:DT70" si="152">HYPERLINK("https://web.archive.org/web/20190227081132/https://arktimes.com/arkansas/a-boy-killer-speaks/Content?oid=934386","10")</f>
        <v>10</v>
      </c>
      <c r="DU69" s="101" t="str">
        <f t="shared" ref="DU69:DU70" si="153">HYPERLINK("https://www.nytimes.com/1998/03/29/us/from-wild-talk-and-friendship-to-five-deaths-in-a-schoolyard.html?mcubz=0","1")</f>
        <v>1</v>
      </c>
      <c r="DV69" s="101" t="str">
        <f t="shared" ref="DV69:DV70" si="154">HYPERLINK("https://www.nytimes.com/1998/03/29/us/from-wild-talk-and-friendship-to-five-deaths-in-a-schoolyard.html?mcubz=0","crossbow, machete, military belt, knives")</f>
        <v>crossbow, machete, military belt, knives</v>
      </c>
      <c r="DW69" s="101" t="str">
        <f>HYPERLINK("https://www.nytimes.com/1998/08/12/us/judge-punishes-arkansas-boys-who-killed-5.html","2")</f>
        <v>2</v>
      </c>
      <c r="DX69" s="101" t="str">
        <f>HYPERLINK("https://abcnews.go.com/US/living-us-mass-school-shooters-incarcerated/story?id=36986507","1")</f>
        <v>1</v>
      </c>
      <c r="DY69" s="105" t="str">
        <f>HYPERLINK("https://www.nytimes.com/1998/08/12/us/judge-punishes-arkansas-boys-who-killed-5.html","1")</f>
        <v>1</v>
      </c>
      <c r="DZ69" s="133" t="str">
        <f t="shared" ref="DZ69:DZ70" si="155">HYPERLINK("https://www.nytimes.com/1998/08/12/us/judge-punishes-arkansas-boys-who-killed-5.html","5")</f>
        <v>5</v>
      </c>
    </row>
    <row r="70" spans="1:130" ht="50.25" customHeight="1">
      <c r="A70" s="96">
        <v>68</v>
      </c>
      <c r="B70" s="97" t="s">
        <v>371</v>
      </c>
      <c r="C70" s="97" t="s">
        <v>372</v>
      </c>
      <c r="D70" s="98">
        <v>35878</v>
      </c>
      <c r="E70" s="48" t="s">
        <v>203</v>
      </c>
      <c r="F70" s="119">
        <v>24</v>
      </c>
      <c r="G70" s="102" t="str">
        <f>HYPERLINK("https://web.archive.org/web/20190227081132/https://arktimes.com/arkansas/a-boy-killer-speaks/Content?oid=934386","3")</f>
        <v>3</v>
      </c>
      <c r="H70" s="101" t="str">
        <f>HYPERLINK("http://abcnews.go.com/US/living-us-mass-school-shooters-incarcerated/story?id=36986507","1998")</f>
        <v>1998</v>
      </c>
      <c r="I70" s="48" t="s">
        <v>368</v>
      </c>
      <c r="J70" s="101" t="str">
        <f>HYPERLINK("http://abcnews.go.com/US/living-us-mass-school-shooters-incarcerated/story?id=36986507","Jonesboro")</f>
        <v>Jonesboro</v>
      </c>
      <c r="K70" s="102" t="str">
        <f>HYPERLINK("http://abcnews.go.com/US/living-us-mass-school-shooters-incarcerated/story?id=36986507","4")</f>
        <v>4</v>
      </c>
      <c r="L70" s="102" t="str">
        <f>HYPERLINK("https://abcnews.go.com/US/living-us-mass-school-shooters-incarcerated/story?id=36986507","0")</f>
        <v>0</v>
      </c>
      <c r="M70" s="102">
        <v>2</v>
      </c>
      <c r="N70" s="102" t="str">
        <f>HYPERLINK("https://web.archive.org/web/20190227081132/https://arktimes.com/arkansas/a-boy-killer-speaks/Content?oid=934386","0")</f>
        <v>0</v>
      </c>
      <c r="O70" s="102">
        <v>0</v>
      </c>
      <c r="P70" s="99" t="s">
        <v>100</v>
      </c>
      <c r="Q70" s="103">
        <v>0</v>
      </c>
      <c r="R70" s="103">
        <v>0</v>
      </c>
      <c r="S70" s="102" t="str">
        <f>HYPERLINK("http://abcnews.go.com/US/living-us-mass-school-shooters-incarcerated/story?id=36986507","5")</f>
        <v>5</v>
      </c>
      <c r="T70" s="102">
        <v>10</v>
      </c>
      <c r="U70" s="101" t="str">
        <f>HYPERLINK("https://web.archive.org/web/20190227081132/https://arktimes.com/arkansas/a-boy-killer-speaks/Content?oid=934386","0")</f>
        <v>0</v>
      </c>
      <c r="V70" s="101" t="str">
        <f>HYPERLINK("http://abcnews.go.com/US/living-us-mass-school-shooters-incarcerated/story?id=36986507","13")</f>
        <v>13</v>
      </c>
      <c r="W70" s="101" t="str">
        <f>HYPERLINK("https://abcnews.go.com/US/living-us-mass-school-shooters-incarcerated/story?id=36986507","0")</f>
        <v>0</v>
      </c>
      <c r="X70" s="101" t="str">
        <f>HYPERLINK("https://web.archive.org/web/20190227081132/https://arktimes.com/arkansas/a-boy-killer-speaks/Content?oid=934386","0")</f>
        <v>0</v>
      </c>
      <c r="Y70" s="105">
        <v>0</v>
      </c>
      <c r="Z70" s="101" t="str">
        <f>HYPERLINK("https://web.archive.org/web/20190227081132/https://arktimes.com/arkansas/a-boy-killer-speaks/Content?oid=934386","0")</f>
        <v>0</v>
      </c>
      <c r="AA70" s="101">
        <v>1</v>
      </c>
      <c r="AB70" s="101" t="str">
        <f>HYPERLINK("https://web.archive.org/web/20190227081132/https://arktimes.com/arkansas/a-boy-killer-speaks/Content?oid=934386","0")</f>
        <v>0</v>
      </c>
      <c r="AC70" s="101" t="str">
        <f>HYPERLINK("http://www2.uwstout.edu/content/lib/thesis/2008/2008kirkmann.pdf","2")</f>
        <v>2</v>
      </c>
      <c r="AD70" s="101" t="str">
        <f>HYPERLINK("http://www2.uwstout.edu/content/lib/thesis/2008/2008kirkmann.pdf","mostly A's and B's")</f>
        <v>mostly A's and B's</v>
      </c>
      <c r="AE70" s="101" t="str">
        <f>HYPERLINK("http://content.time.com/time/magazine/article/0,9171,138881,00.html","1")</f>
        <v>1</v>
      </c>
      <c r="AF70" s="101" t="str">
        <f>HYPERLINK("http://content.time.com/time/magazine/article/0,9171,138917,00.html","2")</f>
        <v>2</v>
      </c>
      <c r="AG70" s="101" t="str">
        <f>HYPERLINK("http://content.time.com/time/magazine/article/0,9171,138917,00.html","0")</f>
        <v>0</v>
      </c>
      <c r="AH70" s="101" t="str">
        <f>HYPERLINK("http://content.time.com/time/magazine/article/0,9171,138917,00.html","2")</f>
        <v>2</v>
      </c>
      <c r="AI70" s="101" t="str">
        <f>HYPERLINK("https://web.archive.org/web/20190227081132/https://arktimes.com/arkansas/a-boy-killer-speaks/Content?oid=934386","0")</f>
        <v>0</v>
      </c>
      <c r="AJ70" s="51">
        <v>0</v>
      </c>
      <c r="AK70" s="101">
        <v>0</v>
      </c>
      <c r="AL70" s="51"/>
      <c r="AM70" s="51">
        <v>0</v>
      </c>
      <c r="AN70" s="48" t="s">
        <v>100</v>
      </c>
      <c r="AO70" s="101" t="str">
        <f>HYPERLINK("http://content.time.com/time/magazine/article/0,9171,138881,00.html","2")</f>
        <v>2</v>
      </c>
      <c r="AP70" s="101" t="str">
        <f>HYPERLINK("http://content.time.com/time/magazine/article/0,9171,138881,00.html","church, youth group volunteering")</f>
        <v>church, youth group volunteering</v>
      </c>
      <c r="AQ70" s="101" t="str">
        <f>HYPERLINK("http://content.time.com/time/magazine/article/0,9171,138917,00.html","1")</f>
        <v>1</v>
      </c>
      <c r="AR70" s="51">
        <v>0</v>
      </c>
      <c r="AS70" s="101" t="str">
        <f>HYPERLINK("https://web.archive.org/web/20190227081132/https://arktimes.com/arkansas/a-boy-killer-speaks/Content?oid=934386","1")</f>
        <v>1</v>
      </c>
      <c r="AT70" s="48">
        <v>0</v>
      </c>
      <c r="AU70" s="48" t="s">
        <v>100</v>
      </c>
      <c r="AV70" s="48" t="s">
        <v>100</v>
      </c>
      <c r="AW70" s="48" t="s">
        <v>100</v>
      </c>
      <c r="AX70" s="105" t="str">
        <f>HYPERLINK("https://www.nytimes.com/1998/04/07/us/sex-abuse-is-claimed-in-school-slayings-case.html","1")</f>
        <v>1</v>
      </c>
      <c r="AY70" s="101">
        <v>0</v>
      </c>
      <c r="AZ70" s="51">
        <v>0</v>
      </c>
      <c r="BA70" s="51">
        <v>0</v>
      </c>
      <c r="BB70" s="141" t="str">
        <f>HYPERLINK("https://www.nytimes.com/1998/06/14/us/where-rampages-begin-special-report-adolescent-angst-shooting-up-schools.html","1")</f>
        <v>1</v>
      </c>
      <c r="BC70" s="101">
        <v>1</v>
      </c>
      <c r="BD70" s="101">
        <v>0</v>
      </c>
      <c r="BE70" s="101" t="str">
        <f>HYPERLINK("https://web.archive.org/web/20190227081132/https://arktimes.com/arkansas/a-boy-killer-speaks/Content?oid=934386","1")</f>
        <v>1</v>
      </c>
      <c r="BF70" s="101" t="str">
        <f>HYPERLINK("https://web.archive.org/web/20190227081132/https://arktimes.com/arkansas/a-boy-killer-speaks/Content?oid=934386","0")</f>
        <v>0</v>
      </c>
      <c r="BG70" s="101" t="str">
        <f>HYPERLINK("https://web.archive.org/web/20190227081132/https://arktimes.com/arkansas/a-boy-killer-speaks/Content?oid=934386","5")</f>
        <v>5</v>
      </c>
      <c r="BH70" s="51">
        <v>1</v>
      </c>
      <c r="BI70" s="51"/>
      <c r="BJ70" s="101" t="str">
        <f>HYPERLINK("https://web.archive.org/web/20190227081132/https://arktimes.com/arkansas/a-boy-killer-speaks/Content?oid=934386","1")</f>
        <v>1</v>
      </c>
      <c r="BK70" s="101">
        <v>0</v>
      </c>
      <c r="BL70" s="108" t="str">
        <f>HYPERLINK("https://web.archive.org/web/20190227081132/https://arktimes.com/arkansas/a-boy-killer-speaks/Content?oid=934386","1")</f>
        <v>1</v>
      </c>
      <c r="BM70" s="108">
        <v>2</v>
      </c>
      <c r="BN70" s="115" t="s">
        <v>3027</v>
      </c>
      <c r="BO70" s="115">
        <v>1</v>
      </c>
      <c r="BP70" s="111">
        <v>0</v>
      </c>
      <c r="BQ70" s="111">
        <v>1</v>
      </c>
      <c r="BR70" s="111">
        <v>0</v>
      </c>
      <c r="BS70" s="111">
        <v>1</v>
      </c>
      <c r="BT70" s="111">
        <v>1</v>
      </c>
      <c r="BU70" s="111">
        <v>1</v>
      </c>
      <c r="BV70" s="111">
        <v>1</v>
      </c>
      <c r="BW70" s="111">
        <v>0</v>
      </c>
      <c r="BX70" s="111">
        <v>0</v>
      </c>
      <c r="BY70" s="101" t="str">
        <f>HYPERLINK("https://web.archive.org/web/20190227081132/https://arktimes.com/arkansas/a-boy-killer-speaks/Content?oid=934386","1")</f>
        <v>1</v>
      </c>
      <c r="BZ70" s="51">
        <v>0</v>
      </c>
      <c r="CA70" s="101" t="str">
        <f t="shared" ref="CA70:CB70" si="156">HYPERLINK("http://content.time.com/time/magazine/article/0,9171,138917,00.html","1")</f>
        <v>1</v>
      </c>
      <c r="CB70" s="101" t="str">
        <f t="shared" si="156"/>
        <v>1</v>
      </c>
      <c r="CC70" s="51">
        <v>0</v>
      </c>
      <c r="CD70" s="101" t="str">
        <f>HYPERLINK("http://content.time.com/time/magazine/article/0,9171,138917,00.html","0")</f>
        <v>0</v>
      </c>
      <c r="CE70" s="51">
        <v>0</v>
      </c>
      <c r="CF70" s="107">
        <v>0</v>
      </c>
      <c r="CG70" s="51">
        <v>0</v>
      </c>
      <c r="CH70" s="101" t="str">
        <f>HYPERLINK("https://web.archive.org/web/20190227081132/https://arktimes.com/arkansas/a-boy-killer-speaks/Content?oid=934386","2")</f>
        <v>2</v>
      </c>
      <c r="CI70" s="51">
        <v>0</v>
      </c>
      <c r="CJ70" s="51" t="s">
        <v>100</v>
      </c>
      <c r="CK70" s="113">
        <v>0</v>
      </c>
      <c r="CL70" s="113"/>
      <c r="CM70" s="113"/>
      <c r="CN70" s="110">
        <v>0</v>
      </c>
      <c r="CO70" s="110">
        <v>0</v>
      </c>
      <c r="CP70" s="110">
        <v>0</v>
      </c>
      <c r="CQ70" s="110">
        <v>0</v>
      </c>
      <c r="CR70" s="110">
        <v>0</v>
      </c>
      <c r="CS70" s="110">
        <v>0</v>
      </c>
      <c r="CT70" s="110">
        <v>0</v>
      </c>
      <c r="CU70" s="110">
        <v>0</v>
      </c>
      <c r="CV70" s="110">
        <v>0</v>
      </c>
      <c r="CW70" s="110">
        <v>0</v>
      </c>
      <c r="CX70" s="108" t="str">
        <f t="shared" si="147"/>
        <v>1</v>
      </c>
      <c r="CY70" s="110">
        <v>0</v>
      </c>
      <c r="CZ70" s="108" t="str">
        <f t="shared" si="148"/>
        <v>0</v>
      </c>
      <c r="DA70" s="51">
        <v>0</v>
      </c>
      <c r="DB70" s="51">
        <v>2</v>
      </c>
      <c r="DC70" s="101">
        <v>1</v>
      </c>
      <c r="DD70" s="51">
        <v>0</v>
      </c>
      <c r="DE70" s="51">
        <v>6</v>
      </c>
      <c r="DF70" s="51">
        <v>1</v>
      </c>
      <c r="DG70" s="51"/>
      <c r="DH70" s="51"/>
      <c r="DI70" s="51"/>
      <c r="DJ70" s="101">
        <v>0</v>
      </c>
      <c r="DK70" s="51">
        <v>0</v>
      </c>
      <c r="DL70" s="48" t="s">
        <v>100</v>
      </c>
      <c r="DM70" s="101" t="str">
        <f t="shared" si="149"/>
        <v>0</v>
      </c>
      <c r="DN70" s="101" t="str">
        <f>HYPERLINK("https://www.nytimes.com/1998/06/14/us/where-rampages-begin-special-report-adolescent-angst-shooting-up-schools.html","2")</f>
        <v>2</v>
      </c>
      <c r="DO70" s="101" t="s">
        <v>2945</v>
      </c>
      <c r="DP70" s="101" t="str">
        <f t="shared" si="150"/>
        <v>1</v>
      </c>
      <c r="DQ70" s="101" t="str">
        <f t="shared" si="151"/>
        <v>0</v>
      </c>
      <c r="DR70" s="105" t="str">
        <f>HYPERLINK("https://web.archive.org/web/20190227081132/https://arktimes.com/arkansas/a-boy-killer-speaks/Content?oid=934386","1")</f>
        <v>1</v>
      </c>
      <c r="DS70" s="101" t="str">
        <f>HYPERLINK("https://www.nytimes.com/1998/06/14/us/where-rampages-begin-special-report-adolescent-angst-shooting-up-schools.html","2")</f>
        <v>2</v>
      </c>
      <c r="DT70" s="101" t="str">
        <f t="shared" si="152"/>
        <v>10</v>
      </c>
      <c r="DU70" s="101" t="str">
        <f t="shared" si="153"/>
        <v>1</v>
      </c>
      <c r="DV70" s="105" t="str">
        <f t="shared" si="154"/>
        <v>crossbow, machete, military belt, knives</v>
      </c>
      <c r="DW70" s="101" t="str">
        <f>HYPERLINK("http://abcnews.go.com/US/living-us-mass-school-shooters-incarcerated/story?id=36986507","2")</f>
        <v>2</v>
      </c>
      <c r="DX70" s="101" t="str">
        <f>HYPERLINK("https://web.archive.org/web/20190227081132/https://arktimes.com/arkansas/a-boy-killer-speaks/Content?oid=934386","1")</f>
        <v>1</v>
      </c>
      <c r="DY70" s="105" t="str">
        <f>HYPERLINK("https://www.nytimes.com/1998/08/12/us/judge-punishes-arkansas-boys-who-killed-5.html","0")</f>
        <v>0</v>
      </c>
      <c r="DZ70" s="133" t="str">
        <f t="shared" si="155"/>
        <v>5</v>
      </c>
    </row>
    <row r="71" spans="1:130" ht="50.25" customHeight="1">
      <c r="A71" s="96">
        <v>69</v>
      </c>
      <c r="B71" s="153" t="s">
        <v>373</v>
      </c>
      <c r="C71" s="153" t="s">
        <v>374</v>
      </c>
      <c r="D71" s="98">
        <v>35935</v>
      </c>
      <c r="E71" s="154" t="s">
        <v>123</v>
      </c>
      <c r="F71" s="119">
        <v>20</v>
      </c>
      <c r="G71" s="102" t="s">
        <v>808</v>
      </c>
      <c r="H71" s="104" t="s">
        <v>853</v>
      </c>
      <c r="I71" s="154" t="s">
        <v>375</v>
      </c>
      <c r="J71" s="104" t="s">
        <v>376</v>
      </c>
      <c r="K71" s="102" t="s">
        <v>854</v>
      </c>
      <c r="L71" s="102">
        <v>3</v>
      </c>
      <c r="M71" s="102" t="str">
        <f>HYPERLINK("https://www.nytimes.com/1998/05/22/us/shootings-school-overview-oregon-student-held-3-killings-one-dead-23-hurt-his.html","1")</f>
        <v>1</v>
      </c>
      <c r="N71" s="102" t="str">
        <f>HYPERLINK("https://www.pbs.org/wgbh/pages/frontline/shows/kinkel/trial/","0")</f>
        <v>0</v>
      </c>
      <c r="O71" s="102">
        <v>1</v>
      </c>
      <c r="P71" s="102" t="str">
        <f>HYPERLINK("https://www.pbs.org/wgbh/pages/frontline/shows/kinkel/trial/","7")</f>
        <v>7</v>
      </c>
      <c r="Q71" s="103">
        <v>0</v>
      </c>
      <c r="R71" s="103">
        <v>0</v>
      </c>
      <c r="S71" s="102">
        <v>4</v>
      </c>
      <c r="T71" s="102">
        <v>25</v>
      </c>
      <c r="U71" s="101" t="str">
        <f>HYPERLINK("https://www.rollingstone.com/culture/culture-news/kip-kinkel-a-boys-life-part-2-69473/","0")</f>
        <v>0</v>
      </c>
      <c r="V71" s="101">
        <v>15</v>
      </c>
      <c r="W71" s="104">
        <v>0</v>
      </c>
      <c r="X71" s="104">
        <v>0</v>
      </c>
      <c r="Y71" s="105">
        <v>0</v>
      </c>
      <c r="Z71" s="104" t="str">
        <f>HYPERLINK("https://www.pbs.org/wgbh/pages/frontline/shows/kinkel/kip/writings.html","0")</f>
        <v>0</v>
      </c>
      <c r="AA71" s="106"/>
      <c r="AB71" s="104" t="str">
        <f>HYPERLINK("http://www.cnn.com/US/9805/21/school.shooting.pm.2/","0")</f>
        <v>0</v>
      </c>
      <c r="AC71" s="101" t="str">
        <f>HYPERLINK("http://www2.uwstout.edu/content/lib/thesis/2008/2008kirkmann.pdf","1")</f>
        <v>1</v>
      </c>
      <c r="AD71" s="101" t="str">
        <f>HYPERLINK("http://www2.uwstout.edu/content/lib/thesis/2008/2008kirkmann.pdf","maintained adequate grades")</f>
        <v>maintained adequate grades</v>
      </c>
      <c r="AE71" s="104" t="str">
        <f>HYPERLINK("https://www.pbs.org/wgbh/pages/frontline/shows/kinkel/kip/kristin.html","3")</f>
        <v>3</v>
      </c>
      <c r="AF71" s="104" t="str">
        <f t="shared" ref="AF71:AG71" si="157">HYPERLINK("https://www.pbs.org/wgbh/pages/frontline/shows/kinkel/kip/kristin.html","1")</f>
        <v>1</v>
      </c>
      <c r="AG71" s="104" t="str">
        <f t="shared" si="157"/>
        <v>1</v>
      </c>
      <c r="AH71" s="104" t="str">
        <f>HYPERLINK("https://www.pbs.org/wgbh/pages/frontline/shows/kinkel/kip/kristin.html","0")</f>
        <v>0</v>
      </c>
      <c r="AI71" s="104" t="str">
        <f>HYPERLINK("https://www.pbs.org/wgbh/pages/frontline/shows/kinkel/kip/writings.html","0")</f>
        <v>0</v>
      </c>
      <c r="AJ71" s="106" t="s">
        <v>809</v>
      </c>
      <c r="AK71" s="106" t="s">
        <v>809</v>
      </c>
      <c r="AL71" s="106"/>
      <c r="AM71" s="106" t="s">
        <v>809</v>
      </c>
      <c r="AN71" s="48" t="s">
        <v>100</v>
      </c>
      <c r="AO71" s="101" t="str">
        <f>HYPERLINK("https://www.pbs.org/wgbh/pages/frontline/shows/kinkel/kip/cron.html","0")</f>
        <v>0</v>
      </c>
      <c r="AP71" s="54"/>
      <c r="AQ71" s="101">
        <v>1</v>
      </c>
      <c r="AR71" s="51">
        <v>0</v>
      </c>
      <c r="AS71" s="101" t="str">
        <f>HYPERLINK("https://www.pbs.org/wgbh/pages/frontline/shows/kinkel/kip/cron.html","1")</f>
        <v>1</v>
      </c>
      <c r="AT71" s="48">
        <v>0</v>
      </c>
      <c r="AU71" s="48" t="s">
        <v>100</v>
      </c>
      <c r="AV71" s="48" t="s">
        <v>100</v>
      </c>
      <c r="AW71" s="48" t="s">
        <v>100</v>
      </c>
      <c r="AX71" s="48">
        <v>0</v>
      </c>
      <c r="AY71" s="106" t="s">
        <v>809</v>
      </c>
      <c r="AZ71" s="106" t="s">
        <v>809</v>
      </c>
      <c r="BA71" s="106" t="s">
        <v>809</v>
      </c>
      <c r="BB71" s="139">
        <v>1</v>
      </c>
      <c r="BC71" s="104" t="str">
        <f>HYPERLINK("https://www.nytimes.com/1998/05/22/us/shootings-school-overview-oregon-student-held-3-killings-one-dead-23-hurt-his.html","1")</f>
        <v>1</v>
      </c>
      <c r="BD71" s="104" t="str">
        <f>HYPERLINK("https://www.klcc.org/post/remembering-thurston-pt-3-look-kip-kinkels-life-behind-prison-walls","1")</f>
        <v>1</v>
      </c>
      <c r="BE71" s="105">
        <v>0</v>
      </c>
      <c r="BF71" s="104" t="str">
        <f>HYPERLINK("https://www.nytimes.com/1998/05/22/us/shootings-school-overview-oregon-student-held-3-killings-one-dead-23-hurt-his.html","0")</f>
        <v>0</v>
      </c>
      <c r="BG71" s="104" t="str">
        <f>HYPERLINK("https://www.pbs.org/wgbh/pages/frontline/shows/kinkel/kip/kristin.html","3")</f>
        <v>3</v>
      </c>
      <c r="BH71" s="106" t="s">
        <v>807</v>
      </c>
      <c r="BI71" s="48"/>
      <c r="BJ71" s="106" t="s">
        <v>809</v>
      </c>
      <c r="BK71" s="121" t="s">
        <v>809</v>
      </c>
      <c r="BL71" s="138" t="s">
        <v>855</v>
      </c>
      <c r="BM71" s="137" t="s">
        <v>810</v>
      </c>
      <c r="BN71" s="115" t="s">
        <v>3075</v>
      </c>
      <c r="BO71" s="155" t="s">
        <v>806</v>
      </c>
      <c r="BP71" s="155" t="s">
        <v>809</v>
      </c>
      <c r="BQ71" s="155" t="s">
        <v>806</v>
      </c>
      <c r="BR71" s="155" t="s">
        <v>809</v>
      </c>
      <c r="BS71" s="156" t="s">
        <v>806</v>
      </c>
      <c r="BT71" s="155" t="s">
        <v>806</v>
      </c>
      <c r="BU71" s="155" t="s">
        <v>809</v>
      </c>
      <c r="BV71" s="155" t="s">
        <v>809</v>
      </c>
      <c r="BW71" s="157" t="str">
        <f>HYPERLINK("https://www.pbs.org/wgbh/pages/frontline/shows/kinkel/trial/sack.html","1")</f>
        <v>1</v>
      </c>
      <c r="BX71" s="155" t="s">
        <v>809</v>
      </c>
      <c r="BY71" s="104" t="str">
        <f>HYPERLINK("https://www.pbs.org/wgbh/pages/frontline/shows/kinkel/kip/writings.html","1")</f>
        <v>1</v>
      </c>
      <c r="BZ71" s="104" t="s">
        <v>809</v>
      </c>
      <c r="CA71" s="104" t="s">
        <v>855</v>
      </c>
      <c r="CB71" s="104" t="str">
        <f>HYPERLINK("https://www.pbs.org/wgbh/pages/frontline/shows/kinkel/kip/cron.html","0")</f>
        <v>0</v>
      </c>
      <c r="CC71" s="104" t="s">
        <v>855</v>
      </c>
      <c r="CD71" s="104" t="str">
        <f>HYPERLINK("https://www.pbs.org/wgbh/pages/frontline/shows/kinkel/kip/cron.html","0")</f>
        <v>0</v>
      </c>
      <c r="CE71" s="104" t="str">
        <f>HYPERLINK("https://www.pbs.org/wgbh/pages/frontline/shows/kinkel/trial/","4")</f>
        <v>4</v>
      </c>
      <c r="CF71" s="104" t="str">
        <f>HYPERLINK("https://scholarsbank.uoregon.edu/xmlui/bitstream/handle/1794/4583/79olr1081.pdf?sequence=1","1")</f>
        <v>1</v>
      </c>
      <c r="CG71" s="106" t="s">
        <v>809</v>
      </c>
      <c r="CH71" s="106" t="s">
        <v>809</v>
      </c>
      <c r="CI71" s="51">
        <v>0</v>
      </c>
      <c r="CJ71" s="51" t="s">
        <v>100</v>
      </c>
      <c r="CK71" s="158" t="s">
        <v>809</v>
      </c>
      <c r="CL71" s="158"/>
      <c r="CM71" s="158"/>
      <c r="CN71" s="121" t="s">
        <v>809</v>
      </c>
      <c r="CO71" s="121" t="s">
        <v>809</v>
      </c>
      <c r="CP71" s="121" t="s">
        <v>809</v>
      </c>
      <c r="CQ71" s="121" t="s">
        <v>809</v>
      </c>
      <c r="CR71" s="121" t="s">
        <v>809</v>
      </c>
      <c r="CS71" s="121" t="s">
        <v>809</v>
      </c>
      <c r="CT71" s="138" t="str">
        <f>HYPERLINK("https://www.pbs.org/wgbh/pages/frontline/shows/kinkel/kip/writings.html","1")</f>
        <v>1</v>
      </c>
      <c r="CU71" s="121" t="s">
        <v>809</v>
      </c>
      <c r="CV71" s="121" t="s">
        <v>809</v>
      </c>
      <c r="CW71" s="110">
        <v>0</v>
      </c>
      <c r="CX71" s="138" t="str">
        <f>HYPERLINK("https://www.pbs.org/wgbh/pages/frontline/shows/kinkel/kip/writings.html","2")</f>
        <v>2</v>
      </c>
      <c r="CY71" s="110">
        <v>0</v>
      </c>
      <c r="CZ71" s="138" t="str">
        <f>HYPERLINK("https://www.pbs.org/wgbh/pages/frontline/shows/kinkel/kip/kristin.html","0")</f>
        <v>0</v>
      </c>
      <c r="DA71" s="101">
        <v>2</v>
      </c>
      <c r="DB71" s="51">
        <v>2</v>
      </c>
      <c r="DC71" s="104" t="str">
        <f>HYPERLINK("https://www.nytimes.com/1998/05/22/us/shootings-school-overview-oregon-student-held-3-killings-one-dead-23-hurt-his.html","1")</f>
        <v>1</v>
      </c>
      <c r="DD71" s="51">
        <v>0</v>
      </c>
      <c r="DE71" s="51">
        <v>6</v>
      </c>
      <c r="DF71" s="51">
        <v>0</v>
      </c>
      <c r="DG71" s="51"/>
      <c r="DH71" s="51"/>
      <c r="DI71" s="51"/>
      <c r="DJ71" s="105">
        <v>1</v>
      </c>
      <c r="DK71" s="105" t="str">
        <f>HYPERLINK("https://www.npr.org/2018/05/22/612465197/20-years-ago-oregon-school-shooting-ended-a-bloody-season","1")</f>
        <v>1</v>
      </c>
      <c r="DL71" s="101" t="str">
        <f>HYPERLINK("https://www.npr.org/2018/05/22/612465197/20-years-ago-oregon-school-shooting-ended-a-bloody-season","This was the 4th American school shooting in the 1997-1998 school year. ")</f>
        <v xml:space="preserve">This was the 4th American school shooting in the 1997-1998 school year. </v>
      </c>
      <c r="DM71" s="105" t="str">
        <f>HYPERLINK("https://www.pbs.org/wgbh/pages/frontline/shows/kinkel/kip/writings.html","1")</f>
        <v>1</v>
      </c>
      <c r="DN71" s="106" t="s">
        <v>809</v>
      </c>
      <c r="DO71" s="106" t="s">
        <v>100</v>
      </c>
      <c r="DP71" s="104" t="str">
        <f>HYPERLINK("https://www.pbs.org/wgbh/pages/frontline/shows/kinkel/kip/writings.html","0")</f>
        <v>0</v>
      </c>
      <c r="DQ71" s="104" t="str">
        <f>HYPERLINK("https://www.rollingstone.com/culture/culture-news/kip-kinkel-a-boys-life-part-2-69473/","0")</f>
        <v>0</v>
      </c>
      <c r="DR71" s="105">
        <v>1</v>
      </c>
      <c r="DS71" s="101" t="str">
        <f>HYPERLINK("http://content.time.com/time/magazine/article/0,9171,139242,00.html","3")</f>
        <v>3</v>
      </c>
      <c r="DT71" s="101">
        <v>3</v>
      </c>
      <c r="DU71" s="104" t="str">
        <f>HYPERLINK("https://www.nytimes.com/1999/09/25/us/teen-ager-pleads-guilty-in-school-shooting.html","1")</f>
        <v>1</v>
      </c>
      <c r="DV71" s="104" t="str">
        <f>HYPERLINK("https://www.nytimes.com/1999/09/25/us/teen-ager-pleads-guilty-in-school-shooting.html","knife")</f>
        <v>knife</v>
      </c>
      <c r="DW71" s="101">
        <v>2</v>
      </c>
      <c r="DX71" s="101" t="str">
        <f>HYPERLINK("https://www.nytimes.com/1998/05/22/us/shootings-school-overview-oregon-student-held-3-killings-one-dead-23-hurt-his.html","0")</f>
        <v>0</v>
      </c>
      <c r="DY71" s="105" t="str">
        <f>HYPERLINK("https://www.pbs.org/wgbh/pages/frontline/shows/kinkel/trial/","0")</f>
        <v>0</v>
      </c>
      <c r="DZ71" s="133" t="str">
        <f>HYPERLINK("https://www.pbs.org/wgbh/pages/frontline/shows/kinkel/kip/cron.html","2")</f>
        <v>2</v>
      </c>
    </row>
    <row r="72" spans="1:130" ht="50.25" customHeight="1">
      <c r="A72" s="96">
        <v>70</v>
      </c>
      <c r="B72" s="97" t="s">
        <v>293</v>
      </c>
      <c r="C72" s="97" t="s">
        <v>377</v>
      </c>
      <c r="D72" s="98">
        <v>36229</v>
      </c>
      <c r="E72" s="48" t="s">
        <v>123</v>
      </c>
      <c r="F72" s="119">
        <v>10</v>
      </c>
      <c r="G72" s="102" t="str">
        <f>HYPERLINK("http://www.wafb.com/story/6956350/shon-miller-changes-his-plea-to-not-guilty-by-reason-of-insanity/","3")</f>
        <v>3</v>
      </c>
      <c r="H72" s="101" t="str">
        <f>HYPERLINK("http://www.wafb.com/story/6956350/shon-miller-changes-his-plea-to-not-guilty-by-reason-of-insanity/","1999")</f>
        <v>1999</v>
      </c>
      <c r="I72" s="48" t="s">
        <v>378</v>
      </c>
      <c r="J72" s="101" t="str">
        <f>HYPERLINK("https://www.nytimes.com/1999/03/12/us/louisiana-shooting-kills-3-at-church-and-one-at-home.html","Gonzales")</f>
        <v>Gonzales</v>
      </c>
      <c r="K72" s="102" t="str">
        <f>HYPERLINK("https://www.nytimes.com/1999/03/12/us/louisiana-shooting-kills-3-at-church-and-one-at-home.html","18")</f>
        <v>18</v>
      </c>
      <c r="L72" s="102">
        <v>0</v>
      </c>
      <c r="M72" s="102" t="str">
        <f>HYPERLINK("https://www.nytimes.com/1999/03/12/us/louisiana-shooting-kills-3-at-church-and-one-at-home.html","2")</f>
        <v>2</v>
      </c>
      <c r="N72" s="102" t="str">
        <f>HYPERLINK("https://www.nytimes.com/1999/03/12/us/louisiana-shooting-kills-3-at-church-and-one-at-home.html","3")</f>
        <v>3</v>
      </c>
      <c r="O72" s="102">
        <v>1</v>
      </c>
      <c r="P72" s="102" t="str">
        <f>HYPERLINK("https://www.nytimes.com/1999/03/12/us/louisiana-shooting-kills-3-at-church-and-one-at-home.html","7")</f>
        <v>7</v>
      </c>
      <c r="Q72" s="103">
        <v>0</v>
      </c>
      <c r="R72" s="103">
        <v>0</v>
      </c>
      <c r="S72" s="102" t="str">
        <f>HYPERLINK("http://www.wafb.com/story/6956350/shon-miller-changes-his-plea-to-not-guilty-by-reason-of-insanity/","4")</f>
        <v>4</v>
      </c>
      <c r="T72" s="102">
        <v>4</v>
      </c>
      <c r="U72" s="101" t="str">
        <f>HYPERLINK("https://caselaw.findlaw.com/la-supreme-court/1185808.html","1")</f>
        <v>1</v>
      </c>
      <c r="V72" s="101" t="str">
        <f>HYPERLINK("https://www.nytimes.com/1999/03/12/us/louisiana-shooting-kills-3-at-church-and-one-at-home.html","22")</f>
        <v>22</v>
      </c>
      <c r="W72" s="101" t="str">
        <f>HYPERLINK("https://www.nytimes.com/1999/03/12/us/louisiana-shooting-kills-3-at-church-and-one-at-home.html","0")</f>
        <v>0</v>
      </c>
      <c r="X72" s="101" t="str">
        <f>HYPERLINK("https://www.wafb.com/story/8113436/date-for-shon-millers-second-church-murders-trial-set/","1")</f>
        <v>1</v>
      </c>
      <c r="Y72" s="48">
        <v>0</v>
      </c>
      <c r="Z72" s="101" t="str">
        <f>HYPERLINK("https://www.nytimes.com/1999/03/12/us/louisiana-shooting-kills-3-at-church-and-one-at-home.html","0")</f>
        <v>0</v>
      </c>
      <c r="AA72" s="51"/>
      <c r="AB72" s="51"/>
      <c r="AC72" s="51"/>
      <c r="AD72" s="51"/>
      <c r="AE72" s="51"/>
      <c r="AF72" s="101" t="str">
        <f>HYPERLINK("https://www.williamsandsouthallfuneralhome.com/obituary/3567514","9")</f>
        <v>9</v>
      </c>
      <c r="AG72" s="51"/>
      <c r="AH72" s="51"/>
      <c r="AI72" s="101" t="str">
        <f>HYPERLINK("https://www.nytimes.com/1999/03/12/us/louisiana-shooting-kills-3-at-church-and-one-at-home.html","3")</f>
        <v>3</v>
      </c>
      <c r="AJ72" s="101" t="str">
        <f>HYPERLINK("http://www.weeklycitizen.com/article/20080610/NEWS/306109986","1")</f>
        <v>1</v>
      </c>
      <c r="AK72" s="101" t="str">
        <f t="shared" ref="AK72:AL72" si="158">HYPERLINK("https://www.chicagotribune.com/news/ct-xpm-1999-03-12-9903120268-story.html","0")</f>
        <v>0</v>
      </c>
      <c r="AL72" s="101" t="str">
        <f t="shared" si="158"/>
        <v>0</v>
      </c>
      <c r="AM72" s="51">
        <v>0</v>
      </c>
      <c r="AN72" s="48" t="s">
        <v>100</v>
      </c>
      <c r="AO72" s="101" t="str">
        <f>HYPERLINK("https://www.nytimes.com/1999/03/12/us/louisiana-shooting-kills-3-at-church-and-one-at-home.html","0")</f>
        <v>0</v>
      </c>
      <c r="AP72" s="54"/>
      <c r="AQ72" s="101">
        <v>1</v>
      </c>
      <c r="AR72" s="51">
        <v>0</v>
      </c>
      <c r="AS72" s="101">
        <v>1</v>
      </c>
      <c r="AT72" s="105" t="str">
        <f>HYPERLINK("https://www.nytimes.com/1999/03/12/us/louisiana-shooting-kills-3-at-church-and-one-at-home.html","1")</f>
        <v>1</v>
      </c>
      <c r="AU72" s="105">
        <v>1</v>
      </c>
      <c r="AV72" s="105">
        <v>3</v>
      </c>
      <c r="AW72" s="105"/>
      <c r="AX72" s="48">
        <v>0</v>
      </c>
      <c r="AY72" s="51">
        <v>0</v>
      </c>
      <c r="AZ72" s="48">
        <v>0</v>
      </c>
      <c r="BA72" s="51">
        <v>0</v>
      </c>
      <c r="BB72" s="107">
        <v>0</v>
      </c>
      <c r="BC72" s="51">
        <v>0</v>
      </c>
      <c r="BD72" s="51">
        <v>0</v>
      </c>
      <c r="BE72" s="101">
        <v>1</v>
      </c>
      <c r="BF72" s="101" t="str">
        <f>HYPERLINK("https://caselaw.findlaw.com/la-supreme-court/1185808.html","0")</f>
        <v>0</v>
      </c>
      <c r="BG72" s="101" t="str">
        <f>HYPERLINK("https://caselaw.findlaw.com/la-supreme-court/1185808.html","3")</f>
        <v>3</v>
      </c>
      <c r="BH72" s="51">
        <v>0</v>
      </c>
      <c r="BI72" s="51">
        <v>0</v>
      </c>
      <c r="BJ72" s="101" t="str">
        <f>HYPERLINK("https://www.nytimes.com/1999/03/12/us/louisiana-shooting-kills-3-at-church-and-one-at-home.html","1")</f>
        <v>1</v>
      </c>
      <c r="BK72" s="101" t="str">
        <f>HYPERLINK("https://www.chicagotribune.com/news/ct-xpm-1999-03-12-9903120268-story.html","1")</f>
        <v>1</v>
      </c>
      <c r="BL72" s="108" t="str">
        <f>HYPERLINK("https://caselaw.findlaw.com/la-supreme-court/1185808.html","1")</f>
        <v>1</v>
      </c>
      <c r="BM72" s="109">
        <v>3</v>
      </c>
      <c r="BN72" s="110" t="s">
        <v>3053</v>
      </c>
      <c r="BO72" s="111">
        <v>1</v>
      </c>
      <c r="BP72" s="111">
        <v>1</v>
      </c>
      <c r="BQ72" s="111">
        <v>1</v>
      </c>
      <c r="BR72" s="111">
        <v>0</v>
      </c>
      <c r="BS72" s="111">
        <v>1</v>
      </c>
      <c r="BT72" s="111">
        <v>1</v>
      </c>
      <c r="BU72" s="111">
        <v>1</v>
      </c>
      <c r="BV72" s="111">
        <v>0</v>
      </c>
      <c r="BW72" s="111">
        <v>1</v>
      </c>
      <c r="BX72" s="111">
        <v>0</v>
      </c>
      <c r="BY72" s="101" t="str">
        <f t="shared" ref="BY72:CA72" si="159">HYPERLINK("https://caselaw.findlaw.com/la-supreme-court/1185808.html","1")</f>
        <v>1</v>
      </c>
      <c r="BZ72" s="101" t="str">
        <f t="shared" si="159"/>
        <v>1</v>
      </c>
      <c r="CA72" s="101" t="str">
        <f t="shared" si="159"/>
        <v>1</v>
      </c>
      <c r="CB72" s="101" t="str">
        <f>HYPERLINK("https://caselaw.findlaw.com/la-supreme-court/1185808.html","0")</f>
        <v>0</v>
      </c>
      <c r="CC72" s="101" t="str">
        <f t="shared" ref="CC72:CD72" si="160">HYPERLINK("https://caselaw.findlaw.com/la-supreme-court/1185808.html","1")</f>
        <v>1</v>
      </c>
      <c r="CD72" s="101" t="str">
        <f t="shared" si="160"/>
        <v>1</v>
      </c>
      <c r="CE72" s="101" t="str">
        <f>HYPERLINK("https://caselaw.findlaw.com/la-supreme-court/1185808.html","3")</f>
        <v>3</v>
      </c>
      <c r="CF72" s="107">
        <v>0</v>
      </c>
      <c r="CG72" s="51">
        <v>0</v>
      </c>
      <c r="CH72" s="101" t="str">
        <f>HYPERLINK("https://caselaw.findlaw.com/la-supreme-court/1185808.html","0")</f>
        <v>0</v>
      </c>
      <c r="CI72" s="51">
        <v>0</v>
      </c>
      <c r="CJ72" s="51" t="s">
        <v>100</v>
      </c>
      <c r="CK72" s="113">
        <v>0</v>
      </c>
      <c r="CL72" s="113"/>
      <c r="CM72" s="113"/>
      <c r="CN72" s="110">
        <v>0</v>
      </c>
      <c r="CO72" s="110">
        <v>0</v>
      </c>
      <c r="CP72" s="110">
        <v>0</v>
      </c>
      <c r="CQ72" s="110">
        <v>0</v>
      </c>
      <c r="CR72" s="110">
        <v>0</v>
      </c>
      <c r="CS72" s="110">
        <v>0</v>
      </c>
      <c r="CT72" s="110">
        <v>0</v>
      </c>
      <c r="CU72" s="108" t="str">
        <f t="shared" ref="CU72" si="161">HYPERLINK("https://www.nytimes.com/1999/03/12/us/louisiana-shooting-kills-3-at-church-and-one-at-home.html","1")</f>
        <v>1</v>
      </c>
      <c r="CV72" s="110">
        <v>0</v>
      </c>
      <c r="CW72" s="110">
        <v>0</v>
      </c>
      <c r="CX72" s="110">
        <v>0</v>
      </c>
      <c r="CY72" s="110">
        <v>0</v>
      </c>
      <c r="CZ72" s="108" t="str">
        <f t="shared" ref="CZ72" si="162">HYPERLINK("https://www.nytimes.com/1999/03/12/us/louisiana-shooting-kills-3-at-church-and-one-at-home.html","1")</f>
        <v>1</v>
      </c>
      <c r="DA72" s="51">
        <v>0</v>
      </c>
      <c r="DB72" s="51">
        <v>0</v>
      </c>
      <c r="DC72" s="101" t="str">
        <f>HYPERLINK("https://www.nytimes.com/1999/03/12/us/louisiana-shooting-kills-3-at-church-and-one-at-home.html","0")</f>
        <v>0</v>
      </c>
      <c r="DD72" s="51"/>
      <c r="DE72" s="51"/>
      <c r="DF72" s="51"/>
      <c r="DG72" s="51"/>
      <c r="DH72" s="51"/>
      <c r="DI72" s="51"/>
      <c r="DJ72" s="51">
        <v>0</v>
      </c>
      <c r="DK72" s="51">
        <v>0</v>
      </c>
      <c r="DL72" s="48" t="s">
        <v>100</v>
      </c>
      <c r="DM72" s="101" t="str">
        <f>HYPERLINK("https://caselaw.findlaw.com/la-supreme-court/1185808.html","0")</f>
        <v>0</v>
      </c>
      <c r="DN72" s="51">
        <v>0</v>
      </c>
      <c r="DO72" s="51" t="s">
        <v>100</v>
      </c>
      <c r="DP72" s="101" t="str">
        <f t="shared" ref="DP72:DQ72" si="163">HYPERLINK("https://www.nytimes.com/1999/03/12/us/louisiana-shooting-kills-3-at-church-and-one-at-home.html","0")</f>
        <v>0</v>
      </c>
      <c r="DQ72" s="101" t="str">
        <f t="shared" si="163"/>
        <v>0</v>
      </c>
      <c r="DR72" s="48">
        <v>0</v>
      </c>
      <c r="DS72" s="101" t="str">
        <f>HYPERLINK("https://www.weeklycitizen.com/article/20080610/NEWS/306109986","0")</f>
        <v>0</v>
      </c>
      <c r="DT72" s="101" t="str">
        <f t="shared" ref="DT72" si="164">HYPERLINK("https://www.nytimes.com/1999/03/12/us/louisiana-shooting-kills-3-at-church-and-one-at-home.html","1")</f>
        <v>1</v>
      </c>
      <c r="DU72" s="101" t="str">
        <f>HYPERLINK("https://www.nytimes.com/1999/03/12/us/louisiana-shooting-kills-3-at-church-and-one-at-home.html","0")</f>
        <v>0</v>
      </c>
      <c r="DV72" s="48" t="s">
        <v>100</v>
      </c>
      <c r="DW72" s="101" t="str">
        <f>HYPERLINK("http://www.weeklycitizen.com/article/20080610/NEWS/306109986","2")</f>
        <v>2</v>
      </c>
      <c r="DX72" s="101" t="str">
        <f>HYPERLINK("https://www.washingtonpost.com/archive/politics/1999/03/12/gunshots-shatter-a-sanctuary/dc3bad89-e508-4c28-a771-84498099930d/?noredirect=on","0")</f>
        <v>0</v>
      </c>
      <c r="DY72" s="105" t="str">
        <f>HYPERLINK("https://www.wafb.com/story/6956350/shon-miller-changes-his-plea-to-not-guilty-by-reason-of-insanity/","1")</f>
        <v>1</v>
      </c>
      <c r="DZ72" s="133" t="str">
        <f>HYPERLINK("https://www.weeklycitizen.com/article/20080610/NEWS/306109986","1")</f>
        <v>1</v>
      </c>
    </row>
    <row r="73" spans="1:130" ht="50.25" customHeight="1">
      <c r="A73" s="96">
        <v>71</v>
      </c>
      <c r="B73" s="97" t="s">
        <v>380</v>
      </c>
      <c r="C73" s="97" t="s">
        <v>381</v>
      </c>
      <c r="D73" s="98">
        <v>36270</v>
      </c>
      <c r="E73" s="48" t="s">
        <v>203</v>
      </c>
      <c r="F73" s="119">
        <v>20</v>
      </c>
      <c r="G73" s="102" t="str">
        <f>HYPERLINK("https://www.theguardian.com/world/2009/apr/12/columbine-massacre-ten-year-anniversary","4")</f>
        <v>4</v>
      </c>
      <c r="H73" s="101" t="str">
        <f>HYPERLINK("https://www.theguardian.com/us-news/2016/feb/12/columbine-massacre-killer-dylan-klebold-mother-sue-guilt","1999")</f>
        <v>1999</v>
      </c>
      <c r="I73" s="48" t="s">
        <v>382</v>
      </c>
      <c r="J73" s="101" t="s">
        <v>383</v>
      </c>
      <c r="K73" s="102" t="str">
        <f>HYPERLINK("https://www.theguardian.com/us-news/2016/feb/12/columbine-massacre-killer-dylan-klebold-mother-sue-guilt","6")</f>
        <v>6</v>
      </c>
      <c r="L73" s="119">
        <v>3</v>
      </c>
      <c r="M73" s="102">
        <v>1</v>
      </c>
      <c r="N73" s="102" t="str">
        <f t="shared" ref="N73:O73" si="165">HYPERLINK("https://www.theguardian.com/us-news/2016/feb/12/columbine-massacre-killer-dylan-klebold-mother-sue-guilt","0")</f>
        <v>0</v>
      </c>
      <c r="O73" s="102" t="str">
        <f t="shared" si="165"/>
        <v>0</v>
      </c>
      <c r="P73" s="99" t="s">
        <v>100</v>
      </c>
      <c r="Q73" s="103">
        <v>0</v>
      </c>
      <c r="R73" s="103">
        <v>0</v>
      </c>
      <c r="S73" s="102" t="str">
        <f>HYPERLINK("https://www.cnn.com/2013/09/18/us/columbine-high-school-shootings-fast-facts/index.html","13")</f>
        <v>13</v>
      </c>
      <c r="T73" s="102">
        <v>23</v>
      </c>
      <c r="U73" s="101" t="str">
        <f t="shared" ref="U73:U74" si="166">HYPERLINK("https://www.theguardian.com/us-news/2016/feb/12/columbine-massacre-killer-dylan-klebold-mother-sue-guilt","0")</f>
        <v>0</v>
      </c>
      <c r="V73" s="101" t="str">
        <f>HYPERLINK("https://www.cnn.com/2013/09/18/us/columbine-high-school-shootings-fast-facts/index.html","17")</f>
        <v>17</v>
      </c>
      <c r="W73" s="101" t="str">
        <f t="shared" ref="W73:X73" si="167">HYPERLINK("https://www.theguardian.com/us-news/2016/feb/12/columbine-massacre-killer-dylan-klebold-mother-sue-guilt","0")</f>
        <v>0</v>
      </c>
      <c r="X73" s="101" t="str">
        <f t="shared" si="167"/>
        <v>0</v>
      </c>
      <c r="Y73" s="105" t="str">
        <f>HYPERLINK("https://www.nytimes.com/1999/06/29/us/shattered-lives-special-report-caring-parents-no-answers-columbine-killers-pasts.html","0")</f>
        <v>0</v>
      </c>
      <c r="Z73" s="101" t="str">
        <f t="shared" ref="Z73:Z74" si="168">HYPERLINK("https://www.theguardian.com/world/2009/apr/25/dave-cullen-columbine","0")</f>
        <v>0</v>
      </c>
      <c r="AA73" s="101">
        <v>1</v>
      </c>
      <c r="AB73" s="101" t="str">
        <f t="shared" ref="AB73:AB74" si="169">HYPERLINK("https://www.theguardian.com/world/2009/apr/25/dave-cullen-columbine","0")</f>
        <v>0</v>
      </c>
      <c r="AC73" s="101" t="str">
        <f t="shared" ref="AC73:AC74" si="170">HYPERLINK("https://www.theguardian.com/world/2009/apr/25/dave-cullen-columbine","2")</f>
        <v>2</v>
      </c>
      <c r="AD73" s="101" t="str">
        <f t="shared" ref="AD73:AD74" si="171">HYPERLINK("https://www.theguardian.com/world/2009/apr/25/dave-cullen-columbine","A's")</f>
        <v>A's</v>
      </c>
      <c r="AE73" s="101" t="str">
        <f>HYPERLINK("https://www.nytimes.com/1999/06/29/us/shattered-lives-special-report-caring-parents-no-answers-columbine-killers-pasts.html","3")</f>
        <v>3</v>
      </c>
      <c r="AF73" s="101" t="str">
        <f t="shared" ref="AF73:AG73" si="172">HYPERLINK("https://www.nytimes.com/1999/06/29/us/shattered-lives-special-report-caring-parents-no-answers-columbine-killers-pasts.html","1")</f>
        <v>1</v>
      </c>
      <c r="AG73" s="101" t="str">
        <f t="shared" si="172"/>
        <v>1</v>
      </c>
      <c r="AH73" s="101" t="str">
        <f>HYPERLINK("https://www.nytimes.com/1999/06/29/us/shattered-lives-special-report-caring-parents-no-answers-columbine-killers-pasts.html","0")</f>
        <v>0</v>
      </c>
      <c r="AI73" s="101" t="str">
        <f>HYPERLINK("http://www.cnn.com/SPECIALS/2000/columbine.cd/Pages/SUSPECTS_TEXT.htm","0")</f>
        <v>0</v>
      </c>
      <c r="AJ73" s="51">
        <v>0</v>
      </c>
      <c r="AK73" s="101" t="str">
        <f>HYPERLINK("https://www.csmonitor.com/1999/0503/p3s1.html","1")</f>
        <v>1</v>
      </c>
      <c r="AL73" s="101" t="str">
        <f>HYPERLINK("https://www.nytimes.com/1999/06/29/us/shattered-lives-special-report-caring-parents-no-answers-columbine-killers-pasts.html","0")</f>
        <v>0</v>
      </c>
      <c r="AM73" s="51">
        <v>0</v>
      </c>
      <c r="AN73" s="48" t="s">
        <v>100</v>
      </c>
      <c r="AO73" s="101" t="str">
        <f t="shared" ref="AO73:AO74" si="173">HYPERLINK("https://www.theguardian.com/world/2009/apr/25/dave-cullen-columbine","1")</f>
        <v>1</v>
      </c>
      <c r="AP73" s="101" t="str">
        <f t="shared" ref="AP73:AP74" si="174">HYPERLINK("https://www.theguardian.com/world/2009/apr/25/dave-cullen-columbine","school events")</f>
        <v>school events</v>
      </c>
      <c r="AQ73" s="101">
        <v>1</v>
      </c>
      <c r="AR73" s="51">
        <v>0</v>
      </c>
      <c r="AS73" s="51">
        <v>0</v>
      </c>
      <c r="AT73" s="48">
        <v>0</v>
      </c>
      <c r="AU73" s="48" t="s">
        <v>100</v>
      </c>
      <c r="AV73" s="48" t="s">
        <v>100</v>
      </c>
      <c r="AW73" s="48" t="s">
        <v>100</v>
      </c>
      <c r="AX73" s="48">
        <v>0</v>
      </c>
      <c r="AY73" s="51">
        <v>0</v>
      </c>
      <c r="AZ73" s="51">
        <v>0</v>
      </c>
      <c r="BA73" s="51">
        <v>0</v>
      </c>
      <c r="BB73" s="141" t="str">
        <f t="shared" ref="BB73:BB74" si="175">HYPERLINK("https://www.polygon.com/2018/3/10/17101232/a-brief-history-of-video-game-violence-blame","1")</f>
        <v>1</v>
      </c>
      <c r="BC73" s="101" t="str">
        <f t="shared" ref="BC73:BC74" si="176">HYPERLINK("http://web.archive.org/web/20140811122952/http://abcnews.go.com/Health/MindMoodNews/story?id=7345607&amp;page=1&amp;singlePage=true","1")</f>
        <v>1</v>
      </c>
      <c r="BD73" s="101">
        <v>0</v>
      </c>
      <c r="BE73" s="101" t="str">
        <f>HYPERLINK("https://www.theguardian.com/us-news/2016/feb/14/mother-supposed-know-son-columbine-sue-klebold","0")</f>
        <v>0</v>
      </c>
      <c r="BF73" s="101" t="str">
        <f>HYPERLINK("https://www.nytimes.com/1999/06/29/us/shattered-lives-special-report-caring-parents-no-answers-columbine-killers-pasts.html","0")</f>
        <v>0</v>
      </c>
      <c r="BG73" s="101" t="str">
        <f>HYPERLINK("https://www.theguardian.com/us-news/2016/feb/14/mother-supposed-know-son-columbine-sue-klebold","0")</f>
        <v>0</v>
      </c>
      <c r="BH73" s="51">
        <v>1</v>
      </c>
      <c r="BI73" s="48"/>
      <c r="BJ73" s="101" t="str">
        <f>HYPERLINK("http://www.cnn.com/SPECIALS/2000/columbine.cd/Pages/SUSPECTS_TEXT.htm","0")</f>
        <v>0</v>
      </c>
      <c r="BK73" s="51">
        <v>0</v>
      </c>
      <c r="BL73" s="108" t="str">
        <f>HYPERLINK("https://www.theguardian.com/us-news/2016/feb/14/mother-supposed-know-son-columbine-sue-klebold","1")</f>
        <v>1</v>
      </c>
      <c r="BM73" s="109">
        <v>3</v>
      </c>
      <c r="BN73" s="113" t="s">
        <v>3028</v>
      </c>
      <c r="BO73" s="132">
        <v>0</v>
      </c>
      <c r="BP73" s="132">
        <v>0</v>
      </c>
      <c r="BQ73" s="132">
        <v>1</v>
      </c>
      <c r="BR73" s="132">
        <v>0</v>
      </c>
      <c r="BS73" s="131">
        <v>1</v>
      </c>
      <c r="BT73" s="132">
        <v>1</v>
      </c>
      <c r="BU73" s="132">
        <v>1</v>
      </c>
      <c r="BV73" s="132">
        <v>1</v>
      </c>
      <c r="BW73" s="132">
        <v>0</v>
      </c>
      <c r="BX73" s="132">
        <v>0</v>
      </c>
      <c r="BY73" s="101" t="str">
        <f>HYPERLINK("https://www.theguardian.com/world/2009/apr/25/dave-cullen-columbine","1")</f>
        <v>1</v>
      </c>
      <c r="BZ73" s="51">
        <v>0</v>
      </c>
      <c r="CA73" s="101" t="str">
        <f t="shared" ref="CA73:CB73" si="177">HYPERLINK("https://www.theguardian.com/us-news/2016/feb/14/mother-supposed-know-son-columbine-sue-klebold","1")</f>
        <v>1</v>
      </c>
      <c r="CB73" s="101" t="str">
        <f t="shared" si="177"/>
        <v>1</v>
      </c>
      <c r="CC73" s="51">
        <v>0</v>
      </c>
      <c r="CD73" s="101" t="str">
        <f>HYPERLINK("https://schoolshooters.info/sites/default/files/dylan-klebold-diversion.pdf","1")</f>
        <v>1</v>
      </c>
      <c r="CE73" s="101" t="str">
        <f>HYPERLINK("https://www.theguardian.com/us-news/2016/feb/14/mother-supposed-know-son-columbine-sue-klebold","1")</f>
        <v>1</v>
      </c>
      <c r="CF73" s="107">
        <v>0</v>
      </c>
      <c r="CG73" s="51">
        <v>0</v>
      </c>
      <c r="CH73" s="101" t="str">
        <f>HYPERLINK("https://www.theguardian.com/world/2009/apr/25/dave-cullen-columbine","5")</f>
        <v>5</v>
      </c>
      <c r="CI73" s="123">
        <v>1</v>
      </c>
      <c r="CJ73" s="123" t="s">
        <v>2949</v>
      </c>
      <c r="CK73" s="128">
        <v>1</v>
      </c>
      <c r="CL73" s="129"/>
      <c r="CM73" s="129"/>
      <c r="CN73" s="118">
        <v>0</v>
      </c>
      <c r="CO73" s="110">
        <v>0</v>
      </c>
      <c r="CP73" s="110">
        <v>0</v>
      </c>
      <c r="CQ73" s="116">
        <v>0</v>
      </c>
      <c r="CR73" s="110">
        <v>0</v>
      </c>
      <c r="CS73" s="110">
        <v>0</v>
      </c>
      <c r="CT73" s="116">
        <v>0</v>
      </c>
      <c r="CU73" s="110">
        <v>0</v>
      </c>
      <c r="CV73" s="110">
        <v>0</v>
      </c>
      <c r="CW73" s="108" t="str">
        <f t="shared" ref="CW73:CW74" si="178">HYPERLINK("https://slate.com/news-and-politics/2004/04/at-last-we-know-why-the-columbine-killers-did-it.html","1")</f>
        <v>1</v>
      </c>
      <c r="CX73" s="109">
        <v>1</v>
      </c>
      <c r="CY73" s="110">
        <v>0</v>
      </c>
      <c r="CZ73" s="108" t="str">
        <f t="shared" ref="CZ73:CZ74" si="179">HYPERLINK("https://slate.com/news-and-politics/2004/04/at-last-we-know-why-the-columbine-killers-did-it.html","0")</f>
        <v>0</v>
      </c>
      <c r="DA73" s="51">
        <v>0</v>
      </c>
      <c r="DB73" s="101" t="str">
        <f t="shared" ref="DB73:DC73" si="180">HYPERLINK("https://www.nytimes.com/1999/06/29/us/shattered-lives-special-report-caring-parents-no-answers-columbine-killers-pasts.html","1")</f>
        <v>1</v>
      </c>
      <c r="DC73" s="101" t="str">
        <f t="shared" si="180"/>
        <v>1</v>
      </c>
      <c r="DD73" s="107">
        <v>2</v>
      </c>
      <c r="DE73" s="107">
        <v>6</v>
      </c>
      <c r="DF73" s="107">
        <v>1</v>
      </c>
      <c r="DG73" s="107"/>
      <c r="DH73" s="107"/>
      <c r="DI73" s="107"/>
      <c r="DJ73" s="101">
        <v>1</v>
      </c>
      <c r="DK73" s="101">
        <v>1</v>
      </c>
      <c r="DL73" s="101" t="str">
        <f t="shared" ref="DL73:DL74" si="181">HYPERLINK("https://www.theguardian.com/world/2009/apr/17/columbine-massacre-gun-crime-us","They wanted the attack to fall on the anniversary of the Oklahoma City bombing. Many shooters have since admired or imitated the Columbine shooting.")</f>
        <v>They wanted the attack to fall on the anniversary of the Oklahoma City bombing. Many shooters have since admired or imitated the Columbine shooting.</v>
      </c>
      <c r="DM73" s="101" t="str">
        <f t="shared" ref="DM73:DM74" si="182">HYPERLINK("https://www.theguardian.com/world/2009/apr/25/dave-cullen-columbine","1")</f>
        <v>1</v>
      </c>
      <c r="DN73" s="101" t="str">
        <f t="shared" ref="DN73:DN74" si="183">HYPERLINK("https://www.theguardian.com/us-news/2016/feb/14/mother-supposed-know-son-columbine-sue-klebold","1")</f>
        <v>1</v>
      </c>
      <c r="DO73" s="101" t="str">
        <f t="shared" ref="DO73:DO74" si="184">HYPERLINK("https://www.theguardian.com/us-news/2016/feb/14/mother-supposed-know-son-columbine-sue-klebold","Inspired by the movie Natural Born Killers.")</f>
        <v>Inspired by the movie Natural Born Killers.</v>
      </c>
      <c r="DP73" s="101">
        <v>1</v>
      </c>
      <c r="DQ73" s="101" t="str">
        <f>HYPERLINK("https://slate.com/news-and-politics/2004/04/at-last-we-know-why-the-columbine-killers-did-it.html","1")</f>
        <v>1</v>
      </c>
      <c r="DR73" s="105" t="str">
        <f>HYPERLINK("http://www.cnn.com/SPECIALS/2000/columbine.cd/Pages/SUSPECTS_TEXT.htm","0")</f>
        <v>0</v>
      </c>
      <c r="DS73" s="101" t="str">
        <f t="shared" ref="DS73:DS74" si="185">HYPERLINK("https://www.latimes.com/archives/la-xpm-1999-aug-19-mn-1611-story.html","2")</f>
        <v>2</v>
      </c>
      <c r="DT73" s="101" t="str">
        <f>HYPERLINK("https://www.cga.ct.gov/2013/rpt/2013-R-0057.htm","4")</f>
        <v>4</v>
      </c>
      <c r="DU73" s="51">
        <v>0</v>
      </c>
      <c r="DV73" s="101" t="str">
        <f t="shared" ref="DV73:DV74" si="186">HYPERLINK("https://www.theguardian.com/world/2009/apr/12/columbine-massacre-ten-year-anniversary","pipe bombs")</f>
        <v>pipe bombs</v>
      </c>
      <c r="DW73" s="101">
        <v>0</v>
      </c>
      <c r="DX73" s="101" t="str">
        <f t="shared" ref="DX73:DX74" si="187">HYPERLINK("https://www.theguardian.com/us-news/2016/feb/12/columbine-massacre-killer-dylan-klebold-mother-sue-guilt","0")</f>
        <v>0</v>
      </c>
      <c r="DY73" s="105">
        <v>2</v>
      </c>
      <c r="DZ73" s="48">
        <v>0</v>
      </c>
    </row>
    <row r="74" spans="1:130" ht="50.25" customHeight="1">
      <c r="A74" s="96">
        <v>72</v>
      </c>
      <c r="B74" s="97" t="s">
        <v>263</v>
      </c>
      <c r="C74" s="97" t="s">
        <v>114</v>
      </c>
      <c r="D74" s="98">
        <v>36270</v>
      </c>
      <c r="E74" s="48" t="s">
        <v>203</v>
      </c>
      <c r="F74" s="119">
        <v>20</v>
      </c>
      <c r="G74" s="102">
        <v>4</v>
      </c>
      <c r="H74" s="101">
        <v>1999</v>
      </c>
      <c r="I74" s="48" t="s">
        <v>382</v>
      </c>
      <c r="J74" s="101" t="s">
        <v>383</v>
      </c>
      <c r="K74" s="102">
        <v>6</v>
      </c>
      <c r="L74" s="119">
        <v>3</v>
      </c>
      <c r="M74" s="102">
        <v>1</v>
      </c>
      <c r="N74" s="102">
        <v>0</v>
      </c>
      <c r="O74" s="102" t="str">
        <f>HYPERLINK("https://www.theguardian.com/us-news/2016/feb/12/columbine-massacre-killer-dylan-klebold-mother-sue-guilt","0")</f>
        <v>0</v>
      </c>
      <c r="P74" s="99" t="s">
        <v>100</v>
      </c>
      <c r="Q74" s="103">
        <v>0</v>
      </c>
      <c r="R74" s="103">
        <v>0</v>
      </c>
      <c r="S74" s="102">
        <v>13</v>
      </c>
      <c r="T74" s="102">
        <v>23</v>
      </c>
      <c r="U74" s="101" t="str">
        <f t="shared" si="166"/>
        <v>0</v>
      </c>
      <c r="V74" s="101">
        <v>18</v>
      </c>
      <c r="W74" s="101">
        <v>0</v>
      </c>
      <c r="X74" s="101">
        <v>0</v>
      </c>
      <c r="Y74" s="101" t="str">
        <f>HYPERLINK("http://www.cnn.com/SPECIALS/2000/columbine.cd/Pages/SUSPECTS_TEXT.htm","0")</f>
        <v>0</v>
      </c>
      <c r="Z74" s="101" t="str">
        <f t="shared" si="168"/>
        <v>0</v>
      </c>
      <c r="AA74" s="101">
        <v>4</v>
      </c>
      <c r="AB74" s="101" t="str">
        <f t="shared" si="169"/>
        <v>0</v>
      </c>
      <c r="AC74" s="101" t="str">
        <f t="shared" si="170"/>
        <v>2</v>
      </c>
      <c r="AD74" s="101" t="str">
        <f t="shared" si="171"/>
        <v>A's</v>
      </c>
      <c r="AE74" s="105" t="str">
        <f>HYPERLINK("https://schoolshooters.info/sites/default/files/eric-harris-diversion.pdf","3")</f>
        <v>3</v>
      </c>
      <c r="AF74" s="105" t="str">
        <f t="shared" ref="AF74:AG74" si="188">HYPERLINK("https://schoolshooters.info/sites/default/files/eric-harris-diversion.pdf","1")</f>
        <v>1</v>
      </c>
      <c r="AG74" s="105" t="str">
        <f t="shared" si="188"/>
        <v>1</v>
      </c>
      <c r="AH74" s="105" t="str">
        <f>HYPERLINK("https://schoolshooters.info/sites/default/files/eric-harris-diversion.pdf","0")</f>
        <v>0</v>
      </c>
      <c r="AI74" s="105" t="str">
        <f>HYPERLINK("https://www.theguardian.com/world/2009/apr/25/dave-cullen-columbine","0")</f>
        <v>0</v>
      </c>
      <c r="AJ74" s="101">
        <v>0</v>
      </c>
      <c r="AK74" s="101">
        <v>1</v>
      </c>
      <c r="AL74" s="101">
        <v>0</v>
      </c>
      <c r="AM74" s="101" t="str">
        <f>HYPERLINK("https://www.rollingstone.com/culture/culture-features/how-they-got-the-guns-175676/","0")</f>
        <v>0</v>
      </c>
      <c r="AN74" s="48" t="s">
        <v>100</v>
      </c>
      <c r="AO74" s="101" t="str">
        <f t="shared" si="173"/>
        <v>1</v>
      </c>
      <c r="AP74" s="101" t="str">
        <f t="shared" si="174"/>
        <v>school events</v>
      </c>
      <c r="AQ74" s="101" t="str">
        <f>HYPERLINK("http://www.cnn.com/US/9904/21/harris.profile.02/","1")</f>
        <v>1</v>
      </c>
      <c r="AR74" s="51">
        <v>0</v>
      </c>
      <c r="AS74" s="101" t="str">
        <f>HYPERLINK("https://www.rollingstone.com/culture/culture-features/how-they-got-the-guns-175676/","1")</f>
        <v>1</v>
      </c>
      <c r="AT74" s="51">
        <v>0</v>
      </c>
      <c r="AU74" s="51" t="s">
        <v>100</v>
      </c>
      <c r="AV74" s="51" t="s">
        <v>100</v>
      </c>
      <c r="AW74" s="51" t="s">
        <v>100</v>
      </c>
      <c r="AX74" s="51">
        <v>0</v>
      </c>
      <c r="AY74" s="51">
        <v>0</v>
      </c>
      <c r="AZ74" s="51">
        <v>0</v>
      </c>
      <c r="BA74" s="51">
        <v>0</v>
      </c>
      <c r="BB74" s="141" t="str">
        <f t="shared" si="175"/>
        <v>1</v>
      </c>
      <c r="BC74" s="101" t="str">
        <f t="shared" si="176"/>
        <v>1</v>
      </c>
      <c r="BD74" s="101" t="str">
        <f>HYPERLINK("https://www.theguardian.com/world/2009/apr/17/columbine-massacre-gun-crime-us","0")</f>
        <v>0</v>
      </c>
      <c r="BE74" s="101" t="str">
        <f t="shared" ref="BE74:BG74" si="189">HYPERLINK("https://www.nytimes.com/1999/06/29/us/shattered-lives-special-report-caring-parents-no-answers-columbine-killers-pasts.html","0")</f>
        <v>0</v>
      </c>
      <c r="BF74" s="101" t="str">
        <f t="shared" si="189"/>
        <v>0</v>
      </c>
      <c r="BG74" s="101" t="str">
        <f t="shared" si="189"/>
        <v>0</v>
      </c>
      <c r="BH74" s="51">
        <v>1</v>
      </c>
      <c r="BI74" s="48"/>
      <c r="BJ74" s="101">
        <v>0</v>
      </c>
      <c r="BK74" s="101">
        <v>0</v>
      </c>
      <c r="BL74" s="108" t="str">
        <f>HYPERLINK("https://www.nytimes.com/1999/06/29/us/shattered-lives-special-report-caring-parents-no-answers-columbine-killers-pasts.html","1")</f>
        <v>1</v>
      </c>
      <c r="BM74" s="109">
        <v>3</v>
      </c>
      <c r="BN74" s="113" t="s">
        <v>3029</v>
      </c>
      <c r="BO74" s="131">
        <v>1</v>
      </c>
      <c r="BP74" s="132">
        <v>0</v>
      </c>
      <c r="BQ74" s="132">
        <v>1</v>
      </c>
      <c r="BR74" s="132">
        <v>0</v>
      </c>
      <c r="BS74" s="132">
        <v>1</v>
      </c>
      <c r="BT74" s="132">
        <v>1</v>
      </c>
      <c r="BU74" s="132">
        <v>1</v>
      </c>
      <c r="BV74" s="132">
        <v>0</v>
      </c>
      <c r="BW74" s="132">
        <v>0</v>
      </c>
      <c r="BX74" s="132">
        <v>0</v>
      </c>
      <c r="BY74" s="101" t="str">
        <f>HYPERLINK("https://www.theguardian.com/world/2009/apr/25/dave-cullen-columbine","2")</f>
        <v>2</v>
      </c>
      <c r="BZ74" s="101">
        <v>0</v>
      </c>
      <c r="CA74" s="101">
        <v>1</v>
      </c>
      <c r="CB74" s="101" t="str">
        <f>HYPERLINK("https://www.thedailybeast.com/the-last-columbine-mystery","2")</f>
        <v>2</v>
      </c>
      <c r="CC74" s="101" t="str">
        <f>HYPERLINK("https://www.rollingstone.com/culture/culture-features/how-they-got-the-guns-175676/","1")</f>
        <v>1</v>
      </c>
      <c r="CD74" s="101" t="str">
        <f t="shared" ref="CD74:CE74" si="190">HYPERLINK("https://www.nytimes.com/1999/06/29/us/shattered-lives-special-report-caring-parents-no-answers-columbine-killers-pasts.html","1")</f>
        <v>1</v>
      </c>
      <c r="CE74" s="101" t="str">
        <f t="shared" si="190"/>
        <v>1</v>
      </c>
      <c r="CF74" s="107">
        <v>0</v>
      </c>
      <c r="CG74" s="51">
        <v>0</v>
      </c>
      <c r="CH74" s="101">
        <v>4</v>
      </c>
      <c r="CI74" s="101" t="str">
        <f>HYPERLINK("https://www.npr.org/sections/health-shots/2019/02/10/690372199/school-shooters-whats-their-path-to-violence","1")</f>
        <v>1</v>
      </c>
      <c r="CJ74" s="101" t="str">
        <f>HYPERLINK("https://www.npr.org/sections/health-shots/2019/02/10/690372199/school-shooters-whats-their-path-to-violence","pectus excavatum")</f>
        <v>pectus excavatum</v>
      </c>
      <c r="CK74" s="128">
        <v>4</v>
      </c>
      <c r="CL74" s="128">
        <v>1</v>
      </c>
      <c r="CM74" s="128">
        <v>3</v>
      </c>
      <c r="CN74" s="118">
        <v>0</v>
      </c>
      <c r="CO74" s="110">
        <v>0</v>
      </c>
      <c r="CP74" s="110">
        <v>0</v>
      </c>
      <c r="CQ74" s="116">
        <v>0</v>
      </c>
      <c r="CR74" s="110">
        <v>0</v>
      </c>
      <c r="CS74" s="110">
        <v>0</v>
      </c>
      <c r="CT74" s="116">
        <v>0</v>
      </c>
      <c r="CU74" s="110">
        <v>0</v>
      </c>
      <c r="CV74" s="110">
        <v>0</v>
      </c>
      <c r="CW74" s="108" t="str">
        <f t="shared" si="178"/>
        <v>1</v>
      </c>
      <c r="CX74" s="118" t="str">
        <f>HYPERLINK("https://slate.com/news-and-politics/2004/04/at-last-we-know-why-the-columbine-killers-did-it.html","2")</f>
        <v>2</v>
      </c>
      <c r="CY74" s="110">
        <v>0</v>
      </c>
      <c r="CZ74" s="108" t="str">
        <f t="shared" si="179"/>
        <v>0</v>
      </c>
      <c r="DA74" s="51">
        <v>0</v>
      </c>
      <c r="DB74" s="101" t="str">
        <f>HYPERLINK("https://slate.com/news-and-politics/2004/04/at-last-we-know-why-the-columbine-killers-did-it.html","1")</f>
        <v>1</v>
      </c>
      <c r="DC74" s="101" t="str">
        <f>HYPERLINK("https://www.rollingstone.com/culture/culture-features/how-they-got-the-guns-175676/","1")</f>
        <v>1</v>
      </c>
      <c r="DD74" s="107">
        <v>2</v>
      </c>
      <c r="DE74" s="107">
        <v>6</v>
      </c>
      <c r="DF74" s="107">
        <v>1</v>
      </c>
      <c r="DG74" s="107"/>
      <c r="DH74" s="107"/>
      <c r="DI74" s="107"/>
      <c r="DJ74" s="101">
        <v>1</v>
      </c>
      <c r="DK74" s="101">
        <v>1</v>
      </c>
      <c r="DL74" s="101" t="str">
        <f t="shared" si="181"/>
        <v>They wanted the attack to fall on the anniversary of the Oklahoma City bombing. Many shooters have since admired or imitated the Columbine shooting.</v>
      </c>
      <c r="DM74" s="101" t="str">
        <f t="shared" si="182"/>
        <v>1</v>
      </c>
      <c r="DN74" s="101" t="str">
        <f t="shared" si="183"/>
        <v>1</v>
      </c>
      <c r="DO74" s="101" t="str">
        <f t="shared" si="184"/>
        <v>Inspired by the movie Natural Born Killers.</v>
      </c>
      <c r="DP74" s="101" t="str">
        <f t="shared" ref="DP74:DQ74" si="191">HYPERLINK("https://www.theguardian.com/world/2009/apr/17/columbine-massacre-gun-crime-us","1")</f>
        <v>1</v>
      </c>
      <c r="DQ74" s="101" t="str">
        <f t="shared" si="191"/>
        <v>1</v>
      </c>
      <c r="DR74" s="101" t="str">
        <f>HYPERLINK("https://www.nytimes.com/1999/06/29/us/shattered-lives-special-report-caring-parents-no-answers-columbine-killers-pasts.html","1")</f>
        <v>1</v>
      </c>
      <c r="DS74" s="101" t="str">
        <f t="shared" si="185"/>
        <v>2</v>
      </c>
      <c r="DT74" s="101">
        <v>4</v>
      </c>
      <c r="DU74" s="101" t="str">
        <f>HYPERLINK("https://www.theguardian.com/world/2009/apr/12/columbine-massacre-ten-year-anniversary","1")</f>
        <v>1</v>
      </c>
      <c r="DV74" s="101" t="str">
        <f t="shared" si="186"/>
        <v>pipe bombs</v>
      </c>
      <c r="DW74" s="101">
        <v>0</v>
      </c>
      <c r="DX74" s="101" t="str">
        <f t="shared" si="187"/>
        <v>0</v>
      </c>
      <c r="DY74" s="105">
        <v>2</v>
      </c>
      <c r="DZ74" s="48">
        <v>0</v>
      </c>
    </row>
    <row r="75" spans="1:130" ht="50.25" customHeight="1">
      <c r="A75" s="96">
        <v>73</v>
      </c>
      <c r="B75" s="97" t="s">
        <v>386</v>
      </c>
      <c r="C75" s="97" t="s">
        <v>387</v>
      </c>
      <c r="D75" s="98">
        <v>36314</v>
      </c>
      <c r="E75" s="48" t="s">
        <v>178</v>
      </c>
      <c r="F75" s="119">
        <v>3</v>
      </c>
      <c r="G75" s="102">
        <v>6</v>
      </c>
      <c r="H75" s="101">
        <v>1999</v>
      </c>
      <c r="I75" s="48" t="s">
        <v>388</v>
      </c>
      <c r="J75" s="101" t="str">
        <f>HYPERLINK("https://www.latimes.com/archives/la-xpm-1999-jun-05-mn-44403-story.html","Las Vegas")</f>
        <v>Las Vegas</v>
      </c>
      <c r="K75" s="102" t="str">
        <f>HYPERLINK("https://caselaw.findlaw.com/nv-supreme-court/1322079.html","28")</f>
        <v>28</v>
      </c>
      <c r="L75" s="102">
        <v>3</v>
      </c>
      <c r="M75" s="102">
        <v>0</v>
      </c>
      <c r="N75" s="102" t="str">
        <f>HYPERLINK("https://www.latimes.com/archives/la-xpm-1999-jun-05-mn-44403-story.html","4")</f>
        <v>4</v>
      </c>
      <c r="O75" s="102" t="str">
        <f>HYPERLINK("https://lasvegassun.com/news/1999/jun/03/four-killed-in-shooting-at-grocery-store/","0")</f>
        <v>0</v>
      </c>
      <c r="P75" s="99" t="s">
        <v>100</v>
      </c>
      <c r="Q75" s="103">
        <v>0</v>
      </c>
      <c r="R75" s="103">
        <v>0</v>
      </c>
      <c r="S75" s="102" t="str">
        <f>HYPERLINK("https://lasvegassun.com/news/1999/jun/03/four-killed-in-shooting-at-grocery-store/","4")</f>
        <v>4</v>
      </c>
      <c r="T75" s="102" t="str">
        <f>HYPERLINK("https://lasvegassun.com/news/1999/jun/03/four-killed-in-shooting-at-grocery-store/","1")</f>
        <v>1</v>
      </c>
      <c r="U75" s="101" t="str">
        <f>HYPERLINK("https://caselaw.findlaw.com/nv-supreme-court/1322079.html","1")</f>
        <v>1</v>
      </c>
      <c r="V75" s="101">
        <v>23</v>
      </c>
      <c r="W75" s="101">
        <v>0</v>
      </c>
      <c r="X75" s="101">
        <v>0</v>
      </c>
      <c r="Y75" s="105" t="str">
        <f t="shared" ref="Y75:Z75" si="192">HYPERLINK("https://lasvegassun.com/news/1999/jun/04/floyd-described-as-sweet-guy-with-violent-streak/","0")</f>
        <v>0</v>
      </c>
      <c r="Z75" s="101" t="str">
        <f t="shared" si="192"/>
        <v>0</v>
      </c>
      <c r="AA75" s="51"/>
      <c r="AB75" s="101" t="str">
        <f>HYPERLINK("https://lasvegassun.com/news/1999/jun/04/floyd-described-as-sweet-guy-with-violent-streak/","2")</f>
        <v>2</v>
      </c>
      <c r="AC75" s="51"/>
      <c r="AD75" s="51"/>
      <c r="AE75" s="101" t="str">
        <f t="shared" ref="AE75:AH75" si="193">HYPERLINK("https://lasvegassun.com/news/2000/jul/07/parents-stand-by-son-accused-in-grocery-store-shoo/","0")</f>
        <v>0</v>
      </c>
      <c r="AF75" s="105" t="str">
        <f t="shared" si="193"/>
        <v>0</v>
      </c>
      <c r="AG75" s="105" t="str">
        <f t="shared" si="193"/>
        <v>0</v>
      </c>
      <c r="AH75" s="101" t="str">
        <f t="shared" si="193"/>
        <v>0</v>
      </c>
      <c r="AI75" s="101">
        <v>1</v>
      </c>
      <c r="AJ75" s="51">
        <v>0</v>
      </c>
      <c r="AK75" s="101">
        <v>1</v>
      </c>
      <c r="AL75" s="101">
        <v>0</v>
      </c>
      <c r="AM75" s="101">
        <v>1</v>
      </c>
      <c r="AN75" s="101">
        <v>3</v>
      </c>
      <c r="AO75" s="101" t="str">
        <f>HYPERLINK("https://lasvegassun.com/news/1999/jun/04/floyd-described-as-sweet-guy-with-violent-streak/","1")</f>
        <v>1</v>
      </c>
      <c r="AP75" s="101" t="str">
        <f>HYPERLINK("https://lasvegassun.com/news/1999/jun/04/floyd-described-as-sweet-guy-with-violent-streak/","helpful in neighborhood")</f>
        <v>helpful in neighborhood</v>
      </c>
      <c r="AQ75" s="101" t="str">
        <f>HYPERLINK("https://www.leagle.com/decision/infdco20140923d14","1")</f>
        <v>1</v>
      </c>
      <c r="AR75" s="51">
        <v>0</v>
      </c>
      <c r="AS75" s="101" t="str">
        <f>HYPERLINK("https://lasvegassun.com/news/1999/jun/04/floyd-described-as-sweet-guy-with-violent-streak/","1")</f>
        <v>1</v>
      </c>
      <c r="AT75" s="48">
        <v>0</v>
      </c>
      <c r="AU75" s="48" t="s">
        <v>100</v>
      </c>
      <c r="AV75" s="48" t="s">
        <v>100</v>
      </c>
      <c r="AW75" s="48" t="s">
        <v>100</v>
      </c>
      <c r="AX75" s="105" t="str">
        <f>HYPERLINK("https://www.leagle.com/decision/infdco20140923d14","1")</f>
        <v>1</v>
      </c>
      <c r="AY75" s="51">
        <v>0</v>
      </c>
      <c r="AZ75" s="51">
        <v>0</v>
      </c>
      <c r="BA75" s="51">
        <v>0</v>
      </c>
      <c r="BB75" s="141" t="str">
        <f>HYPERLINK("https://lasvegassun.com/news/2000/jul/09/mental-state-key-to-floyds-defense/","2")</f>
        <v>2</v>
      </c>
      <c r="BC75" s="101" t="str">
        <f t="shared" ref="BC75:BD75" si="194">HYPERLINK("https://lasvegassun.com/news/1999/jun/04/floyd-described-as-sweet-guy-with-violent-streak/","0")</f>
        <v>0</v>
      </c>
      <c r="BD75" s="101" t="str">
        <f t="shared" si="194"/>
        <v>0</v>
      </c>
      <c r="BE75" s="101" t="str">
        <f>HYPERLINK("https://www.leagle.com/decision/infdco20140923d14","0")</f>
        <v>0</v>
      </c>
      <c r="BF75" s="101" t="str">
        <f>HYPERLINK("https://web.archive.org/web/20030708025827/http:/www.reviewjournal.com/lvrj_home/2000/Jul-22-Sat-2000/news/14017426.html","0")</f>
        <v>0</v>
      </c>
      <c r="BG75" s="101" t="str">
        <f>HYPERLINK("https://www.leagle.com/decision/infdco20140923d14","3")</f>
        <v>3</v>
      </c>
      <c r="BH75" s="51">
        <v>1</v>
      </c>
      <c r="BI75" s="101" t="str">
        <f>HYPERLINK("https://www.leagle.com/decision/infdco20140923d14","1")</f>
        <v>1</v>
      </c>
      <c r="BJ75" s="101" t="str">
        <f t="shared" ref="BJ75:BK75" si="195">HYPERLINK("https://lasvegassun.com/news/1999/jun/04/floyd-described-as-sweet-guy-with-violent-streak/","1")</f>
        <v>1</v>
      </c>
      <c r="BK75" s="101" t="str">
        <f t="shared" si="195"/>
        <v>1</v>
      </c>
      <c r="BL75" s="108" t="str">
        <f>HYPERLINK("https://www.cbsnews.com/news/no-motive-in-vegas-shooting/","1")</f>
        <v>1</v>
      </c>
      <c r="BM75" s="109">
        <v>1</v>
      </c>
      <c r="BN75" s="131" t="s">
        <v>3030</v>
      </c>
      <c r="BO75" s="113">
        <v>1</v>
      </c>
      <c r="BP75" s="129">
        <v>1</v>
      </c>
      <c r="BQ75" s="129">
        <v>0</v>
      </c>
      <c r="BR75" s="129">
        <v>0</v>
      </c>
      <c r="BS75" s="129">
        <v>0</v>
      </c>
      <c r="BT75" s="113">
        <v>1</v>
      </c>
      <c r="BU75" s="129">
        <v>0</v>
      </c>
      <c r="BV75" s="129">
        <v>0</v>
      </c>
      <c r="BW75" s="129">
        <v>0</v>
      </c>
      <c r="BX75" s="129">
        <v>0</v>
      </c>
      <c r="BY75" s="101" t="str">
        <f>HYPERLINK("https://lasvegassun.com/news/1999/jun/03/four-killed-in-shooting-at-grocery-store/","2")</f>
        <v>2</v>
      </c>
      <c r="BZ75" s="51">
        <v>0</v>
      </c>
      <c r="CA75" s="51">
        <v>0</v>
      </c>
      <c r="CB75" s="51" t="s">
        <v>100</v>
      </c>
      <c r="CC75" s="101" t="str">
        <f>HYPERLINK("http://cdn.ca9.uscourts.gov/datastore/opinions/2019/10/11/14-99012.pdf","1")</f>
        <v>1</v>
      </c>
      <c r="CD75" s="101" t="str">
        <f>HYPERLINK("http://cdn.ca9.uscourts.gov/datastore/opinions/2019/10/11/14-99012.pdf","0")</f>
        <v>0</v>
      </c>
      <c r="CE75" s="101" t="str">
        <f>HYPERLINK("https://www.leagle.com/decision/infdco20140923d14","3")</f>
        <v>3</v>
      </c>
      <c r="CF75" s="107">
        <v>0</v>
      </c>
      <c r="CG75" s="51">
        <v>0</v>
      </c>
      <c r="CH75" s="101" t="str">
        <f>HYPERLINK("https://www.leagle.com/decision/infdco20140923d14","4")</f>
        <v>4</v>
      </c>
      <c r="CI75" s="51">
        <v>0</v>
      </c>
      <c r="CJ75" s="51" t="s">
        <v>100</v>
      </c>
      <c r="CK75" s="113">
        <v>0</v>
      </c>
      <c r="CL75" s="113"/>
      <c r="CM75" s="113"/>
      <c r="CN75" s="110">
        <v>0</v>
      </c>
      <c r="CO75" s="110">
        <v>0</v>
      </c>
      <c r="CP75" s="110">
        <v>0</v>
      </c>
      <c r="CQ75" s="110">
        <v>0</v>
      </c>
      <c r="CR75" s="110">
        <v>0</v>
      </c>
      <c r="CS75" s="110">
        <v>0</v>
      </c>
      <c r="CT75" s="110">
        <v>0</v>
      </c>
      <c r="CU75" s="110">
        <v>0</v>
      </c>
      <c r="CV75" s="110">
        <v>0</v>
      </c>
      <c r="CW75" s="110">
        <v>0</v>
      </c>
      <c r="CX75" s="110">
        <v>0</v>
      </c>
      <c r="CY75" s="109">
        <v>1</v>
      </c>
      <c r="CZ75" s="108" t="str">
        <f>HYPERLINK("https://caselaw.findlaw.com/nv-supreme-court/1322079.html","0")</f>
        <v>0</v>
      </c>
      <c r="DA75" s="51">
        <v>0</v>
      </c>
      <c r="DB75" s="51">
        <v>0</v>
      </c>
      <c r="DC75" s="101" t="str">
        <f>HYPERLINK("https://lasvegassun.com/news/1999/jun/04/floyd-described-as-sweet-guy-with-violent-streak/","0")</f>
        <v>0</v>
      </c>
      <c r="DD75" s="51"/>
      <c r="DE75" s="51"/>
      <c r="DF75" s="51"/>
      <c r="DG75" s="51"/>
      <c r="DH75" s="51"/>
      <c r="DI75" s="51"/>
      <c r="DJ75" s="51">
        <v>0</v>
      </c>
      <c r="DK75" s="51">
        <v>0</v>
      </c>
      <c r="DL75" s="48" t="s">
        <v>100</v>
      </c>
      <c r="DM75" s="101" t="str">
        <f>HYPERLINK("https://caselaw.findlaw.com/nv-supreme-court/1322079.html","0")</f>
        <v>0</v>
      </c>
      <c r="DN75" s="51">
        <v>0</v>
      </c>
      <c r="DO75" s="51" t="s">
        <v>100</v>
      </c>
      <c r="DP75" s="101" t="str">
        <f t="shared" ref="DP75:DQ75" si="196">HYPERLINK("https://caselaw.findlaw.com/nv-supreme-court/1322079.html","0")</f>
        <v>0</v>
      </c>
      <c r="DQ75" s="101" t="str">
        <f t="shared" si="196"/>
        <v>0</v>
      </c>
      <c r="DR75" s="48">
        <v>0</v>
      </c>
      <c r="DS75" s="101" t="str">
        <f>HYPERLINK("https://lasvegassun.com/news/1999/jun/04/floyd-described-as-sweet-guy-with-violent-streak/","3")</f>
        <v>3</v>
      </c>
      <c r="DT75" s="101" t="str">
        <f>HYPERLINK("https://www.latimes.com/archives/la-xpm-1999-jun-04-mn-44038-story.html","1")</f>
        <v>1</v>
      </c>
      <c r="DU75" s="101" t="str">
        <f>HYPERLINK("https://www.latimes.com/archives/la-xpm-1999-jun-04-mn-44038-story.html","0")</f>
        <v>0</v>
      </c>
      <c r="DV75" s="48" t="s">
        <v>100</v>
      </c>
      <c r="DW75" s="101">
        <v>2</v>
      </c>
      <c r="DX75" s="101" t="str">
        <f>HYPERLINK("https://caselaw.findlaw.com/nv-supreme-court/1322079.html","0")</f>
        <v>0</v>
      </c>
      <c r="DY75" s="105" t="str">
        <f>HYPERLINK("https://lasvegassun.com/news/2000/jul/09/mental-state-key-to-floyds-defense/","0")</f>
        <v>0</v>
      </c>
      <c r="DZ75" s="133" t="str">
        <f>HYPERLINK("https://lasvegassun.com/news/2000/jul/21/jury-sentences-zane-floyd-to-death/","1")</f>
        <v>1</v>
      </c>
    </row>
    <row r="76" spans="1:130" ht="50.25" customHeight="1">
      <c r="A76" s="96">
        <v>74</v>
      </c>
      <c r="B76" s="97" t="s">
        <v>390</v>
      </c>
      <c r="C76" s="97" t="s">
        <v>136</v>
      </c>
      <c r="D76" s="98">
        <v>36370</v>
      </c>
      <c r="E76" s="48" t="s">
        <v>178</v>
      </c>
      <c r="F76" s="119">
        <v>29</v>
      </c>
      <c r="G76" s="102">
        <v>7</v>
      </c>
      <c r="H76" s="101" t="str">
        <f>HYPERLINK("https://www.ajc.com/news/local-govt--politics/atlanta-rewind-mark-barton-1999-buckhead-rampage/nKrh2xInFnAcGFCW7CrFGL/#1","1999")</f>
        <v>1999</v>
      </c>
      <c r="I76" s="48" t="s">
        <v>391</v>
      </c>
      <c r="J76" s="101" t="s">
        <v>392</v>
      </c>
      <c r="K76" s="102">
        <v>10</v>
      </c>
      <c r="L76" s="102">
        <v>0</v>
      </c>
      <c r="M76" s="102">
        <v>0</v>
      </c>
      <c r="N76" s="102" t="str">
        <f>HYPERLINK("https://www.washingtonpost.com/archive/politics/1999/07/31/killer-wrote-of-fear-hopelessness/af33786a-de37-45cd-9d5f-1098379892dd/?noredirect=on","6")</f>
        <v>6</v>
      </c>
      <c r="O76" s="102" t="str">
        <f>HYPERLINK("https://www.independent.co.uk/news/atlanta-massacre-broker-shoots-12-dead-as-stock-market-falls-1109415.html","1")</f>
        <v>1</v>
      </c>
      <c r="P76" s="102" t="str">
        <f>HYPERLINK("https://www.washingtonpost.com/archive/politics/1999/07/31/killer-wrote-of-fear-hopelessness/af33786a-de37-45cd-9d5f-1098379892dd/?noredirect=on","7")</f>
        <v>7</v>
      </c>
      <c r="Q76" s="103">
        <v>0</v>
      </c>
      <c r="R76" s="103">
        <v>0</v>
      </c>
      <c r="S76" s="102">
        <v>12</v>
      </c>
      <c r="T76" s="102">
        <v>13</v>
      </c>
      <c r="U76" s="101" t="str">
        <f>HYPERLINK("https://books.google.com/books?id=b54xcYkbSlcC&amp;lpg=PA67&amp;ots=mlvGRSb_k6&amp;dq=mark%20barton%20biography&amp;pg=PA67#v=onepage&amp;q&amp;f=false","0")</f>
        <v>0</v>
      </c>
      <c r="V76" s="101" t="str">
        <f>HYPERLINK("https://www.nytimes.com/1999/07/31/us/shootings-in-atlanta-the-overview-killer-confessed-in-a-letter-spiked-with-rage.html","44")</f>
        <v>44</v>
      </c>
      <c r="W76" s="101">
        <v>0</v>
      </c>
      <c r="X76" s="101">
        <v>0</v>
      </c>
      <c r="Y76" s="105">
        <v>0</v>
      </c>
      <c r="Z76" s="101" t="str">
        <f>HYPERLINK("https://books.google.com/books?id=b54xcYkbSlcC&amp;lpg=PA67&amp;ots=mlvGRSb_k6&amp;dq=mark%20barton%20biography&amp;pg=PA67#v=onepage&amp;q&amp;f=false","0")</f>
        <v>0</v>
      </c>
      <c r="AA76" s="101">
        <v>1</v>
      </c>
      <c r="AB76" s="101">
        <v>3</v>
      </c>
      <c r="AC76" s="101">
        <v>2</v>
      </c>
      <c r="AD76" s="101" t="s">
        <v>858</v>
      </c>
      <c r="AE76" s="101" t="str">
        <f t="shared" ref="AE76:AH76" si="197">HYPERLINK("https://www.washingtonpost.com/archive/politics/1999/07/31/killer-wrote-of-fear-hopelessness/af33786a-de37-45cd-9d5f-1098379892dd/?noredirect=on","0")</f>
        <v>0</v>
      </c>
      <c r="AF76" s="101" t="str">
        <f t="shared" si="197"/>
        <v>0</v>
      </c>
      <c r="AG76" s="101" t="str">
        <f t="shared" si="197"/>
        <v>0</v>
      </c>
      <c r="AH76" s="101" t="str">
        <f t="shared" si="197"/>
        <v>0</v>
      </c>
      <c r="AI76" s="101" t="str">
        <f>HYPERLINK("https://books.google.com/books?id=b54xcYkbSlcC&amp;lpg=PA67&amp;ots=mlvGRSb_k6&amp;dq=mark%20barton%20biography&amp;pg=PA67#v=onepage&amp;q&amp;f=false","3")</f>
        <v>3</v>
      </c>
      <c r="AJ76" s="101">
        <v>1</v>
      </c>
      <c r="AK76" s="101" t="str">
        <f>HYPERLINK("https://books.google.com/books?id=b54xcYkbSlcC&amp;lpg=PA67&amp;ots=mlvGRSb_k6&amp;dq=mark%20barton%20biography&amp;pg=PA67#v=onepage&amp;q&amp;f=false","0")</f>
        <v>0</v>
      </c>
      <c r="AL76" s="101">
        <v>1</v>
      </c>
      <c r="AM76" s="51">
        <v>0</v>
      </c>
      <c r="AN76" s="48" t="s">
        <v>100</v>
      </c>
      <c r="AO76" s="101" t="str">
        <f>HYPERLINK("https://www.nytimes.com/1999/07/31/us/shootings-in-atlanta-the-overview-killer-confessed-in-a-letter-spiked-with-rage.html","1")</f>
        <v>1</v>
      </c>
      <c r="AP76" s="101" t="str">
        <f>HYPERLINK("https://www.nytimes.com/1999/07/31/us/shootings-in-atlanta-the-overview-killer-confessed-in-a-letter-spiked-with-rage.html","Boy Scouts")</f>
        <v>Boy Scouts</v>
      </c>
      <c r="AQ76" s="101">
        <v>1</v>
      </c>
      <c r="AR76" s="101" t="str">
        <f t="shared" ref="AR76:AS76" si="198">HYPERLINK("https://books.google.com/books?id=b54xcYkbSlcC&amp;lpg=PA67&amp;ots=mlvGRSb_k6&amp;dq=mark%20barton%20biography&amp;pg=PA67#v=onepage&amp;q&amp;f=false","1")</f>
        <v>1</v>
      </c>
      <c r="AS76" s="101" t="str">
        <f t="shared" si="198"/>
        <v>1</v>
      </c>
      <c r="AT76" s="105">
        <v>3</v>
      </c>
      <c r="AU76" s="105">
        <v>1</v>
      </c>
      <c r="AV76" s="105">
        <v>2</v>
      </c>
      <c r="AW76" s="105">
        <v>3</v>
      </c>
      <c r="AX76" s="105" t="str">
        <f>HYPERLINK("https://www.nytimes.com/1999/07/31/us/shootings-in-atlanta-the-overview-killer-confessed-in-a-letter-spiked-with-rage.html","1")</f>
        <v>1</v>
      </c>
      <c r="AY76" s="51">
        <v>0</v>
      </c>
      <c r="AZ76" s="106" t="s">
        <v>809</v>
      </c>
      <c r="BA76" s="51">
        <v>0</v>
      </c>
      <c r="BB76" s="101" t="str">
        <f>HYPERLINK("https://www.latimes.com/archives/la-xpm-1999-jul-30-mn-61020-story.html","0")</f>
        <v>0</v>
      </c>
      <c r="BC76" s="101">
        <v>1</v>
      </c>
      <c r="BD76" s="51">
        <v>0</v>
      </c>
      <c r="BE76" s="101">
        <v>0</v>
      </c>
      <c r="BF76" s="51">
        <v>0</v>
      </c>
      <c r="BG76" s="51"/>
      <c r="BH76" s="51">
        <v>1</v>
      </c>
      <c r="BI76" s="51">
        <v>0</v>
      </c>
      <c r="BJ76" s="101">
        <v>1</v>
      </c>
      <c r="BK76" s="101" t="str">
        <f>HYPERLINK("https://books.google.com/books?id=b54xcYkbSlcC&amp;lpg=PA67&amp;ots=mlvGRSb_k6&amp;dq=mark%20barton%20biography&amp;pg=PA67#v=onepage&amp;q&amp;f=false","1")</f>
        <v>1</v>
      </c>
      <c r="BL76" s="108">
        <v>1</v>
      </c>
      <c r="BM76" s="109">
        <v>3</v>
      </c>
      <c r="BN76" s="115" t="s">
        <v>3153</v>
      </c>
      <c r="BO76" s="111">
        <v>1</v>
      </c>
      <c r="BP76" s="111">
        <v>0</v>
      </c>
      <c r="BQ76" s="111">
        <v>1</v>
      </c>
      <c r="BR76" s="111">
        <v>0</v>
      </c>
      <c r="BS76" s="111">
        <v>1</v>
      </c>
      <c r="BT76" s="111">
        <v>1</v>
      </c>
      <c r="BU76" s="111">
        <v>1</v>
      </c>
      <c r="BV76" s="111">
        <v>1</v>
      </c>
      <c r="BW76" s="111">
        <v>0</v>
      </c>
      <c r="BX76" s="111">
        <v>1</v>
      </c>
      <c r="BY76" s="101" t="str">
        <f>HYPERLINK("https://books.google.com/books?id=b54xcYkbSlcC&amp;lpg=PA67&amp;ots=mlvGRSb_k6&amp;dq=mark%20barton%20biography&amp;pg=PA67#v=onepage&amp;q&amp;f=false","1")</f>
        <v>1</v>
      </c>
      <c r="BZ76" s="101">
        <v>0</v>
      </c>
      <c r="CA76" s="51">
        <v>0</v>
      </c>
      <c r="CB76" s="51" t="s">
        <v>100</v>
      </c>
      <c r="CC76" s="51">
        <v>0</v>
      </c>
      <c r="CD76" s="101" t="s">
        <v>100</v>
      </c>
      <c r="CE76" s="123">
        <v>5</v>
      </c>
      <c r="CF76" s="107">
        <v>0</v>
      </c>
      <c r="CG76" s="101">
        <v>0</v>
      </c>
      <c r="CH76" s="101">
        <v>3</v>
      </c>
      <c r="CI76" s="51">
        <v>0</v>
      </c>
      <c r="CJ76" s="51" t="s">
        <v>100</v>
      </c>
      <c r="CK76" s="113">
        <v>0</v>
      </c>
      <c r="CL76" s="113"/>
      <c r="CM76" s="113"/>
      <c r="CN76" s="110">
        <v>0</v>
      </c>
      <c r="CO76" s="110">
        <v>0</v>
      </c>
      <c r="CP76" s="110">
        <v>0</v>
      </c>
      <c r="CQ76" s="110">
        <v>0</v>
      </c>
      <c r="CR76" s="108" t="str">
        <f t="shared" ref="CR76:CS76" si="199">HYPERLINK("https://books.google.com/books?id=b54xcYkbSlcC&amp;lpg=PA67&amp;ots=mlvGRSb_k6&amp;dq=mark%20barton%20biography&amp;pg=PA67#v=onepage&amp;q&amp;f=false","1")</f>
        <v>1</v>
      </c>
      <c r="CS76" s="108" t="str">
        <f t="shared" si="199"/>
        <v>1</v>
      </c>
      <c r="CT76" s="110">
        <v>0</v>
      </c>
      <c r="CU76" s="109">
        <v>1</v>
      </c>
      <c r="CV76" s="110">
        <v>0</v>
      </c>
      <c r="CW76" s="110">
        <v>0</v>
      </c>
      <c r="CX76" s="110">
        <v>0</v>
      </c>
      <c r="CY76" s="110">
        <v>0</v>
      </c>
      <c r="CZ76" s="108" t="str">
        <f>HYPERLINK("https://www.independent.co.uk/news/atlanta-massacre-broker-shoots-12-dead-as-stock-market-falls-1109415.html","1")</f>
        <v>1</v>
      </c>
      <c r="DA76" s="101">
        <v>1</v>
      </c>
      <c r="DB76" s="51">
        <v>0</v>
      </c>
      <c r="DC76" s="101" t="str">
        <f>HYPERLINK("https://books.google.com/books?id=b54xcYkbSlcC&amp;lpg=PA67&amp;ots=mlvGRSb_k6&amp;dq=mark%20barton%20biography&amp;pg=PA67#v=onepage&amp;q&amp;f=false","1")</f>
        <v>1</v>
      </c>
      <c r="DD76" s="51">
        <v>0</v>
      </c>
      <c r="DE76" s="51">
        <v>2</v>
      </c>
      <c r="DF76" s="51">
        <v>0</v>
      </c>
      <c r="DG76" s="51"/>
      <c r="DH76" s="51"/>
      <c r="DI76" s="51"/>
      <c r="DJ76" s="51">
        <v>0</v>
      </c>
      <c r="DK76" s="51">
        <v>0</v>
      </c>
      <c r="DL76" s="48" t="s">
        <v>100</v>
      </c>
      <c r="DM76" s="101" t="str">
        <f>HYPERLINK("https://www.nytimes.com/1999/07/31/us/shootings-in-atlanta-the-overview-killer-confessed-in-a-letter-spiked-with-rage.html","1")</f>
        <v>1</v>
      </c>
      <c r="DN76" s="51">
        <v>0</v>
      </c>
      <c r="DO76" s="51" t="s">
        <v>100</v>
      </c>
      <c r="DP76" s="101" t="str">
        <f>HYPERLINK("https://books.google.com/books?id=b54xcYkbSlcC&amp;lpg=PA67&amp;ots=mlvGRSb_k6&amp;dq=mark%20barton%20biography&amp;pg=PA67#v=onepage&amp;q&amp;f=false","1")</f>
        <v>1</v>
      </c>
      <c r="DQ76" s="101" t="str">
        <f>HYPERLINK("https://www.nytimes.com/1999/07/31/us/shootings-in-atlanta-the-overview-killer-confessed-in-a-letter-spiked-with-rage.html","0")</f>
        <v>0</v>
      </c>
      <c r="DR76" s="48">
        <v>0</v>
      </c>
      <c r="DS76" s="101" t="str">
        <f>HYPERLINK("https://www.nytimes.com/1999/07/31/us/shootings-in-atlanta-the-overview-killer-confessed-in-a-letter-spiked-with-rage.html","1")</f>
        <v>1</v>
      </c>
      <c r="DT76" s="101">
        <v>4</v>
      </c>
      <c r="DU76" s="101" t="str">
        <f>HYPERLINK("https://www.washingtonpost.com/archive/politics/1999/07/31/killer-wrote-of-fear-hopelessness/af33786a-de37-45cd-9d5f-1098379892dd/?noredirect=on","0")</f>
        <v>0</v>
      </c>
      <c r="DV76" s="48" t="s">
        <v>100</v>
      </c>
      <c r="DW76" s="101" t="str">
        <f>HYPERLINK("https://www.independent.co.uk/news/atlanta-massacre-broker-shoots-12-dead-as-stock-market-falls-1109415.html","0")</f>
        <v>0</v>
      </c>
      <c r="DX76" s="101" t="str">
        <f>HYPERLINK("https://books.google.com/books?id=b54xcYkbSlcC&amp;lpg=PA67&amp;ots=mlvGRSb_k6&amp;dq=mark%20barton%20biography&amp;pg=PA67#v=onepage&amp;q&amp;f=false","1")</f>
        <v>1</v>
      </c>
      <c r="DY76" s="48">
        <v>2</v>
      </c>
      <c r="DZ76" s="48">
        <v>0</v>
      </c>
    </row>
    <row r="77" spans="1:130" ht="50.25" customHeight="1">
      <c r="A77" s="96">
        <v>75</v>
      </c>
      <c r="B77" s="97" t="s">
        <v>393</v>
      </c>
      <c r="C77" s="97" t="s">
        <v>394</v>
      </c>
      <c r="D77" s="98">
        <v>36418</v>
      </c>
      <c r="E77" s="48" t="s">
        <v>123</v>
      </c>
      <c r="F77" s="119">
        <v>15</v>
      </c>
      <c r="G77" s="102">
        <v>9</v>
      </c>
      <c r="H77" s="101">
        <v>1999</v>
      </c>
      <c r="I77" s="48" t="s">
        <v>395</v>
      </c>
      <c r="J77" s="101" t="s">
        <v>396</v>
      </c>
      <c r="K77" s="102">
        <v>43</v>
      </c>
      <c r="L77" s="102">
        <v>0</v>
      </c>
      <c r="M77" s="102">
        <v>0</v>
      </c>
      <c r="N77" s="102" t="str">
        <f>HYPERLINK("https://www.nytimes.com/1999/09/17/us/deaths-in-a-church-the-overview-an-angry-mystery-man-who-brought-death.html","3")</f>
        <v>3</v>
      </c>
      <c r="O77" s="102">
        <v>0</v>
      </c>
      <c r="P77" s="99" t="s">
        <v>100</v>
      </c>
      <c r="Q77" s="103">
        <v>0</v>
      </c>
      <c r="R77" s="103">
        <v>0</v>
      </c>
      <c r="S77" s="102">
        <v>7</v>
      </c>
      <c r="T77" s="102">
        <v>7</v>
      </c>
      <c r="U77" s="101" t="str">
        <f>HYPERLINK("http://www.washingtonpost.com/wp-srv/national/daily/sept99/texas16.htm","0")</f>
        <v>0</v>
      </c>
      <c r="V77" s="101">
        <v>47</v>
      </c>
      <c r="W77" s="101">
        <v>0</v>
      </c>
      <c r="X77" s="101">
        <v>0</v>
      </c>
      <c r="Y77" s="105" t="str">
        <f>HYPERLINK("https://www.chicagotribune.com/news/ct-xpm-1999-09-17-9909170136-story.html","0")</f>
        <v>0</v>
      </c>
      <c r="Z77" s="51">
        <v>0</v>
      </c>
      <c r="AA77" s="101">
        <v>0</v>
      </c>
      <c r="AB77" s="101">
        <v>2</v>
      </c>
      <c r="AC77" s="101" t="str">
        <f>HYPERLINK("https://www.nytimes.com/1999/09/17/us/deaths-in-a-church-the-overview-an-angry-mystery-man-who-brought-death.html","0")</f>
        <v>0</v>
      </c>
      <c r="AD77" s="101" t="str">
        <f>HYPERLINK("https://www.nytimes.com/1999/09/17/us/deaths-in-a-church-the-overview-an-angry-mystery-man-who-brought-death.html","spotty, remedial classes")</f>
        <v>spotty, remedial classes</v>
      </c>
      <c r="AE77" s="101" t="str">
        <f>HYPERLINK("https://www.nytimes.com/1999/09/17/us/deaths-in-a-church-the-overview-an-angry-mystery-man-who-brought-death.html","3")</f>
        <v>3</v>
      </c>
      <c r="AF77" s="101" t="str">
        <f t="shared" ref="AF77:AG77" si="200">HYPERLINK("https://www.nytimes.com/1999/09/17/us/deaths-in-a-church-the-overview-an-angry-mystery-man-who-brought-death.html","4")</f>
        <v>4</v>
      </c>
      <c r="AG77" s="101" t="str">
        <f t="shared" si="200"/>
        <v>4</v>
      </c>
      <c r="AH77" s="101" t="str">
        <f>HYPERLINK("https://www.nytimes.com/1999/09/17/us/deaths-in-a-church-the-overview-an-angry-mystery-man-who-brought-death.html","0")</f>
        <v>0</v>
      </c>
      <c r="AI77" s="101" t="str">
        <f t="shared" ref="AI77:AJ77" si="201">HYPERLINK("https://products.kitsapsun.com/archive/1999/09-17/0037_texas_shooting__neighbors_report_.html","0")</f>
        <v>0</v>
      </c>
      <c r="AJ77" s="101" t="str">
        <f t="shared" si="201"/>
        <v>0</v>
      </c>
      <c r="AK77" s="101">
        <v>0</v>
      </c>
      <c r="AL77" s="101" t="str">
        <f>HYPERLINK("https://www.nytimes.com/1999/09/17/us/deaths-in-a-church-the-overview-an-angry-mystery-man-who-brought-death.html","2")</f>
        <v>2</v>
      </c>
      <c r="AM77" s="101">
        <v>1</v>
      </c>
      <c r="AN77" s="101">
        <v>1</v>
      </c>
      <c r="AO77" s="101" t="str">
        <f>HYPERLINK("https://www.nytimes.com/1999/09/17/us/deaths-in-a-church-the-overview-an-angry-mystery-man-who-brought-death.html","0")</f>
        <v>0</v>
      </c>
      <c r="AP77" s="54"/>
      <c r="AQ77" s="101">
        <v>1</v>
      </c>
      <c r="AR77" s="51">
        <v>0</v>
      </c>
      <c r="AS77" s="101" t="str">
        <f>HYPERLINK("http://www.cnn.com/US/9909/18/texas.shooter.profile/","1")</f>
        <v>1</v>
      </c>
      <c r="AT77" s="105" t="str">
        <f>HYPERLINK("http://www.cnn.com/US/9909/18/texas.shooter.profile/","2")</f>
        <v>2</v>
      </c>
      <c r="AU77" s="105">
        <v>1</v>
      </c>
      <c r="AV77" s="105">
        <v>3</v>
      </c>
      <c r="AW77" s="48"/>
      <c r="AX77" s="105" t="str">
        <f>HYPERLINK("http://www.cnn.com/US/9909/18/texas.shooter.profile/","1")</f>
        <v>1</v>
      </c>
      <c r="AY77" s="51">
        <v>0</v>
      </c>
      <c r="AZ77" s="48">
        <v>0</v>
      </c>
      <c r="BA77" s="51">
        <v>0</v>
      </c>
      <c r="BB77" s="107">
        <v>0</v>
      </c>
      <c r="BC77" s="101" t="str">
        <f>HYPERLINK("https://www.chicagotribune.com/news/ct-xpm-1999-09-17-9909170136-story.html","1")</f>
        <v>1</v>
      </c>
      <c r="BD77" s="101">
        <v>0</v>
      </c>
      <c r="BE77" s="101">
        <v>0</v>
      </c>
      <c r="BF77" s="101" t="str">
        <f>HYPERLINK("https://www.nytimes.com/1999/09/17/us/deaths-in-a-church-the-overview-an-angry-mystery-man-who-brought-death.html","0")</f>
        <v>0</v>
      </c>
      <c r="BG77" s="51"/>
      <c r="BH77" s="51">
        <v>1</v>
      </c>
      <c r="BI77" s="101">
        <v>1</v>
      </c>
      <c r="BJ77" s="51">
        <v>0</v>
      </c>
      <c r="BK77" s="101" t="str">
        <f>HYPERLINK("https://www.nytimes.com/1999/09/17/us/deaths-in-a-church-the-overview-an-angry-mystery-man-who-brought-death.html","0")</f>
        <v>0</v>
      </c>
      <c r="BL77" s="108" t="str">
        <f>HYPERLINK("http://www.cnn.com/US/9909/18/texas.shooter.profile/","1")</f>
        <v>1</v>
      </c>
      <c r="BM77" s="109">
        <v>2</v>
      </c>
      <c r="BN77" s="115" t="s">
        <v>3054</v>
      </c>
      <c r="BO77" s="111">
        <v>1</v>
      </c>
      <c r="BP77" s="111">
        <v>1</v>
      </c>
      <c r="BQ77" s="111">
        <v>0</v>
      </c>
      <c r="BR77" s="111">
        <v>0</v>
      </c>
      <c r="BS77" s="111">
        <v>0</v>
      </c>
      <c r="BT77" s="111">
        <v>1</v>
      </c>
      <c r="BU77" s="147">
        <v>1</v>
      </c>
      <c r="BV77" s="111">
        <v>1</v>
      </c>
      <c r="BW77" s="111">
        <v>1</v>
      </c>
      <c r="BX77" s="144">
        <v>1</v>
      </c>
      <c r="BY77" s="101" t="str">
        <f>HYPERLINK("https://nypost.com/1999/09/17/church-killer-made-dads-life-hell-horrified-neighbors-hid-during-rampages/","1")</f>
        <v>1</v>
      </c>
      <c r="BZ77" s="101" t="str">
        <f>HYPERLINK("https://www.chicagotribune.com/news/ct-xpm-1999-09-17-9909170136-story.html","0")</f>
        <v>0</v>
      </c>
      <c r="CA77" s="51">
        <v>0</v>
      </c>
      <c r="CB77" s="51" t="s">
        <v>100</v>
      </c>
      <c r="CC77" s="101">
        <v>0</v>
      </c>
      <c r="CD77" s="51" t="s">
        <v>100</v>
      </c>
      <c r="CE77" s="101" t="str">
        <f>HYPERLINK("http://www.cnn.com/US/9909/18/texas.shooter.profile/","2")</f>
        <v>2</v>
      </c>
      <c r="CF77" s="101" t="str">
        <f>HYPERLINK("https://www.latimes.com/archives/la-xpm-1999-sep-17-mn-11240-story.html","0")</f>
        <v>0</v>
      </c>
      <c r="CG77" s="51">
        <v>0</v>
      </c>
      <c r="CH77" s="101" t="str">
        <f>HYPERLINK("http://www.cnn.com/US/9909/18/texas.shooter.profile/","3")</f>
        <v>3</v>
      </c>
      <c r="CI77" s="51">
        <v>0</v>
      </c>
      <c r="CJ77" s="51" t="s">
        <v>100</v>
      </c>
      <c r="CK77" s="117">
        <v>4</v>
      </c>
      <c r="CL77" s="113"/>
      <c r="CM77" s="113"/>
      <c r="CN77" s="108">
        <v>0</v>
      </c>
      <c r="CO77" s="108" t="str">
        <f>HYPERLINK("https://www.chicagotribune.com/news/ct-xpm-1999-09-17-9909170136-story.html","3")</f>
        <v>3</v>
      </c>
      <c r="CP77" s="110">
        <v>0</v>
      </c>
      <c r="CQ77" s="110">
        <v>0</v>
      </c>
      <c r="CR77" s="110">
        <v>0</v>
      </c>
      <c r="CS77" s="110">
        <v>0</v>
      </c>
      <c r="CT77" s="110">
        <v>0</v>
      </c>
      <c r="CU77" s="110">
        <v>0</v>
      </c>
      <c r="CV77" s="110">
        <v>0</v>
      </c>
      <c r="CW77" s="110">
        <v>0</v>
      </c>
      <c r="CX77" s="109">
        <v>1</v>
      </c>
      <c r="CY77" s="110">
        <v>0</v>
      </c>
      <c r="CZ77" s="108" t="str">
        <f>HYPERLINK("http://www.washingtonpost.com/wp-srv/national/daily/sept99/texas16.htm","0")</f>
        <v>0</v>
      </c>
      <c r="DA77" s="101">
        <v>3</v>
      </c>
      <c r="DB77" s="51">
        <v>0</v>
      </c>
      <c r="DC77" s="51">
        <v>0</v>
      </c>
      <c r="DD77" s="51"/>
      <c r="DE77" s="51"/>
      <c r="DF77" s="51"/>
      <c r="DG77" s="51"/>
      <c r="DH77" s="51"/>
      <c r="DI77" s="51"/>
      <c r="DJ77" s="101" t="str">
        <f>HYPERLINK("https://www.nytimes.com/1999/09/17/us/deaths-in-a-church-the-overview-an-angry-mystery-man-who-brought-death.html ","1")</f>
        <v>1</v>
      </c>
      <c r="DK77" s="101">
        <v>0</v>
      </c>
      <c r="DL77" s="48" t="s">
        <v>100</v>
      </c>
      <c r="DM77" s="101" t="str">
        <f>HYPERLINK("https://www.nytimes.com/1999/09/17/us/deaths-in-a-church-the-overview-an-angry-mystery-man-who-brought-death.html","0")</f>
        <v>0</v>
      </c>
      <c r="DN77" s="51">
        <v>0</v>
      </c>
      <c r="DO77" s="51" t="s">
        <v>100</v>
      </c>
      <c r="DP77" s="51">
        <v>0</v>
      </c>
      <c r="DQ77" s="101" t="str">
        <f>HYPERLINK("https://www.chicagotribune.com/news/ct-xpm-1999-09-18-9909180043-story.html","0")</f>
        <v>0</v>
      </c>
      <c r="DR77" s="48">
        <v>0</v>
      </c>
      <c r="DS77" s="101" t="str">
        <f>HYPERLINK("https://www.nytimes.com/1999/09/17/us/deaths-in-a-church-the-overview-an-angry-mystery-man-who-brought-death.html","3")</f>
        <v>3</v>
      </c>
      <c r="DT77" s="101">
        <v>2</v>
      </c>
      <c r="DU77" s="51">
        <v>0</v>
      </c>
      <c r="DV77" s="101" t="str">
        <f>HYPERLINK("https://www.nytimes.com/1999/09/17/us/deaths-in-a-church-the-overview-an-angry-mystery-man-who-brought-death.html","pipe bomb")</f>
        <v>pipe bomb</v>
      </c>
      <c r="DW77" s="101">
        <v>0</v>
      </c>
      <c r="DX77" s="101" t="str">
        <f>HYPERLINK("http://www.washingtonpost.com/wp-srv/national/daily/sept99/texas16.htm","0")</f>
        <v>0</v>
      </c>
      <c r="DY77" s="48">
        <v>2</v>
      </c>
      <c r="DZ77" s="48">
        <v>0</v>
      </c>
    </row>
    <row r="78" spans="1:130" ht="50.25" customHeight="1">
      <c r="A78" s="96">
        <v>76</v>
      </c>
      <c r="B78" s="97" t="s">
        <v>398</v>
      </c>
      <c r="C78" s="97" t="s">
        <v>399</v>
      </c>
      <c r="D78" s="98">
        <v>36466</v>
      </c>
      <c r="E78" s="48" t="s">
        <v>203</v>
      </c>
      <c r="F78" s="119">
        <v>2</v>
      </c>
      <c r="G78" s="102" t="str">
        <f>HYPERLINK("http://articles.latimes.com/2000/may/14/news/mn-30038","11")</f>
        <v>11</v>
      </c>
      <c r="H78" s="101" t="str">
        <f>HYPERLINK("http://articles.latimes.com/2000/may/14/news/mn-30038","1999")</f>
        <v>1999</v>
      </c>
      <c r="I78" s="48" t="s">
        <v>400</v>
      </c>
      <c r="J78" s="101" t="str">
        <f>HYPERLINK("http://www.nytimes.com/1999/11/03/us/man-opens-fire-in-xerox-office-killing-7.html?mcubz=1","Honolulu")</f>
        <v>Honolulu</v>
      </c>
      <c r="K78" s="102" t="str">
        <f>HYPERLINK("https://www.latimes.com/archives/la-xpm-2000-may-14-mn-30038-story.html","11")</f>
        <v>11</v>
      </c>
      <c r="L78" s="119">
        <v>3</v>
      </c>
      <c r="M78" s="102" t="str">
        <f>HYPERLINK("http://www.nytimes.com/1999/11/03/us/man-opens-fire-in-xerox-office-killing-7.html?mcubz=1","0")</f>
        <v>0</v>
      </c>
      <c r="N78" s="102" t="str">
        <f>HYPERLINK("http://www.nytimes.com/1999/11/03/us/man-opens-fire-in-xerox-office-killing-7.html?mcubz=1","6")</f>
        <v>6</v>
      </c>
      <c r="O78" s="102" t="str">
        <f>HYPERLINK("https://www.nytimes.com/1999/11/03/us/man-opens-fire-in-xerox-office-killing-7.html?mcubz=1","0")</f>
        <v>0</v>
      </c>
      <c r="P78" s="99" t="s">
        <v>100</v>
      </c>
      <c r="Q78" s="103">
        <v>0</v>
      </c>
      <c r="R78" s="103">
        <v>0</v>
      </c>
      <c r="S78" s="102" t="str">
        <f>HYPERLINK("http://www.nytimes.com/1999/11/03/us/man-opens-fire-in-xerox-office-killing-7.html?mcubz=1","7")</f>
        <v>7</v>
      </c>
      <c r="T78" s="102">
        <v>0</v>
      </c>
      <c r="U78" s="101" t="str">
        <f>HYPERLINK("https://www.mirror.co.uk/news/real-life-stories/workers-who-kill-colleagues-university-11231926","0")</f>
        <v>0</v>
      </c>
      <c r="V78" s="101" t="str">
        <f>HYPERLINK("http://www.nytimes.com/1999/11/03/us/man-opens-fire-in-xerox-office-killing-7.html?mcubz=1","40")</f>
        <v>40</v>
      </c>
      <c r="W78" s="101" t="str">
        <f>HYPERLINK("http://articles.latimes.com/2000/may/14/news/mn-30038","0")</f>
        <v>0</v>
      </c>
      <c r="X78" s="101">
        <v>3</v>
      </c>
      <c r="Y78" s="105" t="str">
        <f>HYPERLINK("https://www.nytimes.com/1999/11/03/us/man-opens-fire-in-xerox-office-killing-7.html?mcubz=1","0")</f>
        <v>0</v>
      </c>
      <c r="Z78" s="51">
        <v>0</v>
      </c>
      <c r="AA78" s="101">
        <v>3</v>
      </c>
      <c r="AB78" s="101" t="str">
        <f>HYPERLINK("http://articles.latimes.com/2000/may/14/news/mn-30038","2")</f>
        <v>2</v>
      </c>
      <c r="AC78" s="51"/>
      <c r="AD78" s="51"/>
      <c r="AE78" s="101" t="str">
        <f>HYPERLINK("http://archives.starbulletin.com/1999/11/03/news/story1a.html","3")</f>
        <v>3</v>
      </c>
      <c r="AF78" s="101" t="str">
        <f t="shared" ref="AF78:AG78" si="202">HYPERLINK("http://archives.starbulletin.com/1999/11/03/news/story1a.html","1")</f>
        <v>1</v>
      </c>
      <c r="AG78" s="101" t="str">
        <f t="shared" si="202"/>
        <v>1</v>
      </c>
      <c r="AH78" s="101" t="str">
        <f>HYPERLINK("http://archives.starbulletin.com/1999/11/03/news/story1a.html","0")</f>
        <v>0</v>
      </c>
      <c r="AI78" s="101" t="str">
        <f>HYPERLINK("http://www.nytimes.com/1999/11/03/us/man-opens-fire-in-xerox-office-killing-7.html?mcubz=1","0")</f>
        <v>0</v>
      </c>
      <c r="AJ78" s="101">
        <v>0</v>
      </c>
      <c r="AK78" s="101" t="str">
        <f>HYPERLINK("http://www.nytimes.com/1999/11/03/us/man-opens-fire-in-xerox-office-killing-7.html?mcubz=1","1")</f>
        <v>1</v>
      </c>
      <c r="AL78" s="101" t="str">
        <f>HYPERLINK("https://www.nytimes.com/1999/11/03/us/man-opens-fire-in-xerox-office-killing-7.html?mcubz=1","2")</f>
        <v>2</v>
      </c>
      <c r="AM78" s="101">
        <v>0</v>
      </c>
      <c r="AN78" s="48" t="s">
        <v>100</v>
      </c>
      <c r="AO78" s="51">
        <v>0</v>
      </c>
      <c r="AP78" s="54"/>
      <c r="AQ78" s="101">
        <v>1</v>
      </c>
      <c r="AR78" s="51">
        <v>0</v>
      </c>
      <c r="AS78" s="101">
        <v>1</v>
      </c>
      <c r="AT78" s="48">
        <v>0</v>
      </c>
      <c r="AU78" s="48" t="s">
        <v>100</v>
      </c>
      <c r="AV78" s="48" t="s">
        <v>100</v>
      </c>
      <c r="AW78" s="48" t="s">
        <v>100</v>
      </c>
      <c r="AX78" s="48">
        <v>0</v>
      </c>
      <c r="AY78" s="51">
        <v>0</v>
      </c>
      <c r="AZ78" s="51">
        <v>0</v>
      </c>
      <c r="BA78" s="51">
        <v>0</v>
      </c>
      <c r="BB78" s="51">
        <v>0</v>
      </c>
      <c r="BC78" s="101" t="str">
        <f>HYPERLINK("http://archives.starbulletin.com/2000/05/15/news/story1.html","1")</f>
        <v>1</v>
      </c>
      <c r="BD78" s="101" t="str">
        <f>HYPERLINK("http://archives.starbulletin.com/2000/05/26/news/story4.html","0")</f>
        <v>0</v>
      </c>
      <c r="BE78" s="101">
        <v>0</v>
      </c>
      <c r="BF78" s="51">
        <v>0</v>
      </c>
      <c r="BG78" s="51"/>
      <c r="BH78" s="51">
        <v>1</v>
      </c>
      <c r="BI78" s="101" t="str">
        <f>HYPERLINK("https://www.mirror.co.uk/news/real-life-stories/workers-who-kill-colleagues-university-11231926","1")</f>
        <v>1</v>
      </c>
      <c r="BJ78" s="51">
        <v>0</v>
      </c>
      <c r="BK78" s="101" t="str">
        <f>HYPERLINK("https://www.mirror.co.uk/news/real-life-stories/workers-who-kill-colleagues-university-11231926","1")</f>
        <v>1</v>
      </c>
      <c r="BL78" s="108" t="str">
        <f>HYPERLINK("http://archives.starbulletin.com/2000/05/26/news/story4.html","1")</f>
        <v>1</v>
      </c>
      <c r="BM78" s="109">
        <v>3</v>
      </c>
      <c r="BN78" s="115" t="s">
        <v>3031</v>
      </c>
      <c r="BO78" s="111">
        <v>1</v>
      </c>
      <c r="BP78" s="111">
        <v>1</v>
      </c>
      <c r="BQ78" s="111">
        <v>0</v>
      </c>
      <c r="BR78" s="111">
        <v>0</v>
      </c>
      <c r="BS78" s="111">
        <v>0</v>
      </c>
      <c r="BT78" s="111">
        <v>1</v>
      </c>
      <c r="BU78" s="111">
        <v>1</v>
      </c>
      <c r="BV78" s="111">
        <v>1</v>
      </c>
      <c r="BW78" s="111">
        <v>1</v>
      </c>
      <c r="BX78" s="111">
        <v>1</v>
      </c>
      <c r="BY78" s="101" t="str">
        <f>HYPERLINK("http://archives.starbulletin.com/2000/05/26/news/story4.html","0")</f>
        <v>0</v>
      </c>
      <c r="BZ78" s="101" t="str">
        <f>HYPERLINK("http://the.honoluluadvertiser.com/article/2004/Nov/01/ln/ln20p.html","1")</f>
        <v>1</v>
      </c>
      <c r="CA78" s="101" t="str">
        <f>HYPERLINK("https://www.latimes.com/archives/la-xpm-2000-may-14-mn-30038-story.html","1")</f>
        <v>1</v>
      </c>
      <c r="CB78" s="101" t="str">
        <f>HYPERLINK("https://www.independent.co.uk/news/world/honolulu-killer-was-the-loner-from-easy-street-1123344.html","1")</f>
        <v>1</v>
      </c>
      <c r="CC78" s="51">
        <v>0</v>
      </c>
      <c r="CD78" s="101" t="str">
        <f>HYPERLINK("http://the.honoluluadvertiser.com/article/2004/Nov/01/ln/ln20p.html","0")</f>
        <v>0</v>
      </c>
      <c r="CE78" s="101" t="str">
        <f>HYPERLINK("http://archives.starbulletin.com/2000/05/15/news/story1.html","2")</f>
        <v>2</v>
      </c>
      <c r="CF78" s="107">
        <v>0</v>
      </c>
      <c r="CG78" s="51">
        <v>0</v>
      </c>
      <c r="CH78" s="101">
        <v>0</v>
      </c>
      <c r="CI78" s="101">
        <v>1</v>
      </c>
      <c r="CJ78" s="101" t="str">
        <f>HYPERLINK("http://archives.starbulletin.com/1999/11/09/news/story1.html#jump","brain injury")</f>
        <v>brain injury</v>
      </c>
      <c r="CK78" s="113">
        <v>0</v>
      </c>
      <c r="CL78" s="113"/>
      <c r="CM78" s="113"/>
      <c r="CN78" s="110">
        <v>0</v>
      </c>
      <c r="CO78" s="110">
        <v>0</v>
      </c>
      <c r="CP78" s="110">
        <v>0</v>
      </c>
      <c r="CQ78" s="110">
        <v>0</v>
      </c>
      <c r="CR78" s="108" t="str">
        <f>HYPERLINK("https://www.mirror.co.uk/news/real-life-stories/workers-who-kill-colleagues-university-11231926","1")</f>
        <v>1</v>
      </c>
      <c r="CS78" s="110">
        <v>0</v>
      </c>
      <c r="CT78" s="110">
        <v>0</v>
      </c>
      <c r="CU78" s="110">
        <v>0</v>
      </c>
      <c r="CV78" s="110">
        <v>0</v>
      </c>
      <c r="CW78" s="110">
        <v>0</v>
      </c>
      <c r="CX78" s="110">
        <v>0</v>
      </c>
      <c r="CY78" s="110">
        <v>0</v>
      </c>
      <c r="CZ78" s="108" t="str">
        <f>HYPERLINK("http://archives.starbulletin.com/2000/05/15/news/story1.html","0")</f>
        <v>0</v>
      </c>
      <c r="DA78" s="101" t="str">
        <f>HYPERLINK("https://www.mirror.co.uk/news/real-life-stories/workers-who-kill-colleagues-university-11231926","2")</f>
        <v>2</v>
      </c>
      <c r="DB78" s="51">
        <v>0</v>
      </c>
      <c r="DC78" s="101" t="str">
        <f>HYPERLINK("https://www.mirror.co.uk/news/real-life-stories/workers-who-kill-colleagues-university-11231926","1")</f>
        <v>1</v>
      </c>
      <c r="DD78" s="51">
        <v>0</v>
      </c>
      <c r="DE78" s="51">
        <v>4</v>
      </c>
      <c r="DF78" s="107">
        <v>0</v>
      </c>
      <c r="DG78" s="107"/>
      <c r="DH78" s="107"/>
      <c r="DI78" s="107"/>
      <c r="DJ78" s="51">
        <v>0</v>
      </c>
      <c r="DK78" s="101">
        <v>0</v>
      </c>
      <c r="DL78" s="48" t="s">
        <v>100</v>
      </c>
      <c r="DM78" s="101" t="str">
        <f>HYPERLINK("https://www.mirror.co.uk/news/real-life-stories/workers-who-kill-colleagues-university-11231926","0")</f>
        <v>0</v>
      </c>
      <c r="DN78" s="51">
        <v>0</v>
      </c>
      <c r="DO78" s="51" t="s">
        <v>100</v>
      </c>
      <c r="DP78" s="101" t="str">
        <f>HYPERLINK("https://www.mirror.co.uk/news/real-life-stories/workers-who-kill-colleagues-university-11231926","0")</f>
        <v>0</v>
      </c>
      <c r="DQ78" s="101" t="str">
        <f>HYPERLINK("http://archives.starbulletin.com/2000/05/15/news/story1.html","0")</f>
        <v>0</v>
      </c>
      <c r="DR78" s="105" t="str">
        <f>HYPERLINK("https://www.mirror.co.uk/news/real-life-stories/workers-who-kill-colleagues-university-11231926","1")</f>
        <v>1</v>
      </c>
      <c r="DS78" s="101" t="str">
        <f>HYPERLINK("https://www.latimes.com/archives/la-xpm-2000-may-14-mn-30038-story.html","1")</f>
        <v>1</v>
      </c>
      <c r="DT78" s="101" t="str">
        <f t="shared" ref="DT78" si="203">HYPERLINK("http://www.nytimes.com/1999/11/03/us/man-opens-fire-in-xerox-office-killing-7.html?mcubz=1","1")</f>
        <v>1</v>
      </c>
      <c r="DU78" s="101" t="str">
        <f>HYPERLINK("https://www.mirror.co.uk/news/real-life-stories/workers-who-kill-colleagues-university-11231926","0")</f>
        <v>0</v>
      </c>
      <c r="DV78" s="48" t="s">
        <v>100</v>
      </c>
      <c r="DW78" s="101" t="str">
        <f>HYPERLINK("http://articles.latimes.com/2000/aug/09/news/mn-1293","2")</f>
        <v>2</v>
      </c>
      <c r="DX78" s="101" t="str">
        <f>HYPERLINK("https://www.mirror.co.uk/news/real-life-stories/workers-who-kill-colleagues-university-11231926","0")</f>
        <v>0</v>
      </c>
      <c r="DY78" s="105" t="str">
        <f>HYPERLINK("https://www.mirror.co.uk/news/real-life-stories/workers-who-kill-colleagues-university-11231926","1")</f>
        <v>1</v>
      </c>
      <c r="DZ78" s="133" t="str">
        <f>HYPERLINK("https://www.latimes.com/archives/la-xpm-2000-aug-09-mn-1293-story.html","2")</f>
        <v>2</v>
      </c>
    </row>
    <row r="79" spans="1:130" ht="50.25" customHeight="1">
      <c r="A79" s="96">
        <v>77</v>
      </c>
      <c r="B79" s="97" t="s">
        <v>403</v>
      </c>
      <c r="C79" s="97" t="s">
        <v>404</v>
      </c>
      <c r="D79" s="98">
        <v>36524</v>
      </c>
      <c r="E79" s="48" t="s">
        <v>178</v>
      </c>
      <c r="F79" s="119">
        <v>30</v>
      </c>
      <c r="G79" s="102" t="str">
        <f>HYPERLINK("https://www.ksnt.com/news/16-years-later-tampa-firefighters-powerful-story-of-surviving-mass-shooting/amp/","12")</f>
        <v>12</v>
      </c>
      <c r="H79" s="101" t="str">
        <f>HYPERLINK("https://www.ksnt.com/news/16-years-later-tampa-firefighters-powerful-story-of-surviving-mass-shooting/amp/","1999")</f>
        <v>1999</v>
      </c>
      <c r="I79" s="48" t="s">
        <v>405</v>
      </c>
      <c r="J79" s="101" t="str">
        <f>HYPERLINK("http://articles.latimes.com/2000/jan/01/news/mn-49588","Tampa")</f>
        <v>Tampa</v>
      </c>
      <c r="K79" s="102" t="str">
        <f>HYPERLINK("http://articles.latimes.com/2000/jan/01/news/mn-49588","9")</f>
        <v>9</v>
      </c>
      <c r="L79" s="102">
        <v>0</v>
      </c>
      <c r="M79" s="102">
        <v>0</v>
      </c>
      <c r="N79" s="102" t="str">
        <f>HYPERLINK("https://www.nytimes.com/2000/01/01/us/hotel-worker-is-charged-in-the-killing-of-5-in-tampa.html","6")</f>
        <v>6</v>
      </c>
      <c r="O79" s="102" t="str">
        <f>HYPERLINK("https://www.washingtonpost.com/archive/politics/1999/12/31/gunman-slays-four-at-hotel-then-kills-driver-in-tampa/fb1853ec-417f-4656-97de-c3bf23d67c30/","1")</f>
        <v>1</v>
      </c>
      <c r="P79" s="102" t="str">
        <f>HYPERLINK("https://www.deseret.com/1999/12/31/19483268/5-killed-when-hotel-worker-goes-on-rampage-in-florida","5")</f>
        <v>5</v>
      </c>
      <c r="Q79" s="103">
        <v>0</v>
      </c>
      <c r="R79" s="103">
        <v>0</v>
      </c>
      <c r="S79" s="102" t="str">
        <f>HYPERLINK("https://www.nytimes.com/2000/01/01/us/hotel-worker-is-charged-in-the-killing-of-5-in-tampa.html","5")</f>
        <v>5</v>
      </c>
      <c r="T79" s="102">
        <v>3</v>
      </c>
      <c r="U79" s="105">
        <v>0</v>
      </c>
      <c r="V79" s="101" t="str">
        <f>HYPERLINK("https://www.nytimes.com/2000/01/01/us/hotel-worker-is-charged-in-the-killing-of-5-in-tampa.html","36")</f>
        <v>36</v>
      </c>
      <c r="W79" s="101" t="str">
        <f>HYPERLINK("https://www.nytimes.com/2000/01/01/us/hotel-worker-is-charged-in-the-killing-of-5-in-tampa.html","0")</f>
        <v>0</v>
      </c>
      <c r="X79" s="101" t="str">
        <f>HYPERLINK("http://www.dc.state.fl.us/offenderSearch/detail.aspx?Page=Detail&amp;DCNumber=166641&amp;TypeSearch=AI","2")</f>
        <v>2</v>
      </c>
      <c r="Y79" s="105">
        <v>1</v>
      </c>
      <c r="Z79" s="51">
        <v>0</v>
      </c>
      <c r="AA79" s="101" t="str">
        <f>HYPERLINK("https://www.latimes.com/archives/la-xpm-2000-jan-01-mn-49588-story.html","5")</f>
        <v>5</v>
      </c>
      <c r="AB79" s="51" t="s">
        <v>818</v>
      </c>
      <c r="AC79" s="51"/>
      <c r="AD79" s="51"/>
      <c r="AE79" s="51"/>
      <c r="AF79" s="51"/>
      <c r="AG79" s="51"/>
      <c r="AH79" s="51"/>
      <c r="AI79" s="51">
        <v>0</v>
      </c>
      <c r="AJ79" s="101" t="str">
        <f>HYPERLINK("https://www.poynter.org/archive/2003/gunman-kills-5-worker%EF%BF%BDs-rampage-spills-from-hotel/","1")</f>
        <v>1</v>
      </c>
      <c r="AK79" s="101" t="str">
        <f>HYPERLINK("https://www.nytimes.com/2000/01/01/us/hotel-worker-is-charged-in-the-killing-of-5-in-tampa.html","1")</f>
        <v>1</v>
      </c>
      <c r="AL79" s="101" t="str">
        <f>HYPERLINK("https://www.nytimes.com/2000/01/01/us/hotel-worker-is-charged-in-the-killing-of-5-in-tampa.html","0")</f>
        <v>0</v>
      </c>
      <c r="AM79" s="51">
        <v>0</v>
      </c>
      <c r="AN79" s="48" t="s">
        <v>100</v>
      </c>
      <c r="AO79" s="51"/>
      <c r="AP79" s="51"/>
      <c r="AQ79" s="51">
        <v>0</v>
      </c>
      <c r="AR79" s="51">
        <v>0</v>
      </c>
      <c r="AS79" s="101" t="str">
        <f>HYPERLINK("https://www.tampabay.com/archive/2000/01/05/old-case-follows-slaying-suspect/","1")</f>
        <v>1</v>
      </c>
      <c r="AT79" s="48">
        <v>0</v>
      </c>
      <c r="AU79" s="48" t="s">
        <v>100</v>
      </c>
      <c r="AV79" s="48" t="s">
        <v>100</v>
      </c>
      <c r="AW79" s="48" t="s">
        <v>100</v>
      </c>
      <c r="AX79" s="48">
        <v>0</v>
      </c>
      <c r="AY79" s="51">
        <v>0</v>
      </c>
      <c r="AZ79" s="51">
        <v>0</v>
      </c>
      <c r="BA79" s="51">
        <v>0</v>
      </c>
      <c r="BB79" s="107">
        <v>0</v>
      </c>
      <c r="BC79" s="51">
        <v>0</v>
      </c>
      <c r="BD79" s="51">
        <v>0</v>
      </c>
      <c r="BE79" s="51"/>
      <c r="BF79" s="51"/>
      <c r="BG79" s="51"/>
      <c r="BH79" s="51"/>
      <c r="BI79" s="51">
        <v>0</v>
      </c>
      <c r="BJ79" s="51">
        <v>0</v>
      </c>
      <c r="BK79" s="101" t="str">
        <f>HYPERLINK("https://www.washingtonpost.com/archive/politics/1999/12/31/gunman-slays-four-at-hotel-then-kills-driver-in-tampa/fb1853ec-417f-4656-97de-c3bf23d67c30/","1")</f>
        <v>1</v>
      </c>
      <c r="BL79" s="108">
        <v>0</v>
      </c>
      <c r="BM79" s="108" t="s">
        <v>100</v>
      </c>
      <c r="BN79" s="115"/>
      <c r="BO79" s="110">
        <v>0</v>
      </c>
      <c r="BP79" s="110">
        <v>0</v>
      </c>
      <c r="BQ79" s="110">
        <v>0</v>
      </c>
      <c r="BR79" s="110">
        <v>0</v>
      </c>
      <c r="BS79" s="159">
        <v>0</v>
      </c>
      <c r="BT79" s="110">
        <v>0</v>
      </c>
      <c r="BU79" s="110">
        <v>0</v>
      </c>
      <c r="BV79" s="110">
        <v>0</v>
      </c>
      <c r="BW79" s="115">
        <v>0</v>
      </c>
      <c r="BX79" s="110">
        <v>0</v>
      </c>
      <c r="BY79" s="51">
        <v>0</v>
      </c>
      <c r="BZ79" s="51">
        <v>0</v>
      </c>
      <c r="CA79" s="51">
        <v>0</v>
      </c>
      <c r="CB79" s="51" t="s">
        <v>100</v>
      </c>
      <c r="CC79" s="51">
        <v>0</v>
      </c>
      <c r="CD79" s="51" t="s">
        <v>100</v>
      </c>
      <c r="CE79" s="101" t="str">
        <f>HYPERLINK("https://www.mrt.com/news/amp/Ex-Fla-Hotel-Worker-Pleads-Guilty-7839270.php","1")</f>
        <v>1</v>
      </c>
      <c r="CF79" s="107">
        <v>0</v>
      </c>
      <c r="CG79" s="51">
        <v>0</v>
      </c>
      <c r="CH79" s="101" t="str">
        <f>HYPERLINK("https://www.tampabay.com/archive/2000/01/05/old-case-follows-slaying-suspect/","4")</f>
        <v>4</v>
      </c>
      <c r="CI79" s="51">
        <v>0</v>
      </c>
      <c r="CJ79" s="51" t="s">
        <v>100</v>
      </c>
      <c r="CK79" s="113">
        <v>0</v>
      </c>
      <c r="CL79" s="113"/>
      <c r="CM79" s="113"/>
      <c r="CN79" s="110">
        <v>0</v>
      </c>
      <c r="CO79" s="110">
        <v>0</v>
      </c>
      <c r="CP79" s="110">
        <v>0</v>
      </c>
      <c r="CQ79" s="110">
        <v>0</v>
      </c>
      <c r="CR79" s="110">
        <v>0</v>
      </c>
      <c r="CS79" s="110">
        <v>0</v>
      </c>
      <c r="CT79" s="110">
        <v>0</v>
      </c>
      <c r="CU79" s="110">
        <v>0</v>
      </c>
      <c r="CV79" s="110">
        <v>0</v>
      </c>
      <c r="CW79" s="110">
        <v>0</v>
      </c>
      <c r="CX79" s="110">
        <v>0</v>
      </c>
      <c r="CY79" s="108" t="str">
        <f>HYPERLINK("https://www.mrt.com/news/amp/Ex-Fla-Hotel-Worker-Pleads-Guilty-7839270.php","1")</f>
        <v>1</v>
      </c>
      <c r="CZ79" s="108" t="str">
        <f>HYPERLINK("https://www.nytimes.com/2000/01/01/us/hotel-worker-is-charged-in-the-killing-of-5-in-tampa.html","0")</f>
        <v>0</v>
      </c>
      <c r="DA79" s="51">
        <v>0</v>
      </c>
      <c r="DB79" s="51">
        <v>0</v>
      </c>
      <c r="DC79" s="101" t="str">
        <f>HYPERLINK("https://www.washingtonpost.com/archive/politics/1999/12/31/gunman-slays-four-at-hotel-then-kills-driver-in-tampa/fb1853ec-417f-4656-97de-c3bf23d67c30/","0")</f>
        <v>0</v>
      </c>
      <c r="DD79" s="51"/>
      <c r="DE79" s="51"/>
      <c r="DF79" s="51"/>
      <c r="DG79" s="51"/>
      <c r="DH79" s="51"/>
      <c r="DI79" s="51"/>
      <c r="DJ79" s="51">
        <v>0</v>
      </c>
      <c r="DK79" s="51">
        <v>0</v>
      </c>
      <c r="DL79" s="48" t="s">
        <v>100</v>
      </c>
      <c r="DM79" s="101" t="str">
        <f>HYPERLINK("https://www.mrt.com/news/amp/Ex-Fla-Hotel-Worker-Pleads-Guilty-7839270.php","0")</f>
        <v>0</v>
      </c>
      <c r="DN79" s="51">
        <v>0</v>
      </c>
      <c r="DO79" s="51" t="s">
        <v>100</v>
      </c>
      <c r="DP79" s="101" t="str">
        <f>HYPERLINK("https://www.mrt.com/news/amp/Ex-Fla-Hotel-Worker-Pleads-Guilty-7839270.php","0")</f>
        <v>0</v>
      </c>
      <c r="DQ79" s="101" t="str">
        <f>HYPERLINK("https://www.nytimes.com/2000/01/01/us/hotel-worker-is-charged-in-the-killing-of-5-in-tampa.html","0")</f>
        <v>0</v>
      </c>
      <c r="DR79" s="48">
        <v>0</v>
      </c>
      <c r="DS79" s="101" t="str">
        <f>HYPERLINK("https://www.upi.com/Archives/2000/06/09/Charges-dropped-against-Fla-gun-shop/3025960523200/","1")</f>
        <v>1</v>
      </c>
      <c r="DT79" s="101">
        <v>2</v>
      </c>
      <c r="DU79" s="101">
        <v>0</v>
      </c>
      <c r="DV79" s="48" t="s">
        <v>100</v>
      </c>
      <c r="DW79" s="101" t="str">
        <f>HYPERLINK("http://articles.latimes.com/2000/jan/01/news/mn-49588","2")</f>
        <v>2</v>
      </c>
      <c r="DX79" s="101">
        <v>1</v>
      </c>
      <c r="DY79" s="105" t="str">
        <f>HYPERLINK("https://www.mrt.com/news/amp/Ex-Fla-Hotel-Worker-Pleads-Guilty-7839270.php","1")</f>
        <v>1</v>
      </c>
      <c r="DZ79" s="133" t="str">
        <f>HYPERLINK("https://www.wfla.com/news/tampa-survivor-of-workplace-shooting-offers-advice-after-5-killed-in-orlando-attack/","2")</f>
        <v>2</v>
      </c>
    </row>
    <row r="80" spans="1:130" ht="50.25" customHeight="1">
      <c r="A80" s="96">
        <v>78</v>
      </c>
      <c r="B80" s="97" t="s">
        <v>263</v>
      </c>
      <c r="C80" s="97" t="s">
        <v>102</v>
      </c>
      <c r="D80" s="98">
        <v>36605</v>
      </c>
      <c r="E80" s="48" t="s">
        <v>95</v>
      </c>
      <c r="F80" s="119">
        <v>20</v>
      </c>
      <c r="G80" s="102" t="str">
        <f>HYPERLINK("https://www.dallasnews.com/news/news/2012/09/20/texas-executes-man-who-murdered-5-at-irving-car-wash-12-years-ago","3")</f>
        <v>3</v>
      </c>
      <c r="H80" s="101" t="str">
        <f>HYPERLINK("https://www.dallasnews.com/news/news/2012/09/20/texas-executes-man-who-murdered-5-at-irving-car-wash-12-years-ago","2000")</f>
        <v>2000</v>
      </c>
      <c r="I80" s="48" t="s">
        <v>407</v>
      </c>
      <c r="J80" s="101" t="str">
        <f>HYPERLINK("https://www.dallasnews.com/news/news/2012/09/20/texas-executes-man-who-murdered-5-at-irving-car-wash-12-years-ago","Irving")</f>
        <v>Irving</v>
      </c>
      <c r="K80" s="102" t="str">
        <f>HYPERLINK("https://www.dallasnews.com/news/news/2012/09/20/texas-executes-man-who-murdered-5-at-irving-car-wash-12-years-ago","43")</f>
        <v>43</v>
      </c>
      <c r="L80" s="102" t="str">
        <f t="shared" ref="L80:M80" si="204">HYPERLINK("https://www.dallasnews.com/news/news/2012/09/20/texas-executes-man-who-murdered-5-at-irving-car-wash-12-years-ago","0")</f>
        <v>0</v>
      </c>
      <c r="M80" s="102" t="str">
        <f t="shared" si="204"/>
        <v>0</v>
      </c>
      <c r="N80" s="102" t="str">
        <f>HYPERLINK("https://www.dallasnews.com/news/news/2012/09/20/texas-executes-man-who-murdered-5-at-irving-car-wash-12-years-ago","6")</f>
        <v>6</v>
      </c>
      <c r="O80" s="102">
        <v>0</v>
      </c>
      <c r="P80" s="99" t="s">
        <v>100</v>
      </c>
      <c r="Q80" s="103">
        <v>0</v>
      </c>
      <c r="R80" s="103">
        <v>0</v>
      </c>
      <c r="S80" s="102" t="str">
        <f>HYPERLINK("https://www.dallasnews.com/news/news/2012/09/20/texas-executes-man-who-murdered-5-at-irving-car-wash-12-years-ago","5")</f>
        <v>5</v>
      </c>
      <c r="T80" s="102">
        <v>1</v>
      </c>
      <c r="U80" s="101" t="str">
        <f>HYPERLINK("https://www.dallasnews.com/news/news/2012/09/20/texas-executes-man-who-murdered-5-at-irving-car-wash-12-years-ago","0")</f>
        <v>0</v>
      </c>
      <c r="V80" s="101" t="str">
        <f>HYPERLINK("http://www.newson6.com/story/7671838/irving-carwash-slaying-suspect-leads-authorities-to-body","28")</f>
        <v>28</v>
      </c>
      <c r="W80" s="101" t="str">
        <f>HYPERLINK("https://www.dallasnews.com/news/news/2012/09/20/texas-executes-man-who-murdered-5-at-irving-car-wash-12-years-ago","0")</f>
        <v>0</v>
      </c>
      <c r="X80" s="101" t="str">
        <f>HYPERLINK("https://www.cbsnews.com/news/texas-executes-robert-harris-confessed-killer-of-five-after-failed-supreme-court-appeals/","1")</f>
        <v>1</v>
      </c>
      <c r="Y80" s="105" t="str">
        <f>HYPERLINK("https://tdcj.texas.gov/death_row/dr_info/harrisrobert.html","0")</f>
        <v>0</v>
      </c>
      <c r="Z80" s="101" t="str">
        <f>HYPERLINK("https://www.dallasnews.com/news/news/2012/09/20/texas-executes-man-who-murdered-5-at-irving-car-wash-12-years-ago","0")</f>
        <v>0</v>
      </c>
      <c r="AA80" s="101" t="str">
        <f>HYPERLINK("https://www.dallasnews.com/news/news/2012/09/20/texas-executes-man-who-murdered-5-at-irving-car-wash-12-years-ago","1")</f>
        <v>1</v>
      </c>
      <c r="AB80" s="101">
        <v>0</v>
      </c>
      <c r="AC80" s="101" t="str">
        <f>HYPERLINK("http://www.iapsych.com/iqmr/harris2012.pdf","1")</f>
        <v>1</v>
      </c>
      <c r="AD80" s="101" t="str">
        <f>HYPERLINK("http://www.iapsych.com/iqmr/harris2012.pdf","mostly good grades, got a GED at 18")</f>
        <v>mostly good grades, got a GED at 18</v>
      </c>
      <c r="AE80" s="101" t="str">
        <f>HYPERLINK("https://www.newson6.com/story/7671838/irving-carwash-slaying-suspect-leads-authorities-to-body","3")</f>
        <v>3</v>
      </c>
      <c r="AF80" s="101" t="str">
        <f t="shared" ref="AF80:AG80" si="205">HYPERLINK("https://www.newson6.com/story/7671838/irving-carwash-slaying-suspect-leads-authorities-to-body","1")</f>
        <v>1</v>
      </c>
      <c r="AG80" s="101" t="str">
        <f t="shared" si="205"/>
        <v>1</v>
      </c>
      <c r="AH80" s="101" t="str">
        <f>HYPERLINK("https://www.newson6.com/story/7671838/irving-carwash-slaying-suspect-leads-authorities-to-body","0")</f>
        <v>0</v>
      </c>
      <c r="AI80" s="101">
        <v>0</v>
      </c>
      <c r="AJ80" s="51">
        <v>0</v>
      </c>
      <c r="AK80" s="101" t="str">
        <f t="shared" ref="AK80:AL80" si="206">HYPERLINK("https://www.cbsnews.com/news/texas-executes-robert-harris-confessed-killer-of-five-after-failed-supreme-court-appeals/","0")</f>
        <v>0</v>
      </c>
      <c r="AL80" s="101" t="str">
        <f t="shared" si="206"/>
        <v>0</v>
      </c>
      <c r="AM80" s="51">
        <v>0</v>
      </c>
      <c r="AN80" s="48" t="s">
        <v>100</v>
      </c>
      <c r="AO80" s="51">
        <v>0</v>
      </c>
      <c r="AP80" s="54"/>
      <c r="AQ80" s="101">
        <v>1</v>
      </c>
      <c r="AR80" s="101" t="str">
        <f>HYPERLINK("https://www.newson6.com/story/7671838/irving-carwash-slaying-suspect-leads-authorities-to-body","1")</f>
        <v>1</v>
      </c>
      <c r="AS80" s="101" t="str">
        <f>HYPERLINK("https://www.dallasnews.com/news/texas/2012/03/13/man-condemned-for-irving-car-wash-shooting-spree-in-2000-loses-appeal","1")</f>
        <v>1</v>
      </c>
      <c r="AT80" s="51">
        <v>0</v>
      </c>
      <c r="AU80" s="51" t="s">
        <v>100</v>
      </c>
      <c r="AV80" s="51" t="s">
        <v>100</v>
      </c>
      <c r="AW80" s="51" t="s">
        <v>100</v>
      </c>
      <c r="AX80" s="101" t="str">
        <f>HYPERLINK("https://www.dallasnews.com/news/texas/2012/03/13/man-condemned-for-irving-car-wash-shooting-spree-in-2000-loses-appeal/","1")</f>
        <v>1</v>
      </c>
      <c r="AY80" s="51">
        <v>0</v>
      </c>
      <c r="AZ80" s="48">
        <v>0</v>
      </c>
      <c r="BA80" s="51">
        <v>0</v>
      </c>
      <c r="BB80" s="107">
        <v>0</v>
      </c>
      <c r="BC80" s="101">
        <v>0</v>
      </c>
      <c r="BD80" s="101">
        <v>0</v>
      </c>
      <c r="BE80" s="101" t="str">
        <f>HYPERLINK("https://www.dallasnews.com/news/news/2012/09/19/man-condemned-for-irving-car-wash-killings-in-2000-set-to-die-thursday","1")</f>
        <v>1</v>
      </c>
      <c r="BF80" s="51">
        <v>0</v>
      </c>
      <c r="BG80" s="101" t="str">
        <f>HYPERLINK("https://www.dallasnews.com/news/news/2012/09/19/man-condemned-for-irving-car-wash-killings-in-2000-set-to-die-thursday","3")</f>
        <v>3</v>
      </c>
      <c r="BH80" s="51"/>
      <c r="BI80" s="51">
        <v>0</v>
      </c>
      <c r="BJ80" s="51">
        <v>0</v>
      </c>
      <c r="BK80" s="101" t="str">
        <f>HYPERLINK("https://www.cbsnews.com/news/texas-executes-robert-harris-confessed-killer-of-five-after-failed-supreme-court-appeals/","1")</f>
        <v>1</v>
      </c>
      <c r="BL80" s="108">
        <v>0</v>
      </c>
      <c r="BM80" s="108" t="s">
        <v>100</v>
      </c>
      <c r="BN80" s="110"/>
      <c r="BO80" s="111">
        <v>0</v>
      </c>
      <c r="BP80" s="111">
        <v>0</v>
      </c>
      <c r="BQ80" s="111">
        <v>0</v>
      </c>
      <c r="BR80" s="111">
        <v>0</v>
      </c>
      <c r="BS80" s="111">
        <v>0</v>
      </c>
      <c r="BT80" s="111">
        <v>0</v>
      </c>
      <c r="BU80" s="111">
        <v>0</v>
      </c>
      <c r="BV80" s="111">
        <v>0</v>
      </c>
      <c r="BW80" s="111">
        <v>0</v>
      </c>
      <c r="BX80" s="111">
        <v>0</v>
      </c>
      <c r="BY80" s="51">
        <v>0</v>
      </c>
      <c r="BZ80" s="51">
        <v>0</v>
      </c>
      <c r="CA80" s="51">
        <v>0</v>
      </c>
      <c r="CB80" s="51" t="s">
        <v>100</v>
      </c>
      <c r="CC80" s="51">
        <v>0</v>
      </c>
      <c r="CD80" s="51" t="s">
        <v>100</v>
      </c>
      <c r="CE80" s="101" t="str">
        <f>HYPERLINK("https://www.dallasnews.com/news/texas/2012/03/13/man-condemned-for-irving-car-wash-shooting-spree-in-2000-loses-appeal","1")</f>
        <v>1</v>
      </c>
      <c r="CF80" s="107">
        <v>0</v>
      </c>
      <c r="CG80" s="51">
        <v>0</v>
      </c>
      <c r="CH80" s="101" t="str">
        <f>HYPERLINK("https://www.newson6.com/story/7671838/irving-carwash-slaying-suspect-leads-authorities-to-body","1")</f>
        <v>1</v>
      </c>
      <c r="CI80" s="51">
        <v>0</v>
      </c>
      <c r="CJ80" s="51" t="s">
        <v>100</v>
      </c>
      <c r="CK80" s="113">
        <v>0</v>
      </c>
      <c r="CL80" s="113"/>
      <c r="CM80" s="113"/>
      <c r="CN80" s="110">
        <v>0</v>
      </c>
      <c r="CO80" s="110">
        <v>0</v>
      </c>
      <c r="CP80" s="110">
        <v>0</v>
      </c>
      <c r="CQ80" s="110">
        <v>0</v>
      </c>
      <c r="CR80" s="108" t="str">
        <f>HYPERLINK("https://www.apnews.com/21f9748932c0709b96a7181ade7b1947","1")</f>
        <v>1</v>
      </c>
      <c r="CS80" s="110">
        <v>0</v>
      </c>
      <c r="CT80" s="110">
        <v>0</v>
      </c>
      <c r="CU80" s="110">
        <v>0</v>
      </c>
      <c r="CV80" s="110">
        <v>0</v>
      </c>
      <c r="CW80" s="110">
        <v>0</v>
      </c>
      <c r="CX80" s="110">
        <v>0</v>
      </c>
      <c r="CY80" s="110">
        <v>0</v>
      </c>
      <c r="CZ80" s="108" t="str">
        <f>HYPERLINK("https://www.dallasnews.com/news/news/2012/09/20/texas-executes-man-who-murdered-5-at-irving-car-wash-12-years-ago","0")</f>
        <v>0</v>
      </c>
      <c r="DA80" s="51">
        <v>0</v>
      </c>
      <c r="DB80" s="51">
        <v>0</v>
      </c>
      <c r="DC80" s="141" t="str">
        <f>HYPERLINK("http://www.txexecutions.org/reports/485.asp","1")</f>
        <v>1</v>
      </c>
      <c r="DD80" s="107">
        <v>0</v>
      </c>
      <c r="DE80" s="107">
        <v>5</v>
      </c>
      <c r="DF80" s="107">
        <v>0</v>
      </c>
      <c r="DG80" s="107"/>
      <c r="DH80" s="107"/>
      <c r="DI80" s="107"/>
      <c r="DJ80" s="51">
        <v>0</v>
      </c>
      <c r="DK80" s="101">
        <v>0</v>
      </c>
      <c r="DL80" s="48" t="s">
        <v>100</v>
      </c>
      <c r="DM80" s="101" t="str">
        <f>HYPERLINK("https://www.dallasnews.com/news/news/2012/09/20/texas-executes-man-who-murdered-5-at-irving-car-wash-12-years-ago","0")</f>
        <v>0</v>
      </c>
      <c r="DN80" s="51">
        <v>0</v>
      </c>
      <c r="DO80" s="51" t="s">
        <v>100</v>
      </c>
      <c r="DP80" s="101" t="str">
        <f>HYPERLINK("http://www.txexecutions.org/reports/485.asp","0")</f>
        <v>0</v>
      </c>
      <c r="DQ80" s="101" t="str">
        <f>HYPERLINK("https://www.dallasnews.com/news/news/2012/09/20/texas-executes-man-who-murdered-5-at-irving-car-wash-12-years-ago","0")</f>
        <v>0</v>
      </c>
      <c r="DR80" s="51">
        <v>0</v>
      </c>
      <c r="DS80" s="51"/>
      <c r="DT80" s="101" t="str">
        <f t="shared" ref="DT80" si="207">HYPERLINK("https://www.dallasnews.com/news/texas/2012/03/13/man-condemned-for-irving-car-wash-shooting-spree-in-2000-loses-appeal","1")</f>
        <v>1</v>
      </c>
      <c r="DU80" s="101" t="str">
        <f>HYPERLINK("https://www.dallasnews.com/news/news/2012/09/20/texas-executes-man-who-murdered-5-at-irving-car-wash-12-years-ago","1")</f>
        <v>1</v>
      </c>
      <c r="DV80" s="101" t="str">
        <f>HYPERLINK("https://www.dallasnews.com/news/news/2012/09/20/texas-executes-man-who-murdered-5-at-irving-car-wash-12-years-ago","knife")</f>
        <v>knife</v>
      </c>
      <c r="DW80" s="101" t="str">
        <f>HYPERLINK("https://www.dallasnews.com/news/news/2012/09/20/texas-executes-man-who-murdered-5-at-irving-car-wash-12-years-ago","2")</f>
        <v>2</v>
      </c>
      <c r="DX80" s="101" t="str">
        <f>HYPERLINK("https://tdcj.texas.gov/death_row/dr_info/harrisrobert.html","1")</f>
        <v>1</v>
      </c>
      <c r="DY80" s="101" t="str">
        <f>HYPERLINK("https://www.apnews.com/21f9748932c0709b96a7181ade7b1947","0")</f>
        <v>0</v>
      </c>
      <c r="DZ80" s="48">
        <v>0</v>
      </c>
    </row>
    <row r="81" spans="1:130" ht="50.25" customHeight="1">
      <c r="A81" s="96">
        <v>79</v>
      </c>
      <c r="B81" s="97" t="s">
        <v>409</v>
      </c>
      <c r="C81" s="97" t="s">
        <v>241</v>
      </c>
      <c r="D81" s="98">
        <v>36644</v>
      </c>
      <c r="E81" s="105" t="s">
        <v>157</v>
      </c>
      <c r="F81" s="119">
        <v>28</v>
      </c>
      <c r="G81" s="102" t="str">
        <f>HYPERLINK("http://old.post-gazette.com/regionstate/20000429shootings2.asp","4")</f>
        <v>4</v>
      </c>
      <c r="H81" s="101" t="str">
        <f>HYPERLINK("http://old.post-gazette.com/regionstate/20000429shootings2.asp","2000")</f>
        <v>2000</v>
      </c>
      <c r="I81" s="48" t="s">
        <v>410</v>
      </c>
      <c r="J81" s="101" t="str">
        <f>HYPERLINK("http://old.post-gazette.com/regionstate/20000429shootings2.asp","Mount Lebanon")</f>
        <v>Mount Lebanon</v>
      </c>
      <c r="K81" s="102" t="str">
        <f>HYPERLINK("https://caselaw.findlaw.com/pa-supreme-court/1166214.html","38")</f>
        <v>38</v>
      </c>
      <c r="L81" s="102" t="str">
        <f>HYPERLINK("https://www.post-gazette.com/news/crime-courts/2018/10/27/Mass-shootings-in-Pittsburgh-history-timeline-baumhammers-taylor-poplawski/stories/201810270082","2")</f>
        <v>2</v>
      </c>
      <c r="M81" s="102">
        <v>1</v>
      </c>
      <c r="N81" s="102" t="str">
        <f>HYPERLINK("https://www.nytimes.com/2000/04/30/us/shootings-leave-pittsburgh-suburbs-stunned.html","7")</f>
        <v>7</v>
      </c>
      <c r="O81" s="102">
        <v>1</v>
      </c>
      <c r="P81" s="102" t="str">
        <f>HYPERLINK("https://www.nytimes.com/2000/04/30/us/shootings-leave-pittsburgh-suburbs-stunned.html","4")</f>
        <v>4</v>
      </c>
      <c r="Q81" s="103">
        <v>0</v>
      </c>
      <c r="R81" s="103">
        <v>0</v>
      </c>
      <c r="S81" s="102" t="str">
        <f>HYPERLINK("https://www.post-gazette.com/news/crime-courts/2018/10/27/Mass-shootings-in-Pittsburgh-history-timeline-baumhammers-taylor-poplawski/stories/201810270082","5")</f>
        <v>5</v>
      </c>
      <c r="T81" s="102">
        <v>1</v>
      </c>
      <c r="U81" s="101" t="str">
        <f>HYPERLINK("http://old.post-gazette.com/regionstate/20000429shootings2.asp","0")</f>
        <v>0</v>
      </c>
      <c r="V81" s="101" t="str">
        <f>HYPERLINK("http://old.post-gazette.com/regionstate/20000429profile4.asp","34")</f>
        <v>34</v>
      </c>
      <c r="W81" s="101" t="str">
        <f>HYPERLINK("https://www.nytimes.com/2000/04/30/us/shootings-leave-pittsburgh-suburbs-stunned.html","0")</f>
        <v>0</v>
      </c>
      <c r="X81" s="101" t="str">
        <f>HYPERLINK("https://www.post-gazette.com/news/crime-courts/2018/10/27/Mass-shootings-in-Pittsburgh-history-timeline-baumhammers-taylor-poplawski/stories/201810270082","0")</f>
        <v>0</v>
      </c>
      <c r="Y81" s="105">
        <v>0</v>
      </c>
      <c r="Z81" s="51">
        <v>0</v>
      </c>
      <c r="AA81" s="51"/>
      <c r="AB81" s="101">
        <v>4</v>
      </c>
      <c r="AC81" s="101" t="str">
        <f>HYPERLINK("http://old.post-gazette.com/regionstate/20000429profile4.asp","2")</f>
        <v>2</v>
      </c>
      <c r="AD81" s="101" t="str">
        <f>HYPERLINK("http://old.post-gazette.com/regionstate/20000429profile4.asp","top third of class")</f>
        <v>top third of class</v>
      </c>
      <c r="AE81" s="101" t="str">
        <f>HYPERLINK("https://web.archive.org/web/20070831085028/http://the-duke.duq-duke.duq.edu/justice/Taylor/Baumhamm.htm","3")</f>
        <v>3</v>
      </c>
      <c r="AF81" s="101" t="str">
        <f t="shared" ref="AF81:AG81" si="208">HYPERLINK("https://web.archive.org/web/20070831085028/http://the-duke.duq-duke.duq.edu/justice/Taylor/Baumhamm.htm","1")</f>
        <v>1</v>
      </c>
      <c r="AG81" s="101" t="str">
        <f t="shared" si="208"/>
        <v>1</v>
      </c>
      <c r="AH81" s="101" t="str">
        <f>HYPERLINK("https://web.archive.org/web/20070831085028/http://the-duke.duq-duke.duq.edu/justice/Taylor/Baumhamm.htm","0")</f>
        <v>0</v>
      </c>
      <c r="AI81" s="101" t="str">
        <f>HYPERLINK("http://old.post-gazette.com/regionstate/20000429profile4.asp","0")</f>
        <v>0</v>
      </c>
      <c r="AJ81" s="101">
        <v>0</v>
      </c>
      <c r="AK81" s="101" t="str">
        <f>HYPERLINK("https://web.archive.org/web/20110129171542/https://abcnews.go.com/US/story?id=93325&amp;page=1","0")</f>
        <v>0</v>
      </c>
      <c r="AL81" s="101" t="str">
        <f>HYPERLINK("https://www.nytimes.com/2000/04/30/us/shootings-leave-pittsburgh-suburbs-stunned.html","1")</f>
        <v>1</v>
      </c>
      <c r="AM81" s="101">
        <v>0</v>
      </c>
      <c r="AN81" s="48" t="s">
        <v>100</v>
      </c>
      <c r="AO81" s="101" t="str">
        <f>HYPERLINK("http://old.post-gazette.com/regionstate/20000429profile4.asp","0")</f>
        <v>0</v>
      </c>
      <c r="AP81" s="54"/>
      <c r="AQ81" s="101">
        <v>0</v>
      </c>
      <c r="AR81" s="51">
        <v>0</v>
      </c>
      <c r="AS81" s="101">
        <v>0</v>
      </c>
      <c r="AT81" s="51">
        <v>0</v>
      </c>
      <c r="AU81" s="51" t="s">
        <v>100</v>
      </c>
      <c r="AV81" s="51" t="s">
        <v>100</v>
      </c>
      <c r="AW81" s="51" t="s">
        <v>100</v>
      </c>
      <c r="AX81" s="51">
        <v>0</v>
      </c>
      <c r="AY81" s="51">
        <v>0</v>
      </c>
      <c r="AZ81" s="51">
        <v>0</v>
      </c>
      <c r="BA81" s="123">
        <v>1</v>
      </c>
      <c r="BB81" s="107">
        <v>0</v>
      </c>
      <c r="BC81" s="101">
        <v>0</v>
      </c>
      <c r="BD81" s="101">
        <v>0</v>
      </c>
      <c r="BE81" s="101" t="str">
        <f t="shared" ref="BE81:BF81" si="209">HYPERLINK("http://old.post-gazette.com/regionstate/20000429shootings2.asp","0")</f>
        <v>0</v>
      </c>
      <c r="BF81" s="101" t="str">
        <f t="shared" si="209"/>
        <v>0</v>
      </c>
      <c r="BG81" s="51"/>
      <c r="BH81" s="107">
        <v>2</v>
      </c>
      <c r="BI81" s="101">
        <v>0</v>
      </c>
      <c r="BJ81" s="101">
        <v>0</v>
      </c>
      <c r="BK81" s="101">
        <v>1</v>
      </c>
      <c r="BL81" s="108">
        <v>1</v>
      </c>
      <c r="BM81" s="108">
        <v>3</v>
      </c>
      <c r="BN81" s="115" t="s">
        <v>3032</v>
      </c>
      <c r="BO81" s="111">
        <v>0</v>
      </c>
      <c r="BP81" s="111">
        <v>1</v>
      </c>
      <c r="BQ81" s="111">
        <v>0</v>
      </c>
      <c r="BR81" s="111">
        <v>0</v>
      </c>
      <c r="BS81" s="111">
        <v>0</v>
      </c>
      <c r="BT81" s="111">
        <v>1</v>
      </c>
      <c r="BU81" s="111">
        <v>0</v>
      </c>
      <c r="BV81" s="111">
        <v>1</v>
      </c>
      <c r="BW81" s="111">
        <v>1</v>
      </c>
      <c r="BX81" s="111">
        <v>1</v>
      </c>
      <c r="BY81" s="101">
        <v>1</v>
      </c>
      <c r="BZ81" s="101" t="str">
        <f t="shared" ref="BZ81:CA81" si="210">HYPERLINK("https://web.archive.org/web/20070831085028/http://the-duke.duq-duke.duq.edu/justice/Taylor/Baumhamm.htm","1")</f>
        <v>1</v>
      </c>
      <c r="CA81" s="101" t="str">
        <f t="shared" si="210"/>
        <v>1</v>
      </c>
      <c r="CB81" s="101" t="str">
        <f>HYPERLINK("https://web.archive.org/web/20070831085028/http://the-duke.duq-duke.duq.edu/justice/Taylor/Baumhamm.htm","0")</f>
        <v>0</v>
      </c>
      <c r="CC81" s="101" t="str">
        <f>HYPERLINK("https://web.archive.org/web/20070831085028/http://the-duke.duq-duke.duq.edu/justice/Taylor/Baumhamm.htm","1")</f>
        <v>1</v>
      </c>
      <c r="CD81" s="101" t="str">
        <f>HYPERLINK("https://old.post-gazette.com/regionstate/20010428baumhammers1.asp","1")</f>
        <v>1</v>
      </c>
      <c r="CE81" s="101" t="str">
        <f>HYPERLINK("https://web.archive.org/web/20070831085028/http:/the-duke.duq-duke.duq.edu/justice/Taylor/Baumhamm.htm","2")</f>
        <v>2</v>
      </c>
      <c r="CF81" s="107">
        <v>0</v>
      </c>
      <c r="CG81" s="51">
        <v>0</v>
      </c>
      <c r="CH81" s="101">
        <v>0</v>
      </c>
      <c r="CI81" s="101">
        <v>0</v>
      </c>
      <c r="CJ81" s="51" t="s">
        <v>100</v>
      </c>
      <c r="CK81" s="117">
        <v>4</v>
      </c>
      <c r="CL81" s="117">
        <v>1</v>
      </c>
      <c r="CM81" s="117"/>
      <c r="CN81" s="108" t="str">
        <f>HYPERLINK("https://caselaw.findlaw.com/pa-supreme-court/1166214.html","1")</f>
        <v>1</v>
      </c>
      <c r="CO81" s="108" t="str">
        <f>HYPERLINK("https://web.archive.org/web/20110129171542/https://abcnews.go.com/US/story?id=93325&amp;page=1","1")</f>
        <v>1</v>
      </c>
      <c r="CP81" s="110">
        <v>0</v>
      </c>
      <c r="CQ81" s="110">
        <v>0</v>
      </c>
      <c r="CR81" s="110">
        <v>0</v>
      </c>
      <c r="CS81" s="110">
        <v>0</v>
      </c>
      <c r="CT81" s="110">
        <v>0</v>
      </c>
      <c r="CU81" s="110">
        <v>0</v>
      </c>
      <c r="CV81" s="110">
        <v>0</v>
      </c>
      <c r="CW81" s="110">
        <v>0</v>
      </c>
      <c r="CX81" s="110">
        <v>0</v>
      </c>
      <c r="CY81" s="110">
        <v>0</v>
      </c>
      <c r="CZ81" s="108" t="str">
        <f>HYPERLINK("https://web.archive.org/web/20110129171542/https://abcnews.go.com/US/story?id=93325&amp;page=1","0")</f>
        <v>0</v>
      </c>
      <c r="DA81" s="101" t="str">
        <f>HYPERLINK("https://web.archive.org/web/20110129171542/https://abcnews.go.com/US/story?id=93325&amp;page=1","2")</f>
        <v>2</v>
      </c>
      <c r="DB81" s="101" t="str">
        <f>HYPERLINK("https://web.archive.org/web/20070831085028/http:/the-duke.duq-duke.duq.edu/justice/Taylor/Baumhamm.htm","1")</f>
        <v>1</v>
      </c>
      <c r="DC81" s="101">
        <v>0</v>
      </c>
      <c r="DD81" s="51"/>
      <c r="DE81" s="51"/>
      <c r="DF81" s="51"/>
      <c r="DG81" s="51"/>
      <c r="DH81" s="51"/>
      <c r="DI81" s="51"/>
      <c r="DJ81" s="101" t="str">
        <f>HYPERLINK("https://web.archive.org/web/20110129171542/https://abcnews.go.com/US/story?id=93325&amp;page=1","1")</f>
        <v>1</v>
      </c>
      <c r="DK81" s="51">
        <v>0</v>
      </c>
      <c r="DL81" s="48" t="s">
        <v>100</v>
      </c>
      <c r="DM81" s="101" t="str">
        <f>HYPERLINK("http://old.post-gazette.com/regionstate/20000429shootings2.asp","0")</f>
        <v>0</v>
      </c>
      <c r="DN81" s="51">
        <v>0</v>
      </c>
      <c r="DO81" s="51" t="s">
        <v>100</v>
      </c>
      <c r="DP81" s="101" t="str">
        <f t="shared" ref="DP81:DQ81" si="211">HYPERLINK("http://old.post-gazette.com/regionstate/20000429shootings2.asp","0")</f>
        <v>0</v>
      </c>
      <c r="DQ81" s="101" t="str">
        <f t="shared" si="211"/>
        <v>0</v>
      </c>
      <c r="DR81" s="101">
        <v>0</v>
      </c>
      <c r="DS81" s="101">
        <v>2</v>
      </c>
      <c r="DT81" s="101" t="str">
        <f t="shared" ref="DT81" si="212">HYPERLINK("https://web.archive.org/web/20070831085028/http:/the-duke.duq-duke.duq.edu/justice/Taylor/Baumhamm.htm","1")</f>
        <v>1</v>
      </c>
      <c r="DU81" s="101" t="str">
        <f>HYPERLINK("https://caselaw.findlaw.com/pa-supreme-court/1166214.html","1")</f>
        <v>1</v>
      </c>
      <c r="DV81" s="101" t="str">
        <f>HYPERLINK("https://caselaw.findlaw.com/pa-supreme-court/1166214.html","Molotov cocktails")</f>
        <v>Molotov cocktails</v>
      </c>
      <c r="DW81" s="101" t="str">
        <f>HYPERLINK("https://www.post-gazette.com/news/crime-courts/2018/10/27/Mass-shootings-in-Pittsburgh-history-timeline-baumhammers-taylor-poplawski/stories/201810270082","2")</f>
        <v>2</v>
      </c>
      <c r="DX81" s="101" t="str">
        <f>HYPERLINK("http://old.post-gazette.com/regionstate/20000429shootings2.asp","0")</f>
        <v>0</v>
      </c>
      <c r="DY81" s="101" t="str">
        <f>HYPERLINK("https://caselaw.findlaw.com/pa-supreme-court/1166214.html","1")</f>
        <v>1</v>
      </c>
      <c r="DZ81" s="133" t="str">
        <f>HYPERLINK("https://www.pennlive.com/midstate/2014/05/ethnic_spree_killers_appeal_of.html","1")</f>
        <v>1</v>
      </c>
    </row>
    <row r="82" spans="1:130" ht="50.25" customHeight="1">
      <c r="A82" s="96">
        <v>80</v>
      </c>
      <c r="B82" s="97" t="s">
        <v>413</v>
      </c>
      <c r="C82" s="97" t="s">
        <v>212</v>
      </c>
      <c r="D82" s="98">
        <v>36886</v>
      </c>
      <c r="E82" s="48" t="s">
        <v>203</v>
      </c>
      <c r="F82" s="99">
        <v>26</v>
      </c>
      <c r="G82" s="100">
        <v>12</v>
      </c>
      <c r="H82" s="101">
        <v>2000</v>
      </c>
      <c r="I82" s="48" t="s">
        <v>414</v>
      </c>
      <c r="J82" s="101" t="s">
        <v>415</v>
      </c>
      <c r="K82" s="100" t="str">
        <f>HYPERLINK("https://abc7news.com/news/a-history-of-mass-shootings-in-the-united-states/1107514/","21")</f>
        <v>21</v>
      </c>
      <c r="L82" s="100">
        <v>2</v>
      </c>
      <c r="M82" s="102" t="str">
        <f>HYPERLINK("https://www.nytimes.com/2000/12/27/us/7-die-in-rampage-at-company-co-worker-of-victims-arrested.html","1")</f>
        <v>1</v>
      </c>
      <c r="N82" s="100" t="str">
        <f>HYPERLINK("https://www.cbsnews.com/news/murder-charges-in-workplace-shooting/","6")</f>
        <v>6</v>
      </c>
      <c r="O82" s="100">
        <v>0</v>
      </c>
      <c r="P82" s="99" t="s">
        <v>100</v>
      </c>
      <c r="Q82" s="103">
        <v>0</v>
      </c>
      <c r="R82" s="103">
        <v>0</v>
      </c>
      <c r="S82" s="100">
        <v>7</v>
      </c>
      <c r="T82" s="100">
        <v>0</v>
      </c>
      <c r="U82" s="101" t="str">
        <f>HYPERLINK("https://www.nytimes.com/2000/12/27/us/7-die-in-rampage-at-company-co-worker-of-victims-arrested.html","0")</f>
        <v>0</v>
      </c>
      <c r="V82" s="105">
        <v>42</v>
      </c>
      <c r="W82" s="105">
        <v>0</v>
      </c>
      <c r="X82" s="105">
        <v>2</v>
      </c>
      <c r="Y82" s="105">
        <v>0</v>
      </c>
      <c r="Z82" s="105" t="str">
        <f>HYPERLINK("https://www.deseretnews.com/article/817652/Massacre-suspect-suffered-a-breakdown-in-80s.html","0")</f>
        <v>0</v>
      </c>
      <c r="AA82" s="105" t="str">
        <f>HYPERLINK("https://caselaw.findlaw.com/ma-supreme-judicial-court/1448833.html","0")</f>
        <v>0</v>
      </c>
      <c r="AB82" s="105" t="str">
        <f>HYPERLINK("https://caselaw.findlaw.com/ma-supreme-judicial-court/1448833.html","2")</f>
        <v>2</v>
      </c>
      <c r="AC82" s="101" t="str">
        <f>HYPERLINK("https://caselaw.findlaw.com/ma-supreme-judicial-court/1448833.html","0")</f>
        <v>0</v>
      </c>
      <c r="AD82" s="101" t="str">
        <f>HYPERLINK("https://caselaw.findlaw.com/ma-supreme-judicial-court/1448833.html","high intelligence, bad grades")</f>
        <v>high intelligence, bad grades</v>
      </c>
      <c r="AE82" s="105" t="str">
        <f>HYPERLINK("https://www.deseret.com/2001/1/5/19562078/massacre-suspect-suffered-a-breakdown-in-80s","2")</f>
        <v>2</v>
      </c>
      <c r="AF82" s="105" t="str">
        <f>HYPERLINK("http://content.time.com/time/magazine/article/0,9171,93313,00.html","3")</f>
        <v>3</v>
      </c>
      <c r="AG82" s="105" t="str">
        <f>HYPERLINK("http://content.time.com/time/magazine/article/0,9171,93313,00.html","1")</f>
        <v>1</v>
      </c>
      <c r="AH82" s="105" t="str">
        <f>HYPERLINK("http://content.time.com/time/magazine/article/0,9171,93313,00.html","2")</f>
        <v>2</v>
      </c>
      <c r="AI82" s="105">
        <v>1</v>
      </c>
      <c r="AJ82" s="48">
        <v>0</v>
      </c>
      <c r="AK82" s="105">
        <v>1</v>
      </c>
      <c r="AL82" s="105" t="str">
        <f>HYPERLINK("https://www.deseretnews.com/article/817652/Massacre-suspect-suffered-a-breakdown-in-80s.html","2")</f>
        <v>2</v>
      </c>
      <c r="AM82" s="105">
        <v>1</v>
      </c>
      <c r="AN82" s="105">
        <v>1</v>
      </c>
      <c r="AO82" s="101" t="str">
        <f>HYPERLINK("https://www.nytimes.com/2000/12/28/us/in-wake-of-killings-strands-of-suspect-s-life.html","0")</f>
        <v>0</v>
      </c>
      <c r="AP82" s="51"/>
      <c r="AQ82" s="105" t="str">
        <f>HYPERLINK("https://caselaw.findlaw.com/ma-supreme-judicial-court/1448833.html","1")</f>
        <v>1</v>
      </c>
      <c r="AR82" s="48">
        <v>0</v>
      </c>
      <c r="AS82" s="101">
        <v>0</v>
      </c>
      <c r="AT82" s="48">
        <v>0</v>
      </c>
      <c r="AU82" s="48" t="s">
        <v>100</v>
      </c>
      <c r="AV82" s="48" t="s">
        <v>100</v>
      </c>
      <c r="AW82" s="48" t="s">
        <v>100</v>
      </c>
      <c r="AX82" s="48">
        <v>0</v>
      </c>
      <c r="AY82" s="48">
        <v>0</v>
      </c>
      <c r="AZ82" s="51">
        <v>0</v>
      </c>
      <c r="BA82" s="48">
        <v>0</v>
      </c>
      <c r="BB82" s="141" t="str">
        <f>HYPERLINK("http://content.time.com/time/magazine/article/0,9171,93313,00.html","2")</f>
        <v>2</v>
      </c>
      <c r="BC82" s="105" t="str">
        <f t="shared" ref="BC82:BD82" si="213">HYPERLINK("https://www.washingtonpost.com/archive/politics/2000/12/27/7-die-in-massachusetts-office-shooting/1b9f9c67-b2c3-482c-bf1b-fa869fc6c430/?noredirect=on","0")</f>
        <v>0</v>
      </c>
      <c r="BD82" s="105" t="str">
        <f t="shared" si="213"/>
        <v>0</v>
      </c>
      <c r="BE82" s="105" t="str">
        <f t="shared" ref="BE82:BF82" si="214">HYPERLINK("https://www.deseretnews.com/article/817652/Massacre-suspect-suffered-a-breakdown-in-80s.html","0")</f>
        <v>0</v>
      </c>
      <c r="BF82" s="101" t="str">
        <f t="shared" si="214"/>
        <v>0</v>
      </c>
      <c r="BG82" s="101" t="str">
        <f>HYPERLINK("https://caselaw.findlaw.com/ma-supreme-judicial-court/1448833.html","5")</f>
        <v>5</v>
      </c>
      <c r="BH82" s="51">
        <v>1</v>
      </c>
      <c r="BI82" s="105" t="str">
        <f>HYPERLINK("https://www.deseretnews.com/article/817652/Massacre-suspect-suffered-a-breakdown-in-80s.html","0")</f>
        <v>0</v>
      </c>
      <c r="BJ82" s="105">
        <v>0</v>
      </c>
      <c r="BK82" s="101" t="str">
        <f>HYPERLINK("https://www.nytimes.com/2000/12/27/us/7-die-in-rampage-at-company-co-worker-of-victims-arrested.html","1")</f>
        <v>1</v>
      </c>
      <c r="BL82" s="108" t="str">
        <f>HYPERLINK("https://www.govinfo.gov/content/pkg/USCOURTS-mad-1_09-cv-11992/pdf/USCOURTS-mad-1_09-cv-11992-0.pdf","1")</f>
        <v>1</v>
      </c>
      <c r="BM82" s="109">
        <v>1</v>
      </c>
      <c r="BN82" s="110" t="s">
        <v>3033</v>
      </c>
      <c r="BO82" s="111">
        <v>1</v>
      </c>
      <c r="BP82" s="111">
        <v>0</v>
      </c>
      <c r="BQ82" s="111">
        <v>0</v>
      </c>
      <c r="BR82" s="111">
        <v>0</v>
      </c>
      <c r="BS82" s="111">
        <v>0</v>
      </c>
      <c r="BT82" s="111">
        <v>1</v>
      </c>
      <c r="BU82" s="111">
        <v>0</v>
      </c>
      <c r="BV82" s="111">
        <v>0</v>
      </c>
      <c r="BW82" s="111">
        <v>1</v>
      </c>
      <c r="BX82" s="111">
        <v>0</v>
      </c>
      <c r="BY82" s="105" t="str">
        <f>HYPERLINK("https://www.cbsnews.com/news/murder-charges-in-workplace-shooting/","1")</f>
        <v>1</v>
      </c>
      <c r="BZ82" s="101">
        <v>1</v>
      </c>
      <c r="CA82" s="101">
        <v>1</v>
      </c>
      <c r="CB82" s="105" t="str">
        <f>HYPERLINK("https://www.deseret.com/2001/1/5/19562078/massacre-suspect-suffered-a-breakdown-in-80s","0")</f>
        <v>0</v>
      </c>
      <c r="CC82" s="105" t="str">
        <f t="shared" ref="CC82:CD82" si="215">HYPERLINK("https://caselaw.findlaw.com/ma-supreme-judicial-court/1448833.html","1")</f>
        <v>1</v>
      </c>
      <c r="CD82" s="133" t="str">
        <f t="shared" si="215"/>
        <v>1</v>
      </c>
      <c r="CE82" s="105" t="str">
        <f>HYPERLINK("https://caselaw.findlaw.com/ma-supreme-judicial-court/1448833.html","4")</f>
        <v>4</v>
      </c>
      <c r="CF82" s="105" t="str">
        <f>HYPERLINK("https://www.deseret.com/2001/1/5/19562078/massacre-suspect-suffered-a-breakdown-in-80s","2")</f>
        <v>2</v>
      </c>
      <c r="CG82" s="48">
        <v>0</v>
      </c>
      <c r="CH82" s="105" t="str">
        <f>HYPERLINK("https://caselaw.findlaw.com/ma-supreme-judicial-court/1448833.html","3")</f>
        <v>3</v>
      </c>
      <c r="CI82" s="105" t="str">
        <f>HYPERLINK("https://caselaw.findlaw.com/ma-supreme-judicial-court/1448833.html","1")</f>
        <v>1</v>
      </c>
      <c r="CJ82" s="123" t="str">
        <f>HYPERLINK("https://caselaw.findlaw.com/ma-supreme-judicial-court/1448833.html","hyperactive thyroid, high blood pressure")</f>
        <v>hyperactive thyroid, high blood pressure</v>
      </c>
      <c r="CK82" s="113">
        <v>0</v>
      </c>
      <c r="CL82" s="113"/>
      <c r="CM82" s="113"/>
      <c r="CN82" s="108">
        <v>0</v>
      </c>
      <c r="CO82" s="110">
        <v>0</v>
      </c>
      <c r="CP82" s="110">
        <v>0</v>
      </c>
      <c r="CQ82" s="110">
        <v>0</v>
      </c>
      <c r="CR82" s="108" t="str">
        <f t="shared" ref="CR82:CS82" si="216">HYPERLINK("https://caselaw.findlaw.com/ma-supreme-judicial-court/1448833.html","1")</f>
        <v>1</v>
      </c>
      <c r="CS82" s="108" t="str">
        <f t="shared" si="216"/>
        <v>1</v>
      </c>
      <c r="CT82" s="110">
        <v>0</v>
      </c>
      <c r="CU82" s="110">
        <v>0</v>
      </c>
      <c r="CV82" s="110">
        <v>0</v>
      </c>
      <c r="CW82" s="116">
        <v>0</v>
      </c>
      <c r="CX82" s="116">
        <v>0</v>
      </c>
      <c r="CY82" s="116">
        <v>0</v>
      </c>
      <c r="CZ82" s="108" t="str">
        <f>HYPERLINK("https://www.nytimes.com/2000/12/27/us/7-die-in-rampage-at-company-co-worker-of-victims-arrested.html","0")</f>
        <v>0</v>
      </c>
      <c r="DA82" s="105">
        <v>1</v>
      </c>
      <c r="DB82" s="105">
        <v>1</v>
      </c>
      <c r="DC82" s="101">
        <v>0</v>
      </c>
      <c r="DD82" s="48"/>
      <c r="DE82" s="48"/>
      <c r="DF82" s="48"/>
      <c r="DG82" s="48"/>
      <c r="DH82" s="48"/>
      <c r="DI82" s="48"/>
      <c r="DJ82" s="48">
        <v>0</v>
      </c>
      <c r="DK82" s="48">
        <v>0</v>
      </c>
      <c r="DL82" s="48" t="s">
        <v>100</v>
      </c>
      <c r="DM82" s="105" t="str">
        <f>HYPERLINK("https://www.nytimes.com/2000/12/27/us/7-die-in-rampage-at-company-co-worker-of-victims-arrested.html","0")</f>
        <v>0</v>
      </c>
      <c r="DN82" s="51">
        <v>0</v>
      </c>
      <c r="DO82" s="51" t="s">
        <v>100</v>
      </c>
      <c r="DP82" s="101" t="str">
        <f>HYPERLINK("https://caselaw.findlaw.com/ma-supreme-judicial-court/1448833.html","1")</f>
        <v>1</v>
      </c>
      <c r="DQ82" s="101" t="str">
        <f>HYPERLINK("https://www.nytimes.com/2000/12/27/us/7-die-in-rampage-at-company-co-worker-of-victims-arrested.html","0")</f>
        <v>0</v>
      </c>
      <c r="DR82" s="105">
        <v>1</v>
      </c>
      <c r="DS82" s="101" t="str">
        <f>HYPERLINK("https://www.nytimes.com/2000/12/28/us/in-wake-of-killings-strands-of-suspect-s-life.html","3")</f>
        <v>3</v>
      </c>
      <c r="DT82" s="105">
        <v>4</v>
      </c>
      <c r="DU82" s="105" t="str">
        <f t="shared" ref="DU82" si="217">HYPERLINK("https://caselaw.findlaw.com/ma-supreme-judicial-court/1448833.html","1")</f>
        <v>1</v>
      </c>
      <c r="DV82" s="105" t="str">
        <f>HYPERLINK("https://caselaw.findlaw.com/ma-supreme-judicial-court/1448833.html","explosives at home")</f>
        <v>explosives at home</v>
      </c>
      <c r="DW82" s="101">
        <v>2</v>
      </c>
      <c r="DX82" s="101" t="str">
        <f>HYPERLINK("https://www.nytimes.com/2000/12/27/us/7-die-in-rampage-at-company-co-worker-of-victims-arrested.html","0")</f>
        <v>0</v>
      </c>
      <c r="DY82" s="105" t="str">
        <f>HYPERLINK("https://caselaw.findlaw.com/ma-supreme-judicial-court/1448833.html","1")</f>
        <v>1</v>
      </c>
      <c r="DZ82" s="133" t="str">
        <f>HYPERLINK("https://www.cbsnews.com/news/murder-charges-in-workplace-shooting/","2")</f>
        <v>2</v>
      </c>
    </row>
    <row r="83" spans="1:130" ht="50.25" customHeight="1">
      <c r="A83" s="96">
        <v>81</v>
      </c>
      <c r="B83" s="97" t="s">
        <v>417</v>
      </c>
      <c r="C83" s="97" t="s">
        <v>3034</v>
      </c>
      <c r="D83" s="98">
        <v>36900</v>
      </c>
      <c r="E83" s="48" t="s">
        <v>203</v>
      </c>
      <c r="F83" s="99">
        <v>9</v>
      </c>
      <c r="G83" s="100" t="str">
        <f>HYPERLINK("https://www.latimes.com/archives/la-xpm-2001-jan-10-mn-10586-story.html","1")</f>
        <v>1</v>
      </c>
      <c r="H83" s="105" t="str">
        <f>HYPERLINK("https://www.latimes.com/archives/la-xpm-2001-jan-10-mn-10586-story.html","2001")</f>
        <v>2001</v>
      </c>
      <c r="I83" s="48" t="s">
        <v>418</v>
      </c>
      <c r="J83" s="105" t="str">
        <f>HYPERLINK("https://www.nytimes.com/2001/01/10/us/national-news-briefs-5-dead-in-shootings-at-houston-businesses.html","Houston")</f>
        <v>Houston</v>
      </c>
      <c r="K83" s="100" t="str">
        <f>HYPERLINK("https://www.nytimes.com/2001/01/10/us/national-news-briefs-5-dead-in-shootings-at-houston-businesses.html","43")</f>
        <v>43</v>
      </c>
      <c r="L83" s="100" t="str">
        <f>HYPERLINK("https://www.nytimes.com/2001/01/10/us/national-news-briefs-5-dead-in-shootings-at-houston-businesses.html","0")</f>
        <v>0</v>
      </c>
      <c r="M83" s="99">
        <v>0</v>
      </c>
      <c r="N83" s="100" t="str">
        <f>HYPERLINK("https://www.latimes.com/archives/la-xpm-2001-jan-10-mn-10586-story.html","4")</f>
        <v>4</v>
      </c>
      <c r="O83" s="100" t="str">
        <f>HYPERLINK("https://www.latimes.com/archives/la-xpm-2001-jan-10-mn-10586-story.html","1")</f>
        <v>1</v>
      </c>
      <c r="P83" s="100" t="str">
        <f>HYPERLINK("https://www.latimes.com/archives/la-xpm-2001-jan-10-mn-10586-story.html","6")</f>
        <v>6</v>
      </c>
      <c r="Q83" s="103">
        <v>0</v>
      </c>
      <c r="R83" s="103">
        <v>0</v>
      </c>
      <c r="S83" s="100" t="str">
        <f>HYPERLINK("https://www.trentonian.com/news/terror-in-texas-shot-to-death-in-houston-rampage/article_7c8b01f8-9ce0-5344-9164-64ec8cebf49e.html","4")</f>
        <v>4</v>
      </c>
      <c r="T83" s="100" t="str">
        <f>HYPERLINK("https://www.trentonian.com/news/terror-in-texas-shot-to-death-in-houston-rampage/article_7c8b01f8-9ce0-5344-9164-64ec8cebf49e.html","0")</f>
        <v>0</v>
      </c>
      <c r="U83" s="105" t="str">
        <f>HYPERLINK("https://www.trentonian.com/news/terror-in-texas-shot-to-death-in-houston-rampage/article_7c8b01f8-9ce0-5344-9164-64ec8cebf49e.html","0")</f>
        <v>0</v>
      </c>
      <c r="V83" s="105" t="str">
        <f>HYPERLINK("https://www.chron.com/news/article/Gunman-s-wife-accused-him-of-assault-in-1998-1997336.php","54")</f>
        <v>54</v>
      </c>
      <c r="W83" s="105" t="str">
        <f>HYPERLINK("https://www.latimes.com/archives/la-xpm-2001-jan-10-mn-10586-story.html","0")</f>
        <v>0</v>
      </c>
      <c r="X83" s="105" t="str">
        <f>HYPERLINK("https://www.trentonian.com/news/terror-in-texas-shot-to-death-in-houston-rampage/article_7c8b01f8-9ce0-5344-9164-64ec8cebf49e.html","3")</f>
        <v>3</v>
      </c>
      <c r="Y83" s="48"/>
      <c r="Z83" s="105" t="str">
        <f>HYPERLINK("https://www.trentonian.com/news/terror-in-texas-shot-to-death-in-houston-rampage/article_7c8b01f8-9ce0-5344-9164-64ec8cebf49e.html","0")</f>
        <v>0</v>
      </c>
      <c r="AA83" s="48"/>
      <c r="AB83" s="48"/>
      <c r="AC83" s="51"/>
      <c r="AD83" s="51"/>
      <c r="AE83" s="48"/>
      <c r="AF83" s="48"/>
      <c r="AG83" s="48"/>
      <c r="AH83" s="48"/>
      <c r="AI83" s="105" t="str">
        <f>HYPERLINK("https://www.chron.com/news/article/Gunman-s-wife-accused-him-of-assault-in-1998-1997336.php","2")</f>
        <v>2</v>
      </c>
      <c r="AJ83" s="105" t="str">
        <f>HYPERLINK("https://www.latimes.com/archives/la-xpm-2001-jan-10-mn-10586-story.html","1")</f>
        <v>1</v>
      </c>
      <c r="AK83" s="105" t="str">
        <f>HYPERLINK("https://www.trentonian.com/news/terror-in-texas-shot-to-death-in-houston-rampage/article_7c8b01f8-9ce0-5344-9164-64ec8cebf49e.html","1")</f>
        <v>1</v>
      </c>
      <c r="AL83" s="105" t="str">
        <f>HYPERLINK("https://www.trentonian.com/news/terror-in-texas-shot-to-death-in-houston-rampage/article_7c8b01f8-9ce0-5344-9164-64ec8cebf49e.html","0")</f>
        <v>0</v>
      </c>
      <c r="AM83" s="48">
        <v>0</v>
      </c>
      <c r="AN83" s="48" t="s">
        <v>100</v>
      </c>
      <c r="AO83" s="51">
        <v>0</v>
      </c>
      <c r="AP83" s="54"/>
      <c r="AQ83" s="105" t="str">
        <f>HYPERLINK("https://www.chron.com/news/article/Gunman-s-wife-accused-him-of-assault-in-1998-1997336.php","1")</f>
        <v>1</v>
      </c>
      <c r="AR83" s="48">
        <v>0</v>
      </c>
      <c r="AS83" s="105" t="str">
        <f t="shared" ref="AS83:AT83" si="218">HYPERLINK("https://www.chron.com/news/article/Gunman-s-wife-accused-him-of-assault-in-1998-1997336.php","1")</f>
        <v>1</v>
      </c>
      <c r="AT83" s="105" t="str">
        <f t="shared" si="218"/>
        <v>1</v>
      </c>
      <c r="AU83" s="105">
        <v>1</v>
      </c>
      <c r="AV83" s="48"/>
      <c r="AW83" s="48"/>
      <c r="AX83" s="48">
        <v>0</v>
      </c>
      <c r="AY83" s="48">
        <v>0</v>
      </c>
      <c r="AZ83" s="48">
        <v>0</v>
      </c>
      <c r="BA83" s="48">
        <v>0</v>
      </c>
      <c r="BB83" s="107">
        <v>0</v>
      </c>
      <c r="BC83" s="48">
        <v>0</v>
      </c>
      <c r="BD83" s="48">
        <v>0</v>
      </c>
      <c r="BE83" s="48"/>
      <c r="BF83" s="48"/>
      <c r="BG83" s="48"/>
      <c r="BH83" s="48"/>
      <c r="BI83" s="48">
        <v>0</v>
      </c>
      <c r="BJ83" s="105" t="str">
        <f t="shared" ref="BJ83:BK83" si="219">HYPERLINK("https://www.latimes.com/archives/la-xpm-2001-jan-10-mn-10586-story.html","1")</f>
        <v>1</v>
      </c>
      <c r="BK83" s="105" t="str">
        <f t="shared" si="219"/>
        <v>1</v>
      </c>
      <c r="BL83" s="118" t="str">
        <f>HYPERLINK("https://www.chron.com/news/article/Gunman-s-wife-accused-him-of-assault-in-1998-1997336.php","1")</f>
        <v>1</v>
      </c>
      <c r="BM83" s="127">
        <v>1</v>
      </c>
      <c r="BN83" s="115" t="s">
        <v>3035</v>
      </c>
      <c r="BO83" s="116">
        <v>1</v>
      </c>
      <c r="BP83" s="116">
        <v>0</v>
      </c>
      <c r="BQ83" s="116">
        <v>0</v>
      </c>
      <c r="BR83" s="116">
        <v>0</v>
      </c>
      <c r="BS83" s="116">
        <v>1</v>
      </c>
      <c r="BT83" s="116">
        <v>1</v>
      </c>
      <c r="BU83" s="116">
        <v>0</v>
      </c>
      <c r="BV83" s="116">
        <v>0</v>
      </c>
      <c r="BW83" s="116">
        <v>0</v>
      </c>
      <c r="BX83" s="116">
        <v>1</v>
      </c>
      <c r="BY83" s="105" t="str">
        <f>HYPERLINK("https://www.latimes.com/archives/la-xpm-2001-jan-10-mn-10586-story.html","2")</f>
        <v>2</v>
      </c>
      <c r="BZ83" s="48">
        <v>0</v>
      </c>
      <c r="CA83" s="48">
        <v>0</v>
      </c>
      <c r="CB83" s="48" t="s">
        <v>100</v>
      </c>
      <c r="CC83" s="48">
        <v>0</v>
      </c>
      <c r="CD83" s="52" t="s">
        <v>100</v>
      </c>
      <c r="CE83" s="105" t="str">
        <f>HYPERLINK("https://www.latimes.com/archives/la-xpm-2001-jan-10-mn-10586-story.html","2")</f>
        <v>2</v>
      </c>
      <c r="CF83" s="52">
        <v>0</v>
      </c>
      <c r="CG83" s="48">
        <v>0</v>
      </c>
      <c r="CH83" s="48">
        <v>0</v>
      </c>
      <c r="CI83" s="48">
        <v>0</v>
      </c>
      <c r="CJ83" s="51" t="s">
        <v>100</v>
      </c>
      <c r="CK83" s="129">
        <v>0</v>
      </c>
      <c r="CL83" s="129"/>
      <c r="CM83" s="129"/>
      <c r="CN83" s="116">
        <v>0</v>
      </c>
      <c r="CO83" s="116">
        <v>0</v>
      </c>
      <c r="CP83" s="116">
        <v>0</v>
      </c>
      <c r="CQ83" s="116">
        <v>0</v>
      </c>
      <c r="CR83" s="116">
        <v>0</v>
      </c>
      <c r="CS83" s="127">
        <v>1</v>
      </c>
      <c r="CT83" s="116">
        <v>0</v>
      </c>
      <c r="CU83" s="127">
        <v>1</v>
      </c>
      <c r="CV83" s="127">
        <v>1</v>
      </c>
      <c r="CW83" s="116">
        <v>0</v>
      </c>
      <c r="CX83" s="116">
        <v>0</v>
      </c>
      <c r="CY83" s="116">
        <v>0</v>
      </c>
      <c r="CZ83" s="118" t="str">
        <f>HYPERLINK("https://www.latimes.com/archives/la-xpm-2001-jan-10-mn-10586-story.html","1")</f>
        <v>1</v>
      </c>
      <c r="DA83" s="105">
        <v>2</v>
      </c>
      <c r="DB83" s="48">
        <v>0</v>
      </c>
      <c r="DC83" s="48">
        <v>0</v>
      </c>
      <c r="DD83" s="48"/>
      <c r="DE83" s="48"/>
      <c r="DF83" s="48"/>
      <c r="DG83" s="48"/>
      <c r="DH83" s="48"/>
      <c r="DI83" s="48"/>
      <c r="DJ83" s="48">
        <v>0</v>
      </c>
      <c r="DK83" s="48">
        <v>0</v>
      </c>
      <c r="DL83" s="48" t="s">
        <v>100</v>
      </c>
      <c r="DM83" s="105" t="str">
        <f>HYPERLINK("https://www.latimes.com/archives/la-xpm-2001-jan-10-mn-10586-story.html","0")</f>
        <v>0</v>
      </c>
      <c r="DN83" s="48">
        <v>0</v>
      </c>
      <c r="DO83" s="48" t="s">
        <v>100</v>
      </c>
      <c r="DP83" s="48">
        <v>0</v>
      </c>
      <c r="DQ83" s="105" t="str">
        <f>HYPERLINK("https://www.latimes.com/archives/la-xpm-2001-jan-10-mn-10586-story.html","0")</f>
        <v>0</v>
      </c>
      <c r="DR83" s="48">
        <v>0</v>
      </c>
      <c r="DS83" s="51"/>
      <c r="DT83" s="105" t="str">
        <f>HYPERLINK("https://www.latimes.com/archives/la-xpm-2001-jan-10-mn-10586-story.html","2")</f>
        <v>2</v>
      </c>
      <c r="DU83" s="105" t="str">
        <f>HYPERLINK("https://www.chron.com/news/article/Gunman-s-wife-accused-him-of-assault-in-1998-1997336.php","0")</f>
        <v>0</v>
      </c>
      <c r="DV83" s="48" t="s">
        <v>100</v>
      </c>
      <c r="DW83" s="105" t="str">
        <f>HYPERLINK("https://www.nytimes.com/2001/01/10/us/national-news-briefs-5-dead-in-shootings-at-houston-businesses.html","0")</f>
        <v>0</v>
      </c>
      <c r="DX83" s="105" t="str">
        <f>HYPERLINK("https://www.latimes.com/archives/la-xpm-2001-jan-10-mn-10586-story.html","0")</f>
        <v>0</v>
      </c>
      <c r="DY83" s="48">
        <v>2</v>
      </c>
      <c r="DZ83" s="48">
        <v>0</v>
      </c>
    </row>
    <row r="84" spans="1:130" ht="50.25" customHeight="1">
      <c r="A84" s="96">
        <v>82</v>
      </c>
      <c r="B84" s="97" t="s">
        <v>419</v>
      </c>
      <c r="C84" s="97" t="s">
        <v>182</v>
      </c>
      <c r="D84" s="98">
        <v>36927</v>
      </c>
      <c r="E84" s="48" t="s">
        <v>95</v>
      </c>
      <c r="F84" s="119">
        <v>5</v>
      </c>
      <c r="G84" s="102" t="str">
        <f>HYPERLINK("https://www.chicagotribune.com/news/ct-xpm-2001-02-06-0102060231-story.html","2")</f>
        <v>2</v>
      </c>
      <c r="H84" s="101" t="str">
        <f>HYPERLINK("https://www.chicagotribune.com/news/ct-xpm-2001-02-06-0102060231-story.html","2001")</f>
        <v>2001</v>
      </c>
      <c r="I84" s="48" t="s">
        <v>420</v>
      </c>
      <c r="J84" s="101" t="str">
        <f>HYPERLINK("https://www.chicagotribune.com/news/ct-xpm-2001-02-06-0102060231-story.html","Melrose Park")</f>
        <v>Melrose Park</v>
      </c>
      <c r="K84" s="102">
        <v>13</v>
      </c>
      <c r="L84" s="102">
        <v>1</v>
      </c>
      <c r="M84" s="102">
        <v>1</v>
      </c>
      <c r="N84" s="119">
        <v>6</v>
      </c>
      <c r="O84" s="102">
        <v>0</v>
      </c>
      <c r="P84" s="99" t="s">
        <v>100</v>
      </c>
      <c r="Q84" s="103">
        <v>0</v>
      </c>
      <c r="R84" s="103">
        <v>0</v>
      </c>
      <c r="S84" s="102">
        <v>4</v>
      </c>
      <c r="T84" s="102">
        <v>4</v>
      </c>
      <c r="U84" s="101" t="str">
        <f>HYPERLINK("https://www.chicagotribune.com/news/ct-xpm-2001-02-06-0102060231-story.html","0")</f>
        <v>0</v>
      </c>
      <c r="V84" s="101">
        <v>66</v>
      </c>
      <c r="W84" s="101">
        <v>0</v>
      </c>
      <c r="X84" s="101">
        <v>1</v>
      </c>
      <c r="Y84" s="48">
        <v>0</v>
      </c>
      <c r="Z84" s="101" t="str">
        <f>HYPERLINK("https://www.chicagotribune.com/news/ct-xpm-2001-02-06-0102060231-story.html","0")</f>
        <v>0</v>
      </c>
      <c r="AA84" s="51"/>
      <c r="AB84" s="101" t="str">
        <f>HYPERLINK("https://www.apnews.com/3431d6dc431761aa50881f272ff57f3a","1")</f>
        <v>1</v>
      </c>
      <c r="AC84" s="51"/>
      <c r="AD84" s="51"/>
      <c r="AE84" s="51"/>
      <c r="AF84" s="51"/>
      <c r="AG84" s="51"/>
      <c r="AH84" s="51"/>
      <c r="AI84" s="101">
        <v>3</v>
      </c>
      <c r="AJ84" s="101">
        <v>1</v>
      </c>
      <c r="AK84" s="101">
        <v>0</v>
      </c>
      <c r="AL84" s="101">
        <v>0</v>
      </c>
      <c r="AM84" s="51">
        <v>0</v>
      </c>
      <c r="AN84" s="48" t="s">
        <v>100</v>
      </c>
      <c r="AO84" s="101" t="str">
        <f>HYPERLINK("https://www.chicagotribune.com/news/ct-xpm-2001-02-06-0102060231-story.html","0")</f>
        <v>0</v>
      </c>
      <c r="AP84" s="54"/>
      <c r="AQ84" s="101" t="str">
        <f>HYPERLINK("https://thesouthern.com/news/shooting-spree-lasted-minutes-gunman-kills-self-four-others/article_4c85727a-0b1a-5f24-8863-3a36e669ecc4.html","1")</f>
        <v>1</v>
      </c>
      <c r="AR84" s="51">
        <v>0</v>
      </c>
      <c r="AS84" s="101" t="str">
        <f>HYPERLINK("https://thesouthern.com/news/shooting-spree-lasted-minutes-gunman-kills-self-four-others/article_4c85727a-0b1a-5f24-8863-3a36e669ecc4.html","1")</f>
        <v>1</v>
      </c>
      <c r="AT84" s="105" t="str">
        <f>HYPERLINK("https://thesouthern.com/news/shooting-spree-lasted-minutes-gunman-kills-self-four-others/article_4c85727a-0b1a-5f24-8863-3a36e669ecc4.html","2")</f>
        <v>2</v>
      </c>
      <c r="AU84" s="105">
        <v>2</v>
      </c>
      <c r="AV84" s="48"/>
      <c r="AW84" s="48"/>
      <c r="AX84" s="105" t="str">
        <f>HYPERLINK("https://thesouthern.com/news/shooting-spree-lasted-minutes-gunman-kills-self-four-others/article_4c85727a-0b1a-5f24-8863-3a36e669ecc4.html","1")</f>
        <v>1</v>
      </c>
      <c r="AY84" s="51">
        <v>0</v>
      </c>
      <c r="AZ84" s="51">
        <v>0</v>
      </c>
      <c r="BA84" s="51">
        <v>0</v>
      </c>
      <c r="BB84" s="107">
        <v>0</v>
      </c>
      <c r="BC84" s="101" t="str">
        <f>HYPERLINK("https://www.nytimes.com/2001/02/07/us/gunman-s-life-came-undone-in-years-before-the-shootings.html","1")</f>
        <v>1</v>
      </c>
      <c r="BD84" s="101">
        <v>0</v>
      </c>
      <c r="BE84" s="48"/>
      <c r="BF84" s="51"/>
      <c r="BG84" s="51"/>
      <c r="BH84" s="51"/>
      <c r="BI84" s="48">
        <v>0</v>
      </c>
      <c r="BJ84" s="101" t="str">
        <f>HYPERLINK("https://www.chicagotribune.com/news/ct-xpm-2001-02-06-0102060231-story.html","1")</f>
        <v>1</v>
      </c>
      <c r="BK84" s="101">
        <v>0</v>
      </c>
      <c r="BL84" s="108">
        <v>0</v>
      </c>
      <c r="BM84" s="108" t="s">
        <v>100</v>
      </c>
      <c r="BN84" s="110"/>
      <c r="BO84" s="111">
        <v>0</v>
      </c>
      <c r="BP84" s="111">
        <v>0</v>
      </c>
      <c r="BQ84" s="111">
        <v>0</v>
      </c>
      <c r="BR84" s="111">
        <v>0</v>
      </c>
      <c r="BS84" s="111">
        <v>0</v>
      </c>
      <c r="BT84" s="111">
        <v>0</v>
      </c>
      <c r="BU84" s="111">
        <v>0</v>
      </c>
      <c r="BV84" s="111">
        <v>0</v>
      </c>
      <c r="BW84" s="111">
        <v>0</v>
      </c>
      <c r="BX84" s="111">
        <v>0</v>
      </c>
      <c r="BY84" s="101" t="str">
        <f>HYPERLINK("https://www.washingtonpost.com/archive/politics/2001/02/06/fired-employee-slays-4-at-illinois-plant/526d181d-b987-4cba-8e6f-0572b94f199d/","2")</f>
        <v>2</v>
      </c>
      <c r="BZ84" s="51">
        <v>0</v>
      </c>
      <c r="CA84" s="101" t="str">
        <f t="shared" ref="CA84:CB84" si="220">HYPERLINK("https://thesouthern.com/news/shooting-spree-lasted-minutes-gunman-kills-self-four-others/article_4c85727a-0b1a-5f24-8863-3a36e669ecc4.html","1")</f>
        <v>1</v>
      </c>
      <c r="CB84" s="101" t="str">
        <f t="shared" si="220"/>
        <v>1</v>
      </c>
      <c r="CC84" s="51">
        <v>0</v>
      </c>
      <c r="CD84" s="101" t="str">
        <f>HYPERLINK("https://thesouthern.com/news/shooting-spree-lasted-minutes-gunman-kills-self-four-others/article_4c85727a-0b1a-5f24-8863-3a36e669ecc4.html","0")</f>
        <v>0</v>
      </c>
      <c r="CE84" s="51">
        <v>0</v>
      </c>
      <c r="CF84" s="107">
        <v>0</v>
      </c>
      <c r="CG84" s="51">
        <v>0</v>
      </c>
      <c r="CH84" s="51">
        <v>0</v>
      </c>
      <c r="CI84" s="51">
        <v>0</v>
      </c>
      <c r="CJ84" s="51" t="s">
        <v>100</v>
      </c>
      <c r="CK84" s="113">
        <v>0</v>
      </c>
      <c r="CL84" s="113"/>
      <c r="CM84" s="113"/>
      <c r="CN84" s="110">
        <v>0</v>
      </c>
      <c r="CO84" s="110">
        <v>0</v>
      </c>
      <c r="CP84" s="110">
        <v>0</v>
      </c>
      <c r="CQ84" s="110">
        <v>0</v>
      </c>
      <c r="CR84" s="108" t="str">
        <f>HYPERLINK("https://www.nytimes.com/2001/02/07/us/gunman-s-life-came-undone-in-years-before-the-shootings.html","1")</f>
        <v>1</v>
      </c>
      <c r="CS84" s="110">
        <v>0</v>
      </c>
      <c r="CT84" s="108" t="str">
        <f>HYPERLINK("https://www.nytimes.com/2001/02/07/us/gunman-s-life-came-undone-in-years-before-the-shootings.html","1")</f>
        <v>1</v>
      </c>
      <c r="CU84" s="110">
        <v>0</v>
      </c>
      <c r="CV84" s="110">
        <v>0</v>
      </c>
      <c r="CW84" s="110">
        <v>0</v>
      </c>
      <c r="CX84" s="110">
        <v>0</v>
      </c>
      <c r="CY84" s="110">
        <v>0</v>
      </c>
      <c r="CZ84" s="108" t="str">
        <f>HYPERLINK("https://www.chicagotribune.com/news/ct-xpm-2001-02-06-0102060231-story.html","0")</f>
        <v>0</v>
      </c>
      <c r="DA84" s="51">
        <v>0</v>
      </c>
      <c r="DB84" s="51">
        <v>0</v>
      </c>
      <c r="DC84" s="51">
        <v>0</v>
      </c>
      <c r="DD84" s="51"/>
      <c r="DE84" s="51"/>
      <c r="DF84" s="51"/>
      <c r="DG84" s="51"/>
      <c r="DH84" s="51"/>
      <c r="DI84" s="51"/>
      <c r="DJ84" s="51">
        <v>0</v>
      </c>
      <c r="DK84" s="51">
        <v>0</v>
      </c>
      <c r="DL84" s="48" t="s">
        <v>100</v>
      </c>
      <c r="DM84" s="101" t="str">
        <f>HYPERLINK("https://nypost.com/2001/02/06/ex-worker-kills-4-in-illinois-rampage/","0")</f>
        <v>0</v>
      </c>
      <c r="DN84" s="51">
        <v>0</v>
      </c>
      <c r="DO84" s="51" t="s">
        <v>100</v>
      </c>
      <c r="DP84" s="51">
        <v>0</v>
      </c>
      <c r="DQ84" s="101" t="str">
        <f>HYPERLINK("https://www.chicagotribune.com/news/ct-xpm-2001-02-06-0102060231-story.html","0")</f>
        <v>0</v>
      </c>
      <c r="DR84" s="48">
        <v>0</v>
      </c>
      <c r="DS84" s="101" t="str">
        <f>HYPERLINK("https://edition.cnn.com/2001/US/02/07/plant.shootings/","2")</f>
        <v>2</v>
      </c>
      <c r="DT84" s="101">
        <v>4</v>
      </c>
      <c r="DU84" s="101" t="str">
        <f>HYPERLINK("https://www.latimes.com/archives/la-xpm-2001-feb-06-mn-21695-story.html","0")</f>
        <v>0</v>
      </c>
      <c r="DV84" s="48" t="s">
        <v>100</v>
      </c>
      <c r="DW84" s="101" t="str">
        <f>HYPERLINK("https://journaltimes.com/news/national/man-who-killed-himself-was-one-day-from-going-to/article_2e7af19a-5688-50a4-aa75-b62270d7869f.html","0")</f>
        <v>0</v>
      </c>
      <c r="DX84" s="101" t="str">
        <f>HYPERLINK("https://www.chicagotribune.com/news/ct-xpm-2001-02-06-0102060231-story.html","0")</f>
        <v>0</v>
      </c>
      <c r="DY84" s="48">
        <v>2</v>
      </c>
      <c r="DZ84" s="48">
        <v>0</v>
      </c>
    </row>
    <row r="85" spans="1:130" ht="50.25" customHeight="1">
      <c r="A85" s="96">
        <v>83</v>
      </c>
      <c r="B85" s="97" t="s">
        <v>422</v>
      </c>
      <c r="C85" s="97" t="s">
        <v>423</v>
      </c>
      <c r="D85" s="160">
        <v>37075</v>
      </c>
      <c r="E85" s="48" t="s">
        <v>203</v>
      </c>
      <c r="F85" s="119">
        <v>3</v>
      </c>
      <c r="G85" s="102" t="str">
        <f>HYPERLINK("https://www.postindependent.com/news/memorial-for-stagner-shooting-victims-to-be-dedicated-in-rifle/","7")</f>
        <v>7</v>
      </c>
      <c r="H85" s="101" t="str">
        <f>HYPERLINK("https://www.postindependent.com/news/memorial-for-stagner-shooting-victims-to-be-dedicated-in-rifle/","2001")</f>
        <v>2001</v>
      </c>
      <c r="I85" s="48" t="s">
        <v>424</v>
      </c>
      <c r="J85" s="101" t="str">
        <f>HYPERLINK("https://www.postindependent.com/news/memorial-for-stagner-shooting-victims-to-be-dedicated-in-rifle/","Rifle")</f>
        <v>Rifle</v>
      </c>
      <c r="K85" s="102" t="str">
        <f>HYPERLINK("https://www.postindependent.com/news/memorial-for-stagner-shooting-victims-to-be-dedicated-in-rifle/","6")</f>
        <v>6</v>
      </c>
      <c r="L85" s="102">
        <v>3</v>
      </c>
      <c r="M85" s="102">
        <v>2</v>
      </c>
      <c r="N85" s="102" t="str">
        <f>HYPERLINK("https://www.denverpost.com/2015/04/03/insanity-ruling-angers-families-of-rifile-shooting-victims/","4")</f>
        <v>4</v>
      </c>
      <c r="O85" s="102" t="str">
        <f>HYPERLINK("https://www.upi.com/Archives/2001/07/05/Bond-denied-suspect-in-deadly-shooting/6717994305600/","0")</f>
        <v>0</v>
      </c>
      <c r="P85" s="99" t="s">
        <v>100</v>
      </c>
      <c r="Q85" s="103">
        <v>0</v>
      </c>
      <c r="R85" s="103">
        <v>0</v>
      </c>
      <c r="S85" s="102" t="str">
        <f>HYPERLINK("https://www.postindependent.com/news/memorial-for-stagner-shooting-victims-to-be-dedicated-in-rifle/","4")</f>
        <v>4</v>
      </c>
      <c r="T85" s="102">
        <v>3</v>
      </c>
      <c r="U85" s="101" t="str">
        <f>HYPERLINK("https://www.denverpost.com/2015/04/04/killers-who-pleaded-insanity-walk-free-from-state-hospital-in-colorado/","0")</f>
        <v>0</v>
      </c>
      <c r="V85" s="101" t="str">
        <f>HYPERLINK("https://www.denverpost.com/2015/04/02/gunman-kills-3-wounds-4-in-rifle-rampage-mental-patient-is-arrested/","42")</f>
        <v>42</v>
      </c>
      <c r="W85" s="101" t="str">
        <f>HYPERLINK("https://www.postindependent.com/news/memorial-for-stagner-shooting-victims-to-be-dedicated-in-rifle/","0")</f>
        <v>0</v>
      </c>
      <c r="X85" s="101">
        <v>0</v>
      </c>
      <c r="Y85" s="48">
        <v>0</v>
      </c>
      <c r="Z85" s="51">
        <v>0</v>
      </c>
      <c r="AA85" s="101" t="str">
        <f>HYPERLINK("https://www.denverpost.com/2015/04/03/insanity-ruling-angers-families-of-rifile-shooting-victims/","1")</f>
        <v>1</v>
      </c>
      <c r="AB85" s="101" t="str">
        <f>HYPERLINK("https://www.denverpost.com/2015/04/02/gunman-kills-3-wounds-4-in-rifle-rampage-mental-patient-is-arrested/","1")</f>
        <v>1</v>
      </c>
      <c r="AC85" s="51"/>
      <c r="AD85" s="51"/>
      <c r="AE85" s="51"/>
      <c r="AF85" s="51"/>
      <c r="AG85" s="51"/>
      <c r="AH85" s="51"/>
      <c r="AI85" s="51">
        <v>0</v>
      </c>
      <c r="AJ85" s="51">
        <v>0</v>
      </c>
      <c r="AK85" s="51">
        <v>0</v>
      </c>
      <c r="AL85" s="51"/>
      <c r="AM85" s="101" t="str">
        <f>HYPERLINK("https://www.denverpost.com/2015/04/03/insanity-ruling-angers-families-of-rifile-shooting-victims/","1")</f>
        <v>1</v>
      </c>
      <c r="AN85" s="101" t="str">
        <f>HYPERLINK("https://www.denverpost.com/2015/04/03/insanity-ruling-angers-families-of-rifile-shooting-victims/","0")</f>
        <v>0</v>
      </c>
      <c r="AO85" s="101" t="str">
        <f>HYPERLINK("https://www.denverpost.com/2015/04/02/gunman-kills-3-wounds-4-in-rifle-rampage-mental-patient-is-arrested/","0")</f>
        <v>0</v>
      </c>
      <c r="AP85" s="54"/>
      <c r="AQ85" s="101" t="str">
        <f>HYPERLINK("https://www.denverpost.com/2015/04/02/gunman-kills-3-wounds-4-in-rifle-rampage-mental-patient-is-arrested/","1")</f>
        <v>1</v>
      </c>
      <c r="AR85" s="51">
        <v>0</v>
      </c>
      <c r="AS85" s="101">
        <v>1</v>
      </c>
      <c r="AT85" s="48">
        <v>0</v>
      </c>
      <c r="AU85" s="48" t="s">
        <v>100</v>
      </c>
      <c r="AV85" s="48" t="s">
        <v>100</v>
      </c>
      <c r="AW85" s="48" t="s">
        <v>100</v>
      </c>
      <c r="AX85" s="48">
        <v>0</v>
      </c>
      <c r="AY85" s="51">
        <v>0</v>
      </c>
      <c r="AZ85" s="51">
        <v>0</v>
      </c>
      <c r="BA85" s="51">
        <v>0</v>
      </c>
      <c r="BB85" s="107">
        <v>0</v>
      </c>
      <c r="BC85" s="51">
        <v>0</v>
      </c>
      <c r="BD85" s="51">
        <v>0</v>
      </c>
      <c r="BE85" s="51"/>
      <c r="BF85" s="51"/>
      <c r="BG85" s="51"/>
      <c r="BH85" s="51"/>
      <c r="BI85" s="51">
        <v>0</v>
      </c>
      <c r="BJ85" s="51">
        <v>0</v>
      </c>
      <c r="BK85" s="51">
        <v>0</v>
      </c>
      <c r="BL85" s="108" t="str">
        <f>HYPERLINK("https://www.postindependent.com/news/stagner-insane-judge-confirms/","1")</f>
        <v>1</v>
      </c>
      <c r="BM85" s="109">
        <v>3</v>
      </c>
      <c r="BN85" s="115" t="s">
        <v>3076</v>
      </c>
      <c r="BO85" s="110">
        <v>1</v>
      </c>
      <c r="BP85" s="116">
        <v>1</v>
      </c>
      <c r="BQ85" s="116">
        <v>0</v>
      </c>
      <c r="BR85" s="116">
        <v>0</v>
      </c>
      <c r="BS85" s="116">
        <v>0</v>
      </c>
      <c r="BT85" s="116">
        <v>0</v>
      </c>
      <c r="BU85" s="116">
        <v>0</v>
      </c>
      <c r="BV85" s="116">
        <v>0</v>
      </c>
      <c r="BW85" s="110">
        <v>1</v>
      </c>
      <c r="BX85" s="110">
        <v>1</v>
      </c>
      <c r="BY85" s="51">
        <v>0</v>
      </c>
      <c r="BZ85" s="101" t="str">
        <f>HYPERLINK("https://www.denverpost.com/2015/04/03/insanity-ruling-angers-families-of-rifile-shooting-victims/","1")</f>
        <v>1</v>
      </c>
      <c r="CA85" s="101" t="str">
        <f>HYPERLINK("https://www.denverpost.com/2015/04/04/killers-who-pleaded-insanity-walk-free-from-state-hospital-in-colorado/","1")</f>
        <v>1</v>
      </c>
      <c r="CB85" s="101" t="str">
        <f>HYPERLINK("https://www.denverpost.com/2015/04/04/killers-who-pleaded-insanity-walk-free-from-state-hospital-in-colorado/","0")</f>
        <v>0</v>
      </c>
      <c r="CC85" s="101" t="str">
        <f>HYPERLINK("https://www.denverpost.com/2015/04/04/killers-who-pleaded-insanity-walk-free-from-state-hospital-in-colorado/","1")</f>
        <v>1</v>
      </c>
      <c r="CD85" s="101" t="str">
        <f>HYPERLINK("https://www.denverpost.com/2015/04/02/gunman-kills-3-wounds-4-in-rifle-rampage-mental-patient-is-arrested/","1")</f>
        <v>1</v>
      </c>
      <c r="CE85" s="101" t="str">
        <f>HYPERLINK("https://www.postindependent.com/news/stagner-insane-judge-confirms/","4")</f>
        <v>4</v>
      </c>
      <c r="CF85" s="107">
        <v>0</v>
      </c>
      <c r="CG85" s="51">
        <v>0</v>
      </c>
      <c r="CH85" s="101">
        <v>4</v>
      </c>
      <c r="CI85" s="51">
        <v>0</v>
      </c>
      <c r="CJ85" s="51" t="s">
        <v>100</v>
      </c>
      <c r="CK85" s="117">
        <v>1</v>
      </c>
      <c r="CL85" s="117"/>
      <c r="CM85" s="117"/>
      <c r="CN85" s="109">
        <v>0</v>
      </c>
      <c r="CO85" s="108">
        <v>0</v>
      </c>
      <c r="CP85" s="110">
        <v>0</v>
      </c>
      <c r="CQ85" s="108">
        <v>0</v>
      </c>
      <c r="CR85" s="110">
        <v>0</v>
      </c>
      <c r="CS85" s="110">
        <v>0</v>
      </c>
      <c r="CT85" s="110">
        <v>0</v>
      </c>
      <c r="CU85" s="110">
        <v>0</v>
      </c>
      <c r="CV85" s="110">
        <v>0</v>
      </c>
      <c r="CW85" s="110">
        <v>0</v>
      </c>
      <c r="CX85" s="109">
        <v>1</v>
      </c>
      <c r="CY85" s="110">
        <v>0</v>
      </c>
      <c r="CZ85" s="108" t="str">
        <f>HYPERLINK("https://www.denverpost.com/2015/04/02/gunman-kills-3-wounds-4-in-rifle-rampage-mental-patient-is-arrested/","0")</f>
        <v>0</v>
      </c>
      <c r="DA85" s="101" t="str">
        <f>HYPERLINK("https://www.postindependent.com/news/stagner-insane-judge-confirms/","3")</f>
        <v>3</v>
      </c>
      <c r="DB85" s="51">
        <v>0</v>
      </c>
      <c r="DC85" s="101" t="str">
        <f>HYPERLINK("https://www.postindependent.com/news/stagner-insane-judge-confirms/","1")</f>
        <v>1</v>
      </c>
      <c r="DD85" s="51">
        <v>0</v>
      </c>
      <c r="DE85" s="51">
        <v>8</v>
      </c>
      <c r="DF85" s="51">
        <v>0</v>
      </c>
      <c r="DG85" s="51"/>
      <c r="DH85" s="51"/>
      <c r="DI85" s="51"/>
      <c r="DJ85" s="51">
        <v>0</v>
      </c>
      <c r="DK85" s="51">
        <v>0</v>
      </c>
      <c r="DL85" s="48" t="s">
        <v>100</v>
      </c>
      <c r="DM85" s="101" t="str">
        <f>HYPERLINK("https://www.postindependent.com/news/stagner-insane-judge-confirms/","0")</f>
        <v>0</v>
      </c>
      <c r="DN85" s="51">
        <v>0</v>
      </c>
      <c r="DO85" s="51" t="s">
        <v>100</v>
      </c>
      <c r="DP85" s="101" t="str">
        <f t="shared" ref="DP85:DQ85" si="221">HYPERLINK("https://www.postindependent.com/news/stagner-insane-judge-confirms/","0")</f>
        <v>0</v>
      </c>
      <c r="DQ85" s="101" t="str">
        <f t="shared" si="221"/>
        <v>0</v>
      </c>
      <c r="DR85" s="48">
        <v>0</v>
      </c>
      <c r="DS85" s="101" t="str">
        <f>HYPERLINK("https://www.denverpost.com/2015/04/03/insanity-ruling-angers-families-of-rifile-shooting-victims/","3")</f>
        <v>3</v>
      </c>
      <c r="DT85" s="101" t="str">
        <f t="shared" ref="DT85" si="222">HYPERLINK("https://www.denverpost.com/2015/04/03/insanity-ruling-angers-families-of-rifile-shooting-victims/","1")</f>
        <v>1</v>
      </c>
      <c r="DU85" s="101" t="str">
        <f>HYPERLINK("https://www.denverpost.com/2015/04/03/insanity-ruling-angers-families-of-rifile-shooting-victims/","0")</f>
        <v>0</v>
      </c>
      <c r="DV85" s="48" t="s">
        <v>100</v>
      </c>
      <c r="DW85" s="101" t="str">
        <f>HYPERLINK("https://www.denverpost.com/2015/04/02/gunman-kills-3-wounds-4-in-rifle-rampage-mental-patient-is-arrested/","2")</f>
        <v>2</v>
      </c>
      <c r="DX85" s="101" t="str">
        <f>HYPERLINK("https://www.postindependent.com/news/stagner-insane-judge-confirms/","0")</f>
        <v>0</v>
      </c>
      <c r="DY85" s="105" t="str">
        <f>HYPERLINK("https://www.postindependent.com/news/stagner-found-insane-trial-cancelled/","1")</f>
        <v>1</v>
      </c>
      <c r="DZ85" s="133" t="str">
        <f>HYPERLINK("https://www.denverpost.com/2015/04/02/gunman-kills-3-wounds-4-in-rifle-rampage-mental-patient-is-arrested/","4")</f>
        <v>4</v>
      </c>
    </row>
    <row r="86" spans="1:130" ht="50.25" customHeight="1">
      <c r="A86" s="96">
        <v>84</v>
      </c>
      <c r="B86" s="97" t="s">
        <v>315</v>
      </c>
      <c r="C86" s="97" t="s">
        <v>122</v>
      </c>
      <c r="D86" s="160">
        <v>37142</v>
      </c>
      <c r="E86" s="105" t="s">
        <v>103</v>
      </c>
      <c r="F86" s="119">
        <v>8</v>
      </c>
      <c r="G86" s="102">
        <v>9</v>
      </c>
      <c r="H86" s="101">
        <v>2001</v>
      </c>
      <c r="I86" s="105" t="s">
        <v>426</v>
      </c>
      <c r="J86" s="101" t="s">
        <v>427</v>
      </c>
      <c r="K86" s="102">
        <v>5</v>
      </c>
      <c r="L86" s="102" t="str">
        <f>HYPERLINK("https://www.nytimes.com/2001/09/11/national/slaying-suspect-commits-suicide.html","3")</f>
        <v>3</v>
      </c>
      <c r="M86" s="119">
        <v>0</v>
      </c>
      <c r="N86" s="102" t="str">
        <f>HYPERLINK("https://www.nytimes.com/2001/09/11/national/slaying-suspect-commits-suicide.html","6")</f>
        <v>6</v>
      </c>
      <c r="O86" s="102" t="str">
        <f>HYPERLINK("https://www.latimes.com/archives/la-xpm-2001-sep-11-mn-44550-story.html","1")</f>
        <v>1</v>
      </c>
      <c r="P86" s="102" t="str">
        <f>HYPERLINK("https://www.nytimes.com/2001/09/11/national/slaying-suspect-commits-suicide.html","6")</f>
        <v>6</v>
      </c>
      <c r="Q86" s="103">
        <v>0</v>
      </c>
      <c r="R86" s="103">
        <v>0</v>
      </c>
      <c r="S86" s="102">
        <v>5</v>
      </c>
      <c r="T86" s="102" t="str">
        <f>HYPERLINK("https://www.latimes.com/archives/la-xpm-2001-sep-11-mn-44550-story.html","2")</f>
        <v>2</v>
      </c>
      <c r="U86" s="101" t="str">
        <f>HYPERLINK("https://www.nytimes.com/2001/09/11/national/slaying-suspect-commits-suicide.html","1")</f>
        <v>1</v>
      </c>
      <c r="V86" s="101">
        <v>20</v>
      </c>
      <c r="W86" s="101">
        <v>0</v>
      </c>
      <c r="X86" s="101" t="str">
        <f>HYPERLINK("https://www.sfgate.com/news/article/Sacramento-rampage-5-shot-dead-Slayer-kills-2881164.php","0")</f>
        <v>0</v>
      </c>
      <c r="Y86" s="48">
        <v>0</v>
      </c>
      <c r="Z86" s="101" t="str">
        <f>HYPERLINK("https://www.nytimes.com/2001/09/11/national/slaying-suspect-commits-suicide.html","0")</f>
        <v>0</v>
      </c>
      <c r="AA86" s="51"/>
      <c r="AB86" s="101">
        <v>1</v>
      </c>
      <c r="AC86" s="101" t="str">
        <f>HYPERLINK("https://www.latimes.com/archives/la-xpm-2001-sep-11-mn-44550-story.html","2")</f>
        <v>2</v>
      </c>
      <c r="AD86" s="101" t="str">
        <f>HYPERLINK("https://www.latimes.com/archives/la-xpm-2001-sep-11-mn-44550-story.html","excelled in school")</f>
        <v>excelled in school</v>
      </c>
      <c r="AE86" s="101" t="str">
        <f>HYPERLINK("https://www.sfgate.com/news/article/Killer-boasts-on-video-filmed-during-rampage-2878872.php","1")</f>
        <v>1</v>
      </c>
      <c r="AF86" s="101" t="str">
        <f>HYPERLINK("https://www.sfgate.com/news/article/Killer-boasts-on-video-filmed-during-rampage-2878872.php","2")</f>
        <v>2</v>
      </c>
      <c r="AG86" s="101" t="str">
        <f>HYPERLINK("https://www.sfgate.com/news/article/Killer-boasts-on-video-filmed-during-rampage-2878872.php","0")</f>
        <v>0</v>
      </c>
      <c r="AH86" s="101" t="str">
        <f>HYPERLINK("https://www.sfgate.com/news/article/Killer-boasts-on-video-filmed-during-rampage-2878872.php","2")</f>
        <v>2</v>
      </c>
      <c r="AI86" s="101">
        <v>0</v>
      </c>
      <c r="AJ86" s="51">
        <v>0</v>
      </c>
      <c r="AK86" s="101">
        <v>1</v>
      </c>
      <c r="AL86" s="101">
        <v>0</v>
      </c>
      <c r="AM86" s="51">
        <v>0</v>
      </c>
      <c r="AN86" s="48" t="s">
        <v>100</v>
      </c>
      <c r="AO86" s="101" t="str">
        <f>HYPERLINK("https://www.sfgate.com/news/article/Sacramento-rampage-5-shot-dead-Slayer-kills-2881164.php","0")</f>
        <v>0</v>
      </c>
      <c r="AP86" s="54"/>
      <c r="AQ86" s="101">
        <v>0</v>
      </c>
      <c r="AR86" s="51">
        <v>0</v>
      </c>
      <c r="AS86" s="101">
        <v>1</v>
      </c>
      <c r="AT86" s="105" t="str">
        <f>HYPERLINK("https://www.latimes.com/archives/la-xpm-2001-sep-11-mn-44550-story.html","1")</f>
        <v>1</v>
      </c>
      <c r="AU86" s="105">
        <v>3</v>
      </c>
      <c r="AV86" s="105">
        <v>4</v>
      </c>
      <c r="AW86" s="48"/>
      <c r="AX86" s="48">
        <v>0</v>
      </c>
      <c r="AY86" s="51">
        <v>0</v>
      </c>
      <c r="AZ86" s="51">
        <v>0</v>
      </c>
      <c r="BA86" s="101" t="str">
        <f>HYPERLINK("https://www.latimes.com/archives/la-xpm-2001-sep-11-mn-44550-story.html","3")</f>
        <v>3</v>
      </c>
      <c r="BB86" s="107">
        <v>0</v>
      </c>
      <c r="BC86" s="51">
        <v>0</v>
      </c>
      <c r="BD86" s="51">
        <v>0</v>
      </c>
      <c r="BE86" s="101" t="str">
        <f>HYPERLINK("https://www.latimes.com/archives/la-xpm-2001-sep-11-mn-44550-story.html","0")</f>
        <v>0</v>
      </c>
      <c r="BF86" s="101" t="str">
        <f>HYPERLINK("https://www.sfgate.com/news/article/Sacramento-rampage-5-shot-dead-Slayer-kills-2881164.php","0")</f>
        <v>0</v>
      </c>
      <c r="BG86" s="101" t="str">
        <f>HYPERLINK("https://www.latimes.com/archives/la-xpm-2001-sep-11-mn-44550-story.html","2")</f>
        <v>2</v>
      </c>
      <c r="BH86" s="51">
        <v>1</v>
      </c>
      <c r="BI86" s="51">
        <v>0</v>
      </c>
      <c r="BJ86" s="101">
        <v>1</v>
      </c>
      <c r="BK86" s="101">
        <v>1</v>
      </c>
      <c r="BL86" s="108" t="str">
        <f>HYPERLINK("https://www.latimes.com/archives/la-xpm-2001-sep-11-mn-44550-story.html","1")</f>
        <v>1</v>
      </c>
      <c r="BM86" s="109">
        <v>0</v>
      </c>
      <c r="BN86" s="110" t="s">
        <v>3055</v>
      </c>
      <c r="BO86" s="111">
        <v>1</v>
      </c>
      <c r="BP86" s="111">
        <v>0</v>
      </c>
      <c r="BQ86" s="111">
        <v>0</v>
      </c>
      <c r="BR86" s="111">
        <v>0</v>
      </c>
      <c r="BS86" s="111">
        <v>1</v>
      </c>
      <c r="BT86" s="111">
        <v>1</v>
      </c>
      <c r="BU86" s="111">
        <v>1</v>
      </c>
      <c r="BV86" s="111">
        <v>0</v>
      </c>
      <c r="BW86" s="111">
        <v>0</v>
      </c>
      <c r="BX86" s="111">
        <v>0</v>
      </c>
      <c r="BY86" s="101" t="str">
        <f>HYPERLINK("https://www.cbsnews.com/news/another-sacramento-bloodbath/","2")</f>
        <v>2</v>
      </c>
      <c r="BZ86" s="51">
        <v>0</v>
      </c>
      <c r="CA86" s="101" t="str">
        <f>HYPERLINK("https://www.latimes.com/archives/la-xpm-2001-sep-11-mn-44550-story.html","1")</f>
        <v>1</v>
      </c>
      <c r="CB86" s="101" t="str">
        <f>HYPERLINK("https://www.latimes.com/archives/la-xpm-2001-sep-11-mn-44550-story.html","0")</f>
        <v>0</v>
      </c>
      <c r="CC86" s="51">
        <v>0</v>
      </c>
      <c r="CD86" s="101" t="str">
        <f>HYPERLINK("https://www.latimes.com/archives/la-xpm-2001-sep-11-mn-44550-story.html","0")</f>
        <v>0</v>
      </c>
      <c r="CE86" s="51">
        <v>0</v>
      </c>
      <c r="CF86" s="107">
        <v>0</v>
      </c>
      <c r="CG86" s="51">
        <v>0</v>
      </c>
      <c r="CH86" s="51">
        <v>0</v>
      </c>
      <c r="CI86" s="51">
        <v>0</v>
      </c>
      <c r="CJ86" s="51" t="s">
        <v>100</v>
      </c>
      <c r="CK86" s="117">
        <v>1</v>
      </c>
      <c r="CL86" s="117"/>
      <c r="CM86" s="117"/>
      <c r="CN86" s="108">
        <v>0</v>
      </c>
      <c r="CO86" s="110">
        <v>0</v>
      </c>
      <c r="CP86" s="110">
        <v>0</v>
      </c>
      <c r="CQ86" s="110">
        <v>0</v>
      </c>
      <c r="CR86" s="108" t="str">
        <f>HYPERLINK("https://www.latimes.com/archives/la-xpm-2001-sep-11-mn-44550-story.html","1")</f>
        <v>1</v>
      </c>
      <c r="CS86" s="110">
        <v>0</v>
      </c>
      <c r="CT86" s="110">
        <v>0</v>
      </c>
      <c r="CU86" s="108" t="str">
        <f t="shared" ref="CU86" si="223">HYPERLINK("https://www.latimes.com/archives/la-xpm-2001-sep-11-mn-44550-story.html","1")</f>
        <v>1</v>
      </c>
      <c r="CV86" s="110">
        <v>0</v>
      </c>
      <c r="CW86" s="110">
        <v>0</v>
      </c>
      <c r="CX86" s="110">
        <v>0</v>
      </c>
      <c r="CY86" s="110">
        <v>0</v>
      </c>
      <c r="CZ86" s="108" t="str">
        <f t="shared" ref="CZ86" si="224">HYPERLINK("https://www.latimes.com/archives/la-xpm-2001-sep-11-mn-44550-story.html","1")</f>
        <v>1</v>
      </c>
      <c r="DA86" s="51">
        <v>0</v>
      </c>
      <c r="DB86" s="51">
        <v>0</v>
      </c>
      <c r="DC86" s="101" t="str">
        <f>HYPERLINK("https://www.latimes.com/archives/la-xpm-2001-sep-11-mn-44550-story.html","1")</f>
        <v>1</v>
      </c>
      <c r="DD86" s="51">
        <v>5</v>
      </c>
      <c r="DE86" s="51">
        <v>4</v>
      </c>
      <c r="DF86" s="107">
        <v>0</v>
      </c>
      <c r="DG86" s="107"/>
      <c r="DH86" s="107"/>
      <c r="DI86" s="107"/>
      <c r="DJ86" s="101">
        <v>1</v>
      </c>
      <c r="DK86" s="101" t="str">
        <f>HYPERLINK("https://www.nytimes.com/2001/09/11/national/slaying-suspect-commits-suicide.html","1")</f>
        <v>1</v>
      </c>
      <c r="DL86" s="101" t="s">
        <v>428</v>
      </c>
      <c r="DM86" s="101" t="str">
        <f>HYPERLINK("https://www.nytimes.com/2001/09/11/national/slaying-suspect-commits-suicide.html","1")</f>
        <v>1</v>
      </c>
      <c r="DN86" s="51">
        <v>0</v>
      </c>
      <c r="DO86" s="51" t="s">
        <v>100</v>
      </c>
      <c r="DP86" s="51">
        <v>0</v>
      </c>
      <c r="DQ86" s="101" t="str">
        <f>HYPERLINK("https://www.nytimes.com/2001/09/11/national/slaying-suspect-commits-suicide.html","1")</f>
        <v>1</v>
      </c>
      <c r="DR86" s="48">
        <v>0</v>
      </c>
      <c r="DS86" s="101" t="str">
        <f>HYPERLINK("https://www.latimes.com/archives/la-xpm-2001-sep-11-mn-44550-story.html","2")</f>
        <v>2</v>
      </c>
      <c r="DT86" s="101" t="str">
        <f>HYPERLINK("https://www.sfgate.com/news/article/Sacramento-rampage-5-shot-dead-Slayer-kills-2881164.php","5")</f>
        <v>5</v>
      </c>
      <c r="DU86" s="101" t="str">
        <f>HYPERLINK("https://www.sfgate.com/news/article/Sacramento-rampage-5-shot-dead-Slayer-kills-2881164.php","1")</f>
        <v>1</v>
      </c>
      <c r="DV86" s="101" t="str">
        <f>HYPERLINK("https://www.sfgate.com/news/article/Sacramento-rampage-5-shot-dead-Slayer-kills-2881164.php","pipe bombs")</f>
        <v>pipe bombs</v>
      </c>
      <c r="DW86" s="101">
        <v>0</v>
      </c>
      <c r="DX86" s="101" t="str">
        <f>HYPERLINK("https://www.nytimes.com/2001/09/11/national/slaying-suspect-commits-suicide.html","0")</f>
        <v>0</v>
      </c>
      <c r="DY86" s="48">
        <v>2</v>
      </c>
      <c r="DZ86" s="48">
        <v>0</v>
      </c>
    </row>
    <row r="87" spans="1:130" ht="50.25" customHeight="1">
      <c r="A87" s="96">
        <v>85</v>
      </c>
      <c r="B87" s="97" t="s">
        <v>429</v>
      </c>
      <c r="C87" s="97" t="s">
        <v>182</v>
      </c>
      <c r="D87" s="98">
        <v>37337</v>
      </c>
      <c r="E87" s="48" t="s">
        <v>157</v>
      </c>
      <c r="F87" s="119">
        <v>22</v>
      </c>
      <c r="G87" s="102">
        <v>3</v>
      </c>
      <c r="H87" s="101">
        <v>2002</v>
      </c>
      <c r="I87" s="48" t="s">
        <v>430</v>
      </c>
      <c r="J87" s="101" t="s">
        <v>431</v>
      </c>
      <c r="K87" s="102" t="str">
        <f>HYPERLINK("https://www.chicagotribune.com/news/ct-xpm-2002-03-23-0203230127-story.html","14")</f>
        <v>14</v>
      </c>
      <c r="L87" s="102">
        <v>1</v>
      </c>
      <c r="M87" s="102">
        <v>0</v>
      </c>
      <c r="N87" s="102" t="str">
        <f>HYPERLINK("https://www.latimes.com/archives/la-xpm-2002-mar-23-mn-34383-story.html","6")</f>
        <v>6</v>
      </c>
      <c r="O87" s="102" t="str">
        <f>HYPERLINK("https://www.latimes.com/archives/la-xpm-2002-mar-23-mn-34383-story.html","1")</f>
        <v>1</v>
      </c>
      <c r="P87" s="122" t="str">
        <f>HYPERLINK("https://www.latimes.com/archives/la-xpm-2002-mar-23-mn-34383-story.html","8")</f>
        <v>8</v>
      </c>
      <c r="Q87" s="103">
        <v>0</v>
      </c>
      <c r="R87" s="103">
        <v>0</v>
      </c>
      <c r="S87" s="102" t="str">
        <f>HYPERLINK("https://www.nytimes.com/2002/03/23/us/gunman-kills-4-at-indiana-plant.html","4")</f>
        <v>4</v>
      </c>
      <c r="T87" s="102" t="str">
        <f>HYPERLINK("https://www.nytimes.com/2002/03/23/us/gunman-kills-4-at-indiana-plant.html","5")</f>
        <v>5</v>
      </c>
      <c r="U87" s="101" t="str">
        <f>HYPERLINK("https://www.latimes.com/archives/la-xpm-2002-mar-23-mn-34383-story.html","0")</f>
        <v>0</v>
      </c>
      <c r="V87" s="101">
        <v>54</v>
      </c>
      <c r="W87" s="101">
        <v>0</v>
      </c>
      <c r="X87" s="51"/>
      <c r="Y87" s="48">
        <v>0</v>
      </c>
      <c r="Z87" s="101" t="str">
        <f>HYPERLINK("https://www.heraldpalladium.com/localnews/killings-shock-friends-and-neighbors/article_1e98c855-92d1-5d68-aaa6-e68165370d57.html","0")</f>
        <v>0</v>
      </c>
      <c r="AA87" s="101" t="str">
        <f>HYPERLINK("https://www.heraldpalladium.com/localnews/killings-shock-friends-and-neighbors/article_1e98c855-92d1-5d68-aaa6-e68165370d57.html","1")</f>
        <v>1</v>
      </c>
      <c r="AB87" s="51"/>
      <c r="AC87" s="51"/>
      <c r="AD87" s="51"/>
      <c r="AE87" s="107"/>
      <c r="AF87" s="107"/>
      <c r="AG87" s="107"/>
      <c r="AH87" s="107"/>
      <c r="AI87" s="101">
        <v>2</v>
      </c>
      <c r="AJ87" s="101">
        <v>1</v>
      </c>
      <c r="AK87" s="101">
        <v>1</v>
      </c>
      <c r="AL87" s="101" t="str">
        <f>HYPERLINK("https://www.nwitimes.com/uncategorized/south-bend-factory-worker-kills-then-himself/article_f9510908-20ec-5629-8891-42c83bb776f3.html","0")</f>
        <v>0</v>
      </c>
      <c r="AM87" s="51">
        <v>0</v>
      </c>
      <c r="AN87" s="48" t="s">
        <v>100</v>
      </c>
      <c r="AO87" s="101" t="str">
        <f>HYPERLINK("https://www.nytimes.com/2002/03/23/us/gunman-kills-4-at-indiana-plant.html","0")</f>
        <v>0</v>
      </c>
      <c r="AP87" s="54"/>
      <c r="AQ87" s="101" t="str">
        <f>HYPERLINK("https://www.heraldpalladium.com/localnews/killer-plotted-cass-terror-in/article_5461a6e8-9e75-5d39-914b-b0d4577691a1.html","1")</f>
        <v>1</v>
      </c>
      <c r="AR87" s="51">
        <v>0</v>
      </c>
      <c r="AS87" s="101" t="str">
        <f>HYPERLINK("https://www.heraldpalladium.com/localnews/killer-plotted-cass-terror-in/article_5461a6e8-9e75-5d39-914b-b0d4577691a1.html","1")</f>
        <v>1</v>
      </c>
      <c r="AT87" s="105" t="str">
        <f>HYPERLINK("https://www.heraldpalladium.com/localnews/killer-plotted-cass-terror-in/article_5461a6e8-9e75-5d39-914b-b0d4577691a1.html","3")</f>
        <v>3</v>
      </c>
      <c r="AU87" s="105">
        <v>3</v>
      </c>
      <c r="AV87" s="105">
        <v>4</v>
      </c>
      <c r="AW87" s="48"/>
      <c r="AX87" s="48">
        <v>0</v>
      </c>
      <c r="AY87" s="51">
        <v>0</v>
      </c>
      <c r="AZ87" s="51">
        <v>0</v>
      </c>
      <c r="BA87" s="51">
        <v>0</v>
      </c>
      <c r="BB87" s="107">
        <v>0</v>
      </c>
      <c r="BC87" s="101" t="str">
        <f t="shared" ref="BC87:BD87" si="225">HYPERLINK("https://www.heraldpalladium.com/localnews/killings-shock-friends-and-neighbors/article_1e98c855-92d1-5d68-aaa6-e68165370d57.html","0")</f>
        <v>0</v>
      </c>
      <c r="BD87" s="101" t="str">
        <f t="shared" si="225"/>
        <v>0</v>
      </c>
      <c r="BE87" s="51"/>
      <c r="BF87" s="51"/>
      <c r="BG87" s="51"/>
      <c r="BH87" s="51"/>
      <c r="BI87" s="51">
        <v>0</v>
      </c>
      <c r="BJ87" s="101" t="str">
        <f>HYPERLINK("https://www.heraldpalladium.com/localnews/killings-shock-friends-and-neighbors/article_1e98c855-92d1-5d68-aaa6-e68165370d57.html","0")</f>
        <v>0</v>
      </c>
      <c r="BK87" s="101" t="str">
        <f>HYPERLINK("https://www.nwitimes.com/uncategorized/south-bend-factory-worker-kills-then-himself/article_f9510908-20ec-5629-8891-42c83bb776f3.html","1")</f>
        <v>1</v>
      </c>
      <c r="BL87" s="108" t="str">
        <f>HYPERLINK("https://www.chicagotribune.com/news/ct-xpm-2002-03-23-0203230127-story.html","1")</f>
        <v>1</v>
      </c>
      <c r="BM87" s="108">
        <v>3</v>
      </c>
      <c r="BN87" s="115" t="s">
        <v>3077</v>
      </c>
      <c r="BO87" s="111">
        <v>1</v>
      </c>
      <c r="BP87" s="111">
        <v>0</v>
      </c>
      <c r="BQ87" s="111">
        <v>0</v>
      </c>
      <c r="BR87" s="111">
        <v>0</v>
      </c>
      <c r="BS87" s="111">
        <v>1</v>
      </c>
      <c r="BT87" s="111">
        <v>1</v>
      </c>
      <c r="BU87" s="111">
        <v>1</v>
      </c>
      <c r="BV87" s="111">
        <v>0</v>
      </c>
      <c r="BW87" s="111">
        <v>0</v>
      </c>
      <c r="BX87" s="111">
        <v>0</v>
      </c>
      <c r="BY87" s="101" t="str">
        <f>HYPERLINK("https://www.latimes.com/archives/la-xpm-2002-mar-23-mn-34383-story.html","2")</f>
        <v>2</v>
      </c>
      <c r="BZ87" s="101" t="str">
        <f>HYPERLINK("https://www.heraldpalladium.com/localnews/killer-plotted-cass-terror-in/article_5461a6e8-9e75-5d39-914b-b0d4577691a1.html","1")</f>
        <v>1</v>
      </c>
      <c r="CA87" s="51">
        <v>0</v>
      </c>
      <c r="CB87" s="51" t="s">
        <v>100</v>
      </c>
      <c r="CC87" s="51">
        <v>0</v>
      </c>
      <c r="CD87" s="101" t="str">
        <f>HYPERLINK("https://www.ourmidland.com/news/article/Gunman-had-history-of-mental-illness-7103532.php","0")</f>
        <v>0</v>
      </c>
      <c r="CE87" s="101" t="str">
        <f>HYPERLINK("https://www.southbendtribune.com/news/local/archive-police-recall-s-incident-with-lockey/article_aa36b908-ee30-11e2-8e04-0019bb30f31a.html","5")</f>
        <v>5</v>
      </c>
      <c r="CF87" s="107">
        <v>0</v>
      </c>
      <c r="CG87" s="51">
        <v>0</v>
      </c>
      <c r="CH87" s="51">
        <v>0</v>
      </c>
      <c r="CI87" s="51">
        <v>0</v>
      </c>
      <c r="CJ87" s="51" t="s">
        <v>100</v>
      </c>
      <c r="CK87" s="113">
        <v>0</v>
      </c>
      <c r="CL87" s="113"/>
      <c r="CM87" s="113"/>
      <c r="CN87" s="110">
        <v>0</v>
      </c>
      <c r="CO87" s="110">
        <v>0</v>
      </c>
      <c r="CP87" s="110">
        <v>0</v>
      </c>
      <c r="CQ87" s="110">
        <v>0</v>
      </c>
      <c r="CR87" s="109">
        <v>1</v>
      </c>
      <c r="CS87" s="110">
        <v>0</v>
      </c>
      <c r="CT87" s="110">
        <v>0</v>
      </c>
      <c r="CU87" s="110">
        <v>0</v>
      </c>
      <c r="CV87" s="108" t="str">
        <f>HYPERLINK("https://www.nwitimes.com/uncategorized/south-bend-factory-worker-kills-then-himself/article_f9510908-20ec-5629-8891-42c83bb776f3.html","1")</f>
        <v>1</v>
      </c>
      <c r="CW87" s="110">
        <v>0</v>
      </c>
      <c r="CX87" s="110">
        <v>0</v>
      </c>
      <c r="CY87" s="108">
        <v>0</v>
      </c>
      <c r="CZ87" s="108" t="str">
        <f>HYPERLINK("https://www.chicagotribune.com/news/ct-xpm-2002-03-23-0203230127-story.html","0")</f>
        <v>0</v>
      </c>
      <c r="DA87" s="51">
        <v>0</v>
      </c>
      <c r="DB87" s="51">
        <v>0</v>
      </c>
      <c r="DC87" s="101">
        <v>0</v>
      </c>
      <c r="DD87" s="51"/>
      <c r="DE87" s="51"/>
      <c r="DF87" s="51"/>
      <c r="DG87" s="51"/>
      <c r="DH87" s="51"/>
      <c r="DI87" s="51"/>
      <c r="DJ87" s="101">
        <v>1</v>
      </c>
      <c r="DK87" s="51">
        <v>0</v>
      </c>
      <c r="DL87" s="48" t="s">
        <v>100</v>
      </c>
      <c r="DM87" s="101" t="str">
        <f>HYPERLINK("https://www.heraldpalladium.com/localnews/killings-shock-friends-and-neighbors/article_1e98c855-92d1-5d68-aaa6-e68165370d57.html","0")</f>
        <v>0</v>
      </c>
      <c r="DN87" s="51">
        <v>0</v>
      </c>
      <c r="DO87" s="51" t="s">
        <v>100</v>
      </c>
      <c r="DP87" s="51">
        <v>0</v>
      </c>
      <c r="DQ87" s="101" t="str">
        <f>HYPERLINK("https://www.chicagotribune.com/news/ct-xpm-2002-03-23-0203230127-story.html","0")</f>
        <v>0</v>
      </c>
      <c r="DR87" s="105" t="str">
        <f>HYPERLINK("https://www.heraldpalladium.com/localnews/killings-shock-friends-and-neighbors/article_1e98c855-92d1-5d68-aaa6-e68165370d57.html","0")</f>
        <v>0</v>
      </c>
      <c r="DS87" s="101" t="str">
        <f>HYPERLINK("https://www.southbendtribune.com/news/local/archive-police-recall-s-incident-with-lockey/article_aa36b908-ee30-11e2-8e04-0019bb30f31a.html","1")</f>
        <v>1</v>
      </c>
      <c r="DT87" s="101" t="str">
        <f>HYPERLINK("https://www.ourmidland.com/news/article/Gunman-had-history-of-mental-illness-7103532.php","2")</f>
        <v>2</v>
      </c>
      <c r="DU87" s="101" t="str">
        <f>HYPERLINK("https://www.ourmidland.com/news/article/Gunman-had-history-of-mental-illness-7103532.php","0")</f>
        <v>0</v>
      </c>
      <c r="DV87" s="48" t="s">
        <v>100</v>
      </c>
      <c r="DW87" s="101">
        <v>0</v>
      </c>
      <c r="DX87" s="101" t="str">
        <f>HYPERLINK("https://www.heraldpalladium.com/localnews/killings-shock-friends-and-neighbors/article_1e98c855-92d1-5d68-aaa6-e68165370d57.html","0")</f>
        <v>0</v>
      </c>
      <c r="DY87" s="48">
        <v>2</v>
      </c>
      <c r="DZ87" s="48">
        <v>0</v>
      </c>
    </row>
    <row r="88" spans="1:130" ht="50.25" customHeight="1">
      <c r="A88" s="96">
        <v>86</v>
      </c>
      <c r="B88" s="97" t="s">
        <v>432</v>
      </c>
      <c r="C88" s="97" t="s">
        <v>433</v>
      </c>
      <c r="D88" s="98">
        <v>37677</v>
      </c>
      <c r="E88" s="48" t="s">
        <v>203</v>
      </c>
      <c r="F88" s="119">
        <v>25</v>
      </c>
      <c r="G88" s="102" t="str">
        <f>HYPERLINK("https://www.cbsnews.com/news/employment-agency-bloodbath/ ","2")</f>
        <v>2</v>
      </c>
      <c r="H88" s="101" t="str">
        <f>HYPERLINK("https://www.cbsnews.com/news/employment-agency-bloodbath/ ","2003")</f>
        <v>2003</v>
      </c>
      <c r="I88" s="48" t="s">
        <v>434</v>
      </c>
      <c r="J88" s="101" t="str">
        <f>HYPERLINK("https://www.gainesville.com/news/20030226/four-dead-in-ala-shooting-at-job-agency","Huntsville")</f>
        <v>Huntsville</v>
      </c>
      <c r="K88" s="102" t="str">
        <f>HYPERLINK("https://www.nytimes.com/2003/02/26/us/gunman-kills-four-at-alabama-job-agency.html","1")</f>
        <v>1</v>
      </c>
      <c r="L88" s="119">
        <v>0</v>
      </c>
      <c r="M88" s="102">
        <v>0</v>
      </c>
      <c r="N88" s="102" t="str">
        <f>HYPERLINK("https://www.nytimes.com/2003/02/26/us/gunman-kills-four-at-alabama-job-agency.html","6")</f>
        <v>6</v>
      </c>
      <c r="O88" s="102">
        <v>0</v>
      </c>
      <c r="P88" s="99" t="s">
        <v>100</v>
      </c>
      <c r="Q88" s="103">
        <v>0</v>
      </c>
      <c r="R88" s="103">
        <v>0</v>
      </c>
      <c r="S88" s="102" t="str">
        <f>HYPERLINK("https://www.nytimes.com/2003/02/26/us/gunman-kills-four-at-alabama-job-agency.html","4")</f>
        <v>4</v>
      </c>
      <c r="T88" s="102" t="str">
        <f>HYPERLINK("https://www.nytimes.com/2003/02/26/us/gunman-kills-four-at-alabama-job-agency.html","1")</f>
        <v>1</v>
      </c>
      <c r="U88" s="101" t="str">
        <f>HYPERLINK("https://www.nytimes.com/2003/02/26/us/gunman-kills-four-at-alabama-job-agency.html","0")</f>
        <v>0</v>
      </c>
      <c r="V88" s="101" t="str">
        <f>HYPERLINK("https://www.cbsnews.com/news/employment-agency-bloodbath/ ","23")</f>
        <v>23</v>
      </c>
      <c r="W88" s="101" t="str">
        <f>HYPERLINK("https://www.cbsnews.com/news/employment-agency-bloodbath/ ","0")</f>
        <v>0</v>
      </c>
      <c r="X88" s="101">
        <v>1</v>
      </c>
      <c r="Y88" s="51">
        <v>0</v>
      </c>
      <c r="Z88" s="51">
        <v>0</v>
      </c>
      <c r="AA88" s="51"/>
      <c r="AB88" s="51" t="s">
        <v>818</v>
      </c>
      <c r="AC88" s="51"/>
      <c r="AD88" s="51"/>
      <c r="AE88" s="51"/>
      <c r="AF88" s="51"/>
      <c r="AG88" s="51"/>
      <c r="AH88" s="51"/>
      <c r="AI88" s="51"/>
      <c r="AJ88" s="51">
        <v>0</v>
      </c>
      <c r="AK88" s="101" t="str">
        <f>HYPERLINK("https://www.nytimes.com/2003/02/26/us/gunman-kills-four-at-alabama-job-agency.html","0")</f>
        <v>0</v>
      </c>
      <c r="AL88" s="101" t="str">
        <f>HYPERLINK("https://www.gainesville.com/news/20030226/four-dead-in-ala-shooting-at-job-agency","0")</f>
        <v>0</v>
      </c>
      <c r="AM88" s="51">
        <v>0</v>
      </c>
      <c r="AN88" s="48" t="s">
        <v>100</v>
      </c>
      <c r="AO88" s="51"/>
      <c r="AP88" s="51"/>
      <c r="AQ88" s="101" t="str">
        <f t="shared" ref="AQ88:DS88" si="226">HYPERLINK("https://www.cbsnews.com/news/employment-agency-bloodbath/","1")</f>
        <v>1</v>
      </c>
      <c r="AR88" s="51">
        <v>0</v>
      </c>
      <c r="AS88" s="51"/>
      <c r="AT88" s="51">
        <v>0</v>
      </c>
      <c r="AU88" s="51" t="s">
        <v>100</v>
      </c>
      <c r="AV88" s="51" t="s">
        <v>100</v>
      </c>
      <c r="AW88" s="51" t="s">
        <v>100</v>
      </c>
      <c r="AX88" s="51">
        <v>0</v>
      </c>
      <c r="AY88" s="51">
        <v>0</v>
      </c>
      <c r="AZ88" s="51">
        <v>0</v>
      </c>
      <c r="BA88" s="51">
        <v>0</v>
      </c>
      <c r="BB88" s="51">
        <v>0</v>
      </c>
      <c r="BC88" s="51">
        <v>0</v>
      </c>
      <c r="BD88" s="101">
        <v>0</v>
      </c>
      <c r="BE88" s="51"/>
      <c r="BF88" s="51"/>
      <c r="BG88" s="51"/>
      <c r="BH88" s="51"/>
      <c r="BI88" s="51">
        <v>0</v>
      </c>
      <c r="BJ88" s="51">
        <v>0</v>
      </c>
      <c r="BK88" s="51">
        <v>0</v>
      </c>
      <c r="BL88" s="108" t="str">
        <f>HYPERLINK("https://www.cbsnews.com/news/employment-agency-bloodbath/","1")</f>
        <v>1</v>
      </c>
      <c r="BM88" s="108">
        <v>3</v>
      </c>
      <c r="BN88" s="115" t="s">
        <v>3078</v>
      </c>
      <c r="BO88" s="111">
        <v>1</v>
      </c>
      <c r="BP88" s="111">
        <v>0</v>
      </c>
      <c r="BQ88" s="111">
        <v>0</v>
      </c>
      <c r="BR88" s="111">
        <v>0</v>
      </c>
      <c r="BS88" s="111">
        <v>1</v>
      </c>
      <c r="BT88" s="111">
        <v>1</v>
      </c>
      <c r="BU88" s="111">
        <v>1</v>
      </c>
      <c r="BV88" s="111">
        <v>0</v>
      </c>
      <c r="BW88" s="111">
        <v>0</v>
      </c>
      <c r="BX88" s="111">
        <v>0</v>
      </c>
      <c r="BY88" s="51"/>
      <c r="BZ88" s="101" t="str">
        <f>HYPERLINK("https://www.michigansthumb.com/news/article/Lawyer-Ala-Suspect-Has-Mental-Problems-7370378.php","1")</f>
        <v>1</v>
      </c>
      <c r="CA88" s="51">
        <v>0</v>
      </c>
      <c r="CB88" s="51" t="s">
        <v>100</v>
      </c>
      <c r="CC88" s="51">
        <v>0</v>
      </c>
      <c r="CD88" s="101" t="str">
        <f>HYPERLINK("https://www.michigansthumb.com/news/article/Lawyer-Ala-Suspect-Has-Mental-Problems-7370378.php","0")</f>
        <v>0</v>
      </c>
      <c r="CE88" s="101" t="str">
        <f>HYPERLINK("https://www.michigansthumb.com/news/article/Lawyer-Ala-Suspect-Has-Mental-Problems-7370378.php","5")</f>
        <v>5</v>
      </c>
      <c r="CF88" s="107">
        <v>0</v>
      </c>
      <c r="CG88" s="51">
        <v>0</v>
      </c>
      <c r="CH88" s="51"/>
      <c r="CI88" s="51">
        <v>0</v>
      </c>
      <c r="CJ88" s="51" t="s">
        <v>100</v>
      </c>
      <c r="CK88" s="113">
        <v>0</v>
      </c>
      <c r="CL88" s="113"/>
      <c r="CM88" s="113"/>
      <c r="CN88" s="110">
        <v>0</v>
      </c>
      <c r="CO88" s="110">
        <v>0</v>
      </c>
      <c r="CP88" s="110">
        <v>0</v>
      </c>
      <c r="CQ88" s="110">
        <v>0</v>
      </c>
      <c r="CR88" s="110">
        <v>0</v>
      </c>
      <c r="CS88" s="110">
        <v>0</v>
      </c>
      <c r="CT88" s="110">
        <v>0</v>
      </c>
      <c r="CU88" s="110">
        <v>0</v>
      </c>
      <c r="CV88" s="109">
        <v>1</v>
      </c>
      <c r="CW88" s="110">
        <v>0</v>
      </c>
      <c r="CX88" s="108">
        <v>0</v>
      </c>
      <c r="CY88" s="110">
        <v>0</v>
      </c>
      <c r="CZ88" s="108" t="str">
        <f>HYPERLINK("https://www.gainesville.com/news/20030226/four-dead-in-ala-shooting-at-job-agency","0")</f>
        <v>0</v>
      </c>
      <c r="DA88" s="51">
        <v>0</v>
      </c>
      <c r="DB88" s="51">
        <v>0</v>
      </c>
      <c r="DC88" s="51">
        <v>0</v>
      </c>
      <c r="DD88" s="51"/>
      <c r="DE88" s="51"/>
      <c r="DF88" s="51"/>
      <c r="DG88" s="51"/>
      <c r="DH88" s="51"/>
      <c r="DI88" s="51"/>
      <c r="DJ88" s="51">
        <v>0</v>
      </c>
      <c r="DK88" s="51">
        <v>0</v>
      </c>
      <c r="DL88" s="48" t="s">
        <v>100</v>
      </c>
      <c r="DM88" s="101" t="str">
        <f>HYPERLINK("https://www.gainesville.com/news/20030226/four-dead-in-ala-shooting-at-job-agency","0")</f>
        <v>0</v>
      </c>
      <c r="DN88" s="51">
        <v>0</v>
      </c>
      <c r="DO88" s="51" t="s">
        <v>100</v>
      </c>
      <c r="DP88" s="101" t="str">
        <f t="shared" ref="DP88:DQ88" si="227">HYPERLINK("https://www.gainesville.com/news/20030226/four-dead-in-ala-shooting-at-job-agency","0")</f>
        <v>0</v>
      </c>
      <c r="DQ88" s="101" t="str">
        <f t="shared" si="227"/>
        <v>0</v>
      </c>
      <c r="DR88" s="51">
        <v>0</v>
      </c>
      <c r="DS88" s="101" t="str">
        <f t="shared" si="226"/>
        <v>1</v>
      </c>
      <c r="DT88" s="101" t="str">
        <f t="shared" ref="DT88" si="228">HYPERLINK("https://www.nytimes.com/2003/02/26/us/gunman-kills-four-at-alabama-job-agency.html","1")</f>
        <v>1</v>
      </c>
      <c r="DU88" s="101" t="str">
        <f>HYPERLINK("https://www.nytimes.com/2003/02/26/us/gunman-kills-four-at-alabama-job-agency.html","0")</f>
        <v>0</v>
      </c>
      <c r="DV88" s="48" t="s">
        <v>100</v>
      </c>
      <c r="DW88" s="101" t="str">
        <f>HYPERLINK("https://www.michigansthumb.com/news/article/Lawyer-Ala-Suspect-Has-Mental-Problems-7370378.php","2")</f>
        <v>2</v>
      </c>
      <c r="DX88" s="101" t="str">
        <f>HYPERLINK("https://www.nytimes.com/2003/02/26/us/gunman-kills-four-at-alabama-job-agency.html","1")</f>
        <v>1</v>
      </c>
      <c r="DY88" s="51"/>
      <c r="DZ88" s="133" t="str">
        <f>HYPERLINK("https://www.michigansthumb.com/news/article/Lawyer-Ala-Suspect-Has-Mental-Problems-7370378.php","1")</f>
        <v>1</v>
      </c>
    </row>
    <row r="89" spans="1:130" ht="50.25" customHeight="1">
      <c r="A89" s="96">
        <v>87</v>
      </c>
      <c r="B89" s="97" t="s">
        <v>436</v>
      </c>
      <c r="C89" s="97" t="s">
        <v>437</v>
      </c>
      <c r="D89" s="98">
        <v>37810</v>
      </c>
      <c r="E89" s="48" t="s">
        <v>203</v>
      </c>
      <c r="F89" s="119">
        <v>8</v>
      </c>
      <c r="G89" s="102" t="str">
        <f>HYPERLINK("https://www.nytimes.com/2003/07/09/us/man-kills-5-co-workers-at-plant-and-himself.html?mcubz=0","7")</f>
        <v>7</v>
      </c>
      <c r="H89" s="101" t="str">
        <f>HYPERLINK("https://www.nytimes.com/2003/07/09/us/man-kills-5-co-workers-at-plant-and-himself.html?mcubz=0","2003")</f>
        <v>2003</v>
      </c>
      <c r="I89" s="48" t="s">
        <v>438</v>
      </c>
      <c r="J89" s="101" t="str">
        <f>HYPERLINK("https://www.cbsnews.com/news/six-dead-in-mississippi-massacre/","Meridian ")</f>
        <v xml:space="preserve">Meridian </v>
      </c>
      <c r="K89" s="102" t="str">
        <f>HYPERLINK("https://www.cbsnews.com/news/six-dead-in-mississippi-massacre/","24")</f>
        <v>24</v>
      </c>
      <c r="L89" s="119">
        <v>0</v>
      </c>
      <c r="M89" s="102">
        <v>0</v>
      </c>
      <c r="N89" s="102" t="str">
        <f>HYPERLINK("https://www.nytimes.com/2003/07/09/us/man-kills-5-co-workers-at-plant-and-himself.html?mcubz=0","6")</f>
        <v>6</v>
      </c>
      <c r="O89" s="102" t="str">
        <f>HYPERLINK("https://www.nytimes.com/2003/07/09/us/man-kills-5-co-workers-at-plant-and-himself.html?mcubz=0","0")</f>
        <v>0</v>
      </c>
      <c r="P89" s="99" t="s">
        <v>100</v>
      </c>
      <c r="Q89" s="103">
        <v>0</v>
      </c>
      <c r="R89" s="103">
        <v>0</v>
      </c>
      <c r="S89" s="102" t="str">
        <f>HYPERLINK("https://www.hattiesburgamerican.com/story/news/local/2014/07/06/events-commemorate-lockheed-martin-shooting/12272845/","6")</f>
        <v>6</v>
      </c>
      <c r="T89" s="102" t="str">
        <f>HYPERLINK("https://www.wtok.com/content/news/Reconciliation-week-kicks-off-15-years-after-Lockheed-Martin-shooting-487618811.html","8")</f>
        <v>8</v>
      </c>
      <c r="U89" s="101" t="str">
        <f>HYPERLINK("https://www.cbsnews.com/news/six-dead-in-mississippi-massacre/","0")</f>
        <v>0</v>
      </c>
      <c r="V89" s="101" t="str">
        <f>HYPERLINK("https://www.nytimes.com/2003/07/09/us/man-kills-5-co-workers-at-plant-and-himself.html?mcubz=0","48")</f>
        <v>48</v>
      </c>
      <c r="W89" s="101" t="str">
        <f>HYPERLINK("https://www.nytimes.com/2003/07/09/us/man-kills-5-co-workers-at-plant-and-himself.html?mcubz=0","0")</f>
        <v>0</v>
      </c>
      <c r="X89" s="101" t="str">
        <f>HYPERLINK("https://www.cbsnews.com/news/six-dead-in-mississippi-massacre/","0")</f>
        <v>0</v>
      </c>
      <c r="Y89" s="48">
        <v>0</v>
      </c>
      <c r="Z89" s="105" t="str">
        <f>HYPERLINK("https://www.cbsnews.com/news/girlfriend-plant-shooter-a-victim/","0")</f>
        <v>0</v>
      </c>
      <c r="AA89" s="101" t="str">
        <f>HYPERLINK("https://www.clarionledger.com/story/news/2018/03/08/mass-shooting-gun-violence-survivors-speak-gun-control-rights/397253002/","1")</f>
        <v>1</v>
      </c>
      <c r="AB89" s="51" t="s">
        <v>818</v>
      </c>
      <c r="AC89" s="51"/>
      <c r="AD89" s="51"/>
      <c r="AE89" s="51"/>
      <c r="AF89" s="51"/>
      <c r="AG89" s="51"/>
      <c r="AH89" s="51"/>
      <c r="AI89" s="101">
        <v>1</v>
      </c>
      <c r="AJ89" s="101" t="str">
        <f t="shared" ref="AJ89:AK89" si="229">HYPERLINK("https://www.nytimes.com/2003/07/09/us/man-kills-5-co-workers-at-plant-and-himself.html?mcubz=0","1")</f>
        <v>1</v>
      </c>
      <c r="AK89" s="101" t="str">
        <f t="shared" si="229"/>
        <v>1</v>
      </c>
      <c r="AL89" s="101" t="str">
        <f>HYPERLINK("https://www.nytimes.com/2003/07/09/us/man-kills-5-co-workers-at-plant-and-himself.html?mcubz=0","0")</f>
        <v>0</v>
      </c>
      <c r="AM89" s="101">
        <v>0</v>
      </c>
      <c r="AN89" s="48" t="s">
        <v>100</v>
      </c>
      <c r="AO89" s="51"/>
      <c r="AP89" s="51"/>
      <c r="AQ89" s="101">
        <v>0</v>
      </c>
      <c r="AR89" s="51">
        <v>0</v>
      </c>
      <c r="AS89" s="101" t="str">
        <f>HYPERLINK("https://www.latimes.com/archives/la-xpm-2003-jul-10-na-shooting10-story.html","1")</f>
        <v>1</v>
      </c>
      <c r="AT89" s="52">
        <v>0</v>
      </c>
      <c r="AU89" s="52" t="s">
        <v>100</v>
      </c>
      <c r="AV89" s="52" t="s">
        <v>100</v>
      </c>
      <c r="AW89" s="52" t="s">
        <v>100</v>
      </c>
      <c r="AX89" s="48">
        <v>0</v>
      </c>
      <c r="AY89" s="51">
        <v>0</v>
      </c>
      <c r="AZ89" s="51">
        <v>0</v>
      </c>
      <c r="BA89" s="51">
        <v>0</v>
      </c>
      <c r="BB89" s="51">
        <v>0</v>
      </c>
      <c r="BC89" s="101" t="str">
        <f>HYPERLINK("https://www.latimes.com/archives/la-xpm-2003-jul-10-na-shooting10-story.html","1")</f>
        <v>1</v>
      </c>
      <c r="BD89" s="51">
        <v>0</v>
      </c>
      <c r="BE89" s="51"/>
      <c r="BF89" s="51"/>
      <c r="BG89" s="51"/>
      <c r="BH89" s="51"/>
      <c r="BI89" s="51">
        <v>0</v>
      </c>
      <c r="BJ89" s="51">
        <v>0</v>
      </c>
      <c r="BK89" s="101" t="str">
        <f>HYPERLINK("https://www.nytimes.com/2003/07/09/us/man-kills-5-co-workers-at-plant-and-himself.html?mcubz=0","0")</f>
        <v>0</v>
      </c>
      <c r="BL89" s="108" t="str">
        <f>HYPERLINK("https://www.cbsnews.com/news/girlfriend-plant-shooter-a-victim/","1")</f>
        <v>1</v>
      </c>
      <c r="BM89" s="109">
        <v>3</v>
      </c>
      <c r="BN89" s="115" t="s">
        <v>3079</v>
      </c>
      <c r="BO89" s="111">
        <v>0</v>
      </c>
      <c r="BP89" s="111">
        <v>0</v>
      </c>
      <c r="BQ89" s="111">
        <v>1</v>
      </c>
      <c r="BR89" s="111">
        <v>0</v>
      </c>
      <c r="BS89" s="111">
        <v>0</v>
      </c>
      <c r="BT89" s="111">
        <v>1</v>
      </c>
      <c r="BU89" s="111">
        <v>1</v>
      </c>
      <c r="BV89" s="111">
        <v>0</v>
      </c>
      <c r="BW89" s="111">
        <v>0</v>
      </c>
      <c r="BX89" s="111">
        <v>1</v>
      </c>
      <c r="BY89" s="101" t="str">
        <f>HYPERLINK("https://www.nytimes.com/2003/07/09/us/man-kills-5-co-workers-at-plant-and-himself.html?mcubz=0","1")</f>
        <v>1</v>
      </c>
      <c r="BZ89" s="51">
        <v>0</v>
      </c>
      <c r="CA89" s="101" t="str">
        <f>HYPERLINK("http://articles.latimes.com/2003/jul/10/nation/na-shooting10","1")</f>
        <v>1</v>
      </c>
      <c r="CB89" s="101" t="str">
        <f>HYPERLINK("https://www.latimes.com/archives/la-xpm-2003-jul-10-na-shooting10-story.html","1")</f>
        <v>1</v>
      </c>
      <c r="CC89" s="101" t="str">
        <f t="shared" ref="CC89:CE89" si="230">HYPERLINK("https://www.cbsnews.com/news/girlfriend-plant-shooter-a-victim/","1")</f>
        <v>1</v>
      </c>
      <c r="CD89" s="105" t="str">
        <f t="shared" si="230"/>
        <v>1</v>
      </c>
      <c r="CE89" s="105" t="str">
        <f t="shared" si="230"/>
        <v>1</v>
      </c>
      <c r="CF89" s="52">
        <v>0</v>
      </c>
      <c r="CG89" s="48">
        <v>0</v>
      </c>
      <c r="CH89" s="51">
        <v>0</v>
      </c>
      <c r="CI89" s="123">
        <v>1</v>
      </c>
      <c r="CJ89" s="123" t="s">
        <v>439</v>
      </c>
      <c r="CK89" s="117">
        <v>1</v>
      </c>
      <c r="CL89" s="117"/>
      <c r="CM89" s="117"/>
      <c r="CN89" s="108" t="str">
        <f t="shared" ref="CN89" si="231">HYPERLINK("https://www.cbsnews.com/news/six-dead-in-mississippi-massacre/","1")</f>
        <v>1</v>
      </c>
      <c r="CO89" s="108">
        <v>0</v>
      </c>
      <c r="CP89" s="108">
        <v>0</v>
      </c>
      <c r="CQ89" s="110">
        <v>0</v>
      </c>
      <c r="CR89" s="109">
        <v>1</v>
      </c>
      <c r="CS89" s="108">
        <v>0</v>
      </c>
      <c r="CT89" s="110">
        <v>0</v>
      </c>
      <c r="CU89" s="108">
        <v>0</v>
      </c>
      <c r="CV89" s="108">
        <v>0</v>
      </c>
      <c r="CW89" s="110">
        <v>0</v>
      </c>
      <c r="CX89" s="110">
        <v>0</v>
      </c>
      <c r="CY89" s="108">
        <v>0</v>
      </c>
      <c r="CZ89" s="108" t="str">
        <f>HYPERLINK("https://www.nytimes.com/2003/07/09/us/man-kills-5-co-workers-at-plant-and-himself.html?mcubz=0","0")</f>
        <v>0</v>
      </c>
      <c r="DA89" s="51">
        <v>0</v>
      </c>
      <c r="DB89" s="51">
        <v>0</v>
      </c>
      <c r="DC89" s="101" t="str">
        <f>HYPERLINK("https://www.nytimes.com/2003/07/09/us/man-kills-5-co-workers-at-plant-and-himself.html?mcubz=0","1")</f>
        <v>1</v>
      </c>
      <c r="DD89" s="51">
        <v>0</v>
      </c>
      <c r="DE89" s="51">
        <v>4</v>
      </c>
      <c r="DF89" s="51">
        <v>0</v>
      </c>
      <c r="DG89" s="51"/>
      <c r="DH89" s="51"/>
      <c r="DI89" s="51"/>
      <c r="DJ89" s="51">
        <v>0</v>
      </c>
      <c r="DK89" s="51">
        <v>0</v>
      </c>
      <c r="DL89" s="48" t="s">
        <v>100</v>
      </c>
      <c r="DM89" s="101" t="str">
        <f>HYPERLINK("https://www.nytimes.com/2003/07/09/us/man-kills-5-co-workers-at-plant-and-himself.html?mcubz=0","0")</f>
        <v>0</v>
      </c>
      <c r="DN89" s="51">
        <v>0</v>
      </c>
      <c r="DO89" s="101" t="s">
        <v>100</v>
      </c>
      <c r="DP89" s="101">
        <v>0</v>
      </c>
      <c r="DQ89" s="101" t="str">
        <f>HYPERLINK("https://www.nytimes.com/2003/07/09/us/man-kills-5-co-workers-at-plant-and-himself.html?mcubz=0","0")</f>
        <v>0</v>
      </c>
      <c r="DR89" s="48">
        <v>0</v>
      </c>
      <c r="DS89" s="101" t="str">
        <f>HYPERLINK("https://www.nytimes.com/2003/07/09/us/man-kills-5-co-workers-at-plant-and-himself.html?mcubz=0","1")</f>
        <v>1</v>
      </c>
      <c r="DT89" s="101">
        <v>5</v>
      </c>
      <c r="DU89" s="101" t="str">
        <f>HYPERLINK("https://www.nytimes.com/2003/07/09/us/man-kills-5-co-workers-at-plant-and-himself.html?mcubz=0","1")</f>
        <v>1</v>
      </c>
      <c r="DV89" s="101" t="str">
        <f>HYPERLINK("https://www.nytimes.com/2003/07/09/us/man-kills-5-co-workers-at-plant-and-himself.html?mcubz=0","bandolier")</f>
        <v>bandolier</v>
      </c>
      <c r="DW89" s="101" t="str">
        <f>HYPERLINK("https://www.nytimes.com/2003/07/09/us/man-kills-5-co-workers-at-plant-and-himself.html?mcubz=0","0")</f>
        <v>0</v>
      </c>
      <c r="DX89" s="101" t="str">
        <f>HYPERLINK("https://www.cbsnews.com/news/six-dead-in-mississippi-massacre/","0")</f>
        <v>0</v>
      </c>
      <c r="DY89" s="48">
        <v>2</v>
      </c>
      <c r="DZ89" s="48">
        <v>0</v>
      </c>
    </row>
    <row r="90" spans="1:130" ht="50.25" customHeight="1">
      <c r="A90" s="96">
        <v>88</v>
      </c>
      <c r="B90" s="97" t="s">
        <v>441</v>
      </c>
      <c r="C90" s="97" t="s">
        <v>442</v>
      </c>
      <c r="D90" s="98">
        <v>37860</v>
      </c>
      <c r="E90" s="48" t="s">
        <v>123</v>
      </c>
      <c r="F90" s="119">
        <v>27</v>
      </c>
      <c r="G90" s="102" t="str">
        <f>HYPERLINK("https://www.cbsnews.com/news/7-dead-in-chicago-rampage/","8")</f>
        <v>8</v>
      </c>
      <c r="H90" s="101" t="str">
        <f>HYPERLINK("https://www.cbsnews.com/news/7-dead-in-chicago-rampage/","2003")</f>
        <v>2003</v>
      </c>
      <c r="I90" s="48" t="s">
        <v>443</v>
      </c>
      <c r="J90" s="101" t="str">
        <f>HYPERLINK("https://www.cbsnews.com/news/7-dead-in-chicago-rampage/","Chicago")</f>
        <v>Chicago</v>
      </c>
      <c r="K90" s="102" t="str">
        <f>HYPERLINK("https://www.nytimes.com/2003/08/28/us/man-fired-by-warehouse-kills-6-of-its-9-employees.html","13")</f>
        <v>13</v>
      </c>
      <c r="L90" s="102">
        <v>1</v>
      </c>
      <c r="M90" s="102">
        <v>0</v>
      </c>
      <c r="N90" s="102" t="str">
        <f>HYPERLINK("https://www.nytimes.com/2003/08/28/us/man-fired-by-warehouse-kills-6-of-its-9-employees.html","6")</f>
        <v>6</v>
      </c>
      <c r="O90" s="102" t="str">
        <f>HYPERLINK("https://www.nytimes.com/2003/08/28/us/man-fired-by-warehouse-kills-6-of-its-9-employees.html","0")</f>
        <v>0</v>
      </c>
      <c r="P90" s="99" t="s">
        <v>100</v>
      </c>
      <c r="Q90" s="103">
        <v>0</v>
      </c>
      <c r="R90" s="103">
        <v>0</v>
      </c>
      <c r="S90" s="102" t="str">
        <f>HYPERLINK("https://www.nytimes.com/2003/08/28/us/man-fired-by-warehouse-kills-6-of-its-9-employees.html","6")</f>
        <v>6</v>
      </c>
      <c r="T90" s="102" t="str">
        <f>HYPERLINK("https://www.nytimes.com/2003/08/28/us/man-fired-by-warehouse-kills-6-of-its-9-employees.html","0")</f>
        <v>0</v>
      </c>
      <c r="U90" s="101" t="str">
        <f>HYPERLINK("https://www.sfgate.com/news/article/Fired-employee-guns-down-6-workers-on-job-police-2574112.php","0")</f>
        <v>0</v>
      </c>
      <c r="V90" s="101" t="str">
        <f>HYPERLINK("https://www.cbsnews.com/news/7-dead-in-chicago-rampage/","36")</f>
        <v>36</v>
      </c>
      <c r="W90" s="101" t="str">
        <f>HYPERLINK("https://www.cbsnews.com/news/7-dead-in-chicago-rampage/","0")</f>
        <v>0</v>
      </c>
      <c r="X90" s="101" t="str">
        <f>HYPERLINK("https://www.chicagotribune.com/news/ct-xpm-2003-08-28-0308280412-story.html","2")</f>
        <v>2</v>
      </c>
      <c r="Y90" s="105">
        <v>1</v>
      </c>
      <c r="Z90" s="101" t="str">
        <f>HYPERLINK("https://www.chicagotribune.com/news/ct-xpm-2003-08-28-0308280412-story.html","0")</f>
        <v>0</v>
      </c>
      <c r="AA90" s="51"/>
      <c r="AB90" s="51" t="s">
        <v>818</v>
      </c>
      <c r="AC90" s="51"/>
      <c r="AD90" s="51"/>
      <c r="AE90" s="51"/>
      <c r="AF90" s="101" t="str">
        <f>HYPERLINK("https://www.chicagotribune.com/news/ct-xpm-2003-08-28-0308280412-story.html","5")</f>
        <v>5</v>
      </c>
      <c r="AG90" s="51"/>
      <c r="AH90" s="51"/>
      <c r="AI90" s="101" t="str">
        <f>HYPERLINK("https://www.chicagotribune.com/news/ct-xpm-2003-08-29-0308290321-story.html","1")</f>
        <v>1</v>
      </c>
      <c r="AJ90" s="51">
        <v>0</v>
      </c>
      <c r="AK90" s="101" t="str">
        <f>HYPERLINK("https://www.chicagotribune.com/news/ct-xpm-2003-08-28-0308280412-story.html","0")</f>
        <v>0</v>
      </c>
      <c r="AL90" s="101">
        <v>0</v>
      </c>
      <c r="AM90" s="51">
        <v>0</v>
      </c>
      <c r="AN90" s="48" t="s">
        <v>100</v>
      </c>
      <c r="AO90" s="51"/>
      <c r="AP90" s="51"/>
      <c r="AQ90" s="101" t="str">
        <f t="shared" ref="AQ90:DS90" si="232">HYPERLINK("https://www.chicagotribune.com/news/ct-xpm-2003-08-28-0308280412-story.html","1")</f>
        <v>1</v>
      </c>
      <c r="AR90" s="51">
        <v>0</v>
      </c>
      <c r="AS90" s="101" t="str">
        <f>HYPERLINK("https://www.chicagotribune.com/news/ct-xpm-2003-08-28-0308280412-story.html","1")</f>
        <v>1</v>
      </c>
      <c r="AT90" s="105" t="str">
        <f>HYPERLINK("https://www.chicagotribune.com/news/ct-xpm-2003-08-28-0308280412-story.html","3")</f>
        <v>3</v>
      </c>
      <c r="AU90" s="105">
        <v>1</v>
      </c>
      <c r="AV90" s="105">
        <v>4</v>
      </c>
      <c r="AW90" s="105">
        <v>3</v>
      </c>
      <c r="AX90" s="48">
        <v>0</v>
      </c>
      <c r="AY90" s="51">
        <v>0</v>
      </c>
      <c r="AZ90" s="48">
        <v>0</v>
      </c>
      <c r="BA90" s="51">
        <v>0</v>
      </c>
      <c r="BB90" s="107">
        <v>0</v>
      </c>
      <c r="BC90" s="101" t="str">
        <f>HYPERLINK("https://www.chicagotribune.com/news/ct-xpm-2003-08-28-0308280412-story.html","1")</f>
        <v>1</v>
      </c>
      <c r="BD90" s="51">
        <v>0</v>
      </c>
      <c r="BE90" s="51"/>
      <c r="BF90" s="51"/>
      <c r="BG90" s="51"/>
      <c r="BH90" s="51"/>
      <c r="BI90" s="51">
        <v>0</v>
      </c>
      <c r="BJ90" s="51">
        <v>0</v>
      </c>
      <c r="BK90" s="101" t="str">
        <f>HYPERLINK("https://www.chicagotribune.com/news/ct-xpm-2003-08-29-0308290149-story.html","1")</f>
        <v>1</v>
      </c>
      <c r="BL90" s="108" t="str">
        <f>HYPERLINK("https://www.chicagotribune.com/news/ct-xpm-2003-08-29-0308290321-story.html","1")</f>
        <v>1</v>
      </c>
      <c r="BM90" s="109">
        <v>3</v>
      </c>
      <c r="BN90" s="115" t="s">
        <v>3036</v>
      </c>
      <c r="BO90" s="111">
        <v>1</v>
      </c>
      <c r="BP90" s="111">
        <v>1</v>
      </c>
      <c r="BQ90" s="111">
        <v>0</v>
      </c>
      <c r="BR90" s="111">
        <v>0</v>
      </c>
      <c r="BS90" s="111">
        <v>0</v>
      </c>
      <c r="BT90" s="111">
        <v>1</v>
      </c>
      <c r="BU90" s="111">
        <v>1</v>
      </c>
      <c r="BV90" s="111">
        <v>0</v>
      </c>
      <c r="BW90" s="111">
        <v>0</v>
      </c>
      <c r="BX90" s="111">
        <v>0</v>
      </c>
      <c r="BY90" s="101" t="str">
        <f>HYPERLINK("https://www.latimes.com/archives/la-xpm-2003-aug-28-na-shoot28-story.html","2")</f>
        <v>2</v>
      </c>
      <c r="BZ90" s="51">
        <v>0</v>
      </c>
      <c r="CA90" s="51">
        <v>0</v>
      </c>
      <c r="CB90" s="51" t="s">
        <v>100</v>
      </c>
      <c r="CC90" s="51">
        <v>0</v>
      </c>
      <c r="CD90" s="51" t="s">
        <v>100</v>
      </c>
      <c r="CE90" s="51">
        <v>0</v>
      </c>
      <c r="CF90" s="107">
        <v>0</v>
      </c>
      <c r="CG90" s="51">
        <v>0</v>
      </c>
      <c r="CH90" s="101" t="str">
        <f>HYPERLINK("https://www.chicagotribune.com/news/ct-xpm-2003-08-28-0308280412-story.html","5")</f>
        <v>5</v>
      </c>
      <c r="CI90" s="51">
        <v>0</v>
      </c>
      <c r="CJ90" s="51" t="s">
        <v>100</v>
      </c>
      <c r="CK90" s="113">
        <v>0</v>
      </c>
      <c r="CL90" s="113"/>
      <c r="CM90" s="113"/>
      <c r="CN90" s="108">
        <v>0</v>
      </c>
      <c r="CO90" s="108">
        <v>0</v>
      </c>
      <c r="CP90" s="108">
        <v>0</v>
      </c>
      <c r="CQ90" s="110">
        <v>0</v>
      </c>
      <c r="CR90" s="108" t="str">
        <f>HYPERLINK("https://www.chicagotribune.com/news/ct-xpm-2003-08-29-0308290149-story.html","1")</f>
        <v>1</v>
      </c>
      <c r="CS90" s="108">
        <v>0</v>
      </c>
      <c r="CT90" s="110">
        <v>0</v>
      </c>
      <c r="CU90" s="108">
        <v>0</v>
      </c>
      <c r="CV90" s="108">
        <v>0</v>
      </c>
      <c r="CW90" s="110">
        <v>0</v>
      </c>
      <c r="CX90" s="110">
        <v>0</v>
      </c>
      <c r="CY90" s="110">
        <v>0</v>
      </c>
      <c r="CZ90" s="108" t="str">
        <f>HYPERLINK("https://www.sfgate.com/news/article/Fired-employee-guns-down-6-workers-on-job-police-2574112.php","0")</f>
        <v>0</v>
      </c>
      <c r="DA90" s="51">
        <v>0</v>
      </c>
      <c r="DB90" s="51">
        <v>0</v>
      </c>
      <c r="DC90" s="141" t="str">
        <f>HYPERLINK("https://www.cbsnews.com/news/warehouse-became-deathtrap/","1")</f>
        <v>1</v>
      </c>
      <c r="DD90" s="107">
        <v>3</v>
      </c>
      <c r="DE90" s="107">
        <v>4</v>
      </c>
      <c r="DF90" s="107">
        <v>0</v>
      </c>
      <c r="DG90" s="107"/>
      <c r="DH90" s="107"/>
      <c r="DI90" s="107"/>
      <c r="DJ90" s="51">
        <v>0</v>
      </c>
      <c r="DK90" s="101">
        <v>0</v>
      </c>
      <c r="DL90" s="48" t="s">
        <v>100</v>
      </c>
      <c r="DM90" s="101" t="str">
        <f>HYPERLINK("https://www.chicagotribune.com/news/ct-xpm-2003-08-29-0308290321-story.html","1")</f>
        <v>1</v>
      </c>
      <c r="DN90" s="51">
        <v>0</v>
      </c>
      <c r="DO90" s="101" t="s">
        <v>100</v>
      </c>
      <c r="DP90" s="101">
        <v>0</v>
      </c>
      <c r="DQ90" s="101" t="str">
        <f>HYPERLINK("https://www.sfgate.com/news/article/Fired-employee-guns-down-6-workers-on-job-police-2574112.php","0")</f>
        <v>0</v>
      </c>
      <c r="DR90" s="105">
        <v>1</v>
      </c>
      <c r="DS90" s="101" t="str">
        <f t="shared" si="232"/>
        <v>1</v>
      </c>
      <c r="DT90" s="101" t="str">
        <f t="shared" ref="DT90" si="233">HYPERLINK("https://www.chicagotribune.com/news/ct-xpm-2003-08-29-0308290321-story.html","1")</f>
        <v>1</v>
      </c>
      <c r="DU90" s="101" t="str">
        <f>HYPERLINK("https://www.latimes.com/archives/la-xpm-2003-aug-28-na-shoot28-story.html","0")</f>
        <v>0</v>
      </c>
      <c r="DV90" s="48" t="s">
        <v>100</v>
      </c>
      <c r="DW90" s="101" t="str">
        <f>HYPERLINK("https://www.sfgate.com/news/article/Fired-employee-guns-down-6-workers-on-job-police-2574112.php","1")</f>
        <v>1</v>
      </c>
      <c r="DX90" s="101" t="str">
        <f>HYPERLINK("https://www.sfgate.com/news/article/Fired-employee-guns-down-6-workers-on-job-police-2574112.php","0")</f>
        <v>0</v>
      </c>
      <c r="DY90" s="48">
        <v>2</v>
      </c>
      <c r="DZ90" s="48">
        <v>0</v>
      </c>
    </row>
    <row r="91" spans="1:130" ht="50.25" customHeight="1">
      <c r="A91" s="96">
        <v>89</v>
      </c>
      <c r="B91" s="97" t="s">
        <v>444</v>
      </c>
      <c r="C91" s="97" t="s">
        <v>445</v>
      </c>
      <c r="D91" s="98">
        <v>37918</v>
      </c>
      <c r="E91" s="48" t="s">
        <v>203</v>
      </c>
      <c r="F91" s="119">
        <v>24</v>
      </c>
      <c r="G91" s="102">
        <v>10</v>
      </c>
      <c r="H91" s="101" t="str">
        <f>HYPERLINK("http://azdailysun.com/four-people-killed-in-idaho-bar-shooting-suspect-kills-self/article_163bed64-5202-50e8-99ea-95c04515ad99.html","2003")</f>
        <v>2003</v>
      </c>
      <c r="I91" s="48" t="s">
        <v>446</v>
      </c>
      <c r="J91" s="101" t="str">
        <f>HYPERLINK("http://azdailysun.com/four-people-killed-in-idaho-bar-shooting-suspect-kills-self/article_163bed64-5202-50e8-99ea-95c04515ad99.html ","Oldtown")</f>
        <v>Oldtown</v>
      </c>
      <c r="K91" s="102" t="str">
        <f>HYPERLINK("http://azdailysun.com/four-people-killed-in-idaho-bar-shooting-suspect-kills-self/article_163bed64-5202-50e8-99ea-95c04515ad99.html ","12")</f>
        <v>12</v>
      </c>
      <c r="L91" s="102" t="str">
        <f>HYPERLINK("http://azdailysun.com/four-people-killed-in-idaho-bar-shooting-suspect-kills-self/article_163bed64-5202-50e8-99ea-95c04515ad99.html","3")</f>
        <v>3</v>
      </c>
      <c r="M91" s="102" t="str">
        <f>HYPERLINK("http://azdailysun.com/four-people-killed-in-idaho-bar-shooting-suspect-kills-self/article_163bed64-5202-50e8-99ea-95c04515ad99.html ","2")</f>
        <v>2</v>
      </c>
      <c r="N91" s="102" t="str">
        <f>HYPERLINK("https://tdn.com/business%20/local/police-idaho-man-guns-down-four-in-bar-before-killing/article_e145b36b-be1e-5cd3-a099-5d8dca560b49.html","5")</f>
        <v>5</v>
      </c>
      <c r="O91" s="102">
        <v>0</v>
      </c>
      <c r="P91" s="99" t="s">
        <v>100</v>
      </c>
      <c r="Q91" s="103">
        <v>0</v>
      </c>
      <c r="R91" s="103">
        <v>0</v>
      </c>
      <c r="S91" s="102" t="str">
        <f>HYPERLINK(" http://azdailysun.com/four-people-killed-in-idaho-bar-shooting-suspect-kills-self/article_163bed64-5202-50e8-99ea-95c04515ad99.html ","4")</f>
        <v>4</v>
      </c>
      <c r="T91" s="102">
        <v>0</v>
      </c>
      <c r="U91" s="101" t="str">
        <f>HYPERLINK("http://pendoreillerivervalley.com/four-killed-in-oldtown-shooting-p111-119.htm","0")</f>
        <v>0</v>
      </c>
      <c r="V91" s="101" t="str">
        <f>HYPERLINK("http://tdn.com/business /local/police-idaho-man-guns-down-four-in-bar-before-killing/article_e145b36b-be1e-5cd3-a099-5d8dca560b49.html","53")</f>
        <v>53</v>
      </c>
      <c r="W91" s="101" t="str">
        <f t="shared" ref="W91:X91" si="234">HYPERLINK("http://azdailysun.com/four-people-killed-in-idaho-bar-shooting-suspect-kills-self/article_163bed64-5202-50e8-99ea-95c04515ad99.html","0")</f>
        <v>0</v>
      </c>
      <c r="X91" s="101" t="str">
        <f t="shared" si="234"/>
        <v>0</v>
      </c>
      <c r="Y91" s="48">
        <v>0</v>
      </c>
      <c r="Z91" s="101" t="str">
        <f>HYPERLINK("http://pendoreillerivervalley.com/four-killed-in-oldtown-shooting-p111-119.htm","0")</f>
        <v>0</v>
      </c>
      <c r="AA91" s="51"/>
      <c r="AB91" s="51" t="s">
        <v>818</v>
      </c>
      <c r="AC91" s="51"/>
      <c r="AD91" s="51"/>
      <c r="AE91" s="51"/>
      <c r="AF91" s="51"/>
      <c r="AG91" s="51"/>
      <c r="AH91" s="51"/>
      <c r="AI91" s="101" t="str">
        <f>HYPERLINK("http://tdn.com/business/local/police-idaho-man-guns-down-four-in-bar-before-killing/article_e145b36b-be1e-5cd3-a099-5d8dca560b49.html ","3")</f>
        <v>3</v>
      </c>
      <c r="AJ91" s="101">
        <v>1</v>
      </c>
      <c r="AK91" s="101" t="str">
        <f>HYPERLINK("http://pendoreillerivervalley.com/four-killed-in-oldtown-shooting-p111-119.htm","0")</f>
        <v>0</v>
      </c>
      <c r="AL91" s="51"/>
      <c r="AM91" s="51">
        <v>0</v>
      </c>
      <c r="AN91" s="48" t="s">
        <v>100</v>
      </c>
      <c r="AO91" s="101" t="str">
        <f>HYPERLINK("https://pendoreillerivervalley.com/four-killed-in-oldtown-shooting-p111-119.htm","1")</f>
        <v>1</v>
      </c>
      <c r="AP91" s="101" t="str">
        <f>HYPERLINK("https://pendoreillerivervalley.com/four-killed-in-oldtown-shooting-p111-119.htm","frequent customer at tavern")</f>
        <v>frequent customer at tavern</v>
      </c>
      <c r="AQ91" s="51">
        <v>0</v>
      </c>
      <c r="AR91" s="51">
        <v>0</v>
      </c>
      <c r="AS91" s="51">
        <v>0</v>
      </c>
      <c r="AT91" s="51">
        <v>0</v>
      </c>
      <c r="AU91" s="51" t="s">
        <v>100</v>
      </c>
      <c r="AV91" s="51" t="s">
        <v>100</v>
      </c>
      <c r="AW91" s="51" t="s">
        <v>100</v>
      </c>
      <c r="AX91" s="51">
        <v>0</v>
      </c>
      <c r="AY91" s="51">
        <v>0</v>
      </c>
      <c r="AZ91" s="51">
        <v>0</v>
      </c>
      <c r="BA91" s="51">
        <v>0</v>
      </c>
      <c r="BB91" s="51">
        <v>0</v>
      </c>
      <c r="BC91" s="51">
        <v>0</v>
      </c>
      <c r="BD91" s="101">
        <v>0</v>
      </c>
      <c r="BE91" s="51"/>
      <c r="BF91" s="51"/>
      <c r="BG91" s="51"/>
      <c r="BH91" s="51"/>
      <c r="BI91" s="51">
        <v>0</v>
      </c>
      <c r="BJ91" s="101" t="str">
        <f>HYPERLINK("http://community.seattletimes.nwsource.com/archive/?date=20031026&amp;slug=barshot26m","1")</f>
        <v>1</v>
      </c>
      <c r="BK91" s="101" t="str">
        <f>HYPERLINK("http://pendoreillerivervalley.com/four-killed-in-oldtown-shooting-p111-119.htm ","1")</f>
        <v>1</v>
      </c>
      <c r="BL91" s="108" t="str">
        <f>HYPERLINK("http://pendoreillerivervalley.com/four-killed-in-oldtown-shooting-p111-119.htm","1")</f>
        <v>1</v>
      </c>
      <c r="BM91" s="109">
        <v>1</v>
      </c>
      <c r="BN91" s="115" t="s">
        <v>3037</v>
      </c>
      <c r="BO91" s="111">
        <v>1</v>
      </c>
      <c r="BP91" s="111">
        <v>1</v>
      </c>
      <c r="BQ91" s="111">
        <v>1</v>
      </c>
      <c r="BR91" s="111">
        <v>0</v>
      </c>
      <c r="BS91" s="111">
        <v>0</v>
      </c>
      <c r="BT91" s="111">
        <v>1</v>
      </c>
      <c r="BU91" s="111">
        <v>0</v>
      </c>
      <c r="BV91" s="111">
        <v>1</v>
      </c>
      <c r="BW91" s="111">
        <v>0</v>
      </c>
      <c r="BX91" s="111">
        <v>0</v>
      </c>
      <c r="BY91" s="101" t="str">
        <f>HYPERLINK("https://tdn.com/business%20/local/police-idaho-man-guns-down-four-in-bar-before-killing/article_e145b36b-be1e-5cd3-a099-5d8dca560b49.html","1")</f>
        <v>1</v>
      </c>
      <c r="BZ91" s="51">
        <v>0</v>
      </c>
      <c r="CA91" s="51">
        <v>0</v>
      </c>
      <c r="CB91" s="51" t="s">
        <v>100</v>
      </c>
      <c r="CC91" s="51">
        <v>0</v>
      </c>
      <c r="CD91" s="51" t="s">
        <v>100</v>
      </c>
      <c r="CE91" s="101" t="str">
        <f>HYPERLINK("http://pendoreillerivervalley.com/four-killed-in-oldtown-shooting-p111-119.htm","1")</f>
        <v>1</v>
      </c>
      <c r="CF91" s="107">
        <v>0</v>
      </c>
      <c r="CG91" s="51">
        <v>0</v>
      </c>
      <c r="CH91" s="101" t="str">
        <f>HYPERLINK("http://pendoreillerivervalley.com/four-killed-in-oldtown-shooting-p111-119.htm","5")</f>
        <v>5</v>
      </c>
      <c r="CI91" s="51">
        <v>0</v>
      </c>
      <c r="CJ91" s="51" t="s">
        <v>100</v>
      </c>
      <c r="CK91" s="135">
        <v>0</v>
      </c>
      <c r="CL91" s="135"/>
      <c r="CM91" s="135"/>
      <c r="CN91" s="108">
        <v>0</v>
      </c>
      <c r="CO91" s="108">
        <v>0</v>
      </c>
      <c r="CP91" s="108">
        <v>0</v>
      </c>
      <c r="CQ91" s="108">
        <v>0</v>
      </c>
      <c r="CR91" s="108">
        <v>0</v>
      </c>
      <c r="CS91" s="108">
        <v>0</v>
      </c>
      <c r="CT91" s="108">
        <v>0</v>
      </c>
      <c r="CU91" s="109">
        <v>1</v>
      </c>
      <c r="CV91" s="108">
        <v>0</v>
      </c>
      <c r="CW91" s="110">
        <v>0</v>
      </c>
      <c r="CX91" s="110">
        <v>0</v>
      </c>
      <c r="CY91" s="110">
        <v>0</v>
      </c>
      <c r="CZ91" s="108" t="str">
        <f>HYPERLINK("https://www.apnews.com/17e5f1c6ceacc876bab747f7ddfe0908","1")</f>
        <v>1</v>
      </c>
      <c r="DA91" s="51">
        <v>0</v>
      </c>
      <c r="DB91" s="51">
        <v>0</v>
      </c>
      <c r="DC91" s="101" t="str">
        <f>HYPERLINK("http://pendoreillerivervalley.com/four-killed-in-oldtown-shooting-p111-119.htm","0")</f>
        <v>0</v>
      </c>
      <c r="DD91" s="51"/>
      <c r="DE91" s="51"/>
      <c r="DF91" s="51"/>
      <c r="DG91" s="51"/>
      <c r="DH91" s="51"/>
      <c r="DI91" s="51"/>
      <c r="DJ91" s="51">
        <v>0</v>
      </c>
      <c r="DK91" s="101">
        <v>0</v>
      </c>
      <c r="DL91" s="48" t="s">
        <v>100</v>
      </c>
      <c r="DM91" s="101" t="str">
        <f>HYPERLINK("http://pendoreillerivervalley.com/four-killed-in-oldtown-shooting-p111-119.htm","0")</f>
        <v>0</v>
      </c>
      <c r="DN91" s="51">
        <v>0</v>
      </c>
      <c r="DO91" s="51" t="s">
        <v>100</v>
      </c>
      <c r="DP91" s="101" t="str">
        <f t="shared" ref="DP91:DQ91" si="235">HYPERLINK("http://pendoreillerivervalley.com/four-killed-in-oldtown-shooting-p111-119.htm","0")</f>
        <v>0</v>
      </c>
      <c r="DQ91" s="101" t="str">
        <f t="shared" si="235"/>
        <v>0</v>
      </c>
      <c r="DR91" s="51">
        <v>0</v>
      </c>
      <c r="DS91" s="51"/>
      <c r="DT91" s="101" t="str">
        <f t="shared" ref="DT91" si="236">HYPERLINK("http://pendoreillerivervalley.com/four-killed-in-oldtown-shooting-p111-119.htm","1")</f>
        <v>1</v>
      </c>
      <c r="DU91" s="101" t="str">
        <f>HYPERLINK("http://pendoreillerivervalley.com/four-killed-in-oldtown-shooting-p111-119.htm","0")</f>
        <v>0</v>
      </c>
      <c r="DV91" s="48" t="s">
        <v>100</v>
      </c>
      <c r="DW91" s="101" t="str">
        <f>HYPERLINK("http://pendoreillerivervalley.com/four-killed-in-oldtown-shooting-p111-119.htm ","0")</f>
        <v>0</v>
      </c>
      <c r="DX91" s="101" t="str">
        <f>HYPERLINK("http://pendoreillerivervalley.com/four-killed-in-oldtown-shooting-p111-119.htm","0")</f>
        <v>0</v>
      </c>
      <c r="DY91" s="51">
        <v>2</v>
      </c>
      <c r="DZ91" s="48">
        <v>0</v>
      </c>
    </row>
    <row r="92" spans="1:130" ht="50.25" customHeight="1">
      <c r="A92" s="96">
        <v>90</v>
      </c>
      <c r="B92" s="97" t="s">
        <v>193</v>
      </c>
      <c r="C92" s="97" t="s">
        <v>448</v>
      </c>
      <c r="D92" s="98">
        <v>38170</v>
      </c>
      <c r="E92" s="48" t="s">
        <v>157</v>
      </c>
      <c r="F92" s="119">
        <v>2</v>
      </c>
      <c r="G92" s="102" t="str">
        <f>HYPERLINK("http://www.nbcnews.com/id/5353964/ns/us_news-crime_and_courts/t/six-dead-kansas-workplace-shooting/#.Wded48aX3IU","7")</f>
        <v>7</v>
      </c>
      <c r="H92" s="101" t="str">
        <f>HYPERLINK("http://www.nbcnews.com/id/5353964/ns/us_news-crime_and_courts/t/six-dead-kansas-workplace-shooting/#.Wded48aX3IU","2004")</f>
        <v>2004</v>
      </c>
      <c r="I92" s="48" t="s">
        <v>449</v>
      </c>
      <c r="J92" s="101" t="str">
        <f>HYPERLINK("http://www.nbcnews.com/id/5353964/ns/us_news-crime_and_courts/t/six-dead-kansas-workplace-shooting/#.XBqHe1xKhPZ","Kansas City ")</f>
        <v xml:space="preserve">Kansas City </v>
      </c>
      <c r="K92" s="102" t="str">
        <f>HYPERLINK("http://www.nbcnews.com/id/5353964/ns/us_news-crime_and_courts/t/six-dead-kansas-workplace-shooting/#.XBqHe1xKhPZ","16")</f>
        <v>16</v>
      </c>
      <c r="L92" s="119">
        <v>1</v>
      </c>
      <c r="M92" s="102">
        <v>0</v>
      </c>
      <c r="N92" s="102" t="str">
        <f>HYPERLINK("http://www.nbcnews.com/id/5353964/ns/us_news-crime_and_courts/t/six-dead-kansas-workplace-shooting/#.XBqHe1xKhPZ","6")</f>
        <v>6</v>
      </c>
      <c r="O92" s="102" t="str">
        <f>HYPERLINK("https://www2.ljworld.com/news/2004/jul/04/chaos_reigned_at/","0")</f>
        <v>0</v>
      </c>
      <c r="P92" s="99" t="s">
        <v>100</v>
      </c>
      <c r="Q92" s="103">
        <v>0</v>
      </c>
      <c r="R92" s="103">
        <v>0</v>
      </c>
      <c r="S92" s="102" t="str">
        <f>HYPERLINK("https://www2.ljworld.com/news/2004/jul/04/chaos_reigned_at/","5")</f>
        <v>5</v>
      </c>
      <c r="T92" s="102" t="str">
        <f>HYPERLINK("https://www.nytimes.com/2004/07/04/us/death-toll-rises-to-six-after-workplace-shooting.html","2")</f>
        <v>2</v>
      </c>
      <c r="U92" s="101" t="str">
        <f>HYPERLINK("https://www.cbsnews.com/news/sixth-death-in-kc-rampage/","0")</f>
        <v>0</v>
      </c>
      <c r="V92" s="101" t="str">
        <f>HYPERLINK("http://www.nbcnews.com/id/5353964/ns/us_news-crime_and_courts/t/six-dead-kansas-workplace-shooting/#.Wded48aX3IU","21")</f>
        <v>21</v>
      </c>
      <c r="W92" s="101" t="str">
        <f>HYPERLINK("http://www.nbcnews.com/id/5353964/ns/us_news-crime_and_courts/t/six-dead-kansas-workplace-shooting/#.Wded48aX3IU","0")</f>
        <v>0</v>
      </c>
      <c r="X92" s="51"/>
      <c r="Y92" s="51">
        <v>0</v>
      </c>
      <c r="Z92" s="51">
        <v>0</v>
      </c>
      <c r="AA92" s="51"/>
      <c r="AB92" s="101" t="str">
        <f>HYPERLINK("http://www2.ljworld.com/news/2004/jul/09/conagra_shooter_was/","2")</f>
        <v>2</v>
      </c>
      <c r="AC92" s="101" t="str">
        <f>HYPERLINK("https://www2.ljworld.com/news/2004/jul/09/conagra_shooter_was/","2")</f>
        <v>2</v>
      </c>
      <c r="AD92" s="101" t="str">
        <f>HYPERLINK("https://www2.ljworld.com/news/2004/jul/09/conagra_shooter_was/","good student")</f>
        <v>good student</v>
      </c>
      <c r="AE92" s="51"/>
      <c r="AF92" s="51"/>
      <c r="AG92" s="51"/>
      <c r="AH92" s="51"/>
      <c r="AI92" s="51">
        <v>0</v>
      </c>
      <c r="AJ92" s="51">
        <v>0</v>
      </c>
      <c r="AK92" s="101" t="str">
        <f>HYPERLINK("http://www.nbcnews.com/id/5353964/ns/us_news-crime_and_courts/t/six-dead-kansas-workplace-shooting/#.XBqHe1xKhPZ","1")</f>
        <v>1</v>
      </c>
      <c r="AL92" s="101" t="str">
        <f>HYPERLINK("http://www.nbcnews.com/id/5353964/ns/us_news-crime_and_courts/t/six-dead-kansas-workplace-shooting/#.XBqHe1xKhPZ","0")</f>
        <v>0</v>
      </c>
      <c r="AM92" s="51">
        <v>0</v>
      </c>
      <c r="AN92" s="48" t="s">
        <v>100</v>
      </c>
      <c r="AO92" s="101" t="str">
        <f>HYPERLINK("https://www2.ljworld.com/news/2004/jul/09/conagra_shooter_was","1")</f>
        <v>1</v>
      </c>
      <c r="AP92" s="124" t="str">
        <f>HYPERLINK("https://www2.ljworld.com/news/2004/jul/09/conagra_shooter_was","construction school")</f>
        <v>construction school</v>
      </c>
      <c r="AQ92" s="101">
        <v>0</v>
      </c>
      <c r="AR92" s="51">
        <v>0</v>
      </c>
      <c r="AS92" s="51">
        <v>0</v>
      </c>
      <c r="AT92" s="51">
        <v>0</v>
      </c>
      <c r="AU92" s="51" t="s">
        <v>100</v>
      </c>
      <c r="AV92" s="51" t="s">
        <v>100</v>
      </c>
      <c r="AW92" s="51" t="s">
        <v>100</v>
      </c>
      <c r="AX92" s="51">
        <v>0</v>
      </c>
      <c r="AY92" s="51">
        <v>0</v>
      </c>
      <c r="AZ92" s="51">
        <v>0</v>
      </c>
      <c r="BA92" s="51">
        <v>0</v>
      </c>
      <c r="BB92" s="107">
        <v>0</v>
      </c>
      <c r="BC92" s="51">
        <v>0</v>
      </c>
      <c r="BD92" s="101">
        <v>0</v>
      </c>
      <c r="BE92" s="51"/>
      <c r="BF92" s="51"/>
      <c r="BG92" s="51"/>
      <c r="BH92" s="51"/>
      <c r="BI92" s="51">
        <v>0</v>
      </c>
      <c r="BJ92" s="51">
        <v>0</v>
      </c>
      <c r="BK92" s="101" t="str">
        <f>HYPERLINK("http://www.cnn.com/2004/US/Central/07/03/plant.shooting/","1")</f>
        <v>1</v>
      </c>
      <c r="BL92" s="108" t="str">
        <f>HYPERLINK("http://www2.ljworld.com/news/2004/jul/09/conagra_shooter_was/","0")</f>
        <v>0</v>
      </c>
      <c r="BM92" s="108" t="s">
        <v>100</v>
      </c>
      <c r="BN92" s="110"/>
      <c r="BO92" s="110">
        <v>0</v>
      </c>
      <c r="BP92" s="110">
        <v>0</v>
      </c>
      <c r="BQ92" s="110">
        <v>0</v>
      </c>
      <c r="BR92" s="110">
        <v>0</v>
      </c>
      <c r="BS92" s="110">
        <v>0</v>
      </c>
      <c r="BT92" s="110">
        <v>0</v>
      </c>
      <c r="BU92" s="110">
        <v>0</v>
      </c>
      <c r="BV92" s="110">
        <v>0</v>
      </c>
      <c r="BW92" s="110">
        <v>0</v>
      </c>
      <c r="BX92" s="110">
        <v>0</v>
      </c>
      <c r="BY92" s="101" t="str">
        <f>HYPERLINK("https://www2.ljworld.com/news/2004/jul/04/chaos_reigned_at/","2")</f>
        <v>2</v>
      </c>
      <c r="BZ92" s="51">
        <v>0</v>
      </c>
      <c r="CA92" s="51">
        <v>0</v>
      </c>
      <c r="CB92" s="51" t="s">
        <v>100</v>
      </c>
      <c r="CC92" s="51">
        <v>0</v>
      </c>
      <c r="CD92" s="51" t="s">
        <v>100</v>
      </c>
      <c r="CE92" s="51">
        <v>0</v>
      </c>
      <c r="CF92" s="107">
        <v>0</v>
      </c>
      <c r="CG92" s="51">
        <v>0</v>
      </c>
      <c r="CH92" s="51">
        <v>0</v>
      </c>
      <c r="CI92" s="51">
        <v>0</v>
      </c>
      <c r="CJ92" s="51" t="s">
        <v>100</v>
      </c>
      <c r="CK92" s="113">
        <v>0</v>
      </c>
      <c r="CL92" s="113"/>
      <c r="CM92" s="113"/>
      <c r="CN92" s="110">
        <v>0</v>
      </c>
      <c r="CO92" s="110">
        <v>0</v>
      </c>
      <c r="CP92" s="110">
        <v>0</v>
      </c>
      <c r="CQ92" s="110">
        <v>0</v>
      </c>
      <c r="CR92" s="109">
        <v>1</v>
      </c>
      <c r="CS92" s="110">
        <v>0</v>
      </c>
      <c r="CT92" s="110">
        <v>0</v>
      </c>
      <c r="CU92" s="110">
        <v>0</v>
      </c>
      <c r="CV92" s="108" t="str">
        <f>HYPERLINK("https://www2.ljworld.com/news/2004/jul/04/chaos_reigned_at/","1")</f>
        <v>1</v>
      </c>
      <c r="CW92" s="110">
        <v>0</v>
      </c>
      <c r="CX92" s="110">
        <v>0</v>
      </c>
      <c r="CY92" s="110">
        <v>0</v>
      </c>
      <c r="CZ92" s="108" t="str">
        <f>HYPERLINK("http://www.cnn.com/2004/US/Central/07/03/plant.shooting/","0")</f>
        <v>0</v>
      </c>
      <c r="DA92" s="51">
        <v>0</v>
      </c>
      <c r="DB92" s="51">
        <v>0</v>
      </c>
      <c r="DC92" s="51">
        <v>0</v>
      </c>
      <c r="DD92" s="51"/>
      <c r="DE92" s="51"/>
      <c r="DF92" s="51"/>
      <c r="DG92" s="51"/>
      <c r="DH92" s="51"/>
      <c r="DI92" s="51"/>
      <c r="DJ92" s="51">
        <v>0</v>
      </c>
      <c r="DK92" s="51">
        <v>0</v>
      </c>
      <c r="DL92" s="48" t="s">
        <v>100</v>
      </c>
      <c r="DM92" s="101" t="str">
        <f>HYPERLINK("http://www.cnn.com/2004/US/Central/07/03/plant.shooting/","0")</f>
        <v>0</v>
      </c>
      <c r="DN92" s="51">
        <v>0</v>
      </c>
      <c r="DO92" s="51" t="s">
        <v>100</v>
      </c>
      <c r="DP92" s="51">
        <v>0</v>
      </c>
      <c r="DQ92" s="101" t="str">
        <f>HYPERLINK("https://www2.ljworld.com/news/2004/jul/04/chaos_reigned_at/","0")</f>
        <v>0</v>
      </c>
      <c r="DR92" s="51">
        <v>0</v>
      </c>
      <c r="DS92" s="51"/>
      <c r="DT92" s="101" t="str">
        <f t="shared" ref="DT92" si="237">HYPERLINK("http://www2.ljworld.com/news/2004/jul/09/conagra_shooter_was/","2")</f>
        <v>2</v>
      </c>
      <c r="DU92" s="101" t="str">
        <f>HYPERLINK("https://www2.ljworld.com/news/2004/jul/04/chaos_reigned_at/","0")</f>
        <v>0</v>
      </c>
      <c r="DV92" s="48" t="s">
        <v>100</v>
      </c>
      <c r="DW92" s="101" t="str">
        <f>HYPERLINK("http://www.nbcnews.com/id/5353964/ns/us_news-crime_and_courts/t/six-dead-kansas-workplace-shooting/#.XBqHe1xKhPZ","0")</f>
        <v>0</v>
      </c>
      <c r="DX92" s="101" t="str">
        <f>HYPERLINK("https://www.cbsnews.com/news/sixth-death-in-kc-rampage/","0")</f>
        <v>0</v>
      </c>
      <c r="DY92" s="51">
        <v>2</v>
      </c>
      <c r="DZ92" s="48">
        <v>0</v>
      </c>
    </row>
    <row r="93" spans="1:130" ht="50.25" customHeight="1">
      <c r="A93" s="96">
        <v>91</v>
      </c>
      <c r="B93" s="97" t="s">
        <v>450</v>
      </c>
      <c r="C93" s="97" t="s">
        <v>451</v>
      </c>
      <c r="D93" s="98">
        <v>38312</v>
      </c>
      <c r="E93" s="48" t="s">
        <v>137</v>
      </c>
      <c r="F93" s="119">
        <v>21</v>
      </c>
      <c r="G93" s="102" t="str">
        <f>HYPERLINK("https://www.chicagotribune.com/news/ct-xpm-2005-11-09-0511090194-story.html","11")</f>
        <v>11</v>
      </c>
      <c r="H93" s="101">
        <v>2004</v>
      </c>
      <c r="I93" s="133" t="str">
        <f>HYPERLINK("http://news.minnesota.publicradio.org/features/2004/11/22_kelleherb_huntershooting/","Birchwood, Sawyer County, WI")</f>
        <v>Birchwood, Sawyer County, WI</v>
      </c>
      <c r="J93" s="141" t="str">
        <f>HYPERLINK("http://news.minnesota.publicradio.org/features/2004/11/22_kelleherb_huntershooting/","Birchwood")</f>
        <v>Birchwood</v>
      </c>
      <c r="K93" s="102" t="str">
        <f>HYPERLINK("http://news.minnesota.publicradio.org/features/2004/11/22_kelleherb_huntershooting/","49")</f>
        <v>49</v>
      </c>
      <c r="L93" s="119">
        <v>1</v>
      </c>
      <c r="M93" s="102" t="str">
        <f>HYPERLINK("http://news.minnesota.publicradio.org/features/2004/11/22_kelleherb_huntershooting/","2")</f>
        <v>2</v>
      </c>
      <c r="N93" s="122" t="str">
        <f>HYPERLINK("http://news.minnesota.publicradio.org/features/2004/11/22_kelleherb_huntershooting/","8")</f>
        <v>8</v>
      </c>
      <c r="O93" s="102" t="str">
        <f>HYPERLINK("http://news.minnesota.publicradio.org/features/2004/11/22_kelleherb_huntershooting/","0")</f>
        <v>0</v>
      </c>
      <c r="P93" s="99" t="s">
        <v>100</v>
      </c>
      <c r="Q93" s="103">
        <v>1</v>
      </c>
      <c r="R93" s="161">
        <v>2</v>
      </c>
      <c r="S93" s="102" t="str">
        <f>HYPERLINK("http://news.minnesota.publicradio.org/features/2004/11/22_kelleherb_huntershooting/","6")</f>
        <v>6</v>
      </c>
      <c r="T93" s="102">
        <v>2</v>
      </c>
      <c r="U93" s="101" t="str">
        <f>HYPERLINK("http://news.minnesota.publicradio.org/features/2004/11/22_kelleherb_huntershooting/","0")</f>
        <v>0</v>
      </c>
      <c r="V93" s="101" t="str">
        <f>HYPERLINK("http://news.minnesota.publicradio.org/features/2004/11/22_kelleherb_huntershooting/","36")</f>
        <v>36</v>
      </c>
      <c r="W93" s="101" t="str">
        <f>HYPERLINK("https://www.nytimes.com/2004/12/01/us/hmong-hunter-charged-with-6-murders-is-said-to-be-a-shaman.html","0")</f>
        <v>0</v>
      </c>
      <c r="X93" s="101">
        <v>3</v>
      </c>
      <c r="Y93" s="105">
        <v>1</v>
      </c>
      <c r="Z93" s="101" t="str">
        <f>HYPERLINK("https://www.chicagotribune.com/investigations/chi-0509070252sep07-story.html","0")</f>
        <v>0</v>
      </c>
      <c r="AA93" s="101" t="str">
        <f>HYPERLINK("http://www.nytimes.com/2004/12/01/us/hmong-hunter-charged-with-6-murders-is-said-to-be-a-shaman.html","5")</f>
        <v>5</v>
      </c>
      <c r="AB93" s="101">
        <v>1</v>
      </c>
      <c r="AC93" s="101" t="str">
        <f>HYPERLINK("https://www.chicagotribune.com/investigations/chi-0509070252sep07-story.html","1")</f>
        <v>1</v>
      </c>
      <c r="AD93" s="101" t="str">
        <f>HYPERLINK("https://www.chicagotribune.com/investigations/chi-0509070252sep07-story.html","B's in English")</f>
        <v>B's in English</v>
      </c>
      <c r="AE93" s="101" t="str">
        <f>HYPERLINK("https://chippewa.com/news/chai-soua-vang-s-relatives-remember-him-as-role-model/article_d65bdac2-55b2-5422-b9ee-7b8530dac0b9.html","2")</f>
        <v>2</v>
      </c>
      <c r="AF93" s="101" t="str">
        <f>HYPERLINK("https://chippewa.com/news/chai-soua-vang-s-relatives-remember-him-as-role-model/article_d65bdac2-55b2-5422-b9ee-7b8530dac0b9.html","5")</f>
        <v>5</v>
      </c>
      <c r="AG93" s="101" t="str">
        <f>HYPERLINK("https://chippewa.com/news/chai-soua-vang-s-relatives-remember-him-as-role-model/article_d65bdac2-55b2-5422-b9ee-7b8530dac0b9.html","1")</f>
        <v>1</v>
      </c>
      <c r="AH93" s="101" t="str">
        <f>HYPERLINK("https://chippewa.com/news/chai-soua-vang-s-relatives-remember-him-as-role-model/article_d65bdac2-55b2-5422-b9ee-7b8530dac0b9.html","4")</f>
        <v>4</v>
      </c>
      <c r="AI93" s="101">
        <v>2</v>
      </c>
      <c r="AJ93" s="101" t="str">
        <f>HYPERLINK("https://chippewa.com/news/chai-soua-vang-s-relatives-remember-him-as-role-model/article_d65bdac2-55b2-5422-b9ee-7b8530dac0b9.html","1")</f>
        <v>1</v>
      </c>
      <c r="AK93" s="101" t="str">
        <f>HYPERLINK("https://www.chicagotribune.com/investigations/chi-0509070252sep07-story.html","1")</f>
        <v>1</v>
      </c>
      <c r="AL93" s="101" t="str">
        <f>HYPERLINK("https://www.chicagotribune.com/investigations/chi-0509070252sep07-story.html","0")</f>
        <v>0</v>
      </c>
      <c r="AM93" s="101" t="str">
        <f>HYPERLINK("http://www.nytimes.com/2004/12/01/us/hmong-hunter-charged-with-6-murders-is-said-to-be-a-shaman.html","1")</f>
        <v>1</v>
      </c>
      <c r="AN93" s="101" t="str">
        <f>HYPERLINK("https://www.nytimes.com/2004/12/01/us/hmong-hunter-charged-with-6-murders-is-said-to-be-a-shaman.html","5")</f>
        <v>5</v>
      </c>
      <c r="AO93" s="101" t="str">
        <f>HYPERLINK("https://www.nytimes.com/2004/12/01/us/hmong-hunter-charged-with-6-murders-is-said-to-be-a-shaman.html","2")</f>
        <v>2</v>
      </c>
      <c r="AP93" s="101" t="str">
        <f>HYPERLINK("https://www.nytimes.com/2004/12/01/us/hmong-hunter-charged-with-6-murders-is-said-to-be-a-shaman.html","very involved in cultural activities")</f>
        <v>very involved in cultural activities</v>
      </c>
      <c r="AQ93" s="101">
        <v>1</v>
      </c>
      <c r="AR93" s="51">
        <v>0</v>
      </c>
      <c r="AS93" s="101">
        <v>1</v>
      </c>
      <c r="AT93" s="133" t="str">
        <f>HYPERLINK("https://www.chicagotribune.com/investigations/chi-0509070252sep07-story.html","1")</f>
        <v>1</v>
      </c>
      <c r="AU93" s="133">
        <v>4</v>
      </c>
      <c r="AV93" s="133">
        <v>3</v>
      </c>
      <c r="AW93" s="52"/>
      <c r="AX93" s="48">
        <v>0</v>
      </c>
      <c r="AY93" s="51">
        <v>0</v>
      </c>
      <c r="AZ93" s="51">
        <v>0</v>
      </c>
      <c r="BA93" s="107">
        <v>0</v>
      </c>
      <c r="BB93" s="107">
        <v>0</v>
      </c>
      <c r="BC93" s="101" t="str">
        <f>HYPERLINK("http://www.nytimes.com/2004/12/01/us/hmong-hunter-charged-with-6-murders-is-said-to-be-a-shaman.html","0")</f>
        <v>0</v>
      </c>
      <c r="BD93" s="101">
        <v>1</v>
      </c>
      <c r="BE93" s="101" t="str">
        <f>HYPERLINK("https://chippewa.com/news/chai-soua-vang-s-relatives-remember-him-as-role-model/article_d65bdac2-55b2-5422-b9ee-7b8530dac0b9.html","0")</f>
        <v>0</v>
      </c>
      <c r="BF93" s="51">
        <v>0</v>
      </c>
      <c r="BG93" s="101" t="str">
        <f>HYPERLINK("https://www.chicagotribune.com/investigations/chi-0509070252sep07-story.html","3")</f>
        <v>3</v>
      </c>
      <c r="BH93" s="51">
        <v>0</v>
      </c>
      <c r="BI93" s="51">
        <v>0</v>
      </c>
      <c r="BJ93" s="101" t="str">
        <f>HYPERLINK("https://www.chicagotribune.com/investigations/chi-0509070252sep07-story.html","0")</f>
        <v>0</v>
      </c>
      <c r="BK93" s="101" t="str">
        <f>HYPERLINK("https://www.chicagotribune.com/investigations/chi-0509070252sep07-story.htmlhttps://www.chicagotribune.com/investigations/chi-0509070252sep07-story.html","1")</f>
        <v>1</v>
      </c>
      <c r="BL93" s="108" t="str">
        <f>HYPERLINK("https://www.chicagotribune.com/investigations/chi-0509070252sep07-story.html","1")</f>
        <v>1</v>
      </c>
      <c r="BM93" s="109">
        <v>2</v>
      </c>
      <c r="BN93" s="115" t="s">
        <v>3038</v>
      </c>
      <c r="BO93" s="111">
        <v>1</v>
      </c>
      <c r="BP93" s="111">
        <v>0</v>
      </c>
      <c r="BQ93" s="111">
        <v>1</v>
      </c>
      <c r="BR93" s="111">
        <v>0</v>
      </c>
      <c r="BS93" s="111">
        <v>0</v>
      </c>
      <c r="BT93" s="111">
        <v>0</v>
      </c>
      <c r="BU93" s="111">
        <v>0</v>
      </c>
      <c r="BV93" s="111">
        <v>0</v>
      </c>
      <c r="BW93" s="111">
        <v>0</v>
      </c>
      <c r="BX93" s="111">
        <v>0</v>
      </c>
      <c r="BY93" s="51">
        <v>0</v>
      </c>
      <c r="BZ93" s="51">
        <v>0</v>
      </c>
      <c r="CA93" s="51">
        <v>0</v>
      </c>
      <c r="CB93" s="51" t="s">
        <v>100</v>
      </c>
      <c r="CC93" s="51">
        <v>0</v>
      </c>
      <c r="CD93" s="51" t="s">
        <v>100</v>
      </c>
      <c r="CE93" s="51">
        <v>0</v>
      </c>
      <c r="CF93" s="101" t="str">
        <f>HYPERLINK("https://chippewa.com/news/chai-soua-vang-s-relatives-remember-him-as-role-model/article_d65bdac2-55b2-5422-b9ee-7b8530dac0b9.html","0")</f>
        <v>0</v>
      </c>
      <c r="CG93" s="51">
        <v>0</v>
      </c>
      <c r="CH93" s="51">
        <v>0</v>
      </c>
      <c r="CI93" s="51">
        <v>0</v>
      </c>
      <c r="CJ93" s="51" t="s">
        <v>100</v>
      </c>
      <c r="CK93" s="113">
        <v>0</v>
      </c>
      <c r="CL93" s="113"/>
      <c r="CM93" s="113"/>
      <c r="CN93" s="110">
        <v>0</v>
      </c>
      <c r="CO93" s="110">
        <v>0</v>
      </c>
      <c r="CP93" s="110">
        <v>0</v>
      </c>
      <c r="CQ93" s="110">
        <v>0</v>
      </c>
      <c r="CR93" s="110">
        <v>0</v>
      </c>
      <c r="CS93" s="110">
        <v>0</v>
      </c>
      <c r="CT93" s="110">
        <v>0</v>
      </c>
      <c r="CU93" s="110">
        <v>0</v>
      </c>
      <c r="CV93" s="108" t="str">
        <f>HYPERLINK("http://news.minnesota.publicradio.org/features/2005/09/10_kelleherb_vang/","1")</f>
        <v>1</v>
      </c>
      <c r="CW93" s="110">
        <v>0</v>
      </c>
      <c r="CX93" s="110">
        <v>0</v>
      </c>
      <c r="CY93" s="110">
        <v>0</v>
      </c>
      <c r="CZ93" s="108" t="str">
        <f>HYPERLINK("http://news.minnesota.publicradio.org/features/2004/11/22_kelleherb_huntershooting/","0")</f>
        <v>0</v>
      </c>
      <c r="DA93" s="51">
        <v>0</v>
      </c>
      <c r="DB93" s="51">
        <v>0</v>
      </c>
      <c r="DC93" s="101" t="str">
        <f>HYPERLINK("http://news.minnesota.publicradio.org/features/2004/11/22_kelleherb_huntershooting/","0")</f>
        <v>0</v>
      </c>
      <c r="DD93" s="51"/>
      <c r="DE93" s="51"/>
      <c r="DF93" s="51"/>
      <c r="DG93" s="51"/>
      <c r="DH93" s="51"/>
      <c r="DI93" s="51"/>
      <c r="DJ93" s="51">
        <v>0</v>
      </c>
      <c r="DK93" s="101">
        <v>0</v>
      </c>
      <c r="DL93" s="48" t="s">
        <v>100</v>
      </c>
      <c r="DM93" s="101" t="str">
        <f>HYPERLINK("https://www.chicagotribune.com/news/ct-xpm-2005-11-09-0511090194-story.html","0")</f>
        <v>0</v>
      </c>
      <c r="DN93" s="51">
        <v>0</v>
      </c>
      <c r="DO93" s="51" t="s">
        <v>100</v>
      </c>
      <c r="DP93" s="101" t="str">
        <f t="shared" ref="DP93:DQ93" si="238">HYPERLINK("http://news.minnesota.publicradio.org/features/2004/11/22_kelleherb_huntershooting/","0")</f>
        <v>0</v>
      </c>
      <c r="DQ93" s="101" t="str">
        <f t="shared" si="238"/>
        <v>0</v>
      </c>
      <c r="DR93" s="48">
        <v>0</v>
      </c>
      <c r="DS93" s="101" t="str">
        <f>HYPERLINK("https://www.nytimes.com/2004/12/01/us/hmong-hunter-charged-with-6-murders-is-said-to-be-a-shaman.html","3")</f>
        <v>3</v>
      </c>
      <c r="DT93" s="101" t="str">
        <f>HYPERLINK(" http://news.minnesota.publicradio.org/features/2004/11/22_kelleherb_huntershooting/","1")</f>
        <v>1</v>
      </c>
      <c r="DU93" s="101" t="str">
        <f>HYPERLINK("http://news.minnesota.publicradio.org/features/2004/11/22_kelleherb_huntershooting/","0")</f>
        <v>0</v>
      </c>
      <c r="DV93" s="48" t="s">
        <v>100</v>
      </c>
      <c r="DW93" s="101" t="str">
        <f>HYPERLINK("http://articles.chicagotribune.com/2005-11-09/news/0511090194_1_deer-hunters-hmong-immigrant-deer-season","2")</f>
        <v>2</v>
      </c>
      <c r="DX93" s="101" t="str">
        <f>HYPERLINK("http://news.minnesota.publicradio.org/features/2004/11/22_kelleherb_huntershooting/","1")</f>
        <v>1</v>
      </c>
      <c r="DY93" s="105" t="str">
        <f>HYPERLINK("http://news.minnesota.publicradio.org/features/2005/09/10_kelleherb_vang/","0")</f>
        <v>0</v>
      </c>
      <c r="DZ93" s="133" t="str">
        <f>HYPERLINK("https://www.chicagotribune.com/news/ct-xpm-2005-11-09-0511090194-story.html","2")</f>
        <v>2</v>
      </c>
    </row>
    <row r="94" spans="1:130" ht="50.25" customHeight="1">
      <c r="A94" s="96">
        <v>92</v>
      </c>
      <c r="B94" s="97" t="s">
        <v>454</v>
      </c>
      <c r="C94" s="97" t="s">
        <v>319</v>
      </c>
      <c r="D94" s="98">
        <v>38329</v>
      </c>
      <c r="E94" s="48" t="s">
        <v>123</v>
      </c>
      <c r="F94" s="99">
        <v>8</v>
      </c>
      <c r="G94" s="100" t="str">
        <f>HYPERLINK("http://www.rollingstone.com/music/news/behind-the-murder-of-dimebag-darrell-20041230 ","12")</f>
        <v>12</v>
      </c>
      <c r="H94" s="101" t="str">
        <f>HYPERLINK(" http://www.rollingstone.com/music/news/behind-the-murder-of-dimebag-darrell-20041230","2004")</f>
        <v>2004</v>
      </c>
      <c r="I94" s="48" t="s">
        <v>455</v>
      </c>
      <c r="J94" s="101" t="s">
        <v>456</v>
      </c>
      <c r="K94" s="100" t="str">
        <f>HYPERLINK("https://www.rollingstone.com/music/news/behind-the-murder-of-dimebag-darrell-20041230","35")</f>
        <v>35</v>
      </c>
      <c r="L94" s="100" t="str">
        <f>HYPERLINK("https://www.rollingstone.com/music/music-news/behind-the-murder-of-dimebag-darrell-233541/","1")</f>
        <v>1</v>
      </c>
      <c r="M94" s="102">
        <v>0</v>
      </c>
      <c r="N94" s="100" t="str">
        <f>HYPERLINK("https://www.rollingstone.com/music/music-news/behind-the-murder-of-dimebag-darrell-233541/","5")</f>
        <v>5</v>
      </c>
      <c r="O94" s="100" t="str">
        <f>HYPERLINK("https://www.rollingstone.com/music/music-news/behind-the-murder-of-dimebag-darrell-233541/","0")</f>
        <v>0</v>
      </c>
      <c r="P94" s="99" t="s">
        <v>100</v>
      </c>
      <c r="Q94" s="103">
        <v>0</v>
      </c>
      <c r="R94" s="103">
        <v>0</v>
      </c>
      <c r="S94" s="100" t="str">
        <f>HYPERLINK("https://www.rollingstone.com/music/news/behind-the-murder-of-dimebag-darrell-20041230","4")</f>
        <v>4</v>
      </c>
      <c r="T94" s="100">
        <v>2</v>
      </c>
      <c r="U94" s="105" t="str">
        <f>HYPERLINK("https://www.rollingstone.com/music/music-news/behind-the-murder-of-dimebag-darrell-233541/","1")</f>
        <v>1</v>
      </c>
      <c r="V94" s="100" t="str">
        <f>HYPERLINK("http://www.rollingstone.com/music/news/behind-the-murder-of-dimebag-darrell-20041230","25")</f>
        <v>25</v>
      </c>
      <c r="W94" s="105" t="str">
        <f>HYPERLINK("http://www.rollingstone.com/music/news/behind-the-murder-of-dimebag-darrell-20041230","0")</f>
        <v>0</v>
      </c>
      <c r="X94" s="105">
        <v>0</v>
      </c>
      <c r="Y94" s="105">
        <v>0</v>
      </c>
      <c r="Z94" s="105" t="str">
        <f>HYPERLINK("https://www.dallasnews.com/news/crime/2004/12/13/man-who-killed-dimebag-darrell-abbott-was-upset-by-panteras-breakup-ex-friend-say","0")</f>
        <v>0</v>
      </c>
      <c r="AA94" s="48"/>
      <c r="AB94" s="105">
        <v>2</v>
      </c>
      <c r="AC94" s="101" t="str">
        <f>HYPERLINK("http://www.bychrisnorris.com/phenomena/the-revenge-of-crazy-nate/","0")</f>
        <v>0</v>
      </c>
      <c r="AD94" s="101" t="str">
        <f>HYPERLINK("http://www.bychrisnorris.com/phenomena/the-revenge-of-crazy-nate/","special education plan, missed 33 days of 10th grade")</f>
        <v>special education plan, missed 33 days of 10th grade</v>
      </c>
      <c r="AE94" s="105" t="str">
        <f>HYPERLINK("https://www.blabbermouth.net/news/dimebag-murderer-s-mother-speaks-again-my-son-s-killer-is-a-hero/","3")</f>
        <v>3</v>
      </c>
      <c r="AF94" s="105" t="str">
        <f t="shared" ref="AF94:AG94" si="239">HYPERLINK("https://www.blabbermouth.net/news/dimebag-murderer-s-mother-speaks-again-my-son-s-killer-is-a-hero/","2")</f>
        <v>2</v>
      </c>
      <c r="AG94" s="105" t="str">
        <f t="shared" si="239"/>
        <v>2</v>
      </c>
      <c r="AH94" s="105" t="str">
        <f>HYPERLINK("https://www.blabbermouth.net/news/dimebag-murderer-s-mother-speaks-again-my-son-s-killer-is-a-hero/","0")</f>
        <v>0</v>
      </c>
      <c r="AI94" s="48">
        <v>0</v>
      </c>
      <c r="AJ94" s="48">
        <v>0</v>
      </c>
      <c r="AK94" s="105">
        <v>0</v>
      </c>
      <c r="AL94" s="105" t="str">
        <f>HYPERLINK("https://www.dallasnews.com/news/crime/2004/12/13/man-who-killed-dimebag-darrell-abbott-was-upset-by-panteras-breakup-ex-friend-say","0")</f>
        <v>0</v>
      </c>
      <c r="AM94" s="105" t="str">
        <f>HYPERLINK("https://www.cbsnews.com/news/inside-the-mind-of-a-killer/","1")</f>
        <v>1</v>
      </c>
      <c r="AN94" s="105" t="str">
        <f>HYPERLINK(" https://www.cbsnews.com/news/inside-the-mind-of-a-killer/","3")</f>
        <v>3</v>
      </c>
      <c r="AO94" s="101" t="str">
        <f>HYPERLINK("https://www.cbsnews.com/news/inside-the-mind-of-a-killer/","1")</f>
        <v>1</v>
      </c>
      <c r="AP94" s="101" t="str">
        <f>HYPERLINK("https://www.cbsnews.com/news/inside-the-mind-of-a-killer/","played football, frequent customer at a restaurant and talked to staff, talked to tattoo parlor employees")</f>
        <v>played football, frequent customer at a restaurant and talked to staff, talked to tattoo parlor employees</v>
      </c>
      <c r="AQ94" s="105">
        <v>1</v>
      </c>
      <c r="AR94" s="48">
        <v>0</v>
      </c>
      <c r="AS94" s="101" t="str">
        <f>HYPERLINK("https://www.mrt.com/news/article/Man-who-killed-guitarist-had-previous-onstage-7537720.php","1")</f>
        <v>1</v>
      </c>
      <c r="AT94" s="48">
        <v>0</v>
      </c>
      <c r="AU94" s="48" t="s">
        <v>100</v>
      </c>
      <c r="AV94" s="48" t="s">
        <v>100</v>
      </c>
      <c r="AW94" s="48" t="s">
        <v>100</v>
      </c>
      <c r="AX94" s="48">
        <v>0</v>
      </c>
      <c r="AY94" s="48">
        <v>0</v>
      </c>
      <c r="AZ94" s="48">
        <v>0</v>
      </c>
      <c r="BA94" s="52">
        <v>0</v>
      </c>
      <c r="BB94" s="101" t="str">
        <f>HYPERLINK("http://www.bychrisnorris.com/phenomena/the-revenge-of-crazy-nate/","2")</f>
        <v>2</v>
      </c>
      <c r="BC94" s="105" t="str">
        <f>HYPERLINK("https://www.cbsnews.com/news/inside-the-mind-of-a-killer/","0")</f>
        <v>0</v>
      </c>
      <c r="BD94" s="105">
        <v>0</v>
      </c>
      <c r="BE94" s="48"/>
      <c r="BF94" s="51">
        <v>0</v>
      </c>
      <c r="BG94" s="51"/>
      <c r="BH94" s="51">
        <v>1</v>
      </c>
      <c r="BI94" s="48">
        <v>0</v>
      </c>
      <c r="BJ94" s="48">
        <v>0</v>
      </c>
      <c r="BK94" s="101" t="str">
        <f>HYPERLINK("https://www.dallasnews.com/news/crime/2004/12/13/man-who-killed-dimebag-darrell-abbott-was-upset-by-panteras-breakup-ex-friend-say","1")</f>
        <v>1</v>
      </c>
      <c r="BL94" s="108">
        <v>1</v>
      </c>
      <c r="BM94" s="109">
        <v>2</v>
      </c>
      <c r="BN94" s="110" t="s">
        <v>3039</v>
      </c>
      <c r="BO94" s="111">
        <v>0</v>
      </c>
      <c r="BP94" s="111">
        <v>1</v>
      </c>
      <c r="BQ94" s="111">
        <v>0</v>
      </c>
      <c r="BR94" s="111">
        <v>0</v>
      </c>
      <c r="BS94" s="111">
        <v>1</v>
      </c>
      <c r="BT94" s="111">
        <v>1</v>
      </c>
      <c r="BU94" s="151">
        <v>1</v>
      </c>
      <c r="BV94" s="111">
        <v>1</v>
      </c>
      <c r="BW94" s="111">
        <v>1</v>
      </c>
      <c r="BX94" s="111">
        <v>1</v>
      </c>
      <c r="BY94" s="105">
        <v>0</v>
      </c>
      <c r="BZ94" s="48">
        <v>0</v>
      </c>
      <c r="CA94" s="51">
        <v>0</v>
      </c>
      <c r="CB94" s="48" t="s">
        <v>100</v>
      </c>
      <c r="CC94" s="105" t="str">
        <f t="shared" ref="CC94:CD94" si="240">HYPERLINK("https://www.rollingstone.com/music/music-news/behind-the-murder-of-dimebag-darrell-233541/","1")</f>
        <v>1</v>
      </c>
      <c r="CD94" s="105" t="str">
        <f t="shared" si="240"/>
        <v>1</v>
      </c>
      <c r="CE94" s="105" t="str">
        <f>HYPERLINK("https://www.cbsnews.com/news/mom-of-concert-killer-he-was-sick/","2")</f>
        <v>2</v>
      </c>
      <c r="CF94" s="52">
        <v>0</v>
      </c>
      <c r="CG94" s="48">
        <v>0</v>
      </c>
      <c r="CH94" s="105" t="str">
        <f>HYPERLINK("https://www.cbsnews.com/news/mom-of-concert-killer-he-was-sick/","3")</f>
        <v>3</v>
      </c>
      <c r="CI94" s="48">
        <v>0</v>
      </c>
      <c r="CJ94" s="51" t="s">
        <v>100</v>
      </c>
      <c r="CK94" s="113">
        <v>0</v>
      </c>
      <c r="CL94" s="113"/>
      <c r="CM94" s="113"/>
      <c r="CN94" s="110">
        <v>0</v>
      </c>
      <c r="CO94" s="110">
        <v>0</v>
      </c>
      <c r="CP94" s="110">
        <v>0</v>
      </c>
      <c r="CQ94" s="110">
        <v>0</v>
      </c>
      <c r="CR94" s="110">
        <v>0</v>
      </c>
      <c r="CS94" s="110">
        <v>0</v>
      </c>
      <c r="CT94" s="110">
        <v>0</v>
      </c>
      <c r="CU94" s="110">
        <v>0</v>
      </c>
      <c r="CV94" s="110">
        <v>0</v>
      </c>
      <c r="CW94" s="116">
        <v>0</v>
      </c>
      <c r="CX94" s="118" t="str">
        <f>HYPERLINK("https://www.dallasnews.com/news/crime/2004/12/13/man-who-killed-dimebag-darrell-abbott-was-upset-by-panteras-breakup-ex-friend-say","1")</f>
        <v>1</v>
      </c>
      <c r="CY94" s="116">
        <v>0</v>
      </c>
      <c r="CZ94" s="108" t="str">
        <f>HYPERLINK("https://www.rollingstone.com/music/music-news/behind-the-murder-of-dimebag-darrell-233541/","0")</f>
        <v>0</v>
      </c>
      <c r="DA94" s="105">
        <v>3</v>
      </c>
      <c r="DB94" s="48">
        <v>0</v>
      </c>
      <c r="DC94" s="101">
        <v>0</v>
      </c>
      <c r="DD94" s="48"/>
      <c r="DE94" s="48"/>
      <c r="DF94" s="48"/>
      <c r="DG94" s="48"/>
      <c r="DH94" s="48"/>
      <c r="DI94" s="48"/>
      <c r="DJ94" s="48">
        <v>0</v>
      </c>
      <c r="DK94" s="48">
        <v>0</v>
      </c>
      <c r="DL94" s="48" t="s">
        <v>100</v>
      </c>
      <c r="DM94" s="105" t="str">
        <f>HYPERLINK("https://www.cbsnews.com/news/mom-of-concert-killer-he-was-sick/","0")</f>
        <v>0</v>
      </c>
      <c r="DN94" s="101" t="str">
        <f>HYPERLINK("https://www.dallasnews.com/news/crime/2004/12/13/man-who-killed-dimebag-darrell-abbott-was-upset-by-pantera-s-breakup-ex-friend-says/","2")</f>
        <v>2</v>
      </c>
      <c r="DO94" s="101" t="str">
        <f>HYPERLINK("https://www.dallasnews.com/news/crime/2004/12/13/man-who-killed-dimebag-darrell-abbott-was-upset-by-pantera-s-breakup-ex-friend-says/","He was obsessed with the band Pantera and targeted their lead singer at the shooting, blaming him for the band breaking up.")</f>
        <v>He was obsessed with the band Pantera and targeted their lead singer at the shooting, blaming him for the band breaking up.</v>
      </c>
      <c r="DP94" s="51">
        <v>0</v>
      </c>
      <c r="DQ94" s="101" t="str">
        <f>HYPERLINK("https://www.rollingstone.com/music/music-news/behind-the-murder-of-dimebag-darrell-233541/","0")</f>
        <v>0</v>
      </c>
      <c r="DR94" s="48">
        <v>0</v>
      </c>
      <c r="DS94" s="101" t="str">
        <f>HYPERLINK("https://www.cbsnews.com/news/inside-the-mind-of-a-killer/","3")</f>
        <v>3</v>
      </c>
      <c r="DT94" s="105" t="str">
        <f t="shared" ref="DT94" si="241">HYPERLINK("https://www.rollingstone.com/music/news/behind-the-murder-of-dimebag-darrell-20041230","1")</f>
        <v>1</v>
      </c>
      <c r="DU94" s="105" t="str">
        <f>HYPERLINK("https://www.rollingstone.com/music/music-news/behind-the-murder-of-dimebag-darrell-233541/","0")</f>
        <v>0</v>
      </c>
      <c r="DV94" s="48" t="s">
        <v>100</v>
      </c>
      <c r="DW94" s="105" t="str">
        <f>HYPERLINK("https://www.cbsnews.com/news/mom-of-concert-killer-he-was-sick/","1")</f>
        <v>1</v>
      </c>
      <c r="DX94" s="105" t="str">
        <f>HYPERLINK("https://www.rollingstone.com/music/music-news/behind-the-murder-of-dimebag-darrell-233541/","0")</f>
        <v>0</v>
      </c>
      <c r="DY94" s="48">
        <v>2</v>
      </c>
      <c r="DZ94" s="48">
        <v>0</v>
      </c>
    </row>
    <row r="95" spans="1:130" ht="50.25" customHeight="1">
      <c r="A95" s="96">
        <v>93</v>
      </c>
      <c r="B95" s="97" t="s">
        <v>457</v>
      </c>
      <c r="C95" s="97" t="s">
        <v>458</v>
      </c>
      <c r="D95" s="98">
        <v>38422</v>
      </c>
      <c r="E95" s="48" t="s">
        <v>157</v>
      </c>
      <c r="F95" s="119">
        <v>11</v>
      </c>
      <c r="G95" s="102" t="str">
        <f>HYPERLINK("http://www.cnn.com/2013/10/31/us/atlanta-courthouse-shootings-fast-facts/index.html","3")</f>
        <v>3</v>
      </c>
      <c r="H95" s="101" t="str">
        <f>HYPERLINK("http://www.cnn.com/2013/10/31/us/atlanta-courthouse-shootings-fast-facts/index.html","2005")</f>
        <v>2005</v>
      </c>
      <c r="I95" s="48" t="s">
        <v>459</v>
      </c>
      <c r="J95" s="101" t="str">
        <f>HYPERLINK("http://www.cnn.com/2013/10/31/us/atlanta-courthouse-shootings-fast-facts/index.html","Atlanta")</f>
        <v>Atlanta</v>
      </c>
      <c r="K95" s="102" t="str">
        <f>HYPERLINK("https://www.newyorker.com/magazine/2008/02/04/death-in-georgia","10")</f>
        <v>10</v>
      </c>
      <c r="L95" s="119">
        <v>0</v>
      </c>
      <c r="M95" s="102" t="str">
        <f>HYPERLINK("https://www.atlanta.net/","0")</f>
        <v>0</v>
      </c>
      <c r="N95" s="102" t="str">
        <f>HYPERLINK("https://www.newyorker.com/magazine/2008/02/04/death-in-georgia","2")</f>
        <v>2</v>
      </c>
      <c r="O95" s="102">
        <v>1</v>
      </c>
      <c r="P95" s="122" t="str">
        <f>HYPERLINK("https://www.newyorker.com/magazine/2008/02/04/death-in-georgia","8")</f>
        <v>8</v>
      </c>
      <c r="Q95" s="103">
        <v>1</v>
      </c>
      <c r="R95" s="103">
        <v>1</v>
      </c>
      <c r="S95" s="102" t="str">
        <f>HYPERLINK("http://www.cnn.com/2013/10/31/us/atlanta-courthouse-shootings-fast-facts/index.html","4")</f>
        <v>4</v>
      </c>
      <c r="T95" s="102" t="str">
        <f>HYPERLINK("https://www.ajc.com/news/crime--law/true-confession-the-day-brian-nichols-fessed/lm2WAlwTyV3H2426YMW2xI/","3")</f>
        <v>3</v>
      </c>
      <c r="U95" s="101" t="str">
        <f>HYPERLINK("https://www.cnn.com/2013/10/31/us/atlanta-courthouse-shootings-fast-facts/index.html","1")</f>
        <v>1</v>
      </c>
      <c r="V95" s="101" t="str">
        <f>HYPERLINK("http://www.cnn.com/2013/10/31/us/atlanta-courthouse-shootings-fast-facts/index.html","33")</f>
        <v>33</v>
      </c>
      <c r="W95" s="101" t="str">
        <f>HYPERLINK("http://www.cnn.com/2013/10/31/us/atlanta-courthouse-shootings-fast-facts/index.html","0")</f>
        <v>0</v>
      </c>
      <c r="X95" s="101" t="str">
        <f>HYPERLINK("https://www.newyorker.com/magazine/2008/02/04/death-in-georgia","1")</f>
        <v>1</v>
      </c>
      <c r="Y95" s="105" t="str">
        <f>HYPERLINK("https://www.latimes.com/archives/la-xpm-2005-mar-13-na-nichols13-story.html","0")</f>
        <v>0</v>
      </c>
      <c r="Z95" s="101" t="str">
        <f>HYPERLINK("https://www.newyorker.com/magazine/2008/02/04/death-in-georgia","0")</f>
        <v>0</v>
      </c>
      <c r="AA95" s="101">
        <v>1</v>
      </c>
      <c r="AB95" s="101" t="str">
        <f>HYPERLINK("https://www.newyorker.com/magazine/2008/02/04/death-in-georgia","2")</f>
        <v>2</v>
      </c>
      <c r="AC95" s="101" t="str">
        <f>HYPERLINK("http://www.nbcnews.com/id/7161961/ns/us_news-crime_and_courts/t/suspect-generated-fearconcern-killings/#.XrBC5RNKhQJ","1")</f>
        <v>1</v>
      </c>
      <c r="AD95" s="101" t="str">
        <f>HYPERLINK("http://www.nbcnews.com/id/7161961/ns/us_news-crime_and_courts/t/suspect-generated-fearconcern-killings/#.XrBC5RNKhQJ","some college")</f>
        <v>some college</v>
      </c>
      <c r="AE95" s="101" t="str">
        <f>HYPERLINK("http://www.cnn.com/2005/LAW/03/15/nichols.brother/","3")</f>
        <v>3</v>
      </c>
      <c r="AF95" s="101" t="str">
        <f t="shared" ref="AF95:AG95" si="242">HYPERLINK("http://www.cnn.com/2005/LAW/03/15/nichols.brother/","1")</f>
        <v>1</v>
      </c>
      <c r="AG95" s="101" t="str">
        <f t="shared" si="242"/>
        <v>1</v>
      </c>
      <c r="AH95" s="101" t="str">
        <f>HYPERLINK("http://www.cnn.com/2005/LAW/03/15/nichols.brother/","0")</f>
        <v>0</v>
      </c>
      <c r="AI95" s="101" t="str">
        <f t="shared" ref="AI95:AJ95" si="243">HYPERLINK("http://www.foxnews.com/story/2005/03/16/nichols-wanted-to-be-with-his-baby-boy.html","1")</f>
        <v>1</v>
      </c>
      <c r="AJ95" s="101" t="str">
        <f t="shared" si="243"/>
        <v>1</v>
      </c>
      <c r="AK95" s="101">
        <v>0</v>
      </c>
      <c r="AL95" s="101" t="str">
        <f>HYPERLINK("http://www.nbcnews.com/id/7161961/ns/us_news-crime_and_courts/t/suspect-generated-fearconcern-killings/#.XQL759NKiRt","2")</f>
        <v>2</v>
      </c>
      <c r="AM95" s="101" t="str">
        <f>HYPERLINK("http://www.nbcnews.com/id/7161961/ns/us_news-crime_and_courts/t/suspect-generated-fearconcern-killings/#.XPbO0tNKiRt","0")</f>
        <v>0</v>
      </c>
      <c r="AN95" s="48" t="s">
        <v>100</v>
      </c>
      <c r="AO95" s="51">
        <v>0</v>
      </c>
      <c r="AP95" s="51"/>
      <c r="AQ95" s="101">
        <v>1</v>
      </c>
      <c r="AR95" s="51">
        <v>0</v>
      </c>
      <c r="AS95" s="101">
        <v>1</v>
      </c>
      <c r="AT95" s="105">
        <v>1</v>
      </c>
      <c r="AU95" s="105">
        <v>2</v>
      </c>
      <c r="AV95" s="105">
        <v>4</v>
      </c>
      <c r="AW95" s="48"/>
      <c r="AX95" s="105">
        <v>1</v>
      </c>
      <c r="AY95" s="101" t="str">
        <f>HYPERLINK("http://www.nbcnews.com/id/7161961/ns/us_news-crime_and_courts/t/suspect-generated-fearconcern-killings/#.XPbO0tNKiRt","0")</f>
        <v>0</v>
      </c>
      <c r="AZ95" s="51">
        <v>0</v>
      </c>
      <c r="BA95" s="107">
        <v>0</v>
      </c>
      <c r="BB95" s="107">
        <v>0</v>
      </c>
      <c r="BC95" s="101">
        <v>0</v>
      </c>
      <c r="BD95" s="101">
        <v>1</v>
      </c>
      <c r="BE95" s="101">
        <v>0</v>
      </c>
      <c r="BF95" s="101" t="str">
        <f>HYPERLINK("https://www.latimes.com/archives/la-xpm-2005-mar-13-na-nichols13-story.html","0")</f>
        <v>0</v>
      </c>
      <c r="BG95" s="101" t="str">
        <f>HYPERLINK("https://web.archive.org/web/20081219070658/http:/www.ajc.com/services/content/metro/atlanta/stories/2008/10/22/nichols_trial_atlanta.html?cxtype=rss&amp;cxsvc=7&amp;cxcat=13","4")</f>
        <v>4</v>
      </c>
      <c r="BH95" s="51">
        <v>1</v>
      </c>
      <c r="BI95" s="51">
        <v>0</v>
      </c>
      <c r="BJ95" s="101">
        <v>0</v>
      </c>
      <c r="BK95" s="101" t="str">
        <f>HYPERLINK("http://www.nbcnews.com/id/7161961/ns/us_news-crime_and_courts/t/suspect-generated-fearconcern-killings/#.XD0Ya1xKjps","1")</f>
        <v>1</v>
      </c>
      <c r="BL95" s="108">
        <v>0</v>
      </c>
      <c r="BM95" s="108" t="s">
        <v>100</v>
      </c>
      <c r="BN95" s="110"/>
      <c r="BO95" s="115">
        <v>0</v>
      </c>
      <c r="BP95" s="111">
        <v>0</v>
      </c>
      <c r="BQ95" s="111">
        <v>0</v>
      </c>
      <c r="BR95" s="111">
        <v>0</v>
      </c>
      <c r="BS95" s="111">
        <v>0</v>
      </c>
      <c r="BT95" s="111">
        <v>0</v>
      </c>
      <c r="BU95" s="111">
        <v>0</v>
      </c>
      <c r="BV95" s="111">
        <v>0</v>
      </c>
      <c r="BW95" s="110">
        <v>0</v>
      </c>
      <c r="BX95" s="110">
        <v>0</v>
      </c>
      <c r="BY95" s="101" t="str">
        <f>HYPERLINK("https://www.newyorker.com/magazine/2008/02/04/death-in-georgia","1")</f>
        <v>1</v>
      </c>
      <c r="BZ95" s="51">
        <v>0</v>
      </c>
      <c r="CA95" s="51">
        <v>0</v>
      </c>
      <c r="CB95" s="51" t="s">
        <v>100</v>
      </c>
      <c r="CC95" s="51">
        <v>0</v>
      </c>
      <c r="CD95" s="51" t="s">
        <v>100</v>
      </c>
      <c r="CE95" s="101" t="str">
        <f>HYPERLINK("https://web.archive.org/web/20081219070658/http:/www.ajc.com/services/content/metro/atlanta/stories/2008/10/22/nichols_trial_atlanta.html?cxtype=rss&amp;cxsvc=7&amp;cxcat=13","5")</f>
        <v>5</v>
      </c>
      <c r="CF95" s="101" t="str">
        <f>HYPERLINK("https://www.latimes.com/archives/la-xpm-2005-mar-13-na-nichols13-story.html","0")</f>
        <v>0</v>
      </c>
      <c r="CG95" s="51">
        <v>0</v>
      </c>
      <c r="CH95" s="101" t="str">
        <f>HYPERLINK("http://www.wsbtv.com/news/2-investigates/courthouse-killer-brian-nichols-i-did-some-very-bad-things/296105563","2")</f>
        <v>2</v>
      </c>
      <c r="CI95" s="51">
        <v>0</v>
      </c>
      <c r="CJ95" s="51" t="s">
        <v>100</v>
      </c>
      <c r="CK95" s="113">
        <v>0</v>
      </c>
      <c r="CL95" s="113"/>
      <c r="CM95" s="113"/>
      <c r="CN95" s="108">
        <v>0</v>
      </c>
      <c r="CO95" s="108">
        <v>0</v>
      </c>
      <c r="CP95" s="108">
        <v>0</v>
      </c>
      <c r="CQ95" s="110">
        <v>0</v>
      </c>
      <c r="CR95" s="108">
        <v>0</v>
      </c>
      <c r="CS95" s="108">
        <v>0</v>
      </c>
      <c r="CT95" s="108" t="str">
        <f>HYPERLINK("https://www.newyorker.com/magazine/2008/02/04/death-in-georgia","1")</f>
        <v>1</v>
      </c>
      <c r="CU95" s="108">
        <v>0</v>
      </c>
      <c r="CV95" s="108">
        <v>0</v>
      </c>
      <c r="CW95" s="110">
        <v>0</v>
      </c>
      <c r="CX95" s="110">
        <v>0</v>
      </c>
      <c r="CY95" s="110">
        <v>0</v>
      </c>
      <c r="CZ95" s="108" t="str">
        <f>HYPERLINK("https://www.newyorker.com/magazine/2008/02/04/death-in-georgia","0")</f>
        <v>0</v>
      </c>
      <c r="DA95" s="123">
        <v>1</v>
      </c>
      <c r="DB95" s="51">
        <v>0</v>
      </c>
      <c r="DC95" s="141" t="str">
        <f>HYPERLINK("https://www.newyorker.com/magazine/2008/02/04/death-in-georgia","0")</f>
        <v>0</v>
      </c>
      <c r="DD95" s="107"/>
      <c r="DE95" s="51"/>
      <c r="DF95" s="51"/>
      <c r="DG95" s="51"/>
      <c r="DH95" s="51"/>
      <c r="DI95" s="51"/>
      <c r="DJ95" s="51">
        <v>0</v>
      </c>
      <c r="DK95" s="51">
        <v>0</v>
      </c>
      <c r="DL95" s="48" t="s">
        <v>100</v>
      </c>
      <c r="DM95" s="101" t="str">
        <f>HYPERLINK("https://www.newyorker.com/magazine/2008/02/04/death-in-georgia","0")</f>
        <v>0</v>
      </c>
      <c r="DN95" s="51">
        <v>0</v>
      </c>
      <c r="DO95" s="51" t="s">
        <v>100</v>
      </c>
      <c r="DP95" s="101" t="str">
        <f>HYPERLINK("https://www.cnn.com/2013/10/31/us/atlanta-courthouse-shootings-fast-facts/index.html","0")</f>
        <v>0</v>
      </c>
      <c r="DQ95" s="101" t="str">
        <f>HYPERLINK("https://www.newyorker.com/magazine/2008/02/04/death-in-georgia","0")</f>
        <v>0</v>
      </c>
      <c r="DR95" s="48">
        <v>0</v>
      </c>
      <c r="DS95" s="51">
        <v>0</v>
      </c>
      <c r="DT95" s="101" t="str">
        <f t="shared" ref="DT95" si="244">HYPERLINK("https://www.cnn.com/2013/10/31/us/atlanta-courthouse-shootings-fast-facts/index.html","1")</f>
        <v>1</v>
      </c>
      <c r="DU95" s="101" t="str">
        <f>HYPERLINK("https://www.cnn.com/2013/10/31/us/atlanta-courthouse-shootings-fast-facts/index.html","0")</f>
        <v>0</v>
      </c>
      <c r="DV95" s="48" t="s">
        <v>100</v>
      </c>
      <c r="DW95" s="101" t="str">
        <f>HYPERLINK(" http://www.cnn.com/2013/10/31/us/atlanta-courthouse-shootings-fast-facts/index.html","2")</f>
        <v>2</v>
      </c>
      <c r="DX95" s="101" t="str">
        <f>HYPERLINK("https://www.cnn.com/2013/10/31/us/atlanta-courthouse-shootings-fast-facts/index.html","1")</f>
        <v>1</v>
      </c>
      <c r="DY95" s="105" t="str">
        <f>HYPERLINK("https://web.archive.org/web/20081219070658/http:/www.ajc.com/services/content/metro/atlanta/stories/2008/10/22/nichols_trial_atlanta.html?cxtype=rss&amp;cxsvc=7&amp;cxcat=13","1")</f>
        <v>1</v>
      </c>
      <c r="DZ95" s="133" t="str">
        <f>HYPERLINK("https://www.cnn.com/2013/10/31/us/atlanta-courthouse-shootings-fast-facts/index.html","3")</f>
        <v>3</v>
      </c>
    </row>
    <row r="96" spans="1:130" ht="50.25" customHeight="1">
      <c r="A96" s="96">
        <v>94</v>
      </c>
      <c r="B96" s="97" t="s">
        <v>460</v>
      </c>
      <c r="C96" s="97" t="s">
        <v>461</v>
      </c>
      <c r="D96" s="98">
        <v>38423</v>
      </c>
      <c r="E96" s="48" t="s">
        <v>103</v>
      </c>
      <c r="F96" s="119">
        <v>12</v>
      </c>
      <c r="G96" s="102">
        <v>3</v>
      </c>
      <c r="H96" s="101">
        <v>2005</v>
      </c>
      <c r="I96" s="48" t="s">
        <v>462</v>
      </c>
      <c r="J96" s="101" t="s">
        <v>463</v>
      </c>
      <c r="K96" s="102">
        <v>49</v>
      </c>
      <c r="L96" s="119">
        <v>1</v>
      </c>
      <c r="M96" s="102">
        <v>1</v>
      </c>
      <c r="N96" s="102" t="str">
        <f>HYPERLINK("https://www.chicagotribune.com/news/ct-xpm-2005-03-13-0503130385-story.html","3")</f>
        <v>3</v>
      </c>
      <c r="O96" s="102" t="str">
        <f>HYPERLINK("https://www.cbsnews.com/news/church-police-probe-7-murders/","0")</f>
        <v>0</v>
      </c>
      <c r="P96" s="99" t="s">
        <v>100</v>
      </c>
      <c r="Q96" s="103">
        <v>0</v>
      </c>
      <c r="R96" s="103">
        <v>0</v>
      </c>
      <c r="S96" s="102">
        <v>7</v>
      </c>
      <c r="T96" s="102">
        <v>4</v>
      </c>
      <c r="U96" s="101" t="str">
        <f>HYPERLINK("https://www.chicagotribune.com/news/ct-xpm-2005-03-29-0503290160-story.html","0")</f>
        <v>0</v>
      </c>
      <c r="V96" s="101">
        <v>44</v>
      </c>
      <c r="W96" s="101">
        <v>0</v>
      </c>
      <c r="X96" s="101" t="str">
        <f>HYPERLINK("https://www.sfgate.com/news/article/Church-service-killings-baffle-police-flock-2692473.php#photo-2162843","0")</f>
        <v>0</v>
      </c>
      <c r="Y96" s="48">
        <v>0</v>
      </c>
      <c r="Z96" s="101" t="str">
        <f>HYPERLINK("https://www.chicagotribune.com/news/ct-xpm-2005-03-29-0503290160-story.html","0")</f>
        <v>0</v>
      </c>
      <c r="AA96" s="101" t="str">
        <f t="shared" ref="AA96:AC96" si="245">HYPERLINK("https://www.chicagotribune.com/news/ct-xpm-2005-03-29-0503290160-story.html","1")</f>
        <v>1</v>
      </c>
      <c r="AB96" s="101" t="str">
        <f t="shared" si="245"/>
        <v>1</v>
      </c>
      <c r="AC96" s="101" t="str">
        <f t="shared" si="245"/>
        <v>1</v>
      </c>
      <c r="AD96" s="101" t="str">
        <f>HYPERLINK("https://www.chicagotribune.com/news/ct-xpm-2005-03-29-0503290160-story.html","average grades")</f>
        <v>average grades</v>
      </c>
      <c r="AE96" s="123">
        <v>1</v>
      </c>
      <c r="AF96" s="101" t="str">
        <f>HYPERLINK("https://books.google.com/books?id=MzhVs1852I0C&amp;pg=PA95&amp;dq=terry+ratzmann+protector+father&amp;hl=en&amp;sa=X&amp;ved=0ahUKEwi5xuLFjbzgAhVRY6wKHZcjDMQQ6AEIKDAA#v=snippet&amp;q=94&amp;f=false","3")</f>
        <v>3</v>
      </c>
      <c r="AG96" s="123">
        <v>0</v>
      </c>
      <c r="AH96" s="101" t="str">
        <f>HYPERLINK("https://books.google.com/books?id=MzhVs1852I0C&amp;pg=PA95&amp;dq=terry+ratzmann+protector+father&amp;hl=en&amp;sa=X&amp;ved=0ahUKEwi5xuLFjbzgAhVRY6wKHZcjDMQQ6AEIKDAA#v=snippet&amp;q=94&amp;f=false","3")</f>
        <v>3</v>
      </c>
      <c r="AI96" s="101">
        <v>0</v>
      </c>
      <c r="AJ96" s="51">
        <v>0</v>
      </c>
      <c r="AK96" s="101">
        <v>1</v>
      </c>
      <c r="AL96" s="101" t="str">
        <f>HYPERLINK("https://www.nytimes.com/2005/03/13/us/gunman-kills-7-in-church-group-near-milwaukee.html","2")</f>
        <v>2</v>
      </c>
      <c r="AM96" s="101">
        <v>1</v>
      </c>
      <c r="AN96" s="101">
        <v>4</v>
      </c>
      <c r="AO96" s="101" t="str">
        <f>HYPERLINK("https://www.chicagotribune.com/news/ct-xpm-2005-03-29-0503290160-story.html","1")</f>
        <v>1</v>
      </c>
      <c r="AP96" s="101" t="str">
        <f>HYPERLINK("https://www.chicagotribune.com/news/ct-xpm-2005-03-29-0503290160-story.html","church")</f>
        <v>church</v>
      </c>
      <c r="AQ96" s="101">
        <v>0</v>
      </c>
      <c r="AR96" s="51">
        <v>0</v>
      </c>
      <c r="AS96" s="101">
        <v>0</v>
      </c>
      <c r="AT96" s="48">
        <v>0</v>
      </c>
      <c r="AU96" s="48" t="s">
        <v>100</v>
      </c>
      <c r="AV96" s="48" t="s">
        <v>100</v>
      </c>
      <c r="AW96" s="48" t="s">
        <v>100</v>
      </c>
      <c r="AX96" s="48">
        <v>0</v>
      </c>
      <c r="AY96" s="51">
        <v>0</v>
      </c>
      <c r="AZ96" s="51">
        <v>0</v>
      </c>
      <c r="BA96" s="107">
        <v>0</v>
      </c>
      <c r="BB96" s="107">
        <v>0</v>
      </c>
      <c r="BC96" s="101" t="str">
        <f>HYPERLINK("https://www.nytimes.com/2005/03/13/us/gunman-kills-7-in-church-group-near-milwaukee.html","0")</f>
        <v>0</v>
      </c>
      <c r="BD96" s="101" t="str">
        <f>HYPERLINK("https://www.chicagotribune.com/news/ct-xpm-2005-03-29-0503290160-story.html","1")</f>
        <v>1</v>
      </c>
      <c r="BE96" s="101">
        <v>1</v>
      </c>
      <c r="BF96" s="51"/>
      <c r="BG96" s="101" t="str">
        <f>HYPERLINK("https://books.google.com/books?id=MzhVs1852I0C&amp;pg=PA122&amp;lpg=PA122&amp;dq=terry+ratzmann+oldest+child&amp;source=bl&amp;ots=uwlfHvLdlF&amp;sig=ACfU3U0Ot1iDHGbzXX8a3RAXg1psvshOEw&amp;hl=en&amp;sa=X&amp;ved=2ahUKEwjL0_SyqpDoAhUFZc0KHQl6CGIQ6AEwC3oECAsQAQ#v=snippet&amp;q=abuse&amp;f=false","1")</f>
        <v>1</v>
      </c>
      <c r="BH96" s="51">
        <v>1</v>
      </c>
      <c r="BI96" s="51">
        <v>0</v>
      </c>
      <c r="BJ96" s="51">
        <v>0</v>
      </c>
      <c r="BK96" s="101">
        <v>1</v>
      </c>
      <c r="BL96" s="108">
        <v>1</v>
      </c>
      <c r="BM96" s="109">
        <v>1</v>
      </c>
      <c r="BN96" s="115" t="s">
        <v>3040</v>
      </c>
      <c r="BO96" s="111">
        <v>1</v>
      </c>
      <c r="BP96" s="111">
        <v>0</v>
      </c>
      <c r="BQ96" s="111">
        <v>1</v>
      </c>
      <c r="BR96" s="111">
        <v>0</v>
      </c>
      <c r="BS96" s="111">
        <v>1</v>
      </c>
      <c r="BT96" s="111">
        <v>1</v>
      </c>
      <c r="BU96" s="111">
        <v>0</v>
      </c>
      <c r="BV96" s="111">
        <v>1</v>
      </c>
      <c r="BW96" s="111">
        <v>0</v>
      </c>
      <c r="BX96" s="111">
        <v>0</v>
      </c>
      <c r="BY96" s="101" t="str">
        <f>HYPERLINK("https://www.nytimes.com/2005/03/13/us/gunman-kills-7-in-church-group-near-milwaukee.html","2")</f>
        <v>2</v>
      </c>
      <c r="BZ96" s="51">
        <v>0</v>
      </c>
      <c r="CA96" s="51">
        <v>0</v>
      </c>
      <c r="CB96" s="51" t="s">
        <v>100</v>
      </c>
      <c r="CC96" s="51">
        <v>0</v>
      </c>
      <c r="CD96" s="51" t="s">
        <v>100</v>
      </c>
      <c r="CE96" s="101" t="str">
        <f>HYPERLINK("https://www.sfgate.com/news/article/Church-service-killings-baffle-police-flock-2692473.php#photo-2162843","1")</f>
        <v>1</v>
      </c>
      <c r="CF96" s="51">
        <v>0</v>
      </c>
      <c r="CG96" s="51">
        <v>0</v>
      </c>
      <c r="CH96" s="101" t="str">
        <f>HYPERLINK("https://www.sfgate.com/news/article/Church-service-killings-baffle-police-flock-2692473.php#photo-2162843","5")</f>
        <v>5</v>
      </c>
      <c r="CI96" s="101">
        <v>1</v>
      </c>
      <c r="CJ96" s="101" t="s">
        <v>3106</v>
      </c>
      <c r="CK96" s="113">
        <v>0</v>
      </c>
      <c r="CL96" s="113"/>
      <c r="CM96" s="113"/>
      <c r="CN96" s="110">
        <v>0</v>
      </c>
      <c r="CO96" s="109">
        <v>3</v>
      </c>
      <c r="CP96" s="110">
        <v>0</v>
      </c>
      <c r="CQ96" s="110">
        <v>0</v>
      </c>
      <c r="CR96" s="109">
        <v>1</v>
      </c>
      <c r="CS96" s="109">
        <v>1</v>
      </c>
      <c r="CT96" s="110">
        <v>0</v>
      </c>
      <c r="CU96" s="110">
        <v>0</v>
      </c>
      <c r="CV96" s="110">
        <v>0</v>
      </c>
      <c r="CW96" s="110">
        <v>0</v>
      </c>
      <c r="CX96" s="110">
        <v>0</v>
      </c>
      <c r="CY96" s="108">
        <v>0</v>
      </c>
      <c r="CZ96" s="108" t="str">
        <f>HYPERLINK("https://www.sfgate.com/news/article/Church-service-killings-baffle-police-flock-2692473.php#photo-2162843","0")</f>
        <v>0</v>
      </c>
      <c r="DA96" s="51">
        <v>0</v>
      </c>
      <c r="DB96" s="101" t="str">
        <f>HYPERLINK("https://www.chicagotribune.com/news/ct-xpm-2005-03-29-0503290160-story.html","1")</f>
        <v>1</v>
      </c>
      <c r="DC96" s="101" t="str">
        <f>HYPERLINK("https://www.sfgate.com/news/article/Church-service-killings-baffle-police-flock-2692473.php#photo-2162843","0")</f>
        <v>0</v>
      </c>
      <c r="DD96" s="51"/>
      <c r="DE96" s="51"/>
      <c r="DF96" s="51"/>
      <c r="DG96" s="51"/>
      <c r="DH96" s="51"/>
      <c r="DI96" s="51"/>
      <c r="DJ96" s="51">
        <v>0</v>
      </c>
      <c r="DK96" s="51">
        <v>0</v>
      </c>
      <c r="DL96" s="48" t="s">
        <v>100</v>
      </c>
      <c r="DM96" s="101" t="str">
        <f>HYPERLINK("http://archive.boston.com/news/nation/articles/2005/03/14/terry_dont_friend_cried_to_shooter/","0")</f>
        <v>0</v>
      </c>
      <c r="DN96" s="51">
        <v>0</v>
      </c>
      <c r="DO96" s="51" t="s">
        <v>100</v>
      </c>
      <c r="DP96" s="101" t="str">
        <f t="shared" ref="DP96:DQ96" si="246">HYPERLINK("https://www.sfgate.com/news/article/Church-service-killings-baffle-police-flock-2692473.php#photo-2162843","0")</f>
        <v>0</v>
      </c>
      <c r="DQ96" s="101" t="str">
        <f t="shared" si="246"/>
        <v>0</v>
      </c>
      <c r="DR96" s="105" t="str">
        <f>HYPERLINK("https://www.cbsnews.com/news/church-police-probe-7-murders/","0")</f>
        <v>0</v>
      </c>
      <c r="DS96" s="101" t="str">
        <f>HYPERLINK("https://www.chicagotribune.com/news/ct-xpm-2005-03-29-0503290160-story.html","3")</f>
        <v>3</v>
      </c>
      <c r="DT96" s="101">
        <v>1</v>
      </c>
      <c r="DU96" s="101" t="str">
        <f>HYPERLINK("https://www.latimes.com/archives/la-xpm-2005-mar-14-na-church14-story.html","0")</f>
        <v>0</v>
      </c>
      <c r="DV96" s="48" t="s">
        <v>100</v>
      </c>
      <c r="DW96" s="101">
        <v>0</v>
      </c>
      <c r="DX96" s="101" t="str">
        <f>HYPERLINK("http://archive.boston.com/news/nation/articles/2005/03/14/terry_dont_friend_cried_to_shooter/","0")</f>
        <v>0</v>
      </c>
      <c r="DY96" s="48">
        <v>2</v>
      </c>
      <c r="DZ96" s="48">
        <v>0</v>
      </c>
    </row>
    <row r="97" spans="1:130" ht="50.25" customHeight="1">
      <c r="A97" s="96">
        <v>95</v>
      </c>
      <c r="B97" s="97" t="s">
        <v>464</v>
      </c>
      <c r="C97" s="97" t="s">
        <v>465</v>
      </c>
      <c r="D97" s="98">
        <v>38432</v>
      </c>
      <c r="E97" s="48" t="s">
        <v>95</v>
      </c>
      <c r="F97" s="119">
        <v>21</v>
      </c>
      <c r="G97" s="102">
        <v>3</v>
      </c>
      <c r="H97" s="101">
        <v>2005</v>
      </c>
      <c r="I97" s="48" t="s">
        <v>466</v>
      </c>
      <c r="J97" s="101" t="s">
        <v>467</v>
      </c>
      <c r="K97" s="102">
        <v>23</v>
      </c>
      <c r="L97" s="119">
        <v>1</v>
      </c>
      <c r="M97" s="102">
        <v>2</v>
      </c>
      <c r="N97" s="102">
        <v>0</v>
      </c>
      <c r="O97" s="102" t="str">
        <f>HYPERLINK("https://www.mprnews.org/story/2015/03/18/red-lake-shooting-explained","1")</f>
        <v>1</v>
      </c>
      <c r="P97" s="102" t="str">
        <f>HYPERLINK("https://www.mprnews.org/story/2015/03/18/red-lake-shooting-explained","7")</f>
        <v>7</v>
      </c>
      <c r="Q97" s="103">
        <v>0</v>
      </c>
      <c r="R97" s="103">
        <v>0</v>
      </c>
      <c r="S97" s="102" t="str">
        <f>HYPERLINK("http://news.minnesota.publicradio.org/features/2005/03/21_gundersond_redlakeshooting/","9")</f>
        <v>9</v>
      </c>
      <c r="T97" s="102">
        <v>7</v>
      </c>
      <c r="U97" s="101" t="str">
        <f>HYPERLINK("https://www.mprnews.org/story/2015/03/18/red-lake-shooting-explained","0")</f>
        <v>0</v>
      </c>
      <c r="V97" s="101" t="str">
        <f>HYPERLINK("http://news.minnesota.publicradio.org/features/2005/03/22_ap_redlakesuspect/","16")</f>
        <v>16</v>
      </c>
      <c r="W97" s="101">
        <v>0</v>
      </c>
      <c r="X97" s="101">
        <v>5</v>
      </c>
      <c r="Y97" s="101" t="str">
        <f>HYPERLINK("https://web.archive.org/web/20180331030354/https://www.cnn.com/2005/US/03/22/school.shooting/","0")</f>
        <v>0</v>
      </c>
      <c r="Z97" s="51">
        <v>0</v>
      </c>
      <c r="AA97" s="51"/>
      <c r="AB97" s="101">
        <v>0</v>
      </c>
      <c r="AC97" s="101" t="str">
        <f>HYPERLINK("https://www.nytimes.com/2005/03/24/us/signs-of-danger-were-missed-in-a-troubled-teenagers-life.html","0")</f>
        <v>0</v>
      </c>
      <c r="AD97" s="101" t="str">
        <f>HYPERLINK("https://www.nytimes.com/2005/03/24/us/signs-of-danger-were-missed-in-a-troubled-teenagers-life.html","struggling, held back")</f>
        <v>struggling, held back</v>
      </c>
      <c r="AE97" s="101" t="str">
        <f>HYPERLINK("https://www.nytimes.com/2005/03/24/us/signs-of-danger-were-missed-in-a-troubled-teenagers-life.html","1")</f>
        <v>1</v>
      </c>
      <c r="AF97" s="101" t="str">
        <f>HYPERLINK("https://www.nytimes.com/2005/03/24/us/signs-of-danger-were-missed-in-a-troubled-teenagers-life.html","2")</f>
        <v>2</v>
      </c>
      <c r="AG97" s="101" t="str">
        <f>HYPERLINK("https://www.nytimes.com/2005/03/24/us/signs-of-danger-were-missed-in-a-troubled-teenagers-life.html","0")</f>
        <v>0</v>
      </c>
      <c r="AH97" s="101" t="str">
        <f>HYPERLINK("https://www.nytimes.com/2005/03/24/us/signs-of-danger-were-missed-in-a-troubled-teenagers-life.html","2")</f>
        <v>2</v>
      </c>
      <c r="AI97" s="51">
        <v>0</v>
      </c>
      <c r="AJ97" s="51">
        <v>0</v>
      </c>
      <c r="AK97" s="51">
        <v>0</v>
      </c>
      <c r="AL97" s="51"/>
      <c r="AM97" s="51">
        <v>0</v>
      </c>
      <c r="AN97" s="48" t="s">
        <v>100</v>
      </c>
      <c r="AO97" s="101" t="str">
        <f>HYPERLINK("https://www.nytimes.com/2005/03/24/us/signs-of-danger-were-missed-in-a-troubled-teenagers-life.html","0")</f>
        <v>0</v>
      </c>
      <c r="AP97" s="54"/>
      <c r="AQ97" s="51">
        <v>0</v>
      </c>
      <c r="AR97" s="51">
        <v>0</v>
      </c>
      <c r="AS97" s="101" t="str">
        <f>HYPERLINK("https://www.nytimes.com/2005/03/24/us/signs-of-danger-were-missed-in-a-troubled-teenagers-life.html","0")</f>
        <v>0</v>
      </c>
      <c r="AT97" s="51">
        <v>0</v>
      </c>
      <c r="AU97" s="51" t="s">
        <v>100</v>
      </c>
      <c r="AV97" s="51" t="s">
        <v>100</v>
      </c>
      <c r="AW97" s="51" t="s">
        <v>100</v>
      </c>
      <c r="AX97" s="51">
        <v>0</v>
      </c>
      <c r="AY97" s="51">
        <v>0</v>
      </c>
      <c r="AZ97" s="101">
        <v>0</v>
      </c>
      <c r="BA97" s="141" t="str">
        <f>HYPERLINK("https://web.archive.org/web/20180331030354/https://www.cnn.com/2005/US/03/22/school.shooting/","1")</f>
        <v>1</v>
      </c>
      <c r="BB97" s="107">
        <v>0</v>
      </c>
      <c r="BC97" s="101">
        <v>0</v>
      </c>
      <c r="BD97" s="101">
        <v>1</v>
      </c>
      <c r="BE97" s="101" t="str">
        <f>HYPERLINK("https://www.nytimes.com/2005/03/24/us/signs-of-danger-were-missed-in-a-troubled-teenagers-life.html","1")</f>
        <v>1</v>
      </c>
      <c r="BF97" s="101" t="str">
        <f>HYPERLINK("http://news.minnesota.publicradio.org/features/2005/03/22_ap_redlakesuspect/","1")</f>
        <v>1</v>
      </c>
      <c r="BG97" s="101" t="str">
        <f>HYPERLINK("https://www.nytimes.com/2005/03/24/us/signs-of-danger-were-missed-in-a-troubled-teenagers-life.html","2")</f>
        <v>2</v>
      </c>
      <c r="BH97" s="51">
        <v>0</v>
      </c>
      <c r="BI97" s="51"/>
      <c r="BJ97" s="51">
        <v>0</v>
      </c>
      <c r="BK97" s="51">
        <v>0</v>
      </c>
      <c r="BL97" s="108">
        <v>1</v>
      </c>
      <c r="BM97" s="109">
        <v>3</v>
      </c>
      <c r="BN97" s="110" t="s">
        <v>3041</v>
      </c>
      <c r="BO97" s="111">
        <v>1</v>
      </c>
      <c r="BP97" s="111">
        <v>1</v>
      </c>
      <c r="BQ97" s="111">
        <v>1</v>
      </c>
      <c r="BR97" s="111">
        <v>0</v>
      </c>
      <c r="BS97" s="111">
        <v>0</v>
      </c>
      <c r="BT97" s="115">
        <v>1</v>
      </c>
      <c r="BU97" s="111">
        <v>1</v>
      </c>
      <c r="BV97" s="111">
        <v>1</v>
      </c>
      <c r="BW97" s="111">
        <v>0</v>
      </c>
      <c r="BX97" s="111">
        <v>0</v>
      </c>
      <c r="BY97" s="101" t="str">
        <f>HYPERLINK("https://www.nytimes.com/2005/03/24/us/signs-of-danger-were-missed-in-a-troubled-teenagers-life.html","1")</f>
        <v>1</v>
      </c>
      <c r="BZ97" s="101">
        <v>1</v>
      </c>
      <c r="CA97" s="101">
        <v>1</v>
      </c>
      <c r="CB97" s="101" t="str">
        <f>HYPERLINK("https://www.nytimes.com/2005/03/26/us/family-wonders-if-prozac-prompted-school-shootings.html","0")</f>
        <v>0</v>
      </c>
      <c r="CC97" s="101">
        <v>1</v>
      </c>
      <c r="CD97" s="101" t="str">
        <f>HYPERLINK("https://www.nytimes.com/2005/03/26/us/family-wonders-if-prozac-prompted-school-shootings.html","1")</f>
        <v>1</v>
      </c>
      <c r="CE97" s="101" t="str">
        <f>HYPERLINK("https://www.nytimes.com/2005/03/24/us/signs-of-danger-were-missed-in-a-troubled-teenagers-life.html","1")</f>
        <v>1</v>
      </c>
      <c r="CF97" s="101" t="str">
        <f>HYPERLINK("https://www.cbsnews.com/news/troubled-life-of-minnesota-shooter/","1")</f>
        <v>1</v>
      </c>
      <c r="CG97" s="51">
        <v>0</v>
      </c>
      <c r="CH97" s="101" t="str">
        <f>HYPERLINK("https://schoolshooters.info/sites/default/files/Jeffrey%20Weise%20Online.pdf","2")</f>
        <v>2</v>
      </c>
      <c r="CI97" s="51">
        <v>0</v>
      </c>
      <c r="CJ97" s="51" t="s">
        <v>100</v>
      </c>
      <c r="CK97" s="117">
        <v>1</v>
      </c>
      <c r="CL97" s="117"/>
      <c r="CM97" s="117"/>
      <c r="CN97" s="108">
        <v>0</v>
      </c>
      <c r="CO97" s="108">
        <v>0</v>
      </c>
      <c r="CP97" s="108">
        <v>0</v>
      </c>
      <c r="CQ97" s="108">
        <v>0</v>
      </c>
      <c r="CR97" s="108">
        <v>0</v>
      </c>
      <c r="CS97" s="108">
        <v>0</v>
      </c>
      <c r="CT97" s="108">
        <v>0</v>
      </c>
      <c r="CU97" s="108">
        <v>0</v>
      </c>
      <c r="CV97" s="108">
        <v>0</v>
      </c>
      <c r="CW97" s="110">
        <v>0</v>
      </c>
      <c r="CX97" s="110">
        <v>0</v>
      </c>
      <c r="CY97" s="108" t="str">
        <f>HYPERLINK("https://www.cbsnews.com/news/troubled-life-of-minnesota-shooter/","1")</f>
        <v>1</v>
      </c>
      <c r="CZ97" s="108" t="str">
        <f>HYPERLINK("https://www.cbsnews.com/news/troubled-life-of-minnesota-shooter/","0")</f>
        <v>0</v>
      </c>
      <c r="DA97" s="51">
        <v>0</v>
      </c>
      <c r="DB97" s="101" t="str">
        <f>HYPERLINK("https://www.nytimes.com/2005/03/24/us/signs-of-danger-were-missed-in-a-troubled-teenagers-life.html","1")</f>
        <v>1</v>
      </c>
      <c r="DC97" s="101">
        <v>1</v>
      </c>
      <c r="DD97" s="107">
        <v>4</v>
      </c>
      <c r="DE97" s="107">
        <v>6</v>
      </c>
      <c r="DF97" s="107">
        <v>0</v>
      </c>
      <c r="DG97" s="107"/>
      <c r="DH97" s="107"/>
      <c r="DI97" s="107"/>
      <c r="DJ97" s="101" t="str">
        <f>HYPERLINK("https://www.nytimes.com/2005/03/24/us/signs-of-danger-were-missed-in-a-troubled-teenagers-life.html","1")</f>
        <v>1</v>
      </c>
      <c r="DK97" s="101" t="s">
        <v>833</v>
      </c>
      <c r="DL97" s="48" t="s">
        <v>100</v>
      </c>
      <c r="DM97" s="101" t="str">
        <f>HYPERLINK("https://web.archive.org/web/20180331030354/https://www.cnn.com/2005/US/03/22/school.shooting/","0")</f>
        <v>0</v>
      </c>
      <c r="DN97" s="101" t="str">
        <f>HYPERLINK("https://books.google.com/books?id=Ozse_FSOXtMC&amp;pg=PT320&amp;dq=jeff+weise+elephant&amp;hl=en&amp;newbks=1&amp;newbks_redir=0&amp;sa=X&amp;ved=2ahUKEwjllezcxsfoAhXYLc0KHa0uAXUQ6AEwBHoECAMQAg#v=onepage&amp;q=jeff%20weise%20elephant&amp;f=false","2")</f>
        <v>2</v>
      </c>
      <c r="DO97" s="101" t="str">
        <f>HYPERLINK("https://books.google.com/books?id=Ozse_FSOXtMC&amp;pg=PT320&amp;dq=jeff+weise+elephant&amp;hl=en&amp;newbks=1&amp;newbks_redir=0&amp;sa=X&amp;ved=2ahUKEwjllezcxsfoAhXYLc0KHa0uAXUQ6AEwBHoECAMQAg#v=onepage&amp;q=jeff%20weise%20elephant&amp;f=false","He watched the movie Elephant two weeks before the shooting, which portrays a Columbine-like school shooting.")</f>
        <v>He watched the movie Elephant two weeks before the shooting, which portrays a Columbine-like school shooting.</v>
      </c>
      <c r="DP97" s="101">
        <v>0</v>
      </c>
      <c r="DQ97" s="101" t="str">
        <f>HYPERLINK("https://www.cbsnews.com/news/troubled-life-of-minnesota-shooter/","0")</f>
        <v>0</v>
      </c>
      <c r="DR97" s="101" t="str">
        <f>HYPERLINK("https://www.nytimes.com/2005/03/24/us/signs-of-danger-were-missed-in-a-troubled-teenagers-life.html?auth=login-smartlock","1")</f>
        <v>1</v>
      </c>
      <c r="DS97" s="51"/>
      <c r="DT97" s="101" t="str">
        <f>HYPERLINK("http://web.archive.org/web/20160422162418/https://abcnews.go.com/US/story?id=611342&amp;page=1","3")</f>
        <v>3</v>
      </c>
      <c r="DU97" s="101" t="str">
        <f>HYPERLINK("http://news.minnesota.publicradio.org/features/2005/03/21_gundersond_redlakeshooting/","1")</f>
        <v>1</v>
      </c>
      <c r="DV97" s="101" t="str">
        <f>HYPERLINK("http://news.minnesota.publicradio.org/features/2005/03/21_gundersond_redlakeshooting/","bulletproof vest, gun belt")</f>
        <v>bulletproof vest, gun belt</v>
      </c>
      <c r="DW97" s="101" t="str">
        <f>HYPERLINK("https://www.theguardian.com/world/2005/mar/22/usgunviolence.usa","0")</f>
        <v>0</v>
      </c>
      <c r="DX97" s="101" t="str">
        <f>HYPERLINK("https://web.archive.org/web/20180331030354/https://www.cnn.com/2005/US/03/22/school.shooting/","0")</f>
        <v>0</v>
      </c>
      <c r="DY97" s="51">
        <v>2</v>
      </c>
      <c r="DZ97" s="48">
        <v>0</v>
      </c>
    </row>
    <row r="98" spans="1:130" ht="50.25" customHeight="1">
      <c r="A98" s="96">
        <v>96</v>
      </c>
      <c r="B98" s="97" t="s">
        <v>469</v>
      </c>
      <c r="C98" s="97" t="s">
        <v>470</v>
      </c>
      <c r="D98" s="98">
        <v>38592</v>
      </c>
      <c r="E98" s="48" t="s">
        <v>137</v>
      </c>
      <c r="F98" s="119">
        <v>28</v>
      </c>
      <c r="G98" s="102">
        <v>8</v>
      </c>
      <c r="H98" s="101">
        <v>2005</v>
      </c>
      <c r="I98" s="48" t="s">
        <v>471</v>
      </c>
      <c r="J98" s="101" t="s">
        <v>864</v>
      </c>
      <c r="K98" s="102" t="str">
        <f>HYPERLINK("https://www.denverpost.com/2005/08/29/4-slain-near-texas-church/","43")</f>
        <v>43</v>
      </c>
      <c r="L98" s="119">
        <v>0</v>
      </c>
      <c r="M98" s="102" t="str">
        <f>HYPERLINK("https://www.eastbaytimes.com/2005/08/30/gunman-kills-four-then-himself/","2")</f>
        <v>2</v>
      </c>
      <c r="N98" s="102" t="str">
        <f>HYPERLINK("https://www.denverpost.com/2005/08/29/4-slain-near-texas-church/","3")</f>
        <v>3</v>
      </c>
      <c r="O98" s="102" t="str">
        <f>HYPERLINK("https://www.denverpost.com/2005/08/29/4-slain-near-texas-church/","1")</f>
        <v>1</v>
      </c>
      <c r="P98" s="122" t="str">
        <f>HYPERLINK("https://www.denverpost.com/2005/08/29/4-slain-near-texas-church/","8")</f>
        <v>8</v>
      </c>
      <c r="Q98" s="103">
        <v>0</v>
      </c>
      <c r="R98" s="103">
        <v>0</v>
      </c>
      <c r="S98" s="102">
        <v>4</v>
      </c>
      <c r="T98" s="102" t="str">
        <f>HYPERLINK("https://www.denverpost.com/2005/08/29/4-slain-near-texas-church/","0")</f>
        <v>0</v>
      </c>
      <c r="U98" s="101" t="str">
        <f>HYPERLINK("https://www.myplainview.com/news/article/Gunman-kills-self-after-shooting-four-at-rural-8725414.php","0")</f>
        <v>0</v>
      </c>
      <c r="V98" s="101">
        <v>54</v>
      </c>
      <c r="W98" s="101">
        <v>0</v>
      </c>
      <c r="X98" s="51"/>
      <c r="Y98" s="51">
        <v>0</v>
      </c>
      <c r="Z98" s="51">
        <v>0</v>
      </c>
      <c r="AA98" s="51"/>
      <c r="AB98" s="51" t="s">
        <v>818</v>
      </c>
      <c r="AC98" s="51"/>
      <c r="AD98" s="51"/>
      <c r="AE98" s="51"/>
      <c r="AF98" s="51"/>
      <c r="AG98" s="51"/>
      <c r="AH98" s="51"/>
      <c r="AI98" s="51">
        <v>0</v>
      </c>
      <c r="AJ98" s="51">
        <v>0</v>
      </c>
      <c r="AK98" s="51">
        <v>0</v>
      </c>
      <c r="AL98" s="101">
        <v>0</v>
      </c>
      <c r="AM98" s="51">
        <v>0</v>
      </c>
      <c r="AN98" s="48" t="s">
        <v>100</v>
      </c>
      <c r="AO98" s="101" t="str">
        <f>HYPERLINK("https://www.myplainview.com/news/article/Gunman-kills-self-after-shooting-four-at-rural-8725414.php","0")</f>
        <v>0</v>
      </c>
      <c r="AP98" s="54"/>
      <c r="AQ98" s="101" t="str">
        <f t="shared" ref="AQ98:DS98" si="247">HYPERLINK("https://www.denverpost.com/2005/08/29/4-slain-near-texas-church/","1")</f>
        <v>1</v>
      </c>
      <c r="AR98" s="51">
        <v>0</v>
      </c>
      <c r="AS98" s="101">
        <v>1</v>
      </c>
      <c r="AT98" s="107">
        <v>0</v>
      </c>
      <c r="AU98" s="107" t="s">
        <v>100</v>
      </c>
      <c r="AV98" s="107" t="s">
        <v>100</v>
      </c>
      <c r="AW98" s="107" t="s">
        <v>100</v>
      </c>
      <c r="AX98" s="51">
        <v>0</v>
      </c>
      <c r="AY98" s="51">
        <v>0</v>
      </c>
      <c r="AZ98" s="51">
        <v>0</v>
      </c>
      <c r="BA98" s="51">
        <v>0</v>
      </c>
      <c r="BB98" s="107">
        <v>0</v>
      </c>
      <c r="BC98" s="101" t="str">
        <f>HYPERLINK("https://www.foxnews.com/story/five-dead-in-texas-church-shootings","1")</f>
        <v>1</v>
      </c>
      <c r="BD98" s="51">
        <v>0</v>
      </c>
      <c r="BE98" s="51"/>
      <c r="BF98" s="51"/>
      <c r="BG98" s="51"/>
      <c r="BH98" s="51"/>
      <c r="BI98" s="51">
        <v>0</v>
      </c>
      <c r="BJ98" s="51">
        <v>0</v>
      </c>
      <c r="BK98" s="51">
        <v>0</v>
      </c>
      <c r="BL98" s="108" t="str">
        <f>HYPERLINK("https://www.myplainview.com/news/article/Gunman-kills-self-after-shooting-four-at-rural-8725414.php","1")</f>
        <v>1</v>
      </c>
      <c r="BM98" s="109">
        <v>2</v>
      </c>
      <c r="BN98" s="110" t="s">
        <v>3042</v>
      </c>
      <c r="BO98" s="111">
        <v>0</v>
      </c>
      <c r="BP98" s="111">
        <v>0</v>
      </c>
      <c r="BQ98" s="111">
        <v>0</v>
      </c>
      <c r="BR98" s="111">
        <v>0</v>
      </c>
      <c r="BS98" s="111">
        <v>0</v>
      </c>
      <c r="BT98" s="111">
        <v>0</v>
      </c>
      <c r="BU98" s="111">
        <v>1</v>
      </c>
      <c r="BV98" s="111">
        <v>1</v>
      </c>
      <c r="BW98" s="111">
        <v>0</v>
      </c>
      <c r="BX98" s="111">
        <v>0</v>
      </c>
      <c r="BY98" s="51">
        <v>0</v>
      </c>
      <c r="BZ98" s="51">
        <v>0</v>
      </c>
      <c r="CA98" s="51">
        <v>0</v>
      </c>
      <c r="CB98" s="51" t="s">
        <v>100</v>
      </c>
      <c r="CC98" s="51">
        <v>0</v>
      </c>
      <c r="CD98" s="51" t="s">
        <v>100</v>
      </c>
      <c r="CE98" s="101" t="str">
        <f>HYPERLINK("https://www.myplainview.com/news/article/Gunman-kills-self-after-shooting-four-at-rural-8725414.php","5")</f>
        <v>5</v>
      </c>
      <c r="CF98" s="51">
        <v>0</v>
      </c>
      <c r="CG98" s="51">
        <v>0</v>
      </c>
      <c r="CH98" s="51"/>
      <c r="CI98" s="101">
        <v>1</v>
      </c>
      <c r="CJ98" s="101" t="s">
        <v>3107</v>
      </c>
      <c r="CK98" s="113">
        <v>0</v>
      </c>
      <c r="CL98" s="113"/>
      <c r="CM98" s="113"/>
      <c r="CN98" s="110">
        <v>0</v>
      </c>
      <c r="CO98" s="110">
        <v>0</v>
      </c>
      <c r="CP98" s="110">
        <v>0</v>
      </c>
      <c r="CQ98" s="110">
        <v>0</v>
      </c>
      <c r="CR98" s="110">
        <v>0</v>
      </c>
      <c r="CS98" s="110">
        <v>0</v>
      </c>
      <c r="CT98" s="110">
        <v>0</v>
      </c>
      <c r="CU98" s="110">
        <v>0</v>
      </c>
      <c r="CV98" s="109">
        <v>1</v>
      </c>
      <c r="CW98" s="110">
        <v>0</v>
      </c>
      <c r="CX98" s="110">
        <v>0</v>
      </c>
      <c r="CY98" s="110">
        <v>0</v>
      </c>
      <c r="CZ98" s="108" t="str">
        <f>HYPERLINK("https://www.myplainview.com/news/article/Gunman-kills-self-after-shooting-four-at-rural-8725414.php","0")</f>
        <v>0</v>
      </c>
      <c r="DA98" s="101" t="str">
        <f>HYPERLINK("https://www.chron.com/news/houston-texas/article/Gunman-kills-himself-after-deadly-rampage-1916640.php","1")</f>
        <v>1</v>
      </c>
      <c r="DB98" s="51">
        <v>0</v>
      </c>
      <c r="DC98" s="101" t="str">
        <f>HYPERLINK("https://www.foxnews.com/story/five-dead-in-texas-church-shootings","0")</f>
        <v>0</v>
      </c>
      <c r="DD98" s="51"/>
      <c r="DE98" s="51"/>
      <c r="DF98" s="51"/>
      <c r="DG98" s="51"/>
      <c r="DH98" s="51"/>
      <c r="DI98" s="51"/>
      <c r="DJ98" s="51">
        <v>0</v>
      </c>
      <c r="DK98" s="51">
        <v>0</v>
      </c>
      <c r="DL98" s="48" t="s">
        <v>100</v>
      </c>
      <c r="DM98" s="101" t="str">
        <f>HYPERLINK("https://www.myplainview.com/news/article/Gunman-kills-self-after-shooting-four-at-rural-8725414.php","0")</f>
        <v>0</v>
      </c>
      <c r="DN98" s="51">
        <v>0</v>
      </c>
      <c r="DO98" s="51" t="s">
        <v>100</v>
      </c>
      <c r="DP98" s="101" t="str">
        <f>HYPERLINK("https://www.foxnews.com/story/five-dead-in-texas-church-shootings","0")</f>
        <v>0</v>
      </c>
      <c r="DQ98" s="101" t="str">
        <f>HYPERLINK("https://www.myplainview.com/news/article/Gunman-kills-self-after-shooting-four-at-rural-8725414.php","0")</f>
        <v>0</v>
      </c>
      <c r="DR98" s="51">
        <v>0</v>
      </c>
      <c r="DS98" s="101" t="str">
        <f t="shared" si="247"/>
        <v>1</v>
      </c>
      <c r="DT98" s="101" t="str">
        <f t="shared" ref="DT98" si="248">HYPERLINK("https://www.myplainview.com/news/article/Gunman-kills-self-after-shooting-four-at-rural-8725414.php","2")</f>
        <v>2</v>
      </c>
      <c r="DU98" s="101" t="str">
        <f>HYPERLINK("https://www.myplainview.com/news/article/Gunman-kills-self-after-shooting-four-at-rural-8725414.php","0")</f>
        <v>0</v>
      </c>
      <c r="DV98" s="48" t="s">
        <v>100</v>
      </c>
      <c r="DW98" s="101">
        <v>0</v>
      </c>
      <c r="DX98" s="101" t="str">
        <f>HYPERLINK("https://www.myplainview.com/news/article/Gunman-kills-self-after-shooting-four-at-rural-8725414.php","0")</f>
        <v>0</v>
      </c>
      <c r="DY98" s="51">
        <v>2</v>
      </c>
      <c r="DZ98" s="48">
        <v>0</v>
      </c>
    </row>
    <row r="99" spans="1:130" ht="50.25" customHeight="1">
      <c r="A99" s="96">
        <v>97</v>
      </c>
      <c r="B99" s="97" t="s">
        <v>472</v>
      </c>
      <c r="C99" s="97" t="s">
        <v>473</v>
      </c>
      <c r="D99" s="98">
        <v>38747</v>
      </c>
      <c r="E99" s="48" t="s">
        <v>95</v>
      </c>
      <c r="F99" s="99">
        <v>30</v>
      </c>
      <c r="G99" s="100">
        <v>1</v>
      </c>
      <c r="H99" s="101">
        <v>2006</v>
      </c>
      <c r="I99" s="48" t="s">
        <v>474</v>
      </c>
      <c r="J99" s="105" t="s">
        <v>475</v>
      </c>
      <c r="K99" s="100">
        <v>5</v>
      </c>
      <c r="L99" s="119">
        <v>3</v>
      </c>
      <c r="M99" s="102" t="str">
        <f>HYPERLINK("https://www.foxnews.com/story/six-dead-in-calif-post-office-shooting","1")</f>
        <v>1</v>
      </c>
      <c r="N99" s="102" t="str">
        <f>HYPERLINK("https://www.foxnews.com/story/six-dead-in-calif-post-office-shooting","6")</f>
        <v>6</v>
      </c>
      <c r="O99" s="100" t="str">
        <f>HYPERLINK("https://www.independent.com/news/2013/jan/31/goleta-postal-murders/","1")</f>
        <v>1</v>
      </c>
      <c r="P99" s="102" t="str">
        <f>HYPERLINK("http://www.nbcnews.com/id/11128315/ns/us_news-crime_and_courts/t/postal-killer-acted-irrational-years-attack/#.XY5NL5NKgUt","7")</f>
        <v>7</v>
      </c>
      <c r="Q99" s="103">
        <v>0</v>
      </c>
      <c r="R99" s="103">
        <v>0</v>
      </c>
      <c r="S99" s="100">
        <v>7</v>
      </c>
      <c r="T99" s="100" t="str">
        <f>HYPERLINK("https://www.nytimes.com/2006/02/03/us/woman-in-california-postal-shootings-had-history-of-bizarre-behavior.html","0")</f>
        <v>0</v>
      </c>
      <c r="U99" s="101" t="str">
        <f>HYPERLINK("https://www.foxnews.com/story/six-dead-in-calif-post-office-shooting","0")</f>
        <v>0</v>
      </c>
      <c r="V99" s="101">
        <v>44</v>
      </c>
      <c r="W99" s="101">
        <v>1</v>
      </c>
      <c r="X99" s="101" t="str">
        <f>HYPERLINK("http://www.nbcnews.com/id/11167920/ns/us_news-crime_and_courts/t/postal-killer-believed-she-was-target-plot/#.XTkMOpNKjBJ","0")</f>
        <v>0</v>
      </c>
      <c r="Y99" s="51">
        <v>0</v>
      </c>
      <c r="Z99" s="51">
        <v>0</v>
      </c>
      <c r="AA99" s="104" t="str">
        <f>HYPERLINK("https://www.nytimes.com/2006/02/03/us/woman-in-california-postal-shootings-had-history-of-bizarre-behavior.html","1")</f>
        <v>1</v>
      </c>
      <c r="AB99" s="106" t="s">
        <v>818</v>
      </c>
      <c r="AC99" s="51"/>
      <c r="AD99" s="51"/>
      <c r="AE99" s="51"/>
      <c r="AF99" s="101" t="str">
        <f>HYPERLINK("https://www.nytimes.com/2006/02/03/us/woman-in-california-postal-shootings-had-history-of-bizarre-behavior.html","2")</f>
        <v>2</v>
      </c>
      <c r="AG99" s="51"/>
      <c r="AH99" s="51"/>
      <c r="AI99" s="101">
        <v>0</v>
      </c>
      <c r="AJ99" s="106" t="s">
        <v>809</v>
      </c>
      <c r="AK99" s="101">
        <v>0</v>
      </c>
      <c r="AL99" s="101">
        <v>0</v>
      </c>
      <c r="AM99" s="51">
        <v>0</v>
      </c>
      <c r="AN99" s="48" t="s">
        <v>100</v>
      </c>
      <c r="AO99" s="101" t="str">
        <f>HYPERLINK("https://www.independent.com/2013/01/31/goleta-postal-murders/","0")</f>
        <v>0</v>
      </c>
      <c r="AP99" s="54"/>
      <c r="AQ99" s="101" t="str">
        <f>HYPERLINK("https://www.cbsnews.com/news/postal-shooters-bizarre-behavior/","1")</f>
        <v>1</v>
      </c>
      <c r="AR99" s="51">
        <v>0</v>
      </c>
      <c r="AS99" s="101" t="str">
        <f>HYPERLINK("https://www.independent.com/2013/01/31/goleta-postal-murders/","0")</f>
        <v>0</v>
      </c>
      <c r="AT99" s="51">
        <v>0</v>
      </c>
      <c r="AU99" s="51" t="s">
        <v>100</v>
      </c>
      <c r="AV99" s="51" t="s">
        <v>100</v>
      </c>
      <c r="AW99" s="51" t="s">
        <v>100</v>
      </c>
      <c r="AX99" s="51">
        <v>0</v>
      </c>
      <c r="AY99" s="51">
        <v>0</v>
      </c>
      <c r="AZ99" s="101">
        <v>0</v>
      </c>
      <c r="BA99" s="106" t="s">
        <v>809</v>
      </c>
      <c r="BB99" s="107">
        <v>0</v>
      </c>
      <c r="BC99" s="104" t="str">
        <f>HYPERLINK("https://www.cbsnews.com/news/postal-shooters-bizarre-behavior/","0")</f>
        <v>0</v>
      </c>
      <c r="BD99" s="104" t="str">
        <f>HYPERLINK("https://www.nytimes.com/2006/02/03/us/woman-in-california-postal-shootings-had-history-of-bizarre-behavior.html","0")</f>
        <v>0</v>
      </c>
      <c r="BE99" s="106"/>
      <c r="BF99" s="106"/>
      <c r="BG99" s="106"/>
      <c r="BH99" s="106"/>
      <c r="BI99" s="106" t="s">
        <v>809</v>
      </c>
      <c r="BJ99" s="51">
        <v>0</v>
      </c>
      <c r="BK99" s="101">
        <v>0</v>
      </c>
      <c r="BL99" s="108" t="str">
        <f>HYPERLINK("https://www.nytimes.com/2006/02/03/us/woman-in-california-postal-shootings-had-history-of-bizarre-behavior.html","1")</f>
        <v>1</v>
      </c>
      <c r="BM99" s="109">
        <v>3</v>
      </c>
      <c r="BN99" s="115" t="s">
        <v>3080</v>
      </c>
      <c r="BO99" s="111">
        <v>0</v>
      </c>
      <c r="BP99" s="111">
        <v>1</v>
      </c>
      <c r="BQ99" s="111">
        <v>0</v>
      </c>
      <c r="BR99" s="111">
        <v>0</v>
      </c>
      <c r="BS99" s="111">
        <v>1</v>
      </c>
      <c r="BT99" s="111">
        <v>1</v>
      </c>
      <c r="BU99" s="111">
        <v>0</v>
      </c>
      <c r="BV99" s="111">
        <v>0</v>
      </c>
      <c r="BW99" s="111">
        <v>1</v>
      </c>
      <c r="BX99" s="111">
        <v>0</v>
      </c>
      <c r="BY99" s="105" t="str">
        <f>HYPERLINK("https://www.nytimes.com/2006/02/03/us/woman-in-california-postal-shootings-had-history-of-bizarre-behavior.html","2")</f>
        <v>2</v>
      </c>
      <c r="BZ99" s="101" t="str">
        <f>HYPERLINK("https://www.independent.com/2013/01/31/goleta-postal-murders/","1")</f>
        <v>1</v>
      </c>
      <c r="CA99" s="51">
        <v>0</v>
      </c>
      <c r="CB99" s="51" t="s">
        <v>100</v>
      </c>
      <c r="CC99" s="51">
        <v>0</v>
      </c>
      <c r="CD99" s="101" t="str">
        <f>HYPERLINK("https://www.independent.com/2013/01/31/goleta-postal-murders/","0")</f>
        <v>0</v>
      </c>
      <c r="CE99" s="101" t="str">
        <f>HYPERLINK("https://www.nytimes.com/2006/02/03/us/woman-in-california-postal-shootings-had-history-of-bizarre-behavior.html","5")</f>
        <v>5</v>
      </c>
      <c r="CF99" s="51">
        <v>0</v>
      </c>
      <c r="CG99" s="51">
        <v>0</v>
      </c>
      <c r="CH99" s="51">
        <v>0</v>
      </c>
      <c r="CI99" s="51">
        <v>0</v>
      </c>
      <c r="CJ99" s="51" t="s">
        <v>100</v>
      </c>
      <c r="CK99" s="117">
        <v>1</v>
      </c>
      <c r="CL99" s="113"/>
      <c r="CM99" s="113"/>
      <c r="CN99" s="108" t="str">
        <f>HYPERLINK("http://www.nbcnews.com/id/11128315/ns/us_news-crime_and_courts/t/postal-killer-acted-irrational-years-attack/#.XY5MwpNKgUs","1")</f>
        <v>1</v>
      </c>
      <c r="CO99" s="110">
        <v>0</v>
      </c>
      <c r="CP99" s="110">
        <v>0</v>
      </c>
      <c r="CQ99" s="110">
        <v>0</v>
      </c>
      <c r="CR99" s="110">
        <v>0</v>
      </c>
      <c r="CS99" s="110">
        <v>0</v>
      </c>
      <c r="CT99" s="110">
        <v>0</v>
      </c>
      <c r="CU99" s="110">
        <v>0</v>
      </c>
      <c r="CV99" s="109">
        <v>1</v>
      </c>
      <c r="CW99" s="110">
        <v>0</v>
      </c>
      <c r="CX99" s="110">
        <v>0</v>
      </c>
      <c r="CY99" s="110">
        <v>0</v>
      </c>
      <c r="CZ99" s="108" t="str">
        <f>HYPERLINK("https://www.independent.com/2013/01/31/goleta-postal-murders/","0")</f>
        <v>0</v>
      </c>
      <c r="DA99" s="101" t="str">
        <f>HYPERLINK("http://www.nbcnews.com/id/11167920/ns/us_news-crime_and_courts/t/postal-killer-believed-she-was-target-plot/#.XTkMOpNKjBJ","2")</f>
        <v>2</v>
      </c>
      <c r="DB99" s="51">
        <v>0</v>
      </c>
      <c r="DC99" s="101" t="str">
        <f>HYPERLINK("https://www.cbsnews.com/news/postal-shooters-bizarre-behavior/","0")</f>
        <v>0</v>
      </c>
      <c r="DD99" s="106"/>
      <c r="DE99" s="106"/>
      <c r="DF99" s="106"/>
      <c r="DG99" s="106"/>
      <c r="DH99" s="106"/>
      <c r="DI99" s="106"/>
      <c r="DJ99" s="106" t="s">
        <v>809</v>
      </c>
      <c r="DK99" s="101">
        <v>0</v>
      </c>
      <c r="DL99" s="48" t="s">
        <v>100</v>
      </c>
      <c r="DM99" s="104" t="str">
        <f>HYPERLINK("http://www.nbcnews.com/id/11167920/ns/us_news-crime_and_courts/t/postal-killer-believed-she-was-target-plot/#.XTkMOpNKjBJ","1")</f>
        <v>1</v>
      </c>
      <c r="DN99" s="51">
        <v>0</v>
      </c>
      <c r="DO99" s="51" t="s">
        <v>100</v>
      </c>
      <c r="DP99" s="101" t="str">
        <f>HYPERLINK("https://www.cbsnews.com/news/postal-shooters-bizarre-behavior/","0")</f>
        <v>0</v>
      </c>
      <c r="DQ99" s="101" t="str">
        <f>HYPERLINK("https://www.independent.com/2013/01/31/goleta-postal-murders/","0")</f>
        <v>0</v>
      </c>
      <c r="DR99" s="101" t="str">
        <f>HYPERLINK("https://www.cbsnews.com/news/postal-shooters-bizarre-behavior/","0")</f>
        <v>0</v>
      </c>
      <c r="DS99" s="101" t="str">
        <f>HYPERLINK("https://www.independent.com/2013/01/31/goleta-postal-murders/","0")</f>
        <v>0</v>
      </c>
      <c r="DT99" s="101">
        <v>1</v>
      </c>
      <c r="DU99" s="101" t="str">
        <f>HYPERLINK("https://www.independent.com/2013/01/31/goleta-postal-murders/","0")</f>
        <v>0</v>
      </c>
      <c r="DV99" s="48" t="s">
        <v>100</v>
      </c>
      <c r="DW99" s="101" t="str">
        <f>HYPERLINK("https://www.nytimes.com/2006/02/03/us/woman-in-california-postal-shootings-had-history-of-bizarre-behavior.html","0")</f>
        <v>0</v>
      </c>
      <c r="DX99" s="101" t="str">
        <f>HYPERLINK("https://www.foxnews.com/story/six-dead-in-calif-post-office-shooting","0")</f>
        <v>0</v>
      </c>
      <c r="DY99" s="51">
        <v>2</v>
      </c>
      <c r="DZ99" s="48">
        <v>0</v>
      </c>
    </row>
    <row r="100" spans="1:130" ht="50.25" customHeight="1">
      <c r="A100" s="96">
        <v>98</v>
      </c>
      <c r="B100" s="97" t="s">
        <v>476</v>
      </c>
      <c r="C100" s="97" t="s">
        <v>477</v>
      </c>
      <c r="D100" s="98">
        <v>38801</v>
      </c>
      <c r="E100" s="48" t="s">
        <v>103</v>
      </c>
      <c r="F100" s="119">
        <v>25</v>
      </c>
      <c r="G100" s="102" t="str">
        <f>HYPERLINK("https://www.nytimes.com/2006/03/28/us/seattle-police-and-partygoers-still-puzzle-over-attack.html","3")</f>
        <v>3</v>
      </c>
      <c r="H100" s="101" t="str">
        <f>HYPERLINK("https://www.nytimes.com/2006/03/28/us/seattle-police-and-partygoers-still-puzzle-over-attack.html","2006")</f>
        <v>2006</v>
      </c>
      <c r="I100" s="48" t="s">
        <v>478</v>
      </c>
      <c r="J100" s="101" t="s">
        <v>479</v>
      </c>
      <c r="K100" s="102">
        <v>47</v>
      </c>
      <c r="L100" s="102">
        <v>3</v>
      </c>
      <c r="M100" s="102">
        <v>0</v>
      </c>
      <c r="N100" s="102" t="str">
        <f>HYPERLINK("https://www.nytimes.com/2006/03/28/us/seattle-police-and-partygoers-still-puzzle-over-attack.html","7")</f>
        <v>7</v>
      </c>
      <c r="O100" s="102">
        <v>0</v>
      </c>
      <c r="P100" s="99" t="s">
        <v>100</v>
      </c>
      <c r="Q100" s="103">
        <v>0</v>
      </c>
      <c r="R100" s="103">
        <v>0</v>
      </c>
      <c r="S100" s="102">
        <v>6</v>
      </c>
      <c r="T100" s="102" t="str">
        <f>HYPERLINK("https://www.seattleweekly.com/news/epilogue-to-a-tragedy/","2")</f>
        <v>2</v>
      </c>
      <c r="U100" s="101" t="str">
        <f>HYPERLINK("http://community.seattletimes.nwsource.com/archive/?date=20060718&amp;slug=huff18m","0")</f>
        <v>0</v>
      </c>
      <c r="V100" s="101">
        <v>28</v>
      </c>
      <c r="W100" s="101" t="str">
        <f>HYPERLINK("https://www.nytimes.com/2006/03/28/us/seattle-police-and-partygoers-still-puzzle-over-attack.html","0")</f>
        <v>0</v>
      </c>
      <c r="X100" s="101" t="str">
        <f>HYPERLINK("https://www.seattlepi.com/local/article/Shooter-believed-to-be-28-year-old-Kyle-Huff-1199448.php","0")</f>
        <v>0</v>
      </c>
      <c r="Y100" s="105">
        <v>0</v>
      </c>
      <c r="Z100" s="101" t="str">
        <f>HYPERLINK("https://www.seattleweekly.com/news/epilogue-to-a-tragedy/","0")</f>
        <v>0</v>
      </c>
      <c r="AA100" s="51"/>
      <c r="AB100" s="101">
        <v>2</v>
      </c>
      <c r="AC100" s="101" t="str">
        <f>HYPERLINK("https://www.seattlepi.com/local/article/Killer-was-a-gentle-giant-quick-to-anger-1199600.php","2")</f>
        <v>2</v>
      </c>
      <c r="AD100" s="101" t="str">
        <f>HYPERLINK("https://www.seattlepi.com/local/article/Killer-was-a-gentle-giant-quick-to-anger-1199600.php","good student, smart")</f>
        <v>good student, smart</v>
      </c>
      <c r="AE100" s="101" t="str">
        <f>HYPERLINK("https://archive.seattletimes.com/archive/?date=20060402&amp;slug=huff02m","4")</f>
        <v>4</v>
      </c>
      <c r="AF100" s="101" t="str">
        <f>HYPERLINK("https://archive.seattletimes.com/archive/?date=20060402&amp;slug=huff02m","1")</f>
        <v>1</v>
      </c>
      <c r="AG100" s="51"/>
      <c r="AH100" s="51"/>
      <c r="AI100" s="101" t="str">
        <f>HYPERLINK("https://www.seattleweekly.com/news/epilogue-to-a-tragedy/","0")</f>
        <v>0</v>
      </c>
      <c r="AJ100" s="51">
        <v>0</v>
      </c>
      <c r="AK100" s="101" t="str">
        <f>HYPERLINK("https://www.seattleweekly.com/news/epilogue-to-a-tragedy/","0")</f>
        <v>0</v>
      </c>
      <c r="AL100" s="101">
        <v>0</v>
      </c>
      <c r="AM100" s="101" t="str">
        <f>HYPERLINK("https://www.thestranger.com/seattle/dead-quiet/Content?oid=31361","0")</f>
        <v>0</v>
      </c>
      <c r="AN100" s="48" t="s">
        <v>100</v>
      </c>
      <c r="AO100" s="101" t="str">
        <f>HYPERLINK("https://www.thestranger.com/seattle/dead-quiet/Content?oid=31361","0")</f>
        <v>0</v>
      </c>
      <c r="AP100" s="54"/>
      <c r="AQ100" s="101">
        <v>1</v>
      </c>
      <c r="AR100" s="51">
        <v>0</v>
      </c>
      <c r="AS100" s="101">
        <v>1</v>
      </c>
      <c r="AT100" s="105" t="str">
        <f>HYPERLINK("https://www.thestranger.com/seattle/dead-quiet/Content?oid=31361","0")</f>
        <v>0</v>
      </c>
      <c r="AU100" s="48" t="s">
        <v>100</v>
      </c>
      <c r="AV100" s="48" t="s">
        <v>100</v>
      </c>
      <c r="AW100" s="48" t="s">
        <v>100</v>
      </c>
      <c r="AX100" s="48">
        <v>0</v>
      </c>
      <c r="AY100" s="51">
        <v>0</v>
      </c>
      <c r="AZ100" s="51">
        <v>0</v>
      </c>
      <c r="BA100" s="51">
        <v>0</v>
      </c>
      <c r="BB100" s="141" t="str">
        <f>HYPERLINK("https://web.northeastern.edu/jfox/Documents/CapHillRepBTCI.pdf","1")</f>
        <v>1</v>
      </c>
      <c r="BC100" s="101">
        <v>0</v>
      </c>
      <c r="BD100" s="101">
        <v>1</v>
      </c>
      <c r="BE100" s="101" t="str">
        <f>HYPERLINK("http://community.seattletimes.nwsource.com/archive/?date=20060402&amp;slug=huff02m","0")</f>
        <v>0</v>
      </c>
      <c r="BF100" s="101" t="str">
        <f>HYPERLINK("https://www.thestranger.com/seattle/dead-quiet/Content?oid=31361","0")</f>
        <v>0</v>
      </c>
      <c r="BG100" s="51"/>
      <c r="BH100" s="51">
        <v>1</v>
      </c>
      <c r="BI100" s="123">
        <v>0</v>
      </c>
      <c r="BJ100" s="101" t="str">
        <f>HYPERLINK("https://www.seattleweekly.com/news/epilogue-to-a-tragedy/","0")</f>
        <v>0</v>
      </c>
      <c r="BK100" s="101">
        <v>0</v>
      </c>
      <c r="BL100" s="109">
        <v>1</v>
      </c>
      <c r="BM100" s="109">
        <v>2</v>
      </c>
      <c r="BN100" s="113" t="s">
        <v>3043</v>
      </c>
      <c r="BO100" s="113">
        <v>1</v>
      </c>
      <c r="BP100" s="113">
        <v>0</v>
      </c>
      <c r="BQ100" s="113">
        <v>0</v>
      </c>
      <c r="BR100" s="113">
        <v>0</v>
      </c>
      <c r="BS100" s="113">
        <v>0</v>
      </c>
      <c r="BT100" s="113">
        <v>0</v>
      </c>
      <c r="BU100" s="113">
        <v>0</v>
      </c>
      <c r="BV100" s="113">
        <v>1</v>
      </c>
      <c r="BW100" s="135">
        <v>1</v>
      </c>
      <c r="BX100" s="135">
        <v>0</v>
      </c>
      <c r="BY100" s="101" t="str">
        <f>HYPERLINK("https://www.seattleweekly.com/news/epilogue-to-a-tragedy/","2")</f>
        <v>2</v>
      </c>
      <c r="BZ100" s="101" t="str">
        <f t="shared" ref="BZ100:CA100" si="249">HYPERLINK("https://www.seattleweekly.com/news/epilogue-to-a-tragedy/","0")</f>
        <v>0</v>
      </c>
      <c r="CA100" s="101" t="str">
        <f t="shared" si="249"/>
        <v>0</v>
      </c>
      <c r="CB100" s="51" t="s">
        <v>100</v>
      </c>
      <c r="CC100" s="101" t="str">
        <f>HYPERLINK("https://www.seattleweekly.com/news/epilogue-to-a-tragedy/","0")</f>
        <v>0</v>
      </c>
      <c r="CD100" s="51" t="s">
        <v>100</v>
      </c>
      <c r="CE100" s="101" t="str">
        <f>HYPERLINK("https://www.seattleweekly.com/news/epilogue-to-a-tragedy/","4")</f>
        <v>4</v>
      </c>
      <c r="CF100" s="101" t="str">
        <f>HYPERLINK("https://archive.seattletimes.com/archive/?date=20060402&amp;slug=huff02m","1")</f>
        <v>1</v>
      </c>
      <c r="CG100" s="51">
        <v>0</v>
      </c>
      <c r="CH100" s="101">
        <v>4</v>
      </c>
      <c r="CI100" s="51">
        <v>0</v>
      </c>
      <c r="CJ100" s="51" t="s">
        <v>100</v>
      </c>
      <c r="CK100" s="113">
        <v>0</v>
      </c>
      <c r="CL100" s="113"/>
      <c r="CM100" s="113"/>
      <c r="CN100" s="121">
        <v>0</v>
      </c>
      <c r="CO100" s="110">
        <v>0</v>
      </c>
      <c r="CP100" s="110">
        <v>0</v>
      </c>
      <c r="CQ100" s="110">
        <v>0</v>
      </c>
      <c r="CR100" s="110">
        <v>0</v>
      </c>
      <c r="CS100" s="110">
        <v>0</v>
      </c>
      <c r="CT100" s="110">
        <v>0</v>
      </c>
      <c r="CU100" s="110">
        <v>0</v>
      </c>
      <c r="CV100" s="110">
        <v>0</v>
      </c>
      <c r="CW100" s="110">
        <v>0</v>
      </c>
      <c r="CX100" s="109">
        <v>1</v>
      </c>
      <c r="CY100" s="110">
        <v>0</v>
      </c>
      <c r="CZ100" s="108" t="str">
        <f>HYPERLINK("http://community.seattletimes.nwsource.com/archive/?date=20060718&amp;slug=huff18m","0")</f>
        <v>0</v>
      </c>
      <c r="DA100" s="101" t="str">
        <f>HYPERLINK("https://www.seattleweekly.com/news/epilogue-to-a-tragedy/","2")</f>
        <v>2</v>
      </c>
      <c r="DB100" s="101" t="str">
        <f>HYPERLINK("https://www.latimes.com/archives/la-xpm-2006-mar-30-na-huff30-story.html","1")</f>
        <v>1</v>
      </c>
      <c r="DC100" s="101" t="str">
        <f>HYPERLINK("https://www.seattleweekly.com/news/epilogue-to-a-tragedy/","0")</f>
        <v>0</v>
      </c>
      <c r="DD100" s="51"/>
      <c r="DE100" s="51"/>
      <c r="DF100" s="51"/>
      <c r="DG100" s="51"/>
      <c r="DH100" s="51"/>
      <c r="DI100" s="51"/>
      <c r="DJ100" s="101">
        <v>1</v>
      </c>
      <c r="DK100" s="101">
        <v>0</v>
      </c>
      <c r="DL100" s="48" t="s">
        <v>100</v>
      </c>
      <c r="DM100" s="101" t="str">
        <f>HYPERLINK("http://community.seattletimes.nwsource.com/archive/?date=20060718&amp;slug=huff18m","1")</f>
        <v>1</v>
      </c>
      <c r="DN100" s="101" t="str">
        <f>HYPERLINK("https://archive.seattletimes.com/archive/?date=20060718&amp;slug=huff18m","1")</f>
        <v>1</v>
      </c>
      <c r="DO100" s="101" t="str">
        <f>HYPERLINK("https://archive.seattletimes.com/archive/?date=20060718&amp;slug=huff18m","He spray-painted the word ""NOW"" outside of the shooting site, referencing the Nirvana song ""I Want to Know Now.""")</f>
        <v>He spray-painted the word "NOW" outside of the shooting site, referencing the Nirvana song "I Want to Know Now."</v>
      </c>
      <c r="DP100" s="101" t="str">
        <f t="shared" ref="DP100:DQ100" si="250">HYPERLINK("http://community.seattletimes.nwsource.com/archive/?date=20060718&amp;slug=huff18m","1")</f>
        <v>1</v>
      </c>
      <c r="DQ100" s="101" t="str">
        <f t="shared" si="250"/>
        <v>1</v>
      </c>
      <c r="DR100" s="105">
        <v>1</v>
      </c>
      <c r="DS100" s="101" t="str">
        <f>HYPERLINK("https://www.latimes.com/archives/la-xpm-2006-mar-30-na-huff30-story.html","3")</f>
        <v>3</v>
      </c>
      <c r="DT100" s="101">
        <v>3</v>
      </c>
      <c r="DU100" s="101" t="str">
        <f>HYPERLINK("https://www.seattletimes.com/seattle-news/cop-cant-shake-memory-of-capitol-hill-massacre/","1")</f>
        <v>1</v>
      </c>
      <c r="DV100" s="101" t="str">
        <f>HYPERLINK("https://www.seattletimes.com/seattle-news/cop-cant-shake-memory-of-capitol-hill-massacre/","bandolier")</f>
        <v>bandolier</v>
      </c>
      <c r="DW100" s="101">
        <v>0</v>
      </c>
      <c r="DX100" s="101" t="str">
        <f>HYPERLINK("https://www.capitolhillseattle.com/2016/03/capitol-hill-massacre-still-haunts-22nd-and-republican/","0")</f>
        <v>0</v>
      </c>
      <c r="DY100" s="48">
        <v>2</v>
      </c>
      <c r="DZ100" s="48">
        <v>0</v>
      </c>
    </row>
    <row r="101" spans="1:130" ht="50.25" customHeight="1">
      <c r="A101" s="96">
        <v>99</v>
      </c>
      <c r="B101" s="96" t="s">
        <v>480</v>
      </c>
      <c r="C101" s="97" t="s">
        <v>481</v>
      </c>
      <c r="D101" s="98">
        <v>38858</v>
      </c>
      <c r="E101" s="48" t="s">
        <v>137</v>
      </c>
      <c r="F101" s="119">
        <v>21</v>
      </c>
      <c r="G101" s="102" t="str">
        <f>HYPERLINK("https://www.nytimes.com/2006/05/22/us/22church.html","5")</f>
        <v>5</v>
      </c>
      <c r="H101" s="101" t="str">
        <f>HYPERLINK("https://www.nytimes.com/2006/05/22/us/22church.html","2006")</f>
        <v>2006</v>
      </c>
      <c r="I101" s="48" t="s">
        <v>482</v>
      </c>
      <c r="J101" s="101" t="str">
        <f>HYPERLINK("https://www.cbsnews.com/news/5-dead-in-louisiana-church-shooting/","Baton Rouge")</f>
        <v>Baton Rouge</v>
      </c>
      <c r="K101" s="102" t="str">
        <f>HYPERLINK("https://www.cbsnews.com/news/5-dead-in-louisiana-church-shooting/","18")</f>
        <v>18</v>
      </c>
      <c r="L101" s="102" t="str">
        <f>HYPERLINK("https://www.cbsnews.com/news/5-dead-in-louisiana-church-shooting/","0")</f>
        <v>0</v>
      </c>
      <c r="M101" s="102" t="str">
        <f>HYPERLINK("https://www.visitbatonrouge.com/","0")</f>
        <v>0</v>
      </c>
      <c r="N101" s="102" t="str">
        <f>HYPERLINK("https://www.cbsnews.com/news/5-dead-in-louisiana-church-shooting/","3")</f>
        <v>3</v>
      </c>
      <c r="O101" s="102" t="str">
        <f>HYPERLINK("https://www.cbsnews.com/news/5-dead-in-louisiana-church-shooting/","1")</f>
        <v>1</v>
      </c>
      <c r="P101" s="122" t="str">
        <f>HYPERLINK("https://www.cbsnews.com/news/5-dead-in-louisiana-church-shooting/","8")</f>
        <v>8</v>
      </c>
      <c r="Q101" s="103">
        <v>0</v>
      </c>
      <c r="R101" s="103">
        <v>0</v>
      </c>
      <c r="S101" s="102" t="str">
        <f>HYPERLINK("https://www.cbsnews.com/news/5-dead-in-louisiana-church-shooting/","5")</f>
        <v>5</v>
      </c>
      <c r="T101" s="102" t="str">
        <f>HYPERLINK("https://www.cbsnews.com/news/5-dead-in-louisiana-church-shooting/","1")</f>
        <v>1</v>
      </c>
      <c r="U101" s="101" t="str">
        <f>HYPERLINK("https://www.cbsnews.com/news/5-dead-in-louisiana-church-shooting/","1")</f>
        <v>1</v>
      </c>
      <c r="V101" s="101" t="str">
        <f>HYPERLINK("https://www.cbsnews.com/news/5-dead-in-louisiana-church-shooting/","25")</f>
        <v>25</v>
      </c>
      <c r="W101" s="101" t="str">
        <f>HYPERLINK("https://www.cbsnews.com/news/5-dead-in-louisiana-church-shooting/","0")</f>
        <v>0</v>
      </c>
      <c r="X101" s="101" t="str">
        <f>HYPERLINK("https://www.nytimes.com/2006/05/22/us/22church.html","1")</f>
        <v>1</v>
      </c>
      <c r="Y101" s="48">
        <v>0</v>
      </c>
      <c r="Z101" s="101" t="str">
        <f>HYPERLINK("https://caselaw.findlaw.com/la-supreme-court/1546275.html?entry=anthony+bell","0")</f>
        <v>0</v>
      </c>
      <c r="AA101" s="101">
        <v>0</v>
      </c>
      <c r="AB101" s="101" t="str">
        <f t="shared" ref="AB101:AC101" si="251">HYPERLINK("https://caselaw.findlaw.com/la-supreme-court/1546275.html","0")</f>
        <v>0</v>
      </c>
      <c r="AC101" s="101" t="str">
        <f t="shared" si="251"/>
        <v>0</v>
      </c>
      <c r="AD101" s="101" t="str">
        <f>HYPERLINK("https://caselaw.findlaw.com/la-supreme-court/1546275.html","poor study habits, below grade level")</f>
        <v>poor study habits, below grade level</v>
      </c>
      <c r="AE101" s="51"/>
      <c r="AF101" s="101" t="str">
        <f>HYPERLINK("https://caselaw.findlaw.com/la-supreme-court/1546275.html","1")</f>
        <v>1</v>
      </c>
      <c r="AG101" s="51"/>
      <c r="AH101" s="51"/>
      <c r="AI101" s="101" t="str">
        <f>HYPERLINK("https://caselaw.findlaw.com/la-supreme-court/1546275.html?entry=anthony+bell","2")</f>
        <v>2</v>
      </c>
      <c r="AJ101" s="101" t="str">
        <f t="shared" ref="AJ101:AK101" si="252">HYPERLINK("https://caselaw.findlaw.com/la-supreme-court/1546275.html","1")</f>
        <v>1</v>
      </c>
      <c r="AK101" s="101" t="str">
        <f t="shared" si="252"/>
        <v>1</v>
      </c>
      <c r="AL101" s="101" t="str">
        <f t="shared" ref="AL101:AM101" si="253">HYPERLINK("https://caselaw.findlaw.com/la-supreme-court/1546275.html","0")</f>
        <v>0</v>
      </c>
      <c r="AM101" s="101" t="str">
        <f t="shared" si="253"/>
        <v>0</v>
      </c>
      <c r="AN101" s="48" t="s">
        <v>100</v>
      </c>
      <c r="AO101" s="101" t="str">
        <f>HYPERLINK("https://www.washingtonpost.com/wp-dyn/content/article/2006/05/22/AR2006052200226.html","0")</f>
        <v>0</v>
      </c>
      <c r="AP101" s="54"/>
      <c r="AQ101" s="101" t="str">
        <f>HYPERLINK("https://caselaw.findlaw.com/la-supreme-court/1546275.html","1")</f>
        <v>1</v>
      </c>
      <c r="AR101" s="51">
        <v>0</v>
      </c>
      <c r="AS101" s="101">
        <v>1</v>
      </c>
      <c r="AT101" s="105" t="str">
        <f>HYPERLINK("https://www.washingtonpost.com/wp-dyn/content/article/2006/05/22/AR2006052200226.html","1")</f>
        <v>1</v>
      </c>
      <c r="AU101" s="105">
        <v>1</v>
      </c>
      <c r="AV101" s="105">
        <v>3</v>
      </c>
      <c r="AW101" s="48"/>
      <c r="AX101" s="48">
        <v>0</v>
      </c>
      <c r="AY101" s="101" t="str">
        <f t="shared" ref="AY101:AZ101" si="254">HYPERLINK("https://caselaw.findlaw.com/la-supreme-court/1546275.html","0")</f>
        <v>0</v>
      </c>
      <c r="AZ101" s="101" t="str">
        <f t="shared" si="254"/>
        <v>0</v>
      </c>
      <c r="BA101" s="51">
        <v>0</v>
      </c>
      <c r="BB101" s="107">
        <v>0</v>
      </c>
      <c r="BC101" s="51">
        <v>0</v>
      </c>
      <c r="BD101" s="51">
        <v>0</v>
      </c>
      <c r="BE101" s="51"/>
      <c r="BF101" s="51">
        <v>0</v>
      </c>
      <c r="BG101" s="51"/>
      <c r="BH101" s="51">
        <v>0</v>
      </c>
      <c r="BI101" s="101" t="str">
        <f>HYPERLINK("https://caselaw.findlaw.com/la-supreme-court/1546275.html","0")</f>
        <v>0</v>
      </c>
      <c r="BJ101" s="101" t="str">
        <f t="shared" ref="BJ101:BL101" si="255">HYPERLINK("https://caselaw.findlaw.com/la-supreme-court/1546275.html","1")</f>
        <v>1</v>
      </c>
      <c r="BK101" s="101" t="str">
        <f t="shared" si="255"/>
        <v>1</v>
      </c>
      <c r="BL101" s="108" t="str">
        <f t="shared" si="255"/>
        <v>1</v>
      </c>
      <c r="BM101" s="109">
        <v>3</v>
      </c>
      <c r="BN101" s="115" t="s">
        <v>3081</v>
      </c>
      <c r="BO101" s="111">
        <v>1</v>
      </c>
      <c r="BP101" s="111">
        <v>0</v>
      </c>
      <c r="BQ101" s="111">
        <v>1</v>
      </c>
      <c r="BR101" s="111">
        <v>0</v>
      </c>
      <c r="BS101" s="111">
        <v>0</v>
      </c>
      <c r="BT101" s="111">
        <v>1</v>
      </c>
      <c r="BU101" s="111">
        <v>1</v>
      </c>
      <c r="BV101" s="111">
        <v>1</v>
      </c>
      <c r="BW101" s="111">
        <v>0</v>
      </c>
      <c r="BX101" s="111">
        <v>0</v>
      </c>
      <c r="BY101" s="101" t="str">
        <f t="shared" ref="BY101:CA101" si="256">HYPERLINK("https://caselaw.findlaw.com/la-supreme-court/1546275.html","0")</f>
        <v>0</v>
      </c>
      <c r="BZ101" s="101" t="str">
        <f t="shared" si="256"/>
        <v>0</v>
      </c>
      <c r="CA101" s="101" t="str">
        <f t="shared" si="256"/>
        <v>0</v>
      </c>
      <c r="CB101" s="51" t="s">
        <v>100</v>
      </c>
      <c r="CC101" s="101" t="str">
        <f>HYPERLINK("https://caselaw.findlaw.com/la-supreme-court/1546275.html","0")</f>
        <v>0</v>
      </c>
      <c r="CD101" s="51" t="s">
        <v>100</v>
      </c>
      <c r="CE101" s="101" t="str">
        <f>HYPERLINK("https://www.theadvocate.com/baton_rouge/news/courts/article_d3aff50e-2a97-11e7-8eef-432babe88350.html","1")</f>
        <v>1</v>
      </c>
      <c r="CF101" s="51">
        <v>0</v>
      </c>
      <c r="CG101" s="51">
        <v>0</v>
      </c>
      <c r="CH101" s="101" t="str">
        <f>HYPERLINK("https://caselaw.findlaw.com/la-supreme-court/1546275.html","2")</f>
        <v>2</v>
      </c>
      <c r="CI101" s="101" t="str">
        <f>HYPERLINK("https://www.theadvocate.com/baton_rouge/news/courts/article_d3aff50e-2a97-11e7-8eef-432babe88350.html","1")</f>
        <v>1</v>
      </c>
      <c r="CJ101" s="101" t="str">
        <f>HYPERLINK("https://www.theadvocate.com/baton_rouge/news/courts/article_d3aff50e-2a97-11e7-8eef-432babe88350.html","brain damage")</f>
        <v>brain damage</v>
      </c>
      <c r="CK101" s="113">
        <v>0</v>
      </c>
      <c r="CL101" s="113"/>
      <c r="CM101" s="113"/>
      <c r="CN101" s="110">
        <v>0</v>
      </c>
      <c r="CO101" s="110">
        <v>0</v>
      </c>
      <c r="CP101" s="110">
        <v>0</v>
      </c>
      <c r="CQ101" s="110">
        <v>0</v>
      </c>
      <c r="CR101" s="110">
        <v>0</v>
      </c>
      <c r="CS101" s="110">
        <v>0</v>
      </c>
      <c r="CT101" s="110">
        <v>0</v>
      </c>
      <c r="CU101" s="108" t="str">
        <f>HYPERLINK("https://caselaw.findlaw.com/la-supreme-court/1546275.html?entry=anthony+bell","1")</f>
        <v>1</v>
      </c>
      <c r="CV101" s="110">
        <v>0</v>
      </c>
      <c r="CW101" s="110">
        <v>0</v>
      </c>
      <c r="CX101" s="110">
        <v>0</v>
      </c>
      <c r="CY101" s="110">
        <v>0</v>
      </c>
      <c r="CZ101" s="108" t="str">
        <f>HYPERLINK("http://www.washingtonpost.com/wp-dyn/content/article/2006/05/22/AR2006052200226.html","1")</f>
        <v>1</v>
      </c>
      <c r="DA101" s="51">
        <v>0</v>
      </c>
      <c r="DB101" s="51">
        <v>0</v>
      </c>
      <c r="DC101" s="141" t="str">
        <f>HYPERLINK("https://caselaw.findlaw.com/la-supreme-court/1546275.html","1")</f>
        <v>1</v>
      </c>
      <c r="DD101" s="107"/>
      <c r="DE101" s="107">
        <v>2</v>
      </c>
      <c r="DF101" s="107">
        <v>1</v>
      </c>
      <c r="DG101" s="107"/>
      <c r="DH101" s="107"/>
      <c r="DI101" s="107"/>
      <c r="DJ101" s="51">
        <v>0</v>
      </c>
      <c r="DK101" s="51">
        <v>0</v>
      </c>
      <c r="DL101" s="48" t="s">
        <v>100</v>
      </c>
      <c r="DM101" s="101" t="str">
        <f>HYPERLINK("https://caselaw.findlaw.com/la-supreme-court/1546275.html?entry=anthony+bell","0")</f>
        <v>0</v>
      </c>
      <c r="DN101" s="51">
        <v>0</v>
      </c>
      <c r="DO101" s="51" t="s">
        <v>100</v>
      </c>
      <c r="DP101" s="101" t="str">
        <f>HYPERLINK("https://caselaw.findlaw.com/la-supreme-court/1546275.html","0")</f>
        <v>0</v>
      </c>
      <c r="DQ101" s="101" t="str">
        <f>HYPERLINK("https://caselaw.findlaw.com/la-supreme-court/1546275.html?entry=anthony+bell","0")</f>
        <v>0</v>
      </c>
      <c r="DR101" s="48">
        <v>0</v>
      </c>
      <c r="DS101" s="51"/>
      <c r="DT101" s="101" t="str">
        <f t="shared" ref="DT101" si="257">HYPERLINK("https://caselaw.findlaw.com/la-supreme-court/1546275.html","1")</f>
        <v>1</v>
      </c>
      <c r="DU101" s="101" t="str">
        <f>HYPERLINK("https://caselaw.findlaw.com/la-supreme-court/1546275.html?entry=anthony+bell","0")</f>
        <v>0</v>
      </c>
      <c r="DV101" s="48" t="s">
        <v>100</v>
      </c>
      <c r="DW101" s="101" t="str">
        <f>HYPERLINK("https://www.cbsnews.com/news/5-dead-in-louisiana-church-shooting/","2")</f>
        <v>2</v>
      </c>
      <c r="DX101" s="101" t="str">
        <f>HYPERLINK("https://www.theadvocate.com/baton_rouge/news/courts/article_d3aff50e-2a97-11e7-8eef-432babe88350.html","1")</f>
        <v>1</v>
      </c>
      <c r="DY101" s="105" t="str">
        <f>HYPERLINK("https://caselaw.findlaw.com/la-supreme-court/1546275.html?entry=anthony+bell","0")</f>
        <v>0</v>
      </c>
      <c r="DZ101" s="133" t="str">
        <f>HYPERLINK("https://www.theadvocate.com/baton_rouge/news/courts/article_d3aff50e-2a97-11e7-8eef-432babe88350.html","1")</f>
        <v>1</v>
      </c>
    </row>
    <row r="102" spans="1:130" ht="50.25" customHeight="1">
      <c r="A102" s="96">
        <v>100</v>
      </c>
      <c r="B102" s="97" t="s">
        <v>484</v>
      </c>
      <c r="C102" s="97" t="s">
        <v>94</v>
      </c>
      <c r="D102" s="98">
        <v>38992</v>
      </c>
      <c r="E102" s="48" t="s">
        <v>95</v>
      </c>
      <c r="F102" s="119">
        <v>2</v>
      </c>
      <c r="G102" s="102" t="str">
        <f>HYPERLINK("https://lancasterpa.com/amish/amish-school-shooting/","10")</f>
        <v>10</v>
      </c>
      <c r="H102" s="101" t="str">
        <f>HYPERLINK(" https://lancasterpa.com/amish/amish-school-shooting/","2006")</f>
        <v>2006</v>
      </c>
      <c r="I102" s="48" t="s">
        <v>485</v>
      </c>
      <c r="J102" s="101" t="str">
        <f>HYPERLINK("https://lancasterpa.com/amish/amish-school-shooting/","Bart Township")</f>
        <v>Bart Township</v>
      </c>
      <c r="K102" s="102" t="str">
        <f>HYPERLINK("https://www.dailymail.co.uk/news/article-2043764/Amish-school-massacre-Grieving-mother-gunman-Charles-Roberts-cares-victims.html","38")</f>
        <v>38</v>
      </c>
      <c r="L102" s="119">
        <v>2</v>
      </c>
      <c r="M102" s="102" t="str">
        <f>HYPERLINK("https://lancasterpa.com/amish/amish-school-shooting/","2")</f>
        <v>2</v>
      </c>
      <c r="N102" s="102">
        <v>0</v>
      </c>
      <c r="O102" s="102" t="str">
        <f>HYPERLINK("https://lancasterpa.com/amish/amish-school-shooting/","0")</f>
        <v>0</v>
      </c>
      <c r="P102" s="99" t="s">
        <v>100</v>
      </c>
      <c r="Q102" s="103">
        <v>0</v>
      </c>
      <c r="R102" s="103">
        <v>0</v>
      </c>
      <c r="S102" s="102" t="str">
        <f>HYPERLINK("https://www.dailymail.co.uk/news/article-2043764/Amish-school-massacre-Grieving-mother-gunman-Charles-Roberts-cares-victims.html","5")</f>
        <v>5</v>
      </c>
      <c r="T102" s="102">
        <v>5</v>
      </c>
      <c r="U102" s="101" t="str">
        <f>HYPERLINK("https://www.nydailynews.com/news/crime/mystery-loving-dad-amish-slay-spree-article-1.1914649","1")</f>
        <v>1</v>
      </c>
      <c r="V102" s="101" t="str">
        <f>HYPERLINK("http://www.dailymail.co.uk/news/article-2043764/Amish-school-massacre-Grieving-mother-gunman-Charles-Roberts-cares-victims.html","32")</f>
        <v>32</v>
      </c>
      <c r="W102" s="101" t="str">
        <f t="shared" ref="W102:X102" si="258">HYPERLINK("http://www.dailymail.co.uk/news/article-2043764/Amish-school-massacre-Grieving-mother-gunman-Charles-Roberts-cares-victims.html","0")</f>
        <v>0</v>
      </c>
      <c r="X102" s="101" t="str">
        <f t="shared" si="258"/>
        <v>0</v>
      </c>
      <c r="Y102" s="48">
        <v>0</v>
      </c>
      <c r="Z102" s="101" t="str">
        <f>HYPERLINK("https://abcnews.go.com/US/amish-school-shooters-widow-marie-monville-remembers-tragedy/story?id=20417790","0")</f>
        <v>0</v>
      </c>
      <c r="AA102" s="101" t="str">
        <f>HYPERLINK("https://lancasterpa.com/amish/amish-school-shooting/","1")</f>
        <v>1</v>
      </c>
      <c r="AB102" s="101">
        <v>1</v>
      </c>
      <c r="AC102" s="51"/>
      <c r="AD102" s="51"/>
      <c r="AE102" s="101" t="str">
        <f>HYPERLINK("https://lancasteronline.com/news/a-killer-s-life-an-in-depth-look-at-nickel/article_d302e19f-a0df-5c4f-8fe7-2fa6b31a0dbf.html","1")</f>
        <v>1</v>
      </c>
      <c r="AF102" s="101" t="str">
        <f>HYPERLINK("https://lancasteronline.com/news/a-killer-s-life-an-in-depth-look-at-nickel/article_d302e19f-a0df-5c4f-8fe7-2fa6b31a0dbf.html","3")</f>
        <v>3</v>
      </c>
      <c r="AG102" s="101" t="str">
        <f>HYPERLINK("https://lancasteronline.com/news/a-killer-s-life-an-in-depth-look-at-nickel/article_d302e19f-a0df-5c4f-8fe7-2fa6b31a0dbf.html","0")</f>
        <v>0</v>
      </c>
      <c r="AH102" s="101" t="str">
        <f>HYPERLINK("https://lancasteronline.com/news/a-killer-s-life-an-in-depth-look-at-nickel/article_d302e19f-a0df-5c4f-8fe7-2fa6b31a0dbf.html","3")</f>
        <v>3</v>
      </c>
      <c r="AI102" s="101" t="str">
        <f>HYPERLINK("https://abcnews.go.com/US/amish-school-shooters-widow-marie-monville-remembers-tragedy/story?id=20417790","2")</f>
        <v>2</v>
      </c>
      <c r="AJ102" s="101" t="str">
        <f>HYPERLINK("https://abcnews.go.com/US/amish-school-shooters-widow-marie-monville-remembers-tragedy/story?id=20417790","1")</f>
        <v>1</v>
      </c>
      <c r="AK102" s="101" t="str">
        <f>HYPERLINK("https://lancasterpa.com/amish/amish-school-shooting/","1")</f>
        <v>1</v>
      </c>
      <c r="AL102" s="101">
        <v>0</v>
      </c>
      <c r="AM102" s="51">
        <v>0</v>
      </c>
      <c r="AN102" s="48" t="s">
        <v>100</v>
      </c>
      <c r="AO102" s="101" t="str">
        <f>HYPERLINK("https://www.theage.com.au/world/family-man-who-killed-little-girls-20061004-ge39g1.html","2")</f>
        <v>2</v>
      </c>
      <c r="AP102" s="101" t="str">
        <f>HYPERLINK("https://www.nytimes.com/2006/10/03/us/03amish.html","church, soccer dad, well-liked by neighbors")</f>
        <v>church, soccer dad, well-liked by neighbors</v>
      </c>
      <c r="AQ102" s="101">
        <v>0</v>
      </c>
      <c r="AR102" s="51">
        <v>0</v>
      </c>
      <c r="AS102" s="51">
        <v>0</v>
      </c>
      <c r="AT102" s="105" t="str">
        <f>HYPERLINK("https://www.cnn.com/2006/US/10/03/amish.shooting/index.html","2")</f>
        <v>2</v>
      </c>
      <c r="AU102" s="105">
        <v>2</v>
      </c>
      <c r="AV102" s="48"/>
      <c r="AW102" s="48"/>
      <c r="AX102" s="105" t="str">
        <f>HYPERLINK("https://www.cnn.com/2006/US/10/03/amish.shooting/index.html","1")</f>
        <v>1</v>
      </c>
      <c r="AY102" s="51">
        <v>0</v>
      </c>
      <c r="AZ102" s="51">
        <v>0</v>
      </c>
      <c r="BA102" s="51">
        <v>0</v>
      </c>
      <c r="BB102" s="107">
        <v>0</v>
      </c>
      <c r="BC102" s="101" t="str">
        <f t="shared" ref="BC102:BE102" si="259">HYPERLINK("https://lancasteronline.com/news/a-killer-s-life-an-in-depth-look-at-nickel/article_d302e19f-a0df-5c4f-8fe7-2fa6b31a0dbf.html","0")</f>
        <v>0</v>
      </c>
      <c r="BD102" s="101" t="str">
        <f t="shared" si="259"/>
        <v>0</v>
      </c>
      <c r="BE102" s="101" t="str">
        <f t="shared" si="259"/>
        <v>0</v>
      </c>
      <c r="BF102" s="101" t="str">
        <f>HYPERLINK("https://www.dailymail.co.uk/news/article-2043764/Amish-school-massacre-Grieving-mother-gunman-Charles-Roberts-cares-victims.html","0")</f>
        <v>0</v>
      </c>
      <c r="BG102" s="51"/>
      <c r="BH102" s="51">
        <v>1</v>
      </c>
      <c r="BI102" s="101">
        <v>1</v>
      </c>
      <c r="BJ102" s="101" t="str">
        <f>HYPERLINK("https://abcnews.go.com/US/amish-school-shooters-widow-marie-monville-remembers-tragedy/story?id=20417790","0")</f>
        <v>0</v>
      </c>
      <c r="BK102" s="108">
        <v>0</v>
      </c>
      <c r="BL102" s="108" t="str">
        <f>HYPERLINK("https://lancasteronline.com/news/a-killer-s-life-an-in-depth-look-at-nickel/article_d302e19f-a0df-5c4f-8fe7-2fa6b31a0dbf.html","1")</f>
        <v>1</v>
      </c>
      <c r="BM102" s="109">
        <v>3</v>
      </c>
      <c r="BN102" s="115" t="s">
        <v>3082</v>
      </c>
      <c r="BO102" s="115">
        <v>1</v>
      </c>
      <c r="BP102" s="111">
        <v>0</v>
      </c>
      <c r="BQ102" s="111">
        <v>1</v>
      </c>
      <c r="BR102" s="111">
        <v>1</v>
      </c>
      <c r="BS102" s="111">
        <v>0</v>
      </c>
      <c r="BT102" s="111">
        <v>0</v>
      </c>
      <c r="BU102" s="111">
        <v>0</v>
      </c>
      <c r="BV102" s="111">
        <v>0</v>
      </c>
      <c r="BW102" s="111">
        <v>0</v>
      </c>
      <c r="BX102" s="111">
        <v>0</v>
      </c>
      <c r="BY102" s="101" t="str">
        <f>HYPERLINK("https://lancasteronline.com/news/a-killer-s-life-an-in-depth-look-at-nickel/article_d302e19f-a0df-5c4f-8fe7-2fa6b31a0dbf.html","2")</f>
        <v>2</v>
      </c>
      <c r="BZ102" s="51">
        <v>0</v>
      </c>
      <c r="CA102" s="101">
        <v>0</v>
      </c>
      <c r="CB102" s="51" t="s">
        <v>100</v>
      </c>
      <c r="CC102" s="101">
        <v>0</v>
      </c>
      <c r="CD102" s="51" t="s">
        <v>100</v>
      </c>
      <c r="CE102" s="101">
        <v>1</v>
      </c>
      <c r="CF102" s="51">
        <v>0</v>
      </c>
      <c r="CG102" s="51">
        <v>0</v>
      </c>
      <c r="CH102" s="51">
        <v>0</v>
      </c>
      <c r="CI102" s="51">
        <v>0</v>
      </c>
      <c r="CJ102" s="51" t="s">
        <v>100</v>
      </c>
      <c r="CK102" s="113">
        <v>0</v>
      </c>
      <c r="CL102" s="113"/>
      <c r="CM102" s="113"/>
      <c r="CN102" s="110">
        <v>0</v>
      </c>
      <c r="CO102" s="108" t="str">
        <f>HYPERLINK("https://lancasterpa.com/amish/amish-school-shooting/","3")</f>
        <v>3</v>
      </c>
      <c r="CP102" s="110">
        <v>0</v>
      </c>
      <c r="CQ102" s="110">
        <v>0</v>
      </c>
      <c r="CR102" s="110">
        <v>0</v>
      </c>
      <c r="CS102" s="110">
        <v>0</v>
      </c>
      <c r="CT102" s="110">
        <v>0</v>
      </c>
      <c r="CU102" s="110">
        <v>0</v>
      </c>
      <c r="CV102" s="110">
        <v>0</v>
      </c>
      <c r="CW102" s="110">
        <v>0</v>
      </c>
      <c r="CX102" s="110">
        <v>0</v>
      </c>
      <c r="CY102" s="110">
        <v>0</v>
      </c>
      <c r="CZ102" s="108" t="str">
        <f>HYPERLINK("https://lancasterpa.com/amish/amish-school-shooting/","0")</f>
        <v>0</v>
      </c>
      <c r="DA102" s="101" t="str">
        <f>HYPERLINK("https://lancasterpa.com/amish/amish-school-shooting/","1")</f>
        <v>1</v>
      </c>
      <c r="DB102" s="51">
        <v>0</v>
      </c>
      <c r="DC102" s="101" t="str">
        <f>HYPERLINK("https://lancasteronline.com/news/a-killer-s-life-an-in-depth-look-at-nickel/article_d302e19f-a0df-5c4f-8fe7-2fa6b31a0dbf.html","0")</f>
        <v>0</v>
      </c>
      <c r="DD102" s="51"/>
      <c r="DE102" s="51"/>
      <c r="DF102" s="51"/>
      <c r="DG102" s="51"/>
      <c r="DH102" s="51"/>
      <c r="DI102" s="51"/>
      <c r="DJ102" s="51">
        <v>0</v>
      </c>
      <c r="DK102" s="101">
        <v>0</v>
      </c>
      <c r="DL102" s="48" t="s">
        <v>100</v>
      </c>
      <c r="DM102" s="101" t="str">
        <f>HYPERLINK("https://lancasteronline.com/news/a-killer-s-life-an-in-depth-look-at-nickel/article_d302e19f-a0df-5c4f-8fe7-2fa6b31a0dbf.html","1")</f>
        <v>1</v>
      </c>
      <c r="DN102" s="51">
        <v>0</v>
      </c>
      <c r="DO102" s="51" t="s">
        <v>100</v>
      </c>
      <c r="DP102" s="101" t="str">
        <f>HYPERLINK("https://lancasteronline.com/news/a-killer-s-life-an-in-depth-look-at-nickel/article_d302e19f-a0df-5c4f-8fe7-2fa6b31a0dbf.html","1")</f>
        <v>1</v>
      </c>
      <c r="DQ102" s="101" t="str">
        <f>HYPERLINK("https://lancasterpa.com/amish/amish-school-shooting/","0")</f>
        <v>0</v>
      </c>
      <c r="DR102" s="48">
        <v>0</v>
      </c>
      <c r="DS102" s="101" t="str">
        <f>HYPERLINK("https://www.nytimes.com/2006/10/03/us/03amish.html","1")</f>
        <v>1</v>
      </c>
      <c r="DT102" s="101" t="str">
        <f>HYPERLINK("https://www.dailymail.co.uk/news/article-2043764/Amish-school-massacre-Grieving-mother-gunman-Charles-Roberts-cares-victims.html","3")</f>
        <v>3</v>
      </c>
      <c r="DU102" s="101" t="str">
        <f>HYPERLINK("https://www.dailymail.co.uk/news/article-2043764/Amish-school-massacre-Grieving-mother-gunman-Charles-Roberts-cares-victims.html","1")</f>
        <v>1</v>
      </c>
      <c r="DV102" s="101" t="str">
        <f>HYPERLINK("https://www.dailymail.co.uk/news/article-2043764/Amish-school-massacre-Grieving-mother-gunman-Charles-Roberts-cares-victims.html","taser, knives, chains")</f>
        <v>taser, knives, chains</v>
      </c>
      <c r="DW102" s="101" t="str">
        <f t="shared" ref="DW102:DX102" si="260">HYPERLINK("http://www.cnn.com/2006/US/10/03/amish.shooting/index.html","0")</f>
        <v>0</v>
      </c>
      <c r="DX102" s="101" t="str">
        <f t="shared" si="260"/>
        <v>0</v>
      </c>
      <c r="DY102" s="48">
        <v>2</v>
      </c>
      <c r="DZ102" s="48">
        <v>0</v>
      </c>
    </row>
    <row r="103" spans="1:130" ht="50.25" customHeight="1">
      <c r="A103" s="96">
        <v>101</v>
      </c>
      <c r="B103" s="97" t="s">
        <v>488</v>
      </c>
      <c r="C103" s="97" t="s">
        <v>489</v>
      </c>
      <c r="D103" s="98">
        <v>39125</v>
      </c>
      <c r="E103" s="48" t="s">
        <v>95</v>
      </c>
      <c r="F103" s="119">
        <v>12</v>
      </c>
      <c r="G103" s="102" t="str">
        <f>HYPERLINK("https://www.nytimes.com/2007/02/20/us/20mall.html?mtrref=undefined","2")</f>
        <v>2</v>
      </c>
      <c r="H103" s="101" t="str">
        <f>HYPERLINK("https://www.nytimes.com/2007/02/20/us/20mall.html?mtrref=undefined","2007")</f>
        <v>2007</v>
      </c>
      <c r="I103" s="48" t="s">
        <v>490</v>
      </c>
      <c r="J103" s="101" t="str">
        <f>HYPERLINK("https://www.nytimes.com/2007/02/20/us/20mall.html?mtrref=undefined","Salt Lake City")</f>
        <v>Salt Lake City</v>
      </c>
      <c r="K103" s="100">
        <v>44</v>
      </c>
      <c r="L103" s="102">
        <v>3</v>
      </c>
      <c r="M103" s="102" t="str">
        <f>HYPERLINK("https://www.visitsaltlake.com","0")</f>
        <v>0</v>
      </c>
      <c r="N103" s="102" t="str">
        <f>HYPERLINK("https://archive.sltrib.com/article.php?id=5218341&amp;itype=NGPSID","4")</f>
        <v>4</v>
      </c>
      <c r="O103" s="102" t="str">
        <f>HYPERLINK("https://www.deseret.com/2007/2/19/20002722/police-da-give-further-details-in-trolley-shooting","0")</f>
        <v>0</v>
      </c>
      <c r="P103" s="99" t="s">
        <v>100</v>
      </c>
      <c r="Q103" s="103">
        <v>1</v>
      </c>
      <c r="R103" s="103">
        <v>1</v>
      </c>
      <c r="S103" s="102" t="str">
        <f>HYPERLINK("https://www.ksl.com/?nid=148&amp;sid=6521661","5")</f>
        <v>5</v>
      </c>
      <c r="T103" s="102">
        <v>4</v>
      </c>
      <c r="U103" s="101" t="str">
        <f>HYPERLINK("https://www.deseret.com/2007/2/19/20002722/police-da-give-further-details-in-trolley-shooting","0")</f>
        <v>0</v>
      </c>
      <c r="V103" s="101" t="str">
        <f>HYPERLINK("https://www.nytimes.com/2007/02/20/us/20mall.html?mtrref=undefined","18")</f>
        <v>18</v>
      </c>
      <c r="W103" s="101" t="str">
        <f>HYPERLINK("https://www.nytimes.com/2007/02/20/us/20mall.html?mtrref=undefined","0")</f>
        <v>0</v>
      </c>
      <c r="X103" s="101" t="str">
        <f>HYPERLINK("https://www.nytimes.com/2007/02/20/us/20mall.html?mtrref=undefined","6")</f>
        <v>6</v>
      </c>
      <c r="Y103" s="105">
        <v>1</v>
      </c>
      <c r="Z103" s="101" t="str">
        <f>HYPERLINK("https://www.deseret.com/2007/3/15/20007388/talovic-s-girlfriend-says-he-anticipated-happiest-day","0")</f>
        <v>0</v>
      </c>
      <c r="AA103" s="101" t="str">
        <f>HYPERLINK("https://www.deseretnews.com/article/660203374/Talovics-girlfriend-says-he-anticipated-happiest-day.html","2")</f>
        <v>2</v>
      </c>
      <c r="AB103" s="101" t="str">
        <f>HYPERLINK("https://www.deseretnews.com/article/660203374/Talovics-girlfriend-says-he-anticipated-happiest-day.html","0")</f>
        <v>0</v>
      </c>
      <c r="AC103" s="101" t="str">
        <f>HYPERLINK("https://www.deseret.com/2007/2/20/20003088/need-to-belong-trolley-gunman-remembered-as-a-lonely-youth-with-few-friends#enes-kadic-who-attended-seventh-grade-with-sulejman-talovic-was-stunned-to-learn-sulejman-had-killed-five-people","0")</f>
        <v>0</v>
      </c>
      <c r="AD103" s="101" t="str">
        <f>HYPERLINK("https://www.deseret.com/2007/2/20/20003088/need-to-belong-trolley-gunman-remembered-as-a-lonely-youth-with-few-friends#enes-kadic-who-attended-seventh-grade-with-sulejman-talovic-was-stunned-to-learn-sulejman-had-killed-five-people","did less than half his schoolwork, dropped out to get a GED")</f>
        <v>did less than half his schoolwork, dropped out to get a GED</v>
      </c>
      <c r="AE103" s="101" t="str">
        <f>HYPERLINK("https://www.nytimes.com/2007/02/20/us/20mall.html?mtrref=undefined","1")</f>
        <v>1</v>
      </c>
      <c r="AF103" s="141" t="str">
        <f>HYPERLINK("https://www.deseret.com/2007/3/15/20007388/talovic-s-girlfriend-says-he-anticipated-happiest-day","5")</f>
        <v>5</v>
      </c>
      <c r="AG103" s="101" t="str">
        <f>HYPERLINK("https://www.nytimes.com/2007/02/20/us/20mall.html?mtrref=undefined","0")</f>
        <v>0</v>
      </c>
      <c r="AH103" s="141" t="str">
        <f>HYPERLINK("https://www.deseret.com/2007/3/15/20007388/talovic-s-girlfriend-says-he-anticipated-happiest-day","5")</f>
        <v>5</v>
      </c>
      <c r="AI103" s="101" t="str">
        <f>HYPERLINK("https://www.deseretnews.com/article/660203374/Talovics-girlfriend-says-he-anticipated-happiest-day.html","1")</f>
        <v>1</v>
      </c>
      <c r="AJ103" s="51">
        <v>0</v>
      </c>
      <c r="AK103" s="101" t="str">
        <f>HYPERLINK("https://www.nytimes.com/2007/02/20/us/20mall.html?mtrref=undefined","1")</f>
        <v>1</v>
      </c>
      <c r="AL103" s="101" t="str">
        <f>HYPERLINK("https://www.nytimes.com/2007/02/20/us/20mall.html?mtrref=undefined","0")</f>
        <v>0</v>
      </c>
      <c r="AM103" s="51">
        <v>0</v>
      </c>
      <c r="AN103" s="48" t="s">
        <v>100</v>
      </c>
      <c r="AO103" s="101" t="str">
        <f>HYPERLINK("https://www.deseret.com/2007/3/15/20007388/talovic-s-girlfriend-says-he-anticipated-happiest-day","1")</f>
        <v>1</v>
      </c>
      <c r="AP103" s="101" t="str">
        <f>HYPERLINK("https://www.deseret.com/2007/3/15/20007388/talovic-s-girlfriend-says-he-anticipated-happiest-day","mosque")</f>
        <v>mosque</v>
      </c>
      <c r="AQ103" s="101" t="str">
        <f>HYPERLINK("https://archive.sltrib.com/article.php?id=5234935&amp;itype=NGPSID&amp;source=rss","1")</f>
        <v>1</v>
      </c>
      <c r="AR103" s="51">
        <v>0</v>
      </c>
      <c r="AS103" s="101" t="str">
        <f>HYPERLINK("https://archive.sltrib.com/article.php?id=5234935&amp;itype=NGPSID&amp;source=rss","1")</f>
        <v>1</v>
      </c>
      <c r="AT103" s="133" t="str">
        <f>HYPERLINK("https://www.deseret.com/2007/3/15/20007388/talovic-s-girlfriend-says-he-anticipated-happiest-day","0")</f>
        <v>0</v>
      </c>
      <c r="AU103" s="52" t="s">
        <v>100</v>
      </c>
      <c r="AV103" s="52" t="s">
        <v>100</v>
      </c>
      <c r="AW103" s="52" t="s">
        <v>100</v>
      </c>
      <c r="AX103" s="48">
        <v>0</v>
      </c>
      <c r="AY103" s="51">
        <v>0</v>
      </c>
      <c r="AZ103" s="101" t="str">
        <f>HYPERLINK("https://www.ksl.com/article/6521661","0")</f>
        <v>0</v>
      </c>
      <c r="BA103" s="51">
        <v>0</v>
      </c>
      <c r="BB103" s="141" t="str">
        <f>HYPERLINK("https://www.engadget.com/2007-02-18-salt-lake-city-mall-shooter-didnt-own-video-games.html","0")</f>
        <v>0</v>
      </c>
      <c r="BC103" s="51">
        <v>0</v>
      </c>
      <c r="BD103" s="101" t="str">
        <f>HYPERLINK("https://trib.com/news/state-and-regional/utah-shooter-had-a-record/article_6cdef6dd-4399-5c6f-8e87-d665b211c46f.html","1")</f>
        <v>1</v>
      </c>
      <c r="BE103" s="101">
        <v>0</v>
      </c>
      <c r="BF103" s="101" t="str">
        <f>HYPERLINK("https://www.nytimes.com/2007/02/20/us/20mall.html?mtrref=undefined","0")</f>
        <v>0</v>
      </c>
      <c r="BG103" s="101" t="str">
        <f>HYPERLINK("https://www.deseret.com/2007/3/15/20007388/talovic-s-girlfriend-says-he-anticipated-happiest-day","3")</f>
        <v>3</v>
      </c>
      <c r="BH103" s="51">
        <v>0</v>
      </c>
      <c r="BI103" s="51">
        <v>0</v>
      </c>
      <c r="BJ103" s="101" t="str">
        <f>HYPERLINK("https://www.deseretnews.com/article/660203374/Talovics-girlfriend-says-he-anticipated-happiest-day.html","0")</f>
        <v>0</v>
      </c>
      <c r="BK103" s="51">
        <v>0</v>
      </c>
      <c r="BL103" s="108" t="str">
        <f>HYPERLINK("https://www.deseret.com/2007/3/15/20007388/talovic-s-girlfriend-says-he-anticipated-happiest-day","0")</f>
        <v>0</v>
      </c>
      <c r="BM103" s="108" t="s">
        <v>100</v>
      </c>
      <c r="BN103" s="110"/>
      <c r="BO103" s="110">
        <v>0</v>
      </c>
      <c r="BP103" s="110">
        <v>0</v>
      </c>
      <c r="BQ103" s="110">
        <v>0</v>
      </c>
      <c r="BR103" s="110">
        <v>0</v>
      </c>
      <c r="BS103" s="110">
        <v>0</v>
      </c>
      <c r="BT103" s="110">
        <v>0</v>
      </c>
      <c r="BU103" s="110">
        <v>0</v>
      </c>
      <c r="BV103" s="110">
        <v>0</v>
      </c>
      <c r="BW103" s="110">
        <v>0</v>
      </c>
      <c r="BX103" s="110">
        <v>0</v>
      </c>
      <c r="BY103" s="101" t="str">
        <f>HYPERLINK("https://www.deseret.com/2007/2/19/20002722/police-da-give-further-details-in-trolley-shooting","2")</f>
        <v>2</v>
      </c>
      <c r="BZ103" s="101">
        <v>0</v>
      </c>
      <c r="CA103" s="101" t="str">
        <f>HYPERLINK("https://www.deseretnews.com/article/660203374/Talovics-girlfriend-says-he-anticipated-happiest-day.html","1")</f>
        <v>1</v>
      </c>
      <c r="CB103" s="101" t="str">
        <f>HYPERLINK("https://www.deseret.com/2007/3/15/20007388/talovic-s-girlfriend-says-he-anticipated-happiest-day","0")</f>
        <v>0</v>
      </c>
      <c r="CC103" s="51">
        <v>0</v>
      </c>
      <c r="CD103" s="101" t="str">
        <f>HYPERLINK("https://www.deseret.com/2007/3/15/20007388/talovic-s-girlfriend-says-he-anticipated-happiest-day","0")</f>
        <v>0</v>
      </c>
      <c r="CE103" s="101" t="str">
        <f>HYPERLINK("https://www.deseret.com/2008/1/30/20067487/final-report-finds-no-motive-for-trolley-square-massacre","3")</f>
        <v>3</v>
      </c>
      <c r="CF103" s="51">
        <v>0</v>
      </c>
      <c r="CG103" s="51">
        <v>0</v>
      </c>
      <c r="CH103" s="101" t="str">
        <f>HYPERLINK("https://www.deseretnews.com/article/695248497/Final-report-finds-no-motive-for-Trolley-Square-massacre.html","0")</f>
        <v>0</v>
      </c>
      <c r="CI103" s="51">
        <v>0</v>
      </c>
      <c r="CJ103" s="51" t="s">
        <v>100</v>
      </c>
      <c r="CK103" s="117">
        <v>1</v>
      </c>
      <c r="CL103" s="117"/>
      <c r="CM103" s="117"/>
      <c r="CN103" s="108">
        <v>0</v>
      </c>
      <c r="CO103" s="110">
        <v>0</v>
      </c>
      <c r="CP103" s="110">
        <v>0</v>
      </c>
      <c r="CQ103" s="110">
        <v>0</v>
      </c>
      <c r="CR103" s="110">
        <v>0</v>
      </c>
      <c r="CS103" s="110">
        <v>0</v>
      </c>
      <c r="CT103" s="110">
        <v>0</v>
      </c>
      <c r="CU103" s="110">
        <v>0</v>
      </c>
      <c r="CV103" s="110">
        <v>0</v>
      </c>
      <c r="CW103" s="110">
        <v>0</v>
      </c>
      <c r="CX103" s="110">
        <v>0</v>
      </c>
      <c r="CY103" s="108" t="str">
        <f>HYPERLINK("https://www.ksl.com/article/6521661","1")</f>
        <v>1</v>
      </c>
      <c r="CZ103" s="108">
        <v>0</v>
      </c>
      <c r="DA103" s="51">
        <v>0</v>
      </c>
      <c r="DB103" s="51">
        <v>0</v>
      </c>
      <c r="DC103" s="101" t="str">
        <f>HYPERLINK("https://www.deseretnews.com/article/660203374/Talovics-girlfriend-says-he-anticipated-happiest-day.html","1")</f>
        <v>1</v>
      </c>
      <c r="DD103" s="51">
        <v>0</v>
      </c>
      <c r="DE103" s="51">
        <v>2</v>
      </c>
      <c r="DF103" s="51">
        <v>0</v>
      </c>
      <c r="DG103" s="51"/>
      <c r="DH103" s="51"/>
      <c r="DI103" s="51"/>
      <c r="DJ103" s="51">
        <v>0</v>
      </c>
      <c r="DK103" s="51">
        <v>0</v>
      </c>
      <c r="DL103" s="48" t="s">
        <v>100</v>
      </c>
      <c r="DM103" s="101" t="str">
        <f>HYPERLINK("https://www.ksl.com/article/6521661","0")</f>
        <v>0</v>
      </c>
      <c r="DN103" s="51">
        <v>0</v>
      </c>
      <c r="DO103" s="51" t="s">
        <v>100</v>
      </c>
      <c r="DP103" s="51">
        <v>0</v>
      </c>
      <c r="DQ103" s="101">
        <v>0</v>
      </c>
      <c r="DR103" s="105" t="str">
        <f>HYPERLINK("https://www.deseret.com/2007/3/15/20007388/talovic-s-girlfriend-says-he-anticipated-happiest-day","0")</f>
        <v>0</v>
      </c>
      <c r="DS103" s="101" t="str">
        <f>HYPERLINK("https://www.deseret.com/2007/5/19/20019706/2-gun-suspects-appear-in-court#matthew-hautala","1")</f>
        <v>1</v>
      </c>
      <c r="DT103" s="101" t="str">
        <f>HYPERLINK("https://www.deseretnews.com/article/660196435/Police-DA-give-further-details-in-Trolley-shooting.html","2")</f>
        <v>2</v>
      </c>
      <c r="DU103" s="101" t="str">
        <f>HYPERLINK("https://www.deseret.com/2008/1/30/20067487/final-report-finds-no-motive-for-trolley-square-massacre","0")</f>
        <v>0</v>
      </c>
      <c r="DV103" s="48" t="s">
        <v>100</v>
      </c>
      <c r="DW103" s="101" t="str">
        <f>HYPERLINK("https://www.deseretnews.com/article/660195184/More-details-emerging-on-Trolley-Square-gunman-and-victims.html","1")</f>
        <v>1</v>
      </c>
      <c r="DX103" s="101" t="str">
        <f>HYPERLINK("https://www.deseret.com/2007/2/19/20002722/police-da-give-further-details-in-trolley-shooting","0")</f>
        <v>0</v>
      </c>
      <c r="DY103" s="48">
        <v>2</v>
      </c>
      <c r="DZ103" s="48">
        <v>0</v>
      </c>
    </row>
    <row r="104" spans="1:130" ht="50.25" customHeight="1">
      <c r="A104" s="96">
        <v>102</v>
      </c>
      <c r="B104" s="97" t="s">
        <v>492</v>
      </c>
      <c r="C104" s="97" t="s">
        <v>493</v>
      </c>
      <c r="D104" s="98">
        <v>39188</v>
      </c>
      <c r="E104" s="48" t="s">
        <v>95</v>
      </c>
      <c r="F104" s="119">
        <v>16</v>
      </c>
      <c r="G104" s="102" t="str">
        <f>HYPERLINK("https://www.npr.org/templates/story/story.php?storyId=9636137","4")</f>
        <v>4</v>
      </c>
      <c r="H104" s="101" t="str">
        <f>HYPERLINK("https://www.npr.org/templates/story/story.php?storyId=9636137","2007")</f>
        <v>2007</v>
      </c>
      <c r="I104" s="48" t="s">
        <v>494</v>
      </c>
      <c r="J104" s="101" t="str">
        <f>HYPERLINK("https://www.npr.org/templates/story/story.php?storyId=9636137","Blacksburg")</f>
        <v>Blacksburg</v>
      </c>
      <c r="K104" s="102" t="str">
        <f>HYPERLINK("https://www.npr.org/templates/story/story.php?storyId=9636137","46")</f>
        <v>46</v>
      </c>
      <c r="L104" s="102">
        <v>0</v>
      </c>
      <c r="M104" s="102" t="str">
        <f>HYPERLINK("https://scholar.lib.vt.edu/prevail/docs/VTReviewPanelReport.pdf","2")</f>
        <v>2</v>
      </c>
      <c r="N104" s="100">
        <v>1</v>
      </c>
      <c r="O104" s="100">
        <v>1</v>
      </c>
      <c r="P104" s="100">
        <v>1</v>
      </c>
      <c r="Q104" s="103">
        <v>0</v>
      </c>
      <c r="R104" s="103">
        <v>0</v>
      </c>
      <c r="S104" s="102" t="str">
        <f>HYPERLINK("https://www.nytimes.com/2009/12/05/us/05virginia.html?pagewanted=all","32")</f>
        <v>32</v>
      </c>
      <c r="T104" s="102">
        <v>26</v>
      </c>
      <c r="U104" s="101" t="str">
        <f>HYPERLINK("https://scholar.lib.vt.edu/prevail/docs/VTReviewPanelReport.pdf","0")</f>
        <v>0</v>
      </c>
      <c r="V104" s="101" t="str">
        <f>HYPERLINK("https://www.npr.org/templates/story/story.php?storyId=9636137","23")</f>
        <v>23</v>
      </c>
      <c r="W104" s="101" t="str">
        <f>HYPERLINK("https://www.npr.org/templates/story/story.php?storyId=9636137","0")</f>
        <v>0</v>
      </c>
      <c r="X104" s="101" t="str">
        <f>HYPERLINK("https://www.nytimes.com/2007/04/17/us/17cnd-ROOMMATE.html","3")</f>
        <v>3</v>
      </c>
      <c r="Y104" s="105">
        <v>1</v>
      </c>
      <c r="Z104" s="101" t="str">
        <f>HYPERLINK("https://www.standard.co.uk/news/massacre-gunmans-deadly-infatuation-with-emily-7238319.html","0")</f>
        <v>0</v>
      </c>
      <c r="AA104" s="101" t="str">
        <f>HYPERLINK("https://www.newsweek.com/tragedy-virginia-tech-98053","0")</f>
        <v>0</v>
      </c>
      <c r="AB104" s="101" t="str">
        <f>HYPERLINK("https://www.nytimes.com/2007/04/17/us/17cnd-ROOMMATE.html","2")</f>
        <v>2</v>
      </c>
      <c r="AC104" s="101" t="str">
        <f>HYPERLINK("https://scholar.lib.vt.edu/prevail/docs/VTReviewPanelReport.pdf","1")</f>
        <v>1</v>
      </c>
      <c r="AD104" s="101" t="str">
        <f>HYPERLINK("https://scholar.lib.vt.edu/prevail/docs/VTReviewPanelReport.pdf","2.32 GPA in college")</f>
        <v>2.32 GPA in college</v>
      </c>
      <c r="AE104" s="101" t="str">
        <f>HYPERLINK("https://scholar.lib.vt.edu/prevail/docs/VTReviewPanelReport.pdf","3")</f>
        <v>3</v>
      </c>
      <c r="AF104" s="101" t="str">
        <f t="shared" ref="AF104:AG104" si="261">HYPERLINK("https://scholar.lib.vt.edu/prevail/docs/VTReviewPanelReport.pdf","1")</f>
        <v>1</v>
      </c>
      <c r="AG104" s="101" t="str">
        <f t="shared" si="261"/>
        <v>1</v>
      </c>
      <c r="AH104" s="101" t="str">
        <f>HYPERLINK("https://scholar.lib.vt.edu/prevail/docs/VTReviewPanelReport.pdf","0")</f>
        <v>0</v>
      </c>
      <c r="AI104" s="101" t="str">
        <f>HYPERLINK("https://www.nytimes.com/2007/04/17/us/17cnd-ROOMMATE.html","0")</f>
        <v>0</v>
      </c>
      <c r="AJ104" s="51">
        <v>0</v>
      </c>
      <c r="AK104" s="51">
        <v>0</v>
      </c>
      <c r="AL104" s="51"/>
      <c r="AM104" s="51">
        <v>0</v>
      </c>
      <c r="AN104" s="48" t="s">
        <v>100</v>
      </c>
      <c r="AO104" s="101" t="str">
        <f>HYPERLINK("https://scholar.lib.vt.edu/prevail/docs/VTReviewPanelReport.pdf","0")</f>
        <v>0</v>
      </c>
      <c r="AP104" s="54"/>
      <c r="AQ104" s="101" t="str">
        <f t="shared" ref="AQ104:DS104" si="262">HYPERLINK("https://www.newsweek.com/tragedy-virginia-tech-98053","1")</f>
        <v>1</v>
      </c>
      <c r="AR104" s="51">
        <v>0</v>
      </c>
      <c r="AS104" s="101" t="str">
        <f>HYPERLINK("https://scholar.lib.vt.edu/prevail/docs/VTReviewPanelReport.pdf","1")</f>
        <v>1</v>
      </c>
      <c r="AT104" s="48">
        <v>0</v>
      </c>
      <c r="AU104" s="48" t="s">
        <v>100</v>
      </c>
      <c r="AV104" s="48" t="s">
        <v>100</v>
      </c>
      <c r="AW104" s="48" t="s">
        <v>100</v>
      </c>
      <c r="AX104" s="105" t="str">
        <f>HYPERLINK("https://scholar.lib.vt.edu/prevail/docs/VTReviewPanelReport.pdf","1")</f>
        <v>1</v>
      </c>
      <c r="AY104" s="51">
        <v>0</v>
      </c>
      <c r="AZ104" s="51">
        <v>0</v>
      </c>
      <c r="BA104" s="51">
        <v>0</v>
      </c>
      <c r="BB104" s="101" t="str">
        <f>HYPERLINK("https://scholar.lib.vt.edu/prevail/docs/VTReviewPanelReport.pdf","0")</f>
        <v>0</v>
      </c>
      <c r="BC104" s="101" t="str">
        <f>HYPERLINK("https://www.newsweek.com/tragedy-virginia-tech-98053","0")</f>
        <v>0</v>
      </c>
      <c r="BD104" s="101" t="str">
        <f>HYPERLINK("https://www.newsweek.com/tragedy-virginia-tech-98053","1")</f>
        <v>1</v>
      </c>
      <c r="BE104" s="101" t="str">
        <f t="shared" ref="BE104:BF104" si="263">HYPERLINK("https://scholar.lib.vt.edu/prevail/docs/VTReviewPanelReport.pdf","0")</f>
        <v>0</v>
      </c>
      <c r="BF104" s="101" t="str">
        <f t="shared" si="263"/>
        <v>0</v>
      </c>
      <c r="BG104" s="101" t="str">
        <f>HYPERLINK("https://scholar.lib.vt.edu/prevail/docs/VTReviewPanelReport.pdf","3")</f>
        <v>3</v>
      </c>
      <c r="BH104" s="51">
        <v>0</v>
      </c>
      <c r="BI104" s="51">
        <v>0</v>
      </c>
      <c r="BJ104" s="101" t="str">
        <f>HYPERLINK("https://www.nytimes.com/2007/04/17/us/17cnd-ROOMMATE.html","0")</f>
        <v>0</v>
      </c>
      <c r="BK104" s="51">
        <v>0</v>
      </c>
      <c r="BL104" s="109">
        <v>1</v>
      </c>
      <c r="BM104" s="109">
        <v>3</v>
      </c>
      <c r="BN104" s="113" t="s">
        <v>3056</v>
      </c>
      <c r="BO104" s="132">
        <v>0</v>
      </c>
      <c r="BP104" s="132">
        <v>1</v>
      </c>
      <c r="BQ104" s="132">
        <v>1</v>
      </c>
      <c r="BR104" s="132">
        <v>0</v>
      </c>
      <c r="BS104" s="132">
        <v>0</v>
      </c>
      <c r="BT104" s="132">
        <v>1</v>
      </c>
      <c r="BU104" s="132">
        <v>1</v>
      </c>
      <c r="BV104" s="132">
        <v>1</v>
      </c>
      <c r="BW104" s="132">
        <v>1</v>
      </c>
      <c r="BX104" s="132">
        <v>0</v>
      </c>
      <c r="BY104" s="101" t="str">
        <f t="shared" ref="BY104:BZ104" si="264">HYPERLINK("https://abcnews.go.com/US/seung-hui-chos-mental-health-records-released/story?id=8278195","1")</f>
        <v>1</v>
      </c>
      <c r="BZ104" s="101" t="str">
        <f t="shared" si="264"/>
        <v>1</v>
      </c>
      <c r="CA104" s="101" t="str">
        <f>HYPERLINK("https://scholar.lib.vt.edu/prevail/docs/VTReviewPanelReport.pdf","1")</f>
        <v>1</v>
      </c>
      <c r="CB104" s="101" t="str">
        <f>HYPERLINK("https://scholar.lib.vt.edu/prevail/docs/VTReviewPanelReport.pdf","2")</f>
        <v>2</v>
      </c>
      <c r="CC104" s="101" t="str">
        <f>HYPERLINK("https://scholar.lib.vt.edu/prevail/docs/VTReviewPanelReport.pdf","1")</f>
        <v>1</v>
      </c>
      <c r="CD104" s="101" t="str">
        <f>HYPERLINK("https://scholar.lib.vt.edu/prevail/docs/VTReviewPanelReport.pdf","0")</f>
        <v>0</v>
      </c>
      <c r="CE104" s="101" t="str">
        <f>HYPERLINK("https://www.nytimes.com/2007/04/22/us/22vatech.html","4")</f>
        <v>4</v>
      </c>
      <c r="CF104" s="101" t="str">
        <f>HYPERLINK("https://scholar.lib.vt.edu/prevail/docs/VTReviewPanelReport.pdf","2")</f>
        <v>2</v>
      </c>
      <c r="CG104" s="101" t="str">
        <f>HYPERLINK("https://www.tandfonline.com/doi/pdf/10.1080/00223980.2016.1175998","1")</f>
        <v>1</v>
      </c>
      <c r="CH104" s="101" t="str">
        <f>HYPERLINK("https://www.newsweek.com/tragedy-virginia-tech-98053","1")</f>
        <v>1</v>
      </c>
      <c r="CI104" s="101" t="str">
        <f>HYPERLINK("https://scholar.lib.vt.edu/prevail/docs/VTReviewPanelReport.pdf","1")</f>
        <v>1</v>
      </c>
      <c r="CJ104" s="101" t="str">
        <f>HYPERLINK("https://scholar.lib.vt.edu/prevail/docs/VTReviewPanelReport.pdf","serious early childhood health problems")</f>
        <v>serious early childhood health problems</v>
      </c>
      <c r="CK104" s="117">
        <v>2</v>
      </c>
      <c r="CL104" s="113"/>
      <c r="CM104" s="113"/>
      <c r="CN104" s="110">
        <v>0</v>
      </c>
      <c r="CO104" s="110">
        <v>0</v>
      </c>
      <c r="CP104" s="110">
        <v>0</v>
      </c>
      <c r="CQ104" s="110">
        <v>0</v>
      </c>
      <c r="CR104" s="110">
        <v>0</v>
      </c>
      <c r="CS104" s="110">
        <v>0</v>
      </c>
      <c r="CT104" s="110">
        <v>0</v>
      </c>
      <c r="CU104" s="110">
        <v>0</v>
      </c>
      <c r="CV104" s="110">
        <v>0</v>
      </c>
      <c r="CW104" s="110">
        <v>0</v>
      </c>
      <c r="CX104" s="108" t="str">
        <f>HYPERLINK("https://www.standard.co.uk/news/massacre-gunmans-deadly-infatuation-with-emily-7238319.html","2")</f>
        <v>2</v>
      </c>
      <c r="CY104" s="108">
        <v>0</v>
      </c>
      <c r="CZ104" s="108" t="str">
        <f>HYPERLINK("http://www.washingtonpost.com/wp-dyn/content/article/2008/04/11/AR2008041104103_2.html?sid=ST2008041104178","0")</f>
        <v>0</v>
      </c>
      <c r="DA104" s="101">
        <v>2</v>
      </c>
      <c r="DB104" s="101" t="str">
        <f>HYPERLINK("https://www.newsweek.com/tragedy-virginia-tech-98053","1")</f>
        <v>1</v>
      </c>
      <c r="DC104" s="101" t="str">
        <f>HYPERLINK("https://scholar.lib.vt.edu/prevail/docs/VTReviewPanelReport.pdf","1")</f>
        <v>1</v>
      </c>
      <c r="DD104" s="51">
        <v>2</v>
      </c>
      <c r="DE104" s="51">
        <v>7</v>
      </c>
      <c r="DF104" s="51">
        <v>0</v>
      </c>
      <c r="DG104" s="51"/>
      <c r="DH104" s="51"/>
      <c r="DI104" s="51"/>
      <c r="DJ104" s="101" t="str">
        <f t="shared" ref="DJ104:DK104" si="265">HYPERLINK("https://abcnews.go.com/US/seung-hui-chos-mental-health-records-released/story?id=8278195","1")</f>
        <v>1</v>
      </c>
      <c r="DK104" s="101" t="str">
        <f t="shared" si="265"/>
        <v>1</v>
      </c>
      <c r="DL104" s="101" t="str">
        <f>HYPERLINK("https://abcnews.go.com/US/seung-hui-chos-mental-health-records-released/story?id=8278195","He referenced Columbine and did the shooting in the same week of April (8 years after Columbine). ")</f>
        <v xml:space="preserve">He referenced Columbine and did the shooting in the same week of April (8 years after Columbine). </v>
      </c>
      <c r="DM104" s="101" t="str">
        <f>HYPERLINK("https://www.nytimes.com/2007/04/18/us/18cnd-virginia.html","1")</f>
        <v>1</v>
      </c>
      <c r="DN104" s="101" t="str">
        <f>HYPERLINK("https://sci-hub.tw/10.1080/10714413.2010.510355","1")</f>
        <v>1</v>
      </c>
      <c r="DO104" s="101" t="str">
        <f>HYPERLINK("https://sci-hub.tw/10.1080/10714413.2010.510355","Images from his manifesto appeared to reference movies like Heathers, Terminator 2, Basketball Diaries, Old Boy, and The Matrix. He also emulates Jesus Christ on the cross.")</f>
        <v>Images from his manifesto appeared to reference movies like Heathers, Terminator 2, Basketball Diaries, Old Boy, and The Matrix. He also emulates Jesus Christ on the cross.</v>
      </c>
      <c r="DP104" s="101" t="str">
        <f>HYPERLINK("https://scholar.lib.vt.edu/prevail/docs/VTReviewPanelReport.pdf","1")</f>
        <v>1</v>
      </c>
      <c r="DQ104" s="101" t="str">
        <f>HYPERLINK("https://www.nytimes.com/2007/04/18/us/18cnd-virginia.html","1")</f>
        <v>1</v>
      </c>
      <c r="DR104" s="48">
        <v>0</v>
      </c>
      <c r="DS104" s="101" t="str">
        <f t="shared" si="262"/>
        <v>1</v>
      </c>
      <c r="DT104" s="101" t="str">
        <f t="shared" ref="DT104" si="266">HYPERLINK("https://abcnews.go.com/US/seung-hui-chos-mental-health-records-released/story?id=8278195","2")</f>
        <v>2</v>
      </c>
      <c r="DU104" s="101" t="str">
        <f>HYPERLINK("https://www.nytimes.com/2007/04/22/us/22vatech.html","1")</f>
        <v>1</v>
      </c>
      <c r="DV104" s="101" t="str">
        <f>HYPERLINK("https://www.nytimes.com/2007/04/22/us/22vatech.html","ammunition vest, knives, chains")</f>
        <v>ammunition vest, knives, chains</v>
      </c>
      <c r="DW104" s="101" t="str">
        <f>HYPERLINK("https://www.nytimes.com/2009/12/05/us/05virginia.html?pagewanted=all","0")</f>
        <v>0</v>
      </c>
      <c r="DX104" s="101" t="str">
        <f>HYPERLINK("https://www.npr.org/templates/story/story.php?storyId=9636137","0")</f>
        <v>0</v>
      </c>
      <c r="DY104" s="48">
        <v>2</v>
      </c>
      <c r="DZ104" s="48">
        <v>0</v>
      </c>
    </row>
    <row r="105" spans="1:130" ht="50.25" customHeight="1">
      <c r="A105" s="96">
        <v>103</v>
      </c>
      <c r="B105" s="97" t="s">
        <v>498</v>
      </c>
      <c r="C105" s="97" t="s">
        <v>102</v>
      </c>
      <c r="D105" s="98">
        <v>39421</v>
      </c>
      <c r="E105" s="48" t="s">
        <v>123</v>
      </c>
      <c r="F105" s="119">
        <v>5</v>
      </c>
      <c r="G105" s="102" t="str">
        <f>HYPERLINK("https://www.nytimes.com/2007/12/08/us/08gunman.html","12")</f>
        <v>12</v>
      </c>
      <c r="H105" s="101" t="str">
        <f>HYPERLINK("https://www.nytimes.com/2007/12/08/us/08gunman.html","2007")</f>
        <v>2007</v>
      </c>
      <c r="I105" s="48" t="s">
        <v>499</v>
      </c>
      <c r="J105" s="101" t="str">
        <f>HYPERLINK("https://www.nytimes.com/2007/12/08/us/08gunman.html","Omaha")</f>
        <v>Omaha</v>
      </c>
      <c r="K105" s="102" t="str">
        <f>HYPERLINK("https://www.nytimes.com/2007/12/08/us/08gunman.html","27")</f>
        <v>27</v>
      </c>
      <c r="L105" s="102" t="str">
        <f>HYPERLINK("https://www.nytimes.com/2007/12/08/us/08gunman.html","1")</f>
        <v>1</v>
      </c>
      <c r="M105" s="119">
        <v>0</v>
      </c>
      <c r="N105" s="102" t="str">
        <f>HYPERLINK("https://www.nytimes.com/2007/12/08/us/08gunman.html","4")</f>
        <v>4</v>
      </c>
      <c r="O105" s="102" t="str">
        <f>HYPERLINK("https://www.nytimes.com/2007/12/06/us/06cnd-shoot.html","0")</f>
        <v>0</v>
      </c>
      <c r="P105" s="99" t="s">
        <v>100</v>
      </c>
      <c r="Q105" s="103">
        <v>0</v>
      </c>
      <c r="R105" s="103">
        <v>0</v>
      </c>
      <c r="S105" s="102" t="str">
        <f>HYPERLINK("https://www.nytimes.com/2007/12/08/us/08gunman.html","8")</f>
        <v>8</v>
      </c>
      <c r="T105" s="102" t="str">
        <f>HYPERLINK("https://journalstar.com/news/state-and-regional/govt-and-politics/only-valium-found-in-von-maur-gunman-s-system/article_676fcc23-aa98-54da-997e-9247456f986d.html","5")</f>
        <v>5</v>
      </c>
      <c r="U105" s="101" t="str">
        <f>HYPERLINK("https://www.nytimes.com/2007/12/06/us/06cnd-shoot.html","0")</f>
        <v>0</v>
      </c>
      <c r="V105" s="101" t="str">
        <f>HYPERLINK("https://www.nytimes.com/2007/12/08/us/08gunman.html","19")</f>
        <v>19</v>
      </c>
      <c r="W105" s="101" t="str">
        <f>HYPERLINK("https://www.nytimes.com/2007/12/08/us/08gunman.html","0")</f>
        <v>0</v>
      </c>
      <c r="X105" s="101" t="str">
        <f>HYPERLINK("https://www.omaha.com/news/metro/understanding-tragedy-teen-robbie-hawkins-had-no-remorse-empathy-after/article_5f9366dc-c4da-11e7-b5bc-eb3f5c40ffb2.html","0")</f>
        <v>0</v>
      </c>
      <c r="Y105" s="48">
        <v>0</v>
      </c>
      <c r="Z105" s="101" t="str">
        <f>HYPERLINK("http://www.nbcnews.com/id/22126514/ns/us_news-crime_and_courts/t/mall-gunman-called-very-helpful-young-man/#.XV2W_ZNKgUs","0")</f>
        <v>0</v>
      </c>
      <c r="AA105" s="51"/>
      <c r="AB105" s="101" t="str">
        <f>HYPERLINK("http://www.nbcnews.com/id/22126514/ns/us_news-crime_and_courts/t/mall-gunman-called-very-helpful-young-man/#.XV2W_ZNKgUs","1")</f>
        <v>1</v>
      </c>
      <c r="AC105" s="101" t="str">
        <f>HYPERLINK("http://www.nbcnews.com/id/22126514/ns/us_news-crime_and_courts/t/mall-gunman-called-very-helpful-young-man/#.XkNL5zFKhPZ","0")</f>
        <v>0</v>
      </c>
      <c r="AD105" s="101" t="str">
        <f>HYPERLINK("http://www.nbcnews.com/id/22126514/ns/us_news-crime_and_courts/t/mall-gunman-called-very-helpful-young-man/#.XkNL5zFKhPZ","high school dropout")</f>
        <v>high school dropout</v>
      </c>
      <c r="AE105" s="101" t="str">
        <f>HYPERLINK("https://www.omaha.com/news/local/understanding-tragedy-teen-robbie-hawkins-had-no-remorse-empathy-after/article_5f9366dc-c4da-11e7-b5bc-eb3f5c40ffb2.html","2")</f>
        <v>2</v>
      </c>
      <c r="AF105" s="101" t="str">
        <f>HYPERLINK("https://www.omaha.com/news/local/understanding-tragedy-teen-robbie-hawkins-had-no-remorse-empathy-after/article_5f9366dc-c4da-11e7-b5bc-eb3f5c40ffb2.html","3")</f>
        <v>3</v>
      </c>
      <c r="AG105" s="101" t="str">
        <f>HYPERLINK("https://www.omaha.com/news/local/understanding-tragedy-teen-robbie-hawkins-had-no-remorse-empathy-after/article_5f9366dc-c4da-11e7-b5bc-eb3f5c40ffb2.html","1")</f>
        <v>1</v>
      </c>
      <c r="AH105" s="101" t="str">
        <f>HYPERLINK("https://www.omaha.com/news/local/understanding-tragedy-teen-robbie-hawkins-had-no-remorse-empathy-after/article_5f9366dc-c4da-11e7-b5bc-eb3f5c40ffb2.html","2")</f>
        <v>2</v>
      </c>
      <c r="AI105" s="101" t="str">
        <f>HYPERLINK("https://journalstar.com/news/state-and-regional/govt-and-politics/mom-of-mall-shooter-says-she-s-responsible/article_50377e0d-10ca-5118-8d7d-2e41b45349b6.html","0")</f>
        <v>0</v>
      </c>
      <c r="AJ105" s="51">
        <v>0</v>
      </c>
      <c r="AK105" s="101" t="str">
        <f t="shared" ref="AK105:AL105" si="267">HYPERLINK("https://journalstar.com/news/state-and-regional/govt-and-politics/mom-of-mall-shooter-says-she-s-responsible/article_50377e0d-10ca-5118-8d7d-2e41b45349b6.html","0")</f>
        <v>0</v>
      </c>
      <c r="AL105" s="101" t="str">
        <f t="shared" si="267"/>
        <v>0</v>
      </c>
      <c r="AM105" s="101">
        <v>0</v>
      </c>
      <c r="AN105" s="48" t="s">
        <v>100</v>
      </c>
      <c r="AO105" s="101" t="str">
        <f>HYPERLINK("http://www.nbcnews.com/id/22126514/ns/us_news-crime_and_courts/t/mall-gunman-called-very-helpful-young-man/#.Xpnl6cj0lPb","0")</f>
        <v>0</v>
      </c>
      <c r="AP105" s="54"/>
      <c r="AQ105" s="101" t="str">
        <f>HYPERLINK("https://www.wowt.com/home/headlines/12837272.html","1")</f>
        <v>1</v>
      </c>
      <c r="AR105" s="51">
        <v>0</v>
      </c>
      <c r="AS105" s="101" t="str">
        <f>HYPERLINK("https://www.denverpost.com/2007/12/07/images-suicide-note-released-in-mall-massacre/","1")</f>
        <v>1</v>
      </c>
      <c r="AT105" s="101" t="str">
        <f>HYPERLINK("https://www.omaha.com/news/local/understanding-tragedy-teen-robbie-hawkins-had-no-remorse-empathy-after/article_5f9366dc-c4da-11e7-b5bc-eb3f5c40ffb2.html","2")</f>
        <v>2</v>
      </c>
      <c r="AU105" s="101">
        <v>3</v>
      </c>
      <c r="AV105" s="51"/>
      <c r="AW105" s="51"/>
      <c r="AX105" s="51">
        <v>0</v>
      </c>
      <c r="AY105" s="51">
        <v>0</v>
      </c>
      <c r="AZ105" s="51">
        <v>0</v>
      </c>
      <c r="BA105" s="51">
        <v>0</v>
      </c>
      <c r="BB105" s="141" t="str">
        <f>HYPERLINK("https://www.omaha.com/news/local/six-deadly-minutes-gunman-arrived-at-von-maur-with-a/article_31654a66-c659-11e7-b5c8-bba563fabe30.html","2")</f>
        <v>2</v>
      </c>
      <c r="BC105" s="101" t="str">
        <f>HYPERLINK("https://www.omaha.com/news/metro/understanding-tragedy-teen-robbie-hawkins-had-no-remorse-empathy-after/article_5f9366dc-c4da-11e7-b5bc-eb3f5c40ffb2.html","1")</f>
        <v>1</v>
      </c>
      <c r="BD105" s="51">
        <v>0</v>
      </c>
      <c r="BE105" s="101">
        <v>1</v>
      </c>
      <c r="BF105" s="101" t="str">
        <f>HYPERLINK("https://journalstar.com/news/state-and-regional/govt-and-politics/mom-of-mall-shooter-says-she-s-responsible/article_50377e0d-10ca-5118-8d7d-2e41b45349b6.html","0")</f>
        <v>0</v>
      </c>
      <c r="BG105" s="101" t="str">
        <f>HYPERLINK("https://journalstar.com/news/state-and-regional/govt-and-politics/mom-of-mall-shooter-says-she-s-responsible/article_50377e0d-10ca-5118-8d7d-2e41b45349b6.html","5")</f>
        <v>5</v>
      </c>
      <c r="BH105" s="51">
        <v>1</v>
      </c>
      <c r="BI105" s="51">
        <v>0</v>
      </c>
      <c r="BJ105" s="101" t="str">
        <f t="shared" ref="BJ105:BL105" si="268">HYPERLINK("https://journalstar.com/news/state-and-regional/govt-and-politics/mom-of-mall-shooter-says-she-s-responsible/article_50377e0d-10ca-5118-8d7d-2e41b45349b6.html","1")</f>
        <v>1</v>
      </c>
      <c r="BK105" s="101" t="str">
        <f t="shared" si="268"/>
        <v>1</v>
      </c>
      <c r="BL105" s="108" t="str">
        <f t="shared" si="268"/>
        <v>1</v>
      </c>
      <c r="BM105" s="109">
        <v>3</v>
      </c>
      <c r="BN105" s="115" t="s">
        <v>3083</v>
      </c>
      <c r="BO105" s="110">
        <v>1</v>
      </c>
      <c r="BP105" s="116">
        <v>1</v>
      </c>
      <c r="BQ105" s="116">
        <v>1</v>
      </c>
      <c r="BR105" s="116">
        <v>0</v>
      </c>
      <c r="BS105" s="116">
        <v>1</v>
      </c>
      <c r="BT105" s="110">
        <v>1</v>
      </c>
      <c r="BU105" s="110">
        <v>1</v>
      </c>
      <c r="BV105" s="115">
        <v>1</v>
      </c>
      <c r="BW105" s="116">
        <v>0</v>
      </c>
      <c r="BX105" s="116">
        <v>0</v>
      </c>
      <c r="BY105" s="101" t="str">
        <f>HYPERLINK("https://www.wowt.com/home/headlines/12837272.html","1")</f>
        <v>1</v>
      </c>
      <c r="BZ105" s="101" t="str">
        <f>HYPERLINK("https://www.omaha.com/news/metro/understanding-tragedy-teen-robbie-hawkins-had-no-remorse-empathy-after/article_5f9366dc-c4da-11e7-b5bc-eb3f5c40ffb2.html","1")</f>
        <v>1</v>
      </c>
      <c r="CA105" s="101" t="str">
        <f>HYPERLINK("https://www.nytimes.com/2007/12/06/us/06cnd-shoot.html","1")</f>
        <v>1</v>
      </c>
      <c r="CB105" s="101" t="str">
        <f>HYPERLINK("https://www.nytimes.com/2007/12/08/us/08gunman.html","1")</f>
        <v>1</v>
      </c>
      <c r="CC105" s="101" t="str">
        <f t="shared" ref="CC105:CD105" si="269">HYPERLINK("https://web.archive.org/web/20190402033857/https://www.ladailypost.com/content/brief-history-psychotropic-drugs-prescribed-mass-murderers","1")</f>
        <v>1</v>
      </c>
      <c r="CD105" s="101" t="str">
        <f t="shared" si="269"/>
        <v>1</v>
      </c>
      <c r="CE105" s="101" t="str">
        <f>HYPERLINK("https://www.wowt.com/home/headlines/12837272.html","4")</f>
        <v>4</v>
      </c>
      <c r="CF105" s="51">
        <v>0</v>
      </c>
      <c r="CG105" s="51">
        <v>0</v>
      </c>
      <c r="CH105" s="101" t="str">
        <f>HYPERLINK("https://www.theguardian.com/world/2007/dec/06/usa.usgunviolence2","4")</f>
        <v>4</v>
      </c>
      <c r="CI105" s="51">
        <v>0</v>
      </c>
      <c r="CJ105" s="51" t="s">
        <v>100</v>
      </c>
      <c r="CK105" s="117">
        <v>1</v>
      </c>
      <c r="CL105" s="117"/>
      <c r="CM105" s="117"/>
      <c r="CN105" s="111">
        <v>0</v>
      </c>
      <c r="CO105" s="110">
        <v>0</v>
      </c>
      <c r="CP105" s="110">
        <v>0</v>
      </c>
      <c r="CQ105" s="110">
        <v>0</v>
      </c>
      <c r="CR105" s="110">
        <v>0</v>
      </c>
      <c r="CS105" s="110">
        <v>0</v>
      </c>
      <c r="CT105" s="110">
        <v>0</v>
      </c>
      <c r="CU105" s="110">
        <v>0</v>
      </c>
      <c r="CV105" s="110">
        <v>0</v>
      </c>
      <c r="CW105" s="108" t="str">
        <f>HYPERLINK("http://www.nbcnews.com/id/22126514/ns/us_news-crime_and_courts/t/mall-gunman-called-very-helpful-young-man/#.XV2W_ZNKgUs","1")</f>
        <v>1</v>
      </c>
      <c r="CX105" s="109">
        <v>1</v>
      </c>
      <c r="CY105" s="110">
        <v>0</v>
      </c>
      <c r="CZ105" s="108" t="str">
        <f>HYPERLINK("https://www.nytimes.com/2007/12/08/us/08gunman.html","0")</f>
        <v>0</v>
      </c>
      <c r="DA105" s="51">
        <v>0</v>
      </c>
      <c r="DB105" s="51">
        <v>0</v>
      </c>
      <c r="DC105" s="101" t="str">
        <f>HYPERLINK("http://www.nbcnews.com/id/22126514/ns/us_news-crime_and_courts/t/mall-gunman-called-very-helpful-young-man/#.XV2W_ZNKgUs","1")</f>
        <v>1</v>
      </c>
      <c r="DD105" s="107">
        <v>0</v>
      </c>
      <c r="DE105" s="51">
        <v>9</v>
      </c>
      <c r="DF105" s="51">
        <v>0</v>
      </c>
      <c r="DG105" s="51"/>
      <c r="DH105" s="51"/>
      <c r="DI105" s="51"/>
      <c r="DJ105" s="51">
        <v>0</v>
      </c>
      <c r="DK105" s="101" t="str">
        <f>HYPERLINK("http://www.nbcnews.com/id/22126514/ns/us_news-crime_and_courts/t/mall-gunman-called-very-helpful-young-man/#.XV2W_ZNKgUs","1")</f>
        <v>1</v>
      </c>
      <c r="DL105" s="101" t="str">
        <f>HYPERLINK("http://www.nbcnews.com/id/22126514/ns/us_news-crime_and_courts/t/mall-gunman-called-very-helpful-young-man/#.XV2W_ZNKgUs","This was the 2nd mass shooting at a mall in 2007.")</f>
        <v>This was the 2nd mass shooting at a mall in 2007.</v>
      </c>
      <c r="DM105" s="101" t="str">
        <f>HYPERLINK("https://www.denverpost.com/2007/12/07/images-suicide-note-released-in-mall-massacre/","1")</f>
        <v>1</v>
      </c>
      <c r="DN105" s="51">
        <v>0</v>
      </c>
      <c r="DO105" s="51" t="s">
        <v>100</v>
      </c>
      <c r="DP105" s="51">
        <v>0</v>
      </c>
      <c r="DQ105" s="101" t="str">
        <f>HYPERLINK("https://www.theguardian.com/world/2007/dec/06/usa.usgunviolence2","1")</f>
        <v>1</v>
      </c>
      <c r="DR105" s="51">
        <v>0</v>
      </c>
      <c r="DS105" s="101" t="str">
        <f>HYPERLINK("https://www.omaha.com/news/local/six-deadly-minutes-gunman-arrived-at-von-maur-with-a/article_31654a66-c659-11e7-b5c8-bba563fabe30.html","1")</f>
        <v>1</v>
      </c>
      <c r="DT105" s="101" t="str">
        <f>HYPERLINK("https://www.nytimes.com/2007/12/08/us/08gunman.html","1")</f>
        <v>1</v>
      </c>
      <c r="DU105" s="101" t="str">
        <f>HYPERLINK("https://www.denverpost.com/2007/12/07/images-suicide-note-released-in-mall-massacre/","0")</f>
        <v>0</v>
      </c>
      <c r="DV105" s="48" t="s">
        <v>100</v>
      </c>
      <c r="DW105" s="101" t="str">
        <f>HYPERLINK("https://www.nytimes.com/2007/12/08/us/08gunman.html","0")</f>
        <v>0</v>
      </c>
      <c r="DX105" s="101" t="str">
        <f>HYPERLINK("https://www.nytimes.com/2007/12/06/us/06cnd-shoot.html","0")</f>
        <v>0</v>
      </c>
      <c r="DY105" s="51">
        <v>2</v>
      </c>
      <c r="DZ105" s="48">
        <v>0</v>
      </c>
    </row>
    <row r="106" spans="1:130" ht="50.25" customHeight="1">
      <c r="A106" s="96">
        <v>104</v>
      </c>
      <c r="B106" s="97" t="s">
        <v>502</v>
      </c>
      <c r="C106" s="97" t="s">
        <v>361</v>
      </c>
      <c r="D106" s="98">
        <v>39425</v>
      </c>
      <c r="E106" s="48" t="s">
        <v>137</v>
      </c>
      <c r="F106" s="99">
        <v>9</v>
      </c>
      <c r="G106" s="100">
        <v>12</v>
      </c>
      <c r="H106" s="101">
        <v>2007</v>
      </c>
      <c r="I106" s="48" t="s">
        <v>503</v>
      </c>
      <c r="J106" s="101" t="str">
        <f>HYPERLINK("https://www.denverpost.com/2008/03/27/arvada-shooting-report-offers-new-insights-into-killer/","Arvada")</f>
        <v>Arvada</v>
      </c>
      <c r="K106" s="100">
        <v>6</v>
      </c>
      <c r="L106" s="100">
        <v>3</v>
      </c>
      <c r="M106" s="100" t="str">
        <f>HYPERLINK("https://www.latimes.com/archives/la-xpm-2007-dec-11-na-shoot11-story.html","1")</f>
        <v>1</v>
      </c>
      <c r="N106" s="100" t="str">
        <f>HYPERLINK("https://www.latimes.com/archives/la-xpm-2007-dec-11-na-shoot11-story.html","3")</f>
        <v>3</v>
      </c>
      <c r="O106" s="100" t="str">
        <f>HYPERLINK("https://www.nytimes.com/2007/12/10/us/10cnd-shoot.html","1")</f>
        <v>1</v>
      </c>
      <c r="P106" s="100" t="str">
        <f>HYPERLINK("https://www.latimes.com/archives/la-xpm-2007-dec-11-na-shoot11-story.html","3")</f>
        <v>3</v>
      </c>
      <c r="Q106" s="103">
        <v>1</v>
      </c>
      <c r="R106" s="103">
        <v>1</v>
      </c>
      <c r="S106" s="100" t="str">
        <f>HYPERLINK("https://www.nytimes.com/2007/12/10/us/10cnd-shoot.html","4")</f>
        <v>4</v>
      </c>
      <c r="T106" s="100" t="str">
        <f>HYPERLINK("https://www.nytimes.com/2007/12/10/us/10cnd-shoot.html","5")</f>
        <v>5</v>
      </c>
      <c r="U106" s="105" t="str">
        <f>HYPERLINK("https://www.nytimes.com/2007/12/10/us/10cnd-shoot.html","0")</f>
        <v>0</v>
      </c>
      <c r="V106" s="105">
        <v>24</v>
      </c>
      <c r="W106" s="105">
        <v>0</v>
      </c>
      <c r="X106" s="105" t="str">
        <f>HYPERLINK("https://www.denverpost.com/2008/03/27/arvada-shooting-report-offers-new-insights-into-killer/","0")</f>
        <v>0</v>
      </c>
      <c r="Y106" s="48">
        <v>0</v>
      </c>
      <c r="Z106" s="48">
        <v>0</v>
      </c>
      <c r="AA106" s="105" t="str">
        <f>HYPERLINK("https://www.denverpost.com/2007/12/10/diatribe-foretold-church-shooting-horror/","0")</f>
        <v>0</v>
      </c>
      <c r="AB106" s="105" t="str">
        <f>HYPERLINK("https://www.denverpost.com/2007/12/10/diatribe-foretold-church-shooting-horror/","2")</f>
        <v>2</v>
      </c>
      <c r="AC106" s="51"/>
      <c r="AD106" s="51"/>
      <c r="AE106" s="105" t="str">
        <f t="shared" ref="AE106:AF106" si="270">HYPERLINK("http://www.cnn.com/2008/CRIME/01/09/colorado.shooting/index.html","1")</f>
        <v>1</v>
      </c>
      <c r="AF106" s="105" t="str">
        <f t="shared" si="270"/>
        <v>1</v>
      </c>
      <c r="AG106" s="105" t="str">
        <f>HYPERLINK("http://www.cnn.com/2008/CRIME/01/09/colorado.shooting/index.html","0")</f>
        <v>0</v>
      </c>
      <c r="AH106" s="105" t="str">
        <f>HYPERLINK("http://www.cnn.com/2008/CRIME/01/09/colorado.shooting/index.html","1")</f>
        <v>1</v>
      </c>
      <c r="AI106" s="48">
        <v>0</v>
      </c>
      <c r="AJ106" s="48">
        <v>0</v>
      </c>
      <c r="AK106" s="105">
        <v>0</v>
      </c>
      <c r="AL106" s="105">
        <v>0</v>
      </c>
      <c r="AM106" s="48">
        <v>0</v>
      </c>
      <c r="AN106" s="48" t="s">
        <v>100</v>
      </c>
      <c r="AO106" s="51">
        <v>0</v>
      </c>
      <c r="AP106" s="51"/>
      <c r="AQ106" s="105">
        <v>0</v>
      </c>
      <c r="AR106" s="48">
        <v>0</v>
      </c>
      <c r="AS106" s="101" t="str">
        <f>HYPERLINK("https://www.denverpost.com/2008/03/27/report-reveals-clues-to-killers-mind/","1")</f>
        <v>1</v>
      </c>
      <c r="AT106" s="48">
        <v>0</v>
      </c>
      <c r="AU106" s="48" t="s">
        <v>100</v>
      </c>
      <c r="AV106" s="48" t="s">
        <v>100</v>
      </c>
      <c r="AW106" s="48" t="s">
        <v>100</v>
      </c>
      <c r="AX106" s="105" t="str">
        <f>HYPERLINK("https://www.denverpost.com/2008/03/27/report-reveals-clues-to-killers-mind/","1")</f>
        <v>1</v>
      </c>
      <c r="AY106" s="48">
        <v>0</v>
      </c>
      <c r="AZ106" s="51">
        <v>0</v>
      </c>
      <c r="BA106" s="48">
        <v>0</v>
      </c>
      <c r="BB106" s="101" t="str">
        <f>HYPERLINK("https://www.denverpost.com/2007/12/12/gunman-legally-amassed-weaponry-in-years-time/","2")</f>
        <v>2</v>
      </c>
      <c r="BC106" s="105">
        <v>0</v>
      </c>
      <c r="BD106" s="105" t="str">
        <f>HYPERLINK("https://www.denverpost.com/2008/03/27/murray-obsesses-with-guns-shootings/","0")</f>
        <v>0</v>
      </c>
      <c r="BE106" s="105" t="str">
        <f t="shared" ref="BE106:BF106" si="271">HYPERLINK("https://www.denverpost.com/2008/03/27/report-reveals-clues-to-killers-mind/","0")</f>
        <v>0</v>
      </c>
      <c r="BF106" s="101" t="str">
        <f t="shared" si="271"/>
        <v>0</v>
      </c>
      <c r="BG106" s="101">
        <v>6</v>
      </c>
      <c r="BH106" s="51">
        <v>2</v>
      </c>
      <c r="BI106" s="48">
        <v>0</v>
      </c>
      <c r="BJ106" s="48">
        <v>0</v>
      </c>
      <c r="BK106" s="101">
        <v>1</v>
      </c>
      <c r="BL106" s="108">
        <v>1</v>
      </c>
      <c r="BM106" s="109">
        <v>1</v>
      </c>
      <c r="BN106" s="115" t="s">
        <v>3045</v>
      </c>
      <c r="BO106" s="151">
        <v>1</v>
      </c>
      <c r="BP106" s="111">
        <v>0</v>
      </c>
      <c r="BQ106" s="111">
        <v>0</v>
      </c>
      <c r="BR106" s="111">
        <v>0</v>
      </c>
      <c r="BS106" s="111">
        <v>0</v>
      </c>
      <c r="BT106" s="111">
        <v>1</v>
      </c>
      <c r="BU106" s="111">
        <v>1</v>
      </c>
      <c r="BV106" s="111">
        <v>0</v>
      </c>
      <c r="BW106" s="111">
        <v>0</v>
      </c>
      <c r="BX106" s="111">
        <v>0</v>
      </c>
      <c r="BY106" s="105">
        <v>1</v>
      </c>
      <c r="BZ106" s="51">
        <v>0</v>
      </c>
      <c r="CA106" s="101" t="str">
        <f>HYPERLINK("https://www.npr.org/templates/story/story.php?storyId=17126011","1")</f>
        <v>1</v>
      </c>
      <c r="CB106" s="105" t="str">
        <f>HYPERLINK("https://www.npr.org/templates/story/story.php?storyId=17126011","0")</f>
        <v>0</v>
      </c>
      <c r="CC106" s="105">
        <v>1</v>
      </c>
      <c r="CD106" s="105" t="str">
        <f>HYPERLINK("https://www.westword.com/news/matthew-murrays-nightmare-of-christianity-5824515","1")</f>
        <v>1</v>
      </c>
      <c r="CE106" s="105" t="str">
        <f>HYPERLINK("https://www.denverpost.com/2008/03/27/report-reveals-clues-to-killers-mind/","1")</f>
        <v>1</v>
      </c>
      <c r="CF106" s="48">
        <v>0</v>
      </c>
      <c r="CG106" s="48">
        <v>0</v>
      </c>
      <c r="CH106" s="48">
        <v>0</v>
      </c>
      <c r="CI106" s="48">
        <v>0</v>
      </c>
      <c r="CJ106" s="51" t="s">
        <v>100</v>
      </c>
      <c r="CK106" s="117">
        <v>3</v>
      </c>
      <c r="CL106" s="113"/>
      <c r="CM106" s="113"/>
      <c r="CN106" s="110">
        <v>0</v>
      </c>
      <c r="CO106" s="109" t="str">
        <f>HYPERLINK("https://www.denverpost.com/2007/12/10/diatribe-foretold-church-shooting-horror/","3")</f>
        <v>3</v>
      </c>
      <c r="CP106" s="110">
        <v>0</v>
      </c>
      <c r="CQ106" s="110">
        <v>0</v>
      </c>
      <c r="CR106" s="110">
        <v>0</v>
      </c>
      <c r="CS106" s="110">
        <v>0</v>
      </c>
      <c r="CT106" s="110">
        <v>0</v>
      </c>
      <c r="CU106" s="110">
        <v>0</v>
      </c>
      <c r="CV106" s="110">
        <v>0</v>
      </c>
      <c r="CW106" s="116">
        <v>0</v>
      </c>
      <c r="CX106" s="116">
        <v>0</v>
      </c>
      <c r="CY106" s="116">
        <v>0</v>
      </c>
      <c r="CZ106" s="108" t="str">
        <f>HYPERLINK("https://www.nytimes.com/2007/12/10/us/10cnd-shoot.html","0")</f>
        <v>0</v>
      </c>
      <c r="DA106" s="48">
        <v>0</v>
      </c>
      <c r="DB106" s="105" t="str">
        <f>HYPERLINK("https://www.denverpost.com/2008/03/27/arvada-shooting-report-offers-new-insights-into-killer/","1")</f>
        <v>1</v>
      </c>
      <c r="DC106" s="141" t="str">
        <f>HYPERLINK("https://www.nytimes.com/2007/12/10/us/10cnd-shoot.html","1")</f>
        <v>1</v>
      </c>
      <c r="DD106" s="107">
        <v>1</v>
      </c>
      <c r="DE106" s="107">
        <v>9</v>
      </c>
      <c r="DF106" s="107">
        <v>0</v>
      </c>
      <c r="DG106" s="107"/>
      <c r="DH106" s="107"/>
      <c r="DI106" s="107"/>
      <c r="DJ106" s="105">
        <v>1</v>
      </c>
      <c r="DK106" s="105">
        <v>1</v>
      </c>
      <c r="DL106" s="101" t="str">
        <f>HYPERLINK("https://www.denverpost.com/2008/03/27/murray-obsesses-with-guns-shootings/","He studied previous mass shootings, including the Westroads Mall shooting a week earlier, Columbine and Virginia Tech.")</f>
        <v>He studied previous mass shootings, including the Westroads Mall shooting a week earlier, Columbine and Virginia Tech.</v>
      </c>
      <c r="DM106" s="105" t="str">
        <f>HYPERLINK("https://www.denverpost.com/2007/12/10/diatribe-foretold-church-shooting-horror/","1")</f>
        <v>1</v>
      </c>
      <c r="DN106" s="101" t="str">
        <f>HYPERLINK("https://www.denverpost.com/2007/12/10/diatribe-foretold-church-shooting-horror/","2")</f>
        <v>2</v>
      </c>
      <c r="DO106" s="101" t="str">
        <f>HYPERLINK("https://www.denverpost.com/2007/12/10/diatribe-foretold-church-shooting-horror/","He used lyrics from the song Anarchy by KMFDM in his manifesto.")</f>
        <v>He used lyrics from the song Anarchy by KMFDM in his manifesto.</v>
      </c>
      <c r="DP106" s="101">
        <v>1</v>
      </c>
      <c r="DQ106" s="101" t="str">
        <f>HYPERLINK("https://www.nytimes.com/2007/12/10/us/10cnd-shoot.html","0")</f>
        <v>0</v>
      </c>
      <c r="DR106" s="105">
        <v>1</v>
      </c>
      <c r="DS106" s="101" t="str">
        <f>HYPERLINK("https://www.denverpost.com/2008/03/27/murray-obsesses-with-guns-shootings/","2")</f>
        <v>2</v>
      </c>
      <c r="DT106" s="105">
        <v>4</v>
      </c>
      <c r="DU106" s="105" t="str">
        <f>HYPERLINK("http://www.cnn.com/2007/US/12/10/shooter.youth/","1")</f>
        <v>1</v>
      </c>
      <c r="DV106" s="105" t="str">
        <f>HYPERLINK("http://www.cnn.com/2007/US/12/10/shooter.youth/","smoke grenades")</f>
        <v>smoke grenades</v>
      </c>
      <c r="DW106" s="105" t="str">
        <f>HYPERLINK("https://www.npr.org/templates/story/story.php?storyId=17126011","0")</f>
        <v>0</v>
      </c>
      <c r="DX106" s="105" t="str">
        <f>HYPERLINK("https://www.nytimes.com/2007/12/10/us/10cnd-shoot.html","0")</f>
        <v>0</v>
      </c>
      <c r="DY106" s="48">
        <v>2</v>
      </c>
      <c r="DZ106" s="48">
        <v>0</v>
      </c>
    </row>
    <row r="107" spans="1:130" ht="50.25" customHeight="1">
      <c r="A107" s="96">
        <v>105</v>
      </c>
      <c r="B107" s="97" t="s">
        <v>507</v>
      </c>
      <c r="C107" s="97" t="s">
        <v>94</v>
      </c>
      <c r="D107" s="98">
        <v>39485</v>
      </c>
      <c r="E107" s="48" t="s">
        <v>178</v>
      </c>
      <c r="F107" s="119">
        <v>7</v>
      </c>
      <c r="G107" s="102" t="str">
        <f>HYPERLINK("http://www.stltoday.com/news/local/crime-and-courts/charles-lee-cookie-thornton-behind-the-smile/article_be96f13c-78b9-11df-bfdc-0017a4a78c22.html","2")</f>
        <v>2</v>
      </c>
      <c r="H107" s="101" t="str">
        <f>HYPERLINK("https://www.stltoday.com/news/local/metro/kirkwood-city-hall-shooting-years-after-tragedy-a-community-reflects/article_895f3748-b575-59bb-b02a-719dc551a4d4.html","2008")</f>
        <v>2008</v>
      </c>
      <c r="I107" s="48" t="s">
        <v>508</v>
      </c>
      <c r="J107" s="101" t="str">
        <f>HYPERLINK("https://www.stltoday.com/news/local/metro/kirkwood-city-hall-shooting-years-after-tragedy-a-community-reflects/article_895f3748-b575-59bb-b02a-719dc551a4d4.html","Kirkwood")</f>
        <v>Kirkwood</v>
      </c>
      <c r="K107" s="102" t="str">
        <f>HYPERLINK("https://www.cbsnews.com/news/six-dead-in-missouri-city-council-shooting/","25")</f>
        <v>25</v>
      </c>
      <c r="L107" s="119">
        <v>1</v>
      </c>
      <c r="M107" s="102">
        <v>1</v>
      </c>
      <c r="N107" s="102">
        <v>2</v>
      </c>
      <c r="O107" s="102" t="str">
        <f>HYPERLINK("https://www.stltoday.com/news/local/metro/kirkwood-city-hall-shooting-years-after-tragedy-a-community-reflects/article_895f3748-b575-59bb-b02a-719dc551a4d4.html","0")</f>
        <v>0</v>
      </c>
      <c r="P107" s="99" t="s">
        <v>100</v>
      </c>
      <c r="Q107" s="103">
        <v>1</v>
      </c>
      <c r="R107" s="103">
        <v>1</v>
      </c>
      <c r="S107" s="102">
        <v>6</v>
      </c>
      <c r="T107" s="102">
        <v>1</v>
      </c>
      <c r="U107" s="101" t="str">
        <f>HYPERLINK("https://www.stltoday.com/news/local/crime-and-courts/thornton-moved-fast-used-two-guns/article_37427092-77e4-11df-920a-0017a4a78c22.html","0")</f>
        <v>0</v>
      </c>
      <c r="V107" s="101" t="str">
        <f>HYPERLINK("https://www.stltoday.com/news/local/crime-and-courts/timeline-of-charles-thornton-s-legal-battles/article_6c8f89fc-77e8-11df-936e-0017a4a78c22.html","52")</f>
        <v>52</v>
      </c>
      <c r="W107" s="101" t="str">
        <f>HYPERLINK(" http://www.stltoday.com/news/local/crime-and-courts/charles-lee-cookie-thornton-behind-the-smile/article_be96f13c-78b9-11df-bfdc-0017a4a78c22.html","0")</f>
        <v>0</v>
      </c>
      <c r="X107" s="101">
        <v>1</v>
      </c>
      <c r="Y107" s="48">
        <v>0</v>
      </c>
      <c r="Z107" s="101" t="str">
        <f>HYPERLINK("https://www.stltoday.com/news/local/crime-and-courts/thornton-s-smile-gave-in-to-anger/article_6c8dfcc8-77e7-11df-ba06-0017a4a78c22.html","0")</f>
        <v>0</v>
      </c>
      <c r="AA107" s="101" t="str">
        <f>HYPERLINK("https://www.stltoday.com/news/local/crime-and-courts/assailant-had-history-of-disputes-with-city/article_fc73d090-77da-11df-be3c-0017a4a78c22.html","1")</f>
        <v>1</v>
      </c>
      <c r="AB107" s="101" t="str">
        <f>HYPERLINK("https://www.stltoday.com/news/local/crime-and-courts/thornton-s-smile-gave-in-to-anger/article_6c8dfcc8-77e7-11df-ba06-0017a4a78c22.html","3")</f>
        <v>3</v>
      </c>
      <c r="AC107" s="101" t="str">
        <f>HYPERLINK("https://www.timesnewspapers.com/southcountytimes/features/147-he-couldn-146-t-be-consoled-148/article_795211e3-3a74-58fc-a846-aa0c1f778a93.html","1")</f>
        <v>1</v>
      </c>
      <c r="AD107" s="101" t="str">
        <f>HYPERLINK("https://www.timesnewspapers.com/southcountytimes/features/147-he-couldn-146-t-be-consoled-148/article_795211e3-3a74-58fc-a846-aa0c1f778a93.html","college degree")</f>
        <v>college degree</v>
      </c>
      <c r="AE107" s="101" t="str">
        <f>HYPERLINK("https://www.sfgate.com/nation/article/Gunman-was-long-at-odds-with-City-Hall-3228890.php","2")</f>
        <v>2</v>
      </c>
      <c r="AF107" s="101" t="str">
        <f>HYPERLINK("https://www.stltoday.com/news/local/crime-and-courts/charles-lee-cookie-thornton-behind-the-smile/article_be96f13c-78b9-11df-bfdc-0017a4a78c22.html","8")</f>
        <v>8</v>
      </c>
      <c r="AG107" s="51"/>
      <c r="AH107" s="51"/>
      <c r="AI107" s="101" t="str">
        <f>HYPERLINK("https://www.stltoday.com/news/local/crime-and-courts/thornton-s-smile-gave-in-to-anger/article_6c8dfcc8-77e7-11df-ba06-0017a4a78c22.html","2")</f>
        <v>2</v>
      </c>
      <c r="AJ107" s="101" t="str">
        <f t="shared" ref="AJ107:AK107" si="272">HYPERLINK("http://www.stltoday.com/news/local/crime-and-courts/charles-lee-cookie-thornton-behind-the-smile/article_be96f13c-78b9-11df-bfdc-0017a4a78c22.html","1")</f>
        <v>1</v>
      </c>
      <c r="AK107" s="101" t="str">
        <f t="shared" si="272"/>
        <v>1</v>
      </c>
      <c r="AL107" s="51">
        <v>2</v>
      </c>
      <c r="AM107" s="51">
        <v>0</v>
      </c>
      <c r="AN107" s="48" t="s">
        <v>100</v>
      </c>
      <c r="AO107" s="101" t="str">
        <f>HYPERLINK("https://www.timesnewspapers.com/southcountytimes/features/147-he-couldn-146-t-be-consoled-148/article_795211e3-3a74-58fc-a846-aa0c1f778a93.html","3")</f>
        <v>3</v>
      </c>
      <c r="AP107" s="101" t="str">
        <f>HYPERLINK("https://www.timesnewspapers.com/southcountytimes/features/147-he-couldn-146-t-be-consoled-148/article_795211e3-3a74-58fc-a846-aa0c1f778a93.html","formerly involved in community, ran for city council, headed up volunteer groups")</f>
        <v>formerly involved in community, ran for city council, headed up volunteer groups</v>
      </c>
      <c r="AQ107" s="101" t="str">
        <f>HYPERLINK("https://commonreader.wustl.edu/c/tragic-convergence-race-mental-health-violence/","1")</f>
        <v>1</v>
      </c>
      <c r="AR107" s="51">
        <v>0</v>
      </c>
      <c r="AS107" s="101" t="str">
        <f>HYPERLINK("https://www.stltoday.com/news/local/crime-and-courts/thornton-s-smile-gave-in-to-anger/article_6c8dfcc8-77e7-11df-ba06-0017a4a78c22.html","1")</f>
        <v>1</v>
      </c>
      <c r="AT107" s="105" t="str">
        <f>HYPERLINK("https://www.stltoday.com/news/local/crime-and-courts/thornton-s-smile-gave-in-to-anger/article_6c8dfcc8-77e7-11df-ba06-0017a4a78c22.html","0")</f>
        <v>0</v>
      </c>
      <c r="AU107" s="48" t="s">
        <v>100</v>
      </c>
      <c r="AV107" s="48" t="s">
        <v>100</v>
      </c>
      <c r="AW107" s="48" t="s">
        <v>100</v>
      </c>
      <c r="AX107" s="48">
        <v>0</v>
      </c>
      <c r="AY107" s="51">
        <v>0</v>
      </c>
      <c r="AZ107" s="51">
        <v>0</v>
      </c>
      <c r="BA107" s="51">
        <v>0</v>
      </c>
      <c r="BB107" s="107">
        <v>0</v>
      </c>
      <c r="BC107" s="101" t="str">
        <f>HYPERLINK("https://www.stltoday.com/news/local/crime-and-courts/friends-family-remember-thornton/article_25081da0-78b6-11df-bf48-0017a4a78c22.html","0")</f>
        <v>0</v>
      </c>
      <c r="BD107" s="51">
        <v>0</v>
      </c>
      <c r="BE107" s="101">
        <v>0</v>
      </c>
      <c r="BF107" s="101" t="str">
        <f>HYPERLINK("https://www.stltoday.com/news/local/crime-and-courts/charles-lee-cookie-thornton-behind-the-smile/article_be96f13c-78b9-11df-bfdc-0017a4a78c22.html","0")</f>
        <v>0</v>
      </c>
      <c r="BG107" s="51"/>
      <c r="BH107" s="51">
        <v>1</v>
      </c>
      <c r="BI107" s="51">
        <v>0</v>
      </c>
      <c r="BJ107" s="101" t="str">
        <f>HYPERLINK("http://www.stltoday.com/news/local/crime-and-courts/charles-lee-cookie-thornton-behind-the-smile/article_be96f13c-78b9-11df-bfdc-0017a4a78c22.html","0")</f>
        <v>0</v>
      </c>
      <c r="BK107" s="108" t="str">
        <f>HYPERLINK("http://www.stltoday.com/news/local/crime-and-courts/charles-lee-cookie-thornton-behind-the-smile/article_be96f13c-78b9-11df-bfdc-0017a4a78c22.html","1")</f>
        <v>1</v>
      </c>
      <c r="BL107" s="108" t="str">
        <f>HYPERLINK("https://www.stltoday.com/news/local/crime-and-courts/thornton-s-smile-gave-in-to-anger/article_6c8dfcc8-77e7-11df-ba06-0017a4a78c22.html","1")</f>
        <v>1</v>
      </c>
      <c r="BM107" s="109">
        <v>3</v>
      </c>
      <c r="BN107" s="115" t="s">
        <v>3084</v>
      </c>
      <c r="BO107" s="115">
        <v>1</v>
      </c>
      <c r="BP107" s="111">
        <v>0</v>
      </c>
      <c r="BQ107" s="111">
        <v>1</v>
      </c>
      <c r="BR107" s="111">
        <v>0</v>
      </c>
      <c r="BS107" s="111">
        <v>1</v>
      </c>
      <c r="BT107" s="111">
        <v>1</v>
      </c>
      <c r="BU107" s="111">
        <v>1</v>
      </c>
      <c r="BV107" s="111">
        <v>0</v>
      </c>
      <c r="BW107" s="111">
        <v>1</v>
      </c>
      <c r="BX107" s="111">
        <v>0</v>
      </c>
      <c r="BY107" s="51">
        <v>2</v>
      </c>
      <c r="BZ107" s="51">
        <v>0</v>
      </c>
      <c r="CA107" s="51">
        <v>0</v>
      </c>
      <c r="CB107" s="51" t="s">
        <v>100</v>
      </c>
      <c r="CC107" s="51">
        <v>0</v>
      </c>
      <c r="CD107" s="51" t="s">
        <v>100</v>
      </c>
      <c r="CE107" s="51">
        <v>0</v>
      </c>
      <c r="CF107" s="51">
        <v>0</v>
      </c>
      <c r="CG107" s="51">
        <v>0</v>
      </c>
      <c r="CH107" s="51">
        <v>0</v>
      </c>
      <c r="CI107" s="101" t="str">
        <f>HYPERLINK("https://www.stltoday.com/news/local/crime-and-courts/two-police-bullets-felled-thornton-autopsy-finds/article_a77f17e4-78b0-11df-a45c-0017a4a78c22.html","0")</f>
        <v>0</v>
      </c>
      <c r="CJ107" s="51" t="s">
        <v>100</v>
      </c>
      <c r="CK107" s="113">
        <v>0</v>
      </c>
      <c r="CL107" s="113"/>
      <c r="CM107" s="113"/>
      <c r="CN107" s="110">
        <v>0</v>
      </c>
      <c r="CO107" s="110">
        <v>0</v>
      </c>
      <c r="CP107" s="110">
        <v>0</v>
      </c>
      <c r="CQ107" s="110">
        <v>0</v>
      </c>
      <c r="CR107" s="110">
        <v>0</v>
      </c>
      <c r="CS107" s="109">
        <v>1</v>
      </c>
      <c r="CT107" s="108" t="str">
        <f>HYPERLINK("https://www.stltoday.com/news/local/crime-and-courts/thornton-s-smile-gave-in-to-anger/article_6c8dfcc8-77e7-11df-ba06-0017a4a78c22.html","1")</f>
        <v>1</v>
      </c>
      <c r="CU107" s="110">
        <v>0</v>
      </c>
      <c r="CV107" s="108" t="str">
        <f>HYPERLINK("https://www.stltoday.com/news/local/crime-and-courts/thornton-s-smile-gave-in-to-anger/article_6c8dfcc8-77e7-11df-ba06-0017a4a78c22.html","1")</f>
        <v>1</v>
      </c>
      <c r="CW107" s="110">
        <v>0</v>
      </c>
      <c r="CX107" s="110">
        <v>0</v>
      </c>
      <c r="CY107" s="110">
        <v>0</v>
      </c>
      <c r="CZ107" s="108" t="str">
        <f>HYPERLINK("https://www.stltoday.com/news/local/crime-and-courts/charles-lee-cookie-thornton-behind-the-smile/article_be96f13c-78b9-11df-bfdc-0017a4a78c22.html","0")</f>
        <v>0</v>
      </c>
      <c r="DA107" s="51">
        <v>0</v>
      </c>
      <c r="DB107" s="51">
        <v>0</v>
      </c>
      <c r="DC107" s="101" t="str">
        <f>HYPERLINK(" http://www.stltoday.com/news/local/crime-and-courts/charles-lee-cookie-thornton-behind-the-smile/article_be96f13c-78b9-11df-bfdc-0017a4a78c22.html","1")</f>
        <v>1</v>
      </c>
      <c r="DD107" s="51">
        <v>0</v>
      </c>
      <c r="DE107" s="51">
        <v>9</v>
      </c>
      <c r="DF107" s="51">
        <v>0</v>
      </c>
      <c r="DG107" s="51"/>
      <c r="DH107" s="51"/>
      <c r="DI107" s="51"/>
      <c r="DJ107" s="51">
        <v>0</v>
      </c>
      <c r="DK107" s="101">
        <v>0</v>
      </c>
      <c r="DL107" s="48" t="s">
        <v>100</v>
      </c>
      <c r="DM107" s="101" t="str">
        <f>HYPERLINK("https://www.cbsnews.com/news/six-dead-in-missouri-city-council-shooting/","1")</f>
        <v>1</v>
      </c>
      <c r="DN107" s="51">
        <v>0</v>
      </c>
      <c r="DO107" s="51" t="s">
        <v>100</v>
      </c>
      <c r="DP107" s="51">
        <v>0</v>
      </c>
      <c r="DQ107" s="101" t="str">
        <f>HYPERLINK("https://www.stltoday.com/news/local/crime-and-courts/thornton-moved-fast-used-two-guns/article_37427092-77e4-11df-920a-0017a4a78c22.html","0")</f>
        <v>0</v>
      </c>
      <c r="DR107" s="48">
        <v>0</v>
      </c>
      <c r="DS107" s="101" t="str">
        <f>HYPERLINK("https://www.lakeexpo.com/news/top_stories/thornton-used-stolen-gun-in-kirkwood-killings/article_59696954-4d4c-5052-91c6-ac18d02a2e27.html","0")</f>
        <v>0</v>
      </c>
      <c r="DT107" s="101" t="str">
        <f t="shared" ref="DT107" si="273">HYPERLINK("https://www.lakeexpo.com/news/top_stories/thornton-used-stolen-gun-in-kirkwood-killings/article_59696954-4d4c-5052-91c6-ac18d02a2e27.html","1")</f>
        <v>1</v>
      </c>
      <c r="DU107" s="101" t="str">
        <f>HYPERLINK("https://www.stltoday.com/news/local/crime-and-courts/thornton-moved-fast-used-two-guns/article_37427092-77e4-11df-920a-0017a4a78c22.html","0")</f>
        <v>0</v>
      </c>
      <c r="DV107" s="48" t="s">
        <v>100</v>
      </c>
      <c r="DW107" s="101" t="str">
        <f>HYPERLINK("https://www.cbsnews.com/news/six-dead-in-missouri-city-council-shooting/","1")</f>
        <v>1</v>
      </c>
      <c r="DX107" s="101" t="str">
        <f>HYPERLINK("https://www.stltoday.com/news/local/crime-and-courts/thornton-moved-fast-used-two-guns/article_37427092-77e4-11df-920a-0017a4a78c22.html","0")</f>
        <v>0</v>
      </c>
      <c r="DY107" s="48">
        <v>2</v>
      </c>
      <c r="DZ107" s="48">
        <v>0</v>
      </c>
    </row>
    <row r="108" spans="1:130" ht="50.25" customHeight="1">
      <c r="A108" s="96">
        <v>106</v>
      </c>
      <c r="B108" s="97" t="s">
        <v>510</v>
      </c>
      <c r="C108" s="97" t="s">
        <v>423</v>
      </c>
      <c r="D108" s="98">
        <v>39492</v>
      </c>
      <c r="E108" s="48" t="s">
        <v>178</v>
      </c>
      <c r="F108" s="119">
        <v>14</v>
      </c>
      <c r="G108" s="102" t="str">
        <f>HYPERLINK("https://abc7chicago.com/archive/5958122/","2")</f>
        <v>2</v>
      </c>
      <c r="H108" s="101" t="str">
        <f>HYPERLINK("https://abc7chicago.com/archive/5958122/","2008")</f>
        <v>2008</v>
      </c>
      <c r="I108" s="48" t="s">
        <v>511</v>
      </c>
      <c r="J108" s="101" t="str">
        <f>HYPERLINK("https://abc7chicago.com/archive/5958122/","DeKalb ")</f>
        <v xml:space="preserve">DeKalb </v>
      </c>
      <c r="K108" s="102" t="str">
        <f>HYPERLINK("https://abc7chicago.com/archive/5958122/","13")</f>
        <v>13</v>
      </c>
      <c r="L108" s="102">
        <v>1</v>
      </c>
      <c r="M108" s="102" t="str">
        <f>HYPERLINK("https://www.cityofdekalb.com","0")</f>
        <v>0</v>
      </c>
      <c r="N108" s="102" t="str">
        <f>HYPERLINK("http://content.time.com/time/nation/article/0,8599,1714069,00.html","1")</f>
        <v>1</v>
      </c>
      <c r="O108" s="102" t="str">
        <f>HYPERLINK("http://content.time.com/time/nation/article/0,8599,1714069,00.html","0")</f>
        <v>0</v>
      </c>
      <c r="P108" s="99" t="s">
        <v>100</v>
      </c>
      <c r="Q108" s="103">
        <v>0</v>
      </c>
      <c r="R108" s="103">
        <v>0</v>
      </c>
      <c r="S108" s="102" t="str">
        <f>HYPERLINK("https://web.archive.org/web/20190514124904/http://www.cnn.com/2009/CRIME/02/13/niu.shooting.investigation/index.html","5")</f>
        <v>5</v>
      </c>
      <c r="T108" s="102" t="str">
        <f>HYPERLINK("https://abc7chicago.com/archive/5958122/","16")</f>
        <v>16</v>
      </c>
      <c r="U108" s="101" t="str">
        <f>HYPERLINK("https://www.chicagotribune.com/news/ct-xpm-2010-03-19-ct-met-niu-shooting-report-20100318-story.html","0")</f>
        <v>0</v>
      </c>
      <c r="V108" s="101" t="str">
        <f>HYPERLINK("https://web.archive.org/web/20190514124904/http://www.cnn.com/2009/CRIME/02/13/niu.shooting.investigation/index.html","27")</f>
        <v>27</v>
      </c>
      <c r="W108" s="101" t="str">
        <f t="shared" ref="W108:X108" si="274">HYPERLINK("http://content.time.com/time/nation/article/0,8599,1714069,00.html","0")</f>
        <v>0</v>
      </c>
      <c r="X108" s="101" t="str">
        <f t="shared" si="274"/>
        <v>0</v>
      </c>
      <c r="Y108" s="105" t="str">
        <f>HYPERLINK("https://www.niu.edu/forward/_pdfs/archives/feb14report.pdf","0")</f>
        <v>0</v>
      </c>
      <c r="Z108" s="101">
        <v>1</v>
      </c>
      <c r="AA108" s="101" t="str">
        <f>HYPERLINK("https://www.niu.edu/forward/_pdfs/archives/feb14report.pdf","0")</f>
        <v>0</v>
      </c>
      <c r="AB108" s="101" t="str">
        <f>HYPERLINK("http://content.time.com/time/nation/article/0,8599,1714069,00.html","4")</f>
        <v>4</v>
      </c>
      <c r="AC108" s="101" t="str">
        <f>HYPERLINK("https://web.archive.org/web/20080219000307/http://www.latimes.com/news/nationworld/nation/la-na-niushooter16feb16,0,3634751.story","2")</f>
        <v>2</v>
      </c>
      <c r="AD108" s="101" t="str">
        <f>HYPERLINK("https://web.archive.org/web/20080219000307/http://www.latimes.com/news/nationworld/nation/la-na-niushooter16feb16,0,3634751.story","award-winning student")</f>
        <v>award-winning student</v>
      </c>
      <c r="AE108" s="101" t="str">
        <f>HYPERLINK("https://www.niu.edu/forward/_pdfs/archives/feb14report.pdf","3")</f>
        <v>3</v>
      </c>
      <c r="AF108" s="101" t="str">
        <f t="shared" ref="AF108:AG108" si="275">HYPERLINK("https://www.niu.edu/forward/_pdfs/archives/feb14report.pdf","1")</f>
        <v>1</v>
      </c>
      <c r="AG108" s="101" t="str">
        <f t="shared" si="275"/>
        <v>1</v>
      </c>
      <c r="AH108" s="101" t="str">
        <f>HYPERLINK("https://www.niu.edu/forward/_pdfs/archives/feb14report.pdf","0")</f>
        <v>0</v>
      </c>
      <c r="AI108" s="101" t="str">
        <f>HYPERLINK("https://prev.dailyherald.com/story/?id=136849","1")</f>
        <v>1</v>
      </c>
      <c r="AJ108" s="51">
        <v>0</v>
      </c>
      <c r="AK108" s="101" t="str">
        <f>HYPERLINK("https://www.esquire.com/news-politics/a4863/steven-kazmierczak-0808/","0")</f>
        <v>0</v>
      </c>
      <c r="AL108" s="101" t="str">
        <f>HYPERLINK("https://www.chicagotribune.com/news/ct-xpm-2010-03-19-ct-met-niu-shooting-report-20100318-story.html","0")</f>
        <v>0</v>
      </c>
      <c r="AM108" s="101" t="str">
        <f>HYPERLINK("https://abcnews.go.com/US/story?id=4296984","2")</f>
        <v>2</v>
      </c>
      <c r="AN108" s="101" t="str">
        <f>HYPERLINK("https://www.nytimes.com/2008/02/16/us/16gunman.html","0")</f>
        <v>0</v>
      </c>
      <c r="AO108" s="101" t="str">
        <f>HYPERLINK("https://www.niu.edu/forward/_pdfs/archives/feb14report.pdf","3")</f>
        <v>3</v>
      </c>
      <c r="AP108" s="101" t="str">
        <f>HYPERLINK("https://www.niu.edu/forward/_pdfs/archives/feb14report.pdf","formerly very involved in NIU campus community")</f>
        <v>formerly very involved in NIU campus community</v>
      </c>
      <c r="AQ108" s="101" t="str">
        <f>HYPERLINK("https://www.esquire.com/news-politics/a4863/steven-kazmierczak-0808/","1")</f>
        <v>1</v>
      </c>
      <c r="AR108" s="51">
        <v>0</v>
      </c>
      <c r="AS108" s="101">
        <v>1</v>
      </c>
      <c r="AT108" s="105" t="str">
        <f>HYPERLINK("https://www.niu.edu/forward/_pdfs/archives/feb14report.pdf","2")</f>
        <v>2</v>
      </c>
      <c r="AU108" s="105">
        <v>3</v>
      </c>
      <c r="AV108" s="105">
        <v>4</v>
      </c>
      <c r="AW108" s="48"/>
      <c r="AX108" s="48">
        <v>0</v>
      </c>
      <c r="AY108" s="51">
        <v>0</v>
      </c>
      <c r="AZ108" s="51">
        <v>0</v>
      </c>
      <c r="BA108" s="51">
        <v>0</v>
      </c>
      <c r="BB108" s="101" t="str">
        <f>HYPERLINK("https://www.niu.edu/forward/_pdfs/archives/feb14report.pdf","1")</f>
        <v>1</v>
      </c>
      <c r="BC108" s="101" t="str">
        <f>HYPERLINK("https://www.niu.edu/forward/_pdfs/archives/feb14report.pdf","1")</f>
        <v>1</v>
      </c>
      <c r="BD108" s="101" t="str">
        <f>HYPERLINK("http://www.cnn.com/2009/CRIME/02/13/niu.shooting.investigation/index.html#","1")</f>
        <v>1</v>
      </c>
      <c r="BE108" s="101" t="str">
        <f>HYPERLINK("https://www.niu.edu/forward/_pdfs/archives/feb14report.pdf","1")</f>
        <v>1</v>
      </c>
      <c r="BF108" s="101" t="str">
        <f>HYPERLINK("https://prev.dailyherald.com/story/?id=136849","0")</f>
        <v>0</v>
      </c>
      <c r="BG108" s="51"/>
      <c r="BH108" s="51">
        <v>1</v>
      </c>
      <c r="BI108" s="101" t="str">
        <f>HYPERLINK("https://www.esquire.com/news-politics/a4863/steven-kazmierczak-0808/","1")</f>
        <v>1</v>
      </c>
      <c r="BJ108" s="101" t="str">
        <f>HYPERLINK("https://prev.dailyherald.com/story/?id=136849","0")</f>
        <v>0</v>
      </c>
      <c r="BK108" s="101" t="str">
        <f>HYPERLINK("https://prev.dailyherald.com/story/?id=136849","1")</f>
        <v>1</v>
      </c>
      <c r="BL108" s="108" t="str">
        <f>HYPERLINK("https://www.chicagotribune.com/news/ct-xpm-2010-03-19-ct-met-niu-shooting-report-20100318-story.html","1")</f>
        <v>1</v>
      </c>
      <c r="BM108" s="109">
        <v>3</v>
      </c>
      <c r="BN108" s="110" t="s">
        <v>3154</v>
      </c>
      <c r="BO108" s="115">
        <v>1</v>
      </c>
      <c r="BP108" s="111">
        <v>1</v>
      </c>
      <c r="BQ108" s="111">
        <v>1</v>
      </c>
      <c r="BR108" s="111">
        <v>0</v>
      </c>
      <c r="BS108" s="111">
        <v>0</v>
      </c>
      <c r="BT108" s="111">
        <v>1</v>
      </c>
      <c r="BU108" s="111">
        <v>1</v>
      </c>
      <c r="BV108" s="111">
        <v>1</v>
      </c>
      <c r="BW108" s="111">
        <v>0</v>
      </c>
      <c r="BX108" s="111">
        <v>0</v>
      </c>
      <c r="BY108" s="101" t="str">
        <f>HYPERLINK("https://www.chicagotribune.com/news/ct-xpm-2010-03-19-ct-met-niu-shooting-report-20100318-story.html","1")</f>
        <v>1</v>
      </c>
      <c r="BZ108" s="101" t="str">
        <f>HYPERLINK("http://www.cnn.com/2009/CRIME/02/13/niu.shooting.investigation/index.html#","1")</f>
        <v>1</v>
      </c>
      <c r="CA108" s="101" t="str">
        <f>HYPERLINK("https://www.esquire.com/news-politics/a4863/steven-kazmierczak-0808/","1")</f>
        <v>1</v>
      </c>
      <c r="CB108" s="101" t="str">
        <f>HYPERLINK("https://www.cnn.com/2009/CRIME/02/13/niu.shooting.investigation/index.html","0")</f>
        <v>0</v>
      </c>
      <c r="CC108" s="101" t="str">
        <f>HYPERLINK("https://www.esquire.com/news-politics/a4863/steven-kazmierczak-0808/","1")</f>
        <v>1</v>
      </c>
      <c r="CD108" s="101" t="str">
        <f>HYPERLINK("https://www.cnn.com/2009/CRIME/02/13/niu.shooting.investigation/index.html","1")</f>
        <v>1</v>
      </c>
      <c r="CE108" s="101" t="str">
        <f>HYPERLINK("https://www.chicagotribune.com/news/ct-xpm-2010-03-19-ct-met-niu-shooting-report-20100318-story.html","4")</f>
        <v>4</v>
      </c>
      <c r="CF108" s="101" t="str">
        <f>HYPERLINK("https://www.esquire.com/news-politics/a4863/steven-kazmierczak-0808/","1")</f>
        <v>1</v>
      </c>
      <c r="CG108" s="51">
        <v>0</v>
      </c>
      <c r="CH108" s="101">
        <v>3</v>
      </c>
      <c r="CI108" s="51">
        <v>0</v>
      </c>
      <c r="CJ108" s="51" t="s">
        <v>100</v>
      </c>
      <c r="CK108" s="117">
        <v>1</v>
      </c>
      <c r="CL108" s="113"/>
      <c r="CM108" s="113"/>
      <c r="CN108" s="108">
        <v>0</v>
      </c>
      <c r="CO108" s="110">
        <v>0</v>
      </c>
      <c r="CP108" s="110">
        <v>0</v>
      </c>
      <c r="CQ108" s="110">
        <v>0</v>
      </c>
      <c r="CR108" s="110">
        <v>0</v>
      </c>
      <c r="CS108" s="110">
        <v>0</v>
      </c>
      <c r="CT108" s="110">
        <v>0</v>
      </c>
      <c r="CU108" s="110">
        <v>0</v>
      </c>
      <c r="CV108" s="110">
        <v>0</v>
      </c>
      <c r="CW108" s="110">
        <v>0</v>
      </c>
      <c r="CX108" s="108" t="str">
        <f>HYPERLINK("https://www.chicagotribune.com/news/ct-xpm-2010-03-19-ct-met-niu-shooting-report-20100318-story.html","1")</f>
        <v>1</v>
      </c>
      <c r="CY108" s="110">
        <v>0</v>
      </c>
      <c r="CZ108" s="108" t="str">
        <f>HYPERLINK("http://content.time.com/time/nation/article/0,8599,1714069,00.html","0")</f>
        <v>0</v>
      </c>
      <c r="DA108" s="101">
        <v>1</v>
      </c>
      <c r="DB108" s="101" t="str">
        <f>HYPERLINK("https://www.esquire.com/news-politics/a4863/steven-kazmierczak-0808/","1")</f>
        <v>1</v>
      </c>
      <c r="DC108" s="101" t="str">
        <f>HYPERLINK("https://prev.dailyherald.com/story/?id=136849","1")</f>
        <v>1</v>
      </c>
      <c r="DD108" s="51">
        <v>3</v>
      </c>
      <c r="DE108" s="51">
        <v>2</v>
      </c>
      <c r="DF108" s="51">
        <v>0</v>
      </c>
      <c r="DG108" s="51"/>
      <c r="DH108" s="51"/>
      <c r="DI108" s="51"/>
      <c r="DJ108" s="101" t="str">
        <f>HYPERLINK("https://www.esquire.com/news-politics/a4863/steven-kazmierczak-0808/","1")</f>
        <v>1</v>
      </c>
      <c r="DK108" s="51">
        <v>0</v>
      </c>
      <c r="DL108" s="48" t="s">
        <v>100</v>
      </c>
      <c r="DM108" s="101" t="str">
        <f>HYPERLINK("https://prev.dailyherald.com/story/?id=136849","1")</f>
        <v>1</v>
      </c>
      <c r="DN108" s="101" t="str">
        <f>HYPERLINK("https://www.cnn.com/2009/CRIME/02/13/niu.shooting.investigation/index.html","2")</f>
        <v>2</v>
      </c>
      <c r="DO108" s="101" t="str">
        <f>HYPERLINK("https://www.cnn.com/2009/CRIME/02/13/niu.shooting.investigation/index.html","He loved the Saw movies and got a tattoo of the villain on his arm and dressed up as him for Halloween.")</f>
        <v>He loved the Saw movies and got a tattoo of the villain on his arm and dressed up as him for Halloween.</v>
      </c>
      <c r="DP108" s="101">
        <v>1</v>
      </c>
      <c r="DQ108" s="101" t="str">
        <f>HYPERLINK("http://content.time.com/time/nation/article/0,8599,1714069,00.html","0")</f>
        <v>0</v>
      </c>
      <c r="DR108" s="105" t="str">
        <f>HYPERLINK("https://www.esquire.com/news-politics/a4863/steven-kazmierczak-0808/","0")</f>
        <v>0</v>
      </c>
      <c r="DS108" s="101" t="str">
        <f>HYPERLINK("https://www.nytimes.com/2008/02/16/us/16gunman.html","2")</f>
        <v>2</v>
      </c>
      <c r="DT108" s="101" t="str">
        <f>HYPERLINK("http://content.time.com/time/nation/article/0,8599,1714069,00.html","4")</f>
        <v>4</v>
      </c>
      <c r="DU108" s="101" t="str">
        <f>HYPERLINK("https://www.esquire.com/news-politics/a4863/steven-kazmierczak-0808/","1")</f>
        <v>1</v>
      </c>
      <c r="DV108" s="101" t="str">
        <f>HYPERLINK("https://www.esquire.com/news-politics/a4863/steven-kazmierczak-0808/","holsters")</f>
        <v>holsters</v>
      </c>
      <c r="DW108" s="101" t="str">
        <f t="shared" ref="DW108:DX108" si="276">HYPERLINK("https://www.chicagotribune.com/news/ct-xpm-2010-03-19-ct-met-niu-shooting-report-20100318-story.html","0")</f>
        <v>0</v>
      </c>
      <c r="DX108" s="101" t="str">
        <f t="shared" si="276"/>
        <v>0</v>
      </c>
      <c r="DY108" s="48">
        <v>2</v>
      </c>
      <c r="DZ108" s="48">
        <v>0</v>
      </c>
    </row>
    <row r="109" spans="1:130" ht="50.25" customHeight="1">
      <c r="A109" s="96">
        <v>107</v>
      </c>
      <c r="B109" s="153" t="s">
        <v>513</v>
      </c>
      <c r="C109" s="153" t="s">
        <v>514</v>
      </c>
      <c r="D109" s="98">
        <v>39525</v>
      </c>
      <c r="E109" s="154" t="s">
        <v>203</v>
      </c>
      <c r="F109" s="119">
        <v>18</v>
      </c>
      <c r="G109" s="102" t="s">
        <v>810</v>
      </c>
      <c r="H109" s="104" t="s">
        <v>866</v>
      </c>
      <c r="I109" s="154" t="s">
        <v>515</v>
      </c>
      <c r="J109" s="104" t="s">
        <v>516</v>
      </c>
      <c r="K109" s="100">
        <v>5</v>
      </c>
      <c r="L109" s="102">
        <v>3</v>
      </c>
      <c r="M109" s="102">
        <v>0</v>
      </c>
      <c r="N109" s="102" t="str">
        <f>HYPERLINK("https://lompocrecord.com/news/local/murder-charges-filed-in-salvage-yard-killings/article_49b0ac19-ca6c-5723-aa70-60fd86d7f70b.html","6")</f>
        <v>6</v>
      </c>
      <c r="O109" s="100">
        <v>0</v>
      </c>
      <c r="P109" s="99" t="s">
        <v>100</v>
      </c>
      <c r="Q109" s="103">
        <v>0</v>
      </c>
      <c r="R109" s="103">
        <v>0</v>
      </c>
      <c r="S109" s="100">
        <v>4</v>
      </c>
      <c r="T109" s="100">
        <v>0</v>
      </c>
      <c r="U109" s="104" t="str">
        <f>HYPERLINK("https://caselaw.findlaw.com/ca-court-of-appeal/1714165.html","0")</f>
        <v>0</v>
      </c>
      <c r="V109" s="105">
        <v>31</v>
      </c>
      <c r="W109" s="104">
        <v>0</v>
      </c>
      <c r="X109" s="104">
        <v>0</v>
      </c>
      <c r="Y109" s="48">
        <v>0</v>
      </c>
      <c r="Z109" s="106">
        <v>0</v>
      </c>
      <c r="AA109" s="106"/>
      <c r="AB109" s="162">
        <v>1</v>
      </c>
      <c r="AC109" s="101">
        <v>2</v>
      </c>
      <c r="AD109" s="101" t="s">
        <v>867</v>
      </c>
      <c r="AE109" s="106"/>
      <c r="AF109" s="163" t="s">
        <v>810</v>
      </c>
      <c r="AG109" s="106"/>
      <c r="AH109" s="106"/>
      <c r="AI109" s="106" t="s">
        <v>809</v>
      </c>
      <c r="AJ109" s="106" t="s">
        <v>809</v>
      </c>
      <c r="AK109" s="162" t="s">
        <v>809</v>
      </c>
      <c r="AL109" s="104" t="str">
        <f>HYPERLINK("https://lompocrecord.com/news/local/murder-charges-filed-in-salvage-yard-killings/article_49b0ac19-ca6c-5723-aa70-60fd86d7f70b.html","0")</f>
        <v>0</v>
      </c>
      <c r="AM109" s="106" t="s">
        <v>809</v>
      </c>
      <c r="AN109" s="48" t="s">
        <v>100</v>
      </c>
      <c r="AO109" s="101" t="str">
        <f>HYPERLINK("https://caselaw.findlaw.com/ca-court-of-appeal/1714165.html","0")</f>
        <v>0</v>
      </c>
      <c r="AP109" s="54"/>
      <c r="AQ109" s="123">
        <v>1</v>
      </c>
      <c r="AR109" s="51">
        <v>0</v>
      </c>
      <c r="AS109" s="123">
        <v>1</v>
      </c>
      <c r="AT109" s="52">
        <v>0</v>
      </c>
      <c r="AU109" s="52" t="s">
        <v>100</v>
      </c>
      <c r="AV109" s="52" t="s">
        <v>100</v>
      </c>
      <c r="AW109" s="52" t="s">
        <v>100</v>
      </c>
      <c r="AX109" s="48">
        <v>0</v>
      </c>
      <c r="AY109" s="106" t="s">
        <v>809</v>
      </c>
      <c r="AZ109" s="106" t="s">
        <v>809</v>
      </c>
      <c r="BA109" s="112" t="s">
        <v>809</v>
      </c>
      <c r="BB109" s="107">
        <v>0</v>
      </c>
      <c r="BC109" s="106" t="s">
        <v>809</v>
      </c>
      <c r="BD109" s="106" t="s">
        <v>809</v>
      </c>
      <c r="BE109" s="162" t="s">
        <v>806</v>
      </c>
      <c r="BF109" s="162" t="s">
        <v>809</v>
      </c>
      <c r="BG109" s="106"/>
      <c r="BH109" s="106" t="s">
        <v>806</v>
      </c>
      <c r="BI109" s="162" t="s">
        <v>806</v>
      </c>
      <c r="BJ109" s="106" t="s">
        <v>809</v>
      </c>
      <c r="BK109" s="162" t="s">
        <v>806</v>
      </c>
      <c r="BL109" s="138" t="str">
        <f>HYPERLINK("https://caselaw.findlaw.com/ca-court-of-appeal/1714165.html","1")</f>
        <v>1</v>
      </c>
      <c r="BM109" s="137" t="s">
        <v>810</v>
      </c>
      <c r="BN109" s="115" t="s">
        <v>3085</v>
      </c>
      <c r="BO109" s="155" t="s">
        <v>806</v>
      </c>
      <c r="BP109" s="155" t="s">
        <v>809</v>
      </c>
      <c r="BQ109" s="155" t="s">
        <v>809</v>
      </c>
      <c r="BR109" s="155" t="s">
        <v>809</v>
      </c>
      <c r="BS109" s="155" t="s">
        <v>809</v>
      </c>
      <c r="BT109" s="155" t="s">
        <v>806</v>
      </c>
      <c r="BU109" s="155" t="s">
        <v>809</v>
      </c>
      <c r="BV109" s="155" t="s">
        <v>809</v>
      </c>
      <c r="BW109" s="155" t="s">
        <v>806</v>
      </c>
      <c r="BX109" s="155" t="s">
        <v>806</v>
      </c>
      <c r="BY109" s="106" t="s">
        <v>809</v>
      </c>
      <c r="BZ109" s="106" t="s">
        <v>809</v>
      </c>
      <c r="CA109" s="162" t="s">
        <v>806</v>
      </c>
      <c r="CB109" s="162" t="s">
        <v>809</v>
      </c>
      <c r="CC109" s="104" t="str">
        <f>HYPERLINK("https://caselaw.findlaw.com/ca-court-of-appeal/1714165.html","1 ")</f>
        <v xml:space="preserve">1 </v>
      </c>
      <c r="CD109" s="162" t="s">
        <v>806</v>
      </c>
      <c r="CE109" s="104" t="str">
        <f>HYPERLINK("http://www.santamariasun.com/news/8536/leeds-will-spend-the-rest-of-his-life-in-prison--for-scrap-yard-killings/","2")</f>
        <v>2</v>
      </c>
      <c r="CF109" s="104" t="str">
        <f>HYPERLINK("https://caselaw.findlaw.com/ca-court-of-appeal/1714165.html","1")</f>
        <v>1</v>
      </c>
      <c r="CG109" s="106" t="s">
        <v>809</v>
      </c>
      <c r="CH109" s="106" t="s">
        <v>809</v>
      </c>
      <c r="CI109" s="106" t="s">
        <v>809</v>
      </c>
      <c r="CJ109" s="51" t="s">
        <v>100</v>
      </c>
      <c r="CK109" s="158" t="s">
        <v>809</v>
      </c>
      <c r="CL109" s="158"/>
      <c r="CM109" s="158"/>
      <c r="CN109" s="121" t="s">
        <v>809</v>
      </c>
      <c r="CO109" s="121" t="s">
        <v>809</v>
      </c>
      <c r="CP109" s="121" t="s">
        <v>809</v>
      </c>
      <c r="CQ109" s="121" t="s">
        <v>809</v>
      </c>
      <c r="CR109" s="121" t="s">
        <v>809</v>
      </c>
      <c r="CS109" s="121" t="s">
        <v>809</v>
      </c>
      <c r="CT109" s="121" t="s">
        <v>809</v>
      </c>
      <c r="CU109" s="121" t="s">
        <v>809</v>
      </c>
      <c r="CV109" s="137" t="s">
        <v>806</v>
      </c>
      <c r="CW109" s="110">
        <v>0</v>
      </c>
      <c r="CX109" s="109">
        <v>1</v>
      </c>
      <c r="CY109" s="110">
        <v>0</v>
      </c>
      <c r="CZ109" s="138" t="str">
        <f>HYPERLINK("https://santamariatimes.com/news/local/crime-and-courts/leeds-could-have-avoided-murders-psychologist-says/article_fe0cf47c-9f1a-11e1-bef8-001a4bcf887a.html","0")</f>
        <v>0</v>
      </c>
      <c r="DA109" s="101" t="str">
        <f>HYPERLINK("https://caselaw.findlaw.com/ca-court-of-appeal/1714165.html","3")</f>
        <v>3</v>
      </c>
      <c r="DB109" s="51">
        <v>0</v>
      </c>
      <c r="DC109" s="104" t="str">
        <f>HYPERLINK("https://caselaw.findlaw.com/ca-court-of-appeal/1714165.html","1")</f>
        <v>1</v>
      </c>
      <c r="DD109" s="51" t="s">
        <v>810</v>
      </c>
      <c r="DE109" s="107" t="s">
        <v>868</v>
      </c>
      <c r="DF109" s="107" t="s">
        <v>809</v>
      </c>
      <c r="DG109" s="107">
        <v>3</v>
      </c>
      <c r="DH109" s="107">
        <v>4</v>
      </c>
      <c r="DI109" s="107">
        <v>1</v>
      </c>
      <c r="DJ109" s="104" t="s">
        <v>809</v>
      </c>
      <c r="DK109" s="106" t="s">
        <v>809</v>
      </c>
      <c r="DL109" s="48" t="s">
        <v>100</v>
      </c>
      <c r="DM109" s="104" t="str">
        <f>HYPERLINK("https://lompocrecord.com/news/local/crime-and-courts/lee-leeds-to-spend-life-in-prison/article_d92f8400-d22b-11e1-907f-001a4bcf887a.html","0")</f>
        <v>0</v>
      </c>
      <c r="DN109" s="106" t="s">
        <v>809</v>
      </c>
      <c r="DO109" s="106" t="s">
        <v>100</v>
      </c>
      <c r="DP109" s="104" t="str">
        <f t="shared" ref="DP109:DQ109" si="277">HYPERLINK("https://caselaw.findlaw.com/ca-court-of-appeal/1714165.html","0")</f>
        <v>0</v>
      </c>
      <c r="DQ109" s="104" t="str">
        <f t="shared" si="277"/>
        <v>0</v>
      </c>
      <c r="DR109" s="105">
        <v>0</v>
      </c>
      <c r="DS109" s="101" t="str">
        <f>HYPERLINK("https://caselaw.findlaw.com/ca-court-of-appeal/1714165.html","0")</f>
        <v>0</v>
      </c>
      <c r="DT109" s="101">
        <v>1</v>
      </c>
      <c r="DU109" s="104" t="str">
        <f>HYPERLINK("https://caselaw.findlaw.com/ca-court-of-appeal/1714165.html","0")</f>
        <v>0</v>
      </c>
      <c r="DV109" s="48" t="s">
        <v>100</v>
      </c>
      <c r="DW109" s="104" t="s">
        <v>869</v>
      </c>
      <c r="DX109" s="104" t="str">
        <f>HYPERLINK("https://lompocrecord.com/news/local/murder-charges-filed-in-salvage-yard-killings/article_49b0ac19-ca6c-5723-aa70-60fd86d7f70b.html","1")</f>
        <v>1</v>
      </c>
      <c r="DY109" s="105" t="str">
        <f>HYPERLINK("https://santamariatimes.com/news/local/leeds-brother-takes-the-stand-in-insanity-trial/article_8cd99488-8ea1-11e1-801b-001a4bcf887a.html","1")</f>
        <v>1</v>
      </c>
      <c r="DZ109" s="133" t="str">
        <f>HYPERLINK("http://www.santamariasun.com/news/8536/leeds-will-spend-the-rest-of-his-life-in-prison--for-scrap-yard-killings/","3")</f>
        <v>3</v>
      </c>
    </row>
    <row r="110" spans="1:130" ht="50.25" customHeight="1">
      <c r="A110" s="96">
        <v>108</v>
      </c>
      <c r="B110" s="97" t="s">
        <v>517</v>
      </c>
      <c r="C110" s="97" t="s">
        <v>518</v>
      </c>
      <c r="D110" s="98">
        <v>39624</v>
      </c>
      <c r="E110" s="48" t="s">
        <v>123</v>
      </c>
      <c r="F110" s="119">
        <v>25</v>
      </c>
      <c r="G110" s="102">
        <v>6</v>
      </c>
      <c r="H110" s="101">
        <v>2008</v>
      </c>
      <c r="I110" s="48" t="s">
        <v>519</v>
      </c>
      <c r="J110" s="101" t="s">
        <v>247</v>
      </c>
      <c r="K110" s="102">
        <v>17</v>
      </c>
      <c r="L110" s="102">
        <v>0</v>
      </c>
      <c r="M110" s="102" t="str">
        <f>HYPERLINK("https://www.gainesville.com/article/LK/20080626/News/604165363/GS/","2")</f>
        <v>2</v>
      </c>
      <c r="N110" s="102" t="str">
        <f>HYPERLINK("http://www.nbcnews.com/id/25361852/ns/us_news-crime_and_courts/t/dead-argument-boss-ends-rampage/#.XX7arZNKgUv","6")</f>
        <v>6</v>
      </c>
      <c r="O110" s="102" t="str">
        <f>HYPERLINK("https://www.nytimes.com/2008/06/25/us/26kentuckycnd.html","0")</f>
        <v>0</v>
      </c>
      <c r="P110" s="99" t="s">
        <v>100</v>
      </c>
      <c r="Q110" s="103">
        <v>0</v>
      </c>
      <c r="R110" s="103">
        <v>0</v>
      </c>
      <c r="S110" s="102" t="str">
        <f>HYPERLINK("https://www.nytimes.com/2008/06/25/us/26kentuckycnd.html","5")</f>
        <v>5</v>
      </c>
      <c r="T110" s="102">
        <v>1</v>
      </c>
      <c r="U110" s="101" t="str">
        <f>HYPERLINK("https://www.nytimes.com/2008/06/26/us/26factory.html","0")</f>
        <v>0</v>
      </c>
      <c r="V110" s="101">
        <v>25</v>
      </c>
      <c r="W110" s="101">
        <v>0</v>
      </c>
      <c r="X110" s="101" t="str">
        <f>HYPERLINK("https://www.wave3.com/story/8556295/police-say-argument-with-supervisor-led-to-deadly-workplace-shooting/","0")</f>
        <v>0</v>
      </c>
      <c r="Y110" s="105">
        <v>0</v>
      </c>
      <c r="Z110" s="101" t="str">
        <f>HYPERLINK("https://www.wkyt.com/home/headlines/25559494.html","0")</f>
        <v>0</v>
      </c>
      <c r="AA110" s="51"/>
      <c r="AB110" s="101">
        <v>1</v>
      </c>
      <c r="AC110" s="51"/>
      <c r="AD110" s="51"/>
      <c r="AE110" s="51"/>
      <c r="AF110" s="51"/>
      <c r="AG110" s="51"/>
      <c r="AH110" s="51"/>
      <c r="AI110" s="101">
        <v>1</v>
      </c>
      <c r="AJ110" s="101" t="str">
        <f>HYPERLINK("https://www.gainesville.com/article/LK/20080626/News/604165363/GS/","1")</f>
        <v>1</v>
      </c>
      <c r="AK110" s="101" t="str">
        <f>HYPERLINK("http://archive.courierpress.com/news/update-henderson-police-identify-atlantis-plastics-shooting-victims-gunman-ep-448404190-325079261.html","1")</f>
        <v>1</v>
      </c>
      <c r="AL110" s="101" t="str">
        <f>HYPERLINK("http://archive.courierpress.com/news/rampage-at-atlantis-plastics-ends-with-six-dead-ep-448401177-325078951.html/","0")</f>
        <v>0</v>
      </c>
      <c r="AM110" s="51">
        <v>0</v>
      </c>
      <c r="AN110" s="48" t="s">
        <v>100</v>
      </c>
      <c r="AO110" s="51">
        <v>0</v>
      </c>
      <c r="AP110" s="54"/>
      <c r="AQ110" s="101">
        <v>1</v>
      </c>
      <c r="AR110" s="51">
        <v>0</v>
      </c>
      <c r="AS110" s="101" t="str">
        <f>HYPERLINK("https://www.wibw.com/home/headlines/22092024.html","0")</f>
        <v>0</v>
      </c>
      <c r="AT110" s="48">
        <v>0</v>
      </c>
      <c r="AU110" s="48" t="s">
        <v>100</v>
      </c>
      <c r="AV110" s="48" t="s">
        <v>100</v>
      </c>
      <c r="AW110" s="48" t="s">
        <v>100</v>
      </c>
      <c r="AX110" s="48">
        <v>0</v>
      </c>
      <c r="AY110" s="51">
        <v>0</v>
      </c>
      <c r="AZ110" s="51">
        <v>0</v>
      </c>
      <c r="BA110" s="107">
        <v>0</v>
      </c>
      <c r="BB110" s="107">
        <v>0</v>
      </c>
      <c r="BC110" s="101">
        <v>0</v>
      </c>
      <c r="BD110" s="101">
        <v>0</v>
      </c>
      <c r="BE110" s="48"/>
      <c r="BF110" s="51"/>
      <c r="BG110" s="51"/>
      <c r="BH110" s="51"/>
      <c r="BI110" s="48">
        <v>0</v>
      </c>
      <c r="BJ110" s="101">
        <v>0</v>
      </c>
      <c r="BK110" s="101" t="str">
        <f t="shared" ref="BK110:BL110" si="278">HYPERLINK("http://archive.courierpress.com/news/rampage-at-atlantis-plastics-ends-with-six-dead-ep-448401177-325078951.html/","1")</f>
        <v>1</v>
      </c>
      <c r="BL110" s="108" t="str">
        <f t="shared" si="278"/>
        <v>1</v>
      </c>
      <c r="BM110" s="109">
        <v>0</v>
      </c>
      <c r="BN110" s="110" t="s">
        <v>3019</v>
      </c>
      <c r="BO110" s="111">
        <v>1</v>
      </c>
      <c r="BP110" s="111">
        <v>0</v>
      </c>
      <c r="BQ110" s="111">
        <v>0</v>
      </c>
      <c r="BR110" s="111">
        <v>0</v>
      </c>
      <c r="BS110" s="111">
        <v>1</v>
      </c>
      <c r="BT110" s="111">
        <v>1</v>
      </c>
      <c r="BU110" s="111">
        <v>1</v>
      </c>
      <c r="BV110" s="111">
        <v>0</v>
      </c>
      <c r="BW110" s="111">
        <v>0</v>
      </c>
      <c r="BX110" s="111">
        <v>0</v>
      </c>
      <c r="BY110" s="101" t="str">
        <f>HYPERLINK("https://www.wibw.com/home/headlines/22092024.html","1")</f>
        <v>1</v>
      </c>
      <c r="BZ110" s="51">
        <v>0</v>
      </c>
      <c r="CA110" s="101">
        <v>0</v>
      </c>
      <c r="CB110" s="51" t="s">
        <v>100</v>
      </c>
      <c r="CC110" s="51">
        <v>0</v>
      </c>
      <c r="CD110" s="51" t="s">
        <v>100</v>
      </c>
      <c r="CE110" s="51">
        <v>0</v>
      </c>
      <c r="CF110" s="51">
        <v>0</v>
      </c>
      <c r="CG110" s="51">
        <v>0</v>
      </c>
      <c r="CH110" s="101" t="str">
        <f>HYPERLINK("https://www.wibw.com/home/headlines/22092024.html","4")</f>
        <v>4</v>
      </c>
      <c r="CI110" s="51">
        <v>0</v>
      </c>
      <c r="CJ110" s="51" t="s">
        <v>100</v>
      </c>
      <c r="CK110" s="113">
        <v>0</v>
      </c>
      <c r="CL110" s="113"/>
      <c r="CM110" s="113"/>
      <c r="CN110" s="110">
        <v>0</v>
      </c>
      <c r="CO110" s="110">
        <v>0</v>
      </c>
      <c r="CP110" s="110">
        <v>0</v>
      </c>
      <c r="CQ110" s="110">
        <v>0</v>
      </c>
      <c r="CR110" s="108" t="str">
        <f>HYPERLINK("http://archive.courierpress.com/news/rampage-at-atlantis-plastics-ends-with-six-dead-ep-448401177-325078951.html/","1")</f>
        <v>1</v>
      </c>
      <c r="CS110" s="110">
        <v>0</v>
      </c>
      <c r="CT110" s="110">
        <v>0</v>
      </c>
      <c r="CU110" s="110">
        <v>0</v>
      </c>
      <c r="CV110" s="109">
        <v>1</v>
      </c>
      <c r="CW110" s="110">
        <v>0</v>
      </c>
      <c r="CX110" s="110">
        <v>0</v>
      </c>
      <c r="CY110" s="110">
        <v>0</v>
      </c>
      <c r="CZ110" s="108" t="str">
        <f>HYPERLINK("https://www.nytimes.com/2008/06/25/us/26kentuckycnd.html","0")</f>
        <v>0</v>
      </c>
      <c r="DA110" s="51">
        <v>0</v>
      </c>
      <c r="DB110" s="101" t="str">
        <f>HYPERLINK("https://www.wsws.org/en/articles/2008/06/hend-j26.html","1")</f>
        <v>1</v>
      </c>
      <c r="DC110" s="101">
        <v>1</v>
      </c>
      <c r="DD110" s="51">
        <v>3</v>
      </c>
      <c r="DE110" s="51">
        <v>2</v>
      </c>
      <c r="DF110" s="51">
        <v>1</v>
      </c>
      <c r="DG110" s="51"/>
      <c r="DH110" s="51"/>
      <c r="DI110" s="51"/>
      <c r="DJ110" s="101" t="str">
        <f>HYPERLINK("https://www.wsws.org/en/articles/2008/06/hend-j26.html","1")</f>
        <v>1</v>
      </c>
      <c r="DK110" s="51">
        <v>0</v>
      </c>
      <c r="DL110" s="48" t="s">
        <v>100</v>
      </c>
      <c r="DM110" s="101" t="str">
        <f>HYPERLINK("https://www.nytimes.com/2008/06/26/us/26factory.html","0")</f>
        <v>0</v>
      </c>
      <c r="DN110" s="51">
        <v>0</v>
      </c>
      <c r="DO110" s="51" t="s">
        <v>100</v>
      </c>
      <c r="DP110" s="101">
        <v>0</v>
      </c>
      <c r="DQ110" s="101" t="str">
        <f>HYPERLINK("https://www.nytimes.com/2008/06/25/us/26kentuckycnd.html","0")</f>
        <v>0</v>
      </c>
      <c r="DR110" s="48">
        <v>0</v>
      </c>
      <c r="DS110" s="101" t="str">
        <f>HYPERLINK("https://www.gainesville.com/article/LK/20080626/News/604165363/GS/","1")</f>
        <v>1</v>
      </c>
      <c r="DT110" s="101">
        <v>1</v>
      </c>
      <c r="DU110" s="101" t="str">
        <f>HYPERLINK("https://www.nytimes.com/2008/06/25/us/26kentuckycnd.html","0")</f>
        <v>0</v>
      </c>
      <c r="DV110" s="48" t="s">
        <v>100</v>
      </c>
      <c r="DW110" s="101">
        <v>0</v>
      </c>
      <c r="DX110" s="101" t="str">
        <f>HYPERLINK("https://www.nytimes.com/2008/06/26/us/26factory.html","0")</f>
        <v>0</v>
      </c>
      <c r="DY110" s="48">
        <v>2</v>
      </c>
      <c r="DZ110" s="48">
        <v>0</v>
      </c>
    </row>
    <row r="111" spans="1:130" ht="50.25" customHeight="1">
      <c r="A111" s="96">
        <v>109</v>
      </c>
      <c r="B111" s="97" t="s">
        <v>520</v>
      </c>
      <c r="C111" s="97" t="s">
        <v>521</v>
      </c>
      <c r="D111" s="98">
        <v>39693</v>
      </c>
      <c r="E111" s="48" t="s">
        <v>203</v>
      </c>
      <c r="F111" s="119">
        <v>2</v>
      </c>
      <c r="G111" s="102">
        <v>9</v>
      </c>
      <c r="H111" s="101">
        <v>2008</v>
      </c>
      <c r="I111" s="48" t="s">
        <v>522</v>
      </c>
      <c r="J111" s="101" t="s">
        <v>523</v>
      </c>
      <c r="K111" s="102">
        <v>47</v>
      </c>
      <c r="L111" s="119">
        <v>3</v>
      </c>
      <c r="M111" s="102" t="str">
        <f>HYPERLINK("https://www.seattletimes.com/seattle-news/skagit-county-shooting-spree-leaves-6-dead-including-sheriffs-deputy-2-injured/","2")</f>
        <v>2</v>
      </c>
      <c r="N111" s="102" t="str">
        <f>HYPERLINK("https://www.nytimes.com/2008/09/04/us/04spree.html","7")</f>
        <v>7</v>
      </c>
      <c r="O111" s="102" t="str">
        <f>HYPERLINK("https://www.nytimes.com/2008/09/04/us/04spree.html","1")</f>
        <v>1</v>
      </c>
      <c r="P111" s="122" t="str">
        <f>HYPERLINK("https://www.nytimes.com/2008/09/04/us/04spree.html","8")</f>
        <v>8</v>
      </c>
      <c r="Q111" s="103">
        <v>0</v>
      </c>
      <c r="R111" s="103">
        <v>0</v>
      </c>
      <c r="S111" s="102">
        <v>6</v>
      </c>
      <c r="T111" s="102">
        <v>4</v>
      </c>
      <c r="U111" s="101" t="str">
        <f>HYPERLINK("https://www.oregonlive.com/news/2008/09/court_documents_detail_washing.html","0")</f>
        <v>0</v>
      </c>
      <c r="V111" s="101">
        <v>28</v>
      </c>
      <c r="W111" s="101">
        <v>0</v>
      </c>
      <c r="X111" s="101">
        <v>2</v>
      </c>
      <c r="Y111" s="51">
        <v>0</v>
      </c>
      <c r="Z111" s="101" t="str">
        <f>HYPERLINK("https://www.nytimes.com/2008/09/04/us/04spree.html","0")</f>
        <v>0</v>
      </c>
      <c r="AA111" s="101">
        <v>1</v>
      </c>
      <c r="AB111" s="101"/>
      <c r="AC111" s="51"/>
      <c r="AD111" s="51"/>
      <c r="AE111" s="101" t="str">
        <f>HYPERLINK("https://www.nytimes.com/2008/09/04/us/04spree.html","3")</f>
        <v>3</v>
      </c>
      <c r="AF111" s="101" t="str">
        <f t="shared" ref="AF111:AG111" si="279">HYPERLINK("https://www.nytimes.com/2008/09/04/us/04spree.html","1")</f>
        <v>1</v>
      </c>
      <c r="AG111" s="101" t="str">
        <f t="shared" si="279"/>
        <v>1</v>
      </c>
      <c r="AH111" s="101" t="str">
        <f>HYPERLINK("https://www.nytimes.com/2008/09/04/us/04spree.html","0")</f>
        <v>0</v>
      </c>
      <c r="AI111" s="101">
        <v>0</v>
      </c>
      <c r="AJ111" s="51">
        <v>0</v>
      </c>
      <c r="AK111" s="101" t="str">
        <f t="shared" ref="AK111:AL111" si="280">HYPERLINK("https://www.seattletimes.com/seattle-news/shooting-rampage-suspect-described-as-deeply-troubled-1/","0")</f>
        <v>0</v>
      </c>
      <c r="AL111" s="101" t="str">
        <f t="shared" si="280"/>
        <v>0</v>
      </c>
      <c r="AM111" s="51">
        <v>0</v>
      </c>
      <c r="AN111" s="48" t="s">
        <v>100</v>
      </c>
      <c r="AO111" s="101" t="str">
        <f>HYPERLINK("https://www.seattletimes.com/seattle-news/shooting-rampage-suspect-described-as-deeply-troubled-1/","0")</f>
        <v>0</v>
      </c>
      <c r="AP111" s="54"/>
      <c r="AQ111" s="101" t="str">
        <f t="shared" ref="AQ111:DS111" si="281">HYPERLINK("https://www.seattletimes.com/seattle-news/shooting-rampage-suspect-described-as-deeply-troubled-1/","1")</f>
        <v>1</v>
      </c>
      <c r="AR111" s="51">
        <v>0</v>
      </c>
      <c r="AS111" s="101" t="str">
        <f>HYPERLINK("https://www.seattletimes.com/seattle-news/shooting-rampage-suspect-described-as-deeply-troubled-1/","1")</f>
        <v>1</v>
      </c>
      <c r="AT111" s="51">
        <v>0</v>
      </c>
      <c r="AU111" s="51" t="s">
        <v>100</v>
      </c>
      <c r="AV111" s="51" t="s">
        <v>100</v>
      </c>
      <c r="AW111" s="51" t="s">
        <v>100</v>
      </c>
      <c r="AX111" s="51">
        <v>0</v>
      </c>
      <c r="AY111" s="51">
        <v>0</v>
      </c>
      <c r="AZ111" s="51">
        <v>0</v>
      </c>
      <c r="BA111" s="107">
        <v>0</v>
      </c>
      <c r="BB111" s="107">
        <v>0</v>
      </c>
      <c r="BC111" s="51">
        <v>0</v>
      </c>
      <c r="BD111" s="51">
        <v>0</v>
      </c>
      <c r="BE111" s="101" t="str">
        <f t="shared" ref="BE111:BF111" si="282">HYPERLINK("https://www.seattletimes.com/seattle-news/shooting-rampage-suspect-described-as-deeply-troubled-1/","0")</f>
        <v>0</v>
      </c>
      <c r="BF111" s="101" t="str">
        <f t="shared" si="282"/>
        <v>0</v>
      </c>
      <c r="BG111" s="101" t="str">
        <f>HYPERLINK("https://www.seattletimes.com/seattle-news/shooting-rampage-suspect-described-as-deeply-troubled-1/","3")</f>
        <v>3</v>
      </c>
      <c r="BH111" s="51">
        <v>1</v>
      </c>
      <c r="BI111" s="51">
        <v>0</v>
      </c>
      <c r="BJ111" s="101" t="str">
        <f>HYPERLINK("https://www.nytimes.com/2008/09/04/us/04spree.html","1")</f>
        <v>1</v>
      </c>
      <c r="BK111" s="101" t="str">
        <f>HYPERLINK("https://www.seattletimes.com/seattle-news/shooting-rampage-suspect-described-as-deeply-troubled-1/","0")</f>
        <v>0</v>
      </c>
      <c r="BL111" s="109" t="str">
        <f>HYPERLINK("https://www.seattletimes.com/seattle-news/shooting-rampage-suspect-described-as-deeply-troubled-1/","1")</f>
        <v>1</v>
      </c>
      <c r="BM111" s="109">
        <v>3</v>
      </c>
      <c r="BN111" s="115" t="s">
        <v>3086</v>
      </c>
      <c r="BO111" s="111">
        <v>1</v>
      </c>
      <c r="BP111" s="111">
        <v>1</v>
      </c>
      <c r="BQ111" s="111">
        <v>0</v>
      </c>
      <c r="BR111" s="111">
        <v>1</v>
      </c>
      <c r="BS111" s="111">
        <v>1</v>
      </c>
      <c r="BT111" s="111">
        <v>1</v>
      </c>
      <c r="BU111" s="111">
        <v>1</v>
      </c>
      <c r="BV111" s="111">
        <v>1</v>
      </c>
      <c r="BW111" s="147">
        <v>1</v>
      </c>
      <c r="BX111" s="111">
        <v>0</v>
      </c>
      <c r="BY111" s="101" t="str">
        <f>HYPERLINK("https://www.seattletimes.com/seattle-news/shooting-rampage-suspect-described-as-deeply-troubled-1/","1")</f>
        <v>1</v>
      </c>
      <c r="BZ111" s="101">
        <v>1</v>
      </c>
      <c r="CA111" s="101">
        <v>0</v>
      </c>
      <c r="CB111" s="51" t="s">
        <v>100</v>
      </c>
      <c r="CC111" s="101">
        <v>1</v>
      </c>
      <c r="CD111" s="101">
        <v>1</v>
      </c>
      <c r="CE111" s="101" t="str">
        <f>HYPERLINK("https://www.seattletimes.com/seattle-news/shooting-rampage-suspect-described-as-deeply-troubled-1/","4")</f>
        <v>4</v>
      </c>
      <c r="CF111" s="51">
        <v>0</v>
      </c>
      <c r="CG111" s="51">
        <v>0</v>
      </c>
      <c r="CH111" s="101">
        <v>4</v>
      </c>
      <c r="CI111" s="101" t="s">
        <v>833</v>
      </c>
      <c r="CJ111" s="51" t="s">
        <v>100</v>
      </c>
      <c r="CK111" s="113">
        <v>0</v>
      </c>
      <c r="CL111" s="113"/>
      <c r="CM111" s="113"/>
      <c r="CN111" s="110">
        <v>0</v>
      </c>
      <c r="CO111" s="110">
        <v>0</v>
      </c>
      <c r="CP111" s="110">
        <v>0</v>
      </c>
      <c r="CQ111" s="110">
        <v>0</v>
      </c>
      <c r="CR111" s="110">
        <v>0</v>
      </c>
      <c r="CS111" s="110">
        <v>0</v>
      </c>
      <c r="CT111" s="110">
        <v>0</v>
      </c>
      <c r="CU111" s="110">
        <v>0</v>
      </c>
      <c r="CV111" s="110">
        <v>0</v>
      </c>
      <c r="CW111" s="110">
        <v>0</v>
      </c>
      <c r="CX111" s="109">
        <v>1</v>
      </c>
      <c r="CY111" s="110">
        <v>0</v>
      </c>
      <c r="CZ111" s="108" t="str">
        <f>HYPERLINK("https://www.oregonlive.com/news/2008/09/court_documents_detail_washing.html","0")</f>
        <v>0</v>
      </c>
      <c r="DA111" s="101">
        <v>3</v>
      </c>
      <c r="DB111" s="51">
        <v>0</v>
      </c>
      <c r="DC111" s="101">
        <v>1</v>
      </c>
      <c r="DD111" s="51">
        <v>0</v>
      </c>
      <c r="DE111" s="51">
        <v>5</v>
      </c>
      <c r="DF111" s="51">
        <v>1</v>
      </c>
      <c r="DG111" s="51"/>
      <c r="DH111" s="51"/>
      <c r="DI111" s="51"/>
      <c r="DJ111" s="51">
        <v>0</v>
      </c>
      <c r="DK111" s="51">
        <v>0</v>
      </c>
      <c r="DL111" s="48" t="s">
        <v>100</v>
      </c>
      <c r="DM111" s="101" t="str">
        <f>HYPERLINK("https://www.oregonlive.com/news/2008/09/court_documents_detail_washing.html","0")</f>
        <v>0</v>
      </c>
      <c r="DN111" s="51">
        <v>0</v>
      </c>
      <c r="DO111" s="51" t="s">
        <v>100</v>
      </c>
      <c r="DP111" s="101" t="str">
        <f>HYPERLINK("https://www.oregonlive.com/news/2008/09/court_documents_detail_washing.html","0")</f>
        <v>0</v>
      </c>
      <c r="DQ111" s="101" t="str">
        <f>HYPERLINK("https://www.seattletimes.com/seattle-news/skagit-county-shooting-spree-leaves-6-dead-including-sheriffs-deputy-2-injured/","0")</f>
        <v>0</v>
      </c>
      <c r="DR111" s="101" t="str">
        <f>HYPERLINK("https://www.seattletimes.com/seattle-news/shooting-rampage-suspect-described-as-deeply-troubled-1/","0")</f>
        <v>0</v>
      </c>
      <c r="DS111" s="101" t="str">
        <f t="shared" si="281"/>
        <v>1</v>
      </c>
      <c r="DT111" s="101">
        <v>2</v>
      </c>
      <c r="DU111" s="101" t="str">
        <f>HYPERLINK("https://www.oregonlive.com/news/2008/09/court_documents_detail_washing.html","1")</f>
        <v>1</v>
      </c>
      <c r="DV111" s="101" t="str">
        <f>HYPERLINK("https://www.oregonlive.com/news/2008/09/court_documents_detail_washing.html","knife")</f>
        <v>knife</v>
      </c>
      <c r="DW111" s="101">
        <v>2</v>
      </c>
      <c r="DX111" s="101" t="str">
        <f>HYPERLINK("https://www.oregonlive.com/news/2008/09/court_documents_detail_washing.html","0")</f>
        <v>0</v>
      </c>
      <c r="DY111" s="101" t="str">
        <f>HYPERLINK("https://www.seattlepi.com/local/article/Isaac-Zamora-10781621.php","1")</f>
        <v>1</v>
      </c>
      <c r="DZ111" s="133" t="str">
        <f>HYPERLINK("https://www.seattlepi.com/seattlenews/article/Isaac-Zamora-10781621.php","4")</f>
        <v>4</v>
      </c>
    </row>
    <row r="112" spans="1:130" ht="50.25" customHeight="1">
      <c r="A112" s="96">
        <v>110</v>
      </c>
      <c r="B112" s="97" t="s">
        <v>524</v>
      </c>
      <c r="C112" s="97" t="s">
        <v>102</v>
      </c>
      <c r="D112" s="98">
        <v>39901</v>
      </c>
      <c r="E112" s="48" t="s">
        <v>137</v>
      </c>
      <c r="F112" s="119">
        <v>29</v>
      </c>
      <c r="G112" s="102" t="str">
        <f>HYPERLINK("https://www.nytimes.com/2009/03/30/us/30shooting.html?_r=1&amp;scp=1&amp;sq=carthage%20shooting&amp;st=cse","3")</f>
        <v>3</v>
      </c>
      <c r="H112" s="101" t="str">
        <f>HYPERLINK("https://www.nytimes.com/2009/03/30/us/30shooting.html?_r=1&amp;scp=1&amp;sq=carthage%20shooting&amp;st=cse","2009")</f>
        <v>2009</v>
      </c>
      <c r="I112" s="48" t="s">
        <v>525</v>
      </c>
      <c r="J112" s="101" t="str">
        <f>HYPERLINK("https://www.nytimes.com/2009/03/30/us/30shooting.html?_r=1&amp;scp=1&amp;sq=carthage%20shooting&amp;st=cse","Carthage")</f>
        <v>Carthage</v>
      </c>
      <c r="K112" s="102" t="str">
        <f>HYPERLINK("https://www.nytimes.com/2009/03/30/us/30shooting.html?_r=1&amp;scp=1&amp;sq=carthage%20shooting&amp;st=cse","33")</f>
        <v>33</v>
      </c>
      <c r="L112" s="119">
        <v>0</v>
      </c>
      <c r="M112" s="102">
        <v>2</v>
      </c>
      <c r="N112" s="102" t="str">
        <f>HYPERLINK("https://abc11.com/archive/6734388/","7")</f>
        <v>7</v>
      </c>
      <c r="O112" s="102" t="str">
        <f>HYPERLINK("https://www.nytimes.com/2009/03/30/us/30shooting.html?_r=1&amp;scp=1&amp;sq=carthage%20shooting&amp;st=cse","0")</f>
        <v>0</v>
      </c>
      <c r="P112" s="99" t="s">
        <v>100</v>
      </c>
      <c r="Q112" s="103">
        <v>0</v>
      </c>
      <c r="R112" s="103">
        <v>0</v>
      </c>
      <c r="S112" s="102" t="str">
        <f>HYPERLINK("https://www.nytimes.com/2009/03/30/us/30shooting.html?_r=1&amp;scp=1&amp;sq=carthage%20shooting&amp;st=cse","8")</f>
        <v>8</v>
      </c>
      <c r="T112" s="102">
        <v>3</v>
      </c>
      <c r="U112" s="101" t="str">
        <f>HYPERLINK("https://www.wral.com/news/local/story/9936931/","0")</f>
        <v>0</v>
      </c>
      <c r="V112" s="101" t="str">
        <f>HYPERLINK("https://www.nytimes.com/2009/03/30/us/30shooting.html?_r=1&amp;scp=1&amp;sq=carthage%20shooting&amp;st=cse","45")</f>
        <v>45</v>
      </c>
      <c r="W112" s="101" t="str">
        <f>HYPERLINK("https://www.nytimes.com/2009/03/30/us/30shooting.html?_r=1&amp;scp=1&amp;sq=carthage%20shooting&amp;st=cse","0")</f>
        <v>0</v>
      </c>
      <c r="X112" s="101" t="str">
        <f>HYPERLINK("https://www.cleveland.com/nation/2011/09/man_convicted_of_killing_8_in.html","0")</f>
        <v>0</v>
      </c>
      <c r="Y112" s="48">
        <v>0</v>
      </c>
      <c r="Z112" s="101" t="str">
        <f>HYPERLINK("https://www.foxnews.com/story/north-carolina-nursing-home-gunmans-wife-hid-in-bathroom-during-rampage","0")</f>
        <v>0</v>
      </c>
      <c r="AA112" s="101" t="str">
        <f>HYPERLINK("https://web.archive.org/web/20130217183601/https://www.fayobserver.com/articles/2011/09/03/1120314?sac=Home","1")</f>
        <v>1</v>
      </c>
      <c r="AB112" s="51" t="s">
        <v>818</v>
      </c>
      <c r="AC112" s="51"/>
      <c r="AD112" s="51"/>
      <c r="AE112" s="51"/>
      <c r="AF112" s="51"/>
      <c r="AG112" s="51"/>
      <c r="AH112" s="51"/>
      <c r="AI112" s="101" t="str">
        <f>HYPERLINK("https://www.cbsnews.com/news/suspects-wife-i-wish-it-had-been-me/","3")</f>
        <v>3</v>
      </c>
      <c r="AJ112" s="51">
        <v>0</v>
      </c>
      <c r="AK112" s="101" t="str">
        <f t="shared" ref="AK112:AL112" si="283">HYPERLINK("https://www.foxnews.com/story/north-carolina-nursing-home-gunman-had-explosive-temper-was-prone-to-violence","0")</f>
        <v>0</v>
      </c>
      <c r="AL112" s="101" t="str">
        <f t="shared" si="283"/>
        <v>0</v>
      </c>
      <c r="AM112" s="101">
        <v>1</v>
      </c>
      <c r="AN112" s="101">
        <v>5</v>
      </c>
      <c r="AO112" s="101" t="str">
        <f>HYPERLINK("https://www.thepilot.com/news/pinelake-at-a-decade-in-the-shadow-of-north-carolina/article_33d2be06-522a-11e9-b3d5-230b8a7f488f.html","0")</f>
        <v>0</v>
      </c>
      <c r="AP112" s="54"/>
      <c r="AQ112" s="101" t="str">
        <f>HYPERLINK("https://abc11.com/archive/6734388/","1")</f>
        <v>1</v>
      </c>
      <c r="AR112" s="51">
        <v>0</v>
      </c>
      <c r="AS112" s="101" t="str">
        <f>HYPERLINK("https://www.foxnews.com/story/north-carolina-nursing-home-gunman-had-explosive-temper-was-prone-to-violence","1")</f>
        <v>1</v>
      </c>
      <c r="AT112" s="105" t="str">
        <f>HYPERLINK("https://www.thepilot.com/news/pinelake-at-a-decade-in-the-shadow-of-north-carolina/article_33d2be06-522a-11e9-b3d5-230b8a7f488f.html","1")</f>
        <v>1</v>
      </c>
      <c r="AU112" s="105">
        <v>1</v>
      </c>
      <c r="AV112" s="105">
        <v>4</v>
      </c>
      <c r="AW112" s="48"/>
      <c r="AX112" s="48">
        <v>0</v>
      </c>
      <c r="AY112" s="51">
        <v>0</v>
      </c>
      <c r="AZ112" s="51">
        <v>0</v>
      </c>
      <c r="BA112" s="51">
        <v>0</v>
      </c>
      <c r="BB112" s="107">
        <v>0</v>
      </c>
      <c r="BC112" s="101" t="str">
        <f>HYPERLINK("https://www.foxnews.com/story/north-carolina-nursing-home-gunman-had-explosive-temper-was-prone-to-violence","1")</f>
        <v>1</v>
      </c>
      <c r="BD112" s="51">
        <v>0</v>
      </c>
      <c r="BE112" s="51"/>
      <c r="BF112" s="51"/>
      <c r="BG112" s="51"/>
      <c r="BH112" s="51"/>
      <c r="BI112" s="51">
        <v>0</v>
      </c>
      <c r="BJ112" s="101">
        <v>1</v>
      </c>
      <c r="BK112" s="51">
        <v>0</v>
      </c>
      <c r="BL112" s="108" t="str">
        <f>HYPERLINK("https://www.wral.com/news/local/story/9845639/","1")</f>
        <v>1</v>
      </c>
      <c r="BM112" s="109">
        <v>1</v>
      </c>
      <c r="BN112" s="115" t="s">
        <v>3018</v>
      </c>
      <c r="BO112" s="111">
        <v>1</v>
      </c>
      <c r="BP112" s="111">
        <v>0</v>
      </c>
      <c r="BQ112" s="111">
        <v>0</v>
      </c>
      <c r="BR112" s="111">
        <v>0</v>
      </c>
      <c r="BS112" s="111">
        <v>0</v>
      </c>
      <c r="BT112" s="111">
        <v>1</v>
      </c>
      <c r="BU112" s="111">
        <v>1</v>
      </c>
      <c r="BV112" s="111">
        <v>0</v>
      </c>
      <c r="BW112" s="111">
        <v>0</v>
      </c>
      <c r="BX112" s="111">
        <v>0</v>
      </c>
      <c r="BY112" s="101" t="str">
        <f>HYPERLINK("https://web.archive.org/web/20130217183601/https://www.fayobserver.com/articles/2011/09/03/1120314?sac=Home","1")</f>
        <v>1</v>
      </c>
      <c r="BZ112" s="51">
        <v>0</v>
      </c>
      <c r="CA112" s="51">
        <v>0</v>
      </c>
      <c r="CB112" s="51" t="s">
        <v>100</v>
      </c>
      <c r="CC112" s="101" t="str">
        <f t="shared" ref="CC112:CE112" si="284">HYPERLINK("https://www.wral.com/news/local/story/9936931/","1")</f>
        <v>1</v>
      </c>
      <c r="CD112" s="101" t="str">
        <f t="shared" si="284"/>
        <v>1</v>
      </c>
      <c r="CE112" s="101" t="str">
        <f t="shared" si="284"/>
        <v>1</v>
      </c>
      <c r="CF112" s="51">
        <v>0</v>
      </c>
      <c r="CG112" s="51">
        <v>0</v>
      </c>
      <c r="CH112" s="101" t="str">
        <f>HYPERLINK("https://abc11.com/archive/6734388/","5")</f>
        <v>5</v>
      </c>
      <c r="CI112" s="101" t="str">
        <f>HYPERLINK("https://www.foxnews.com/story/north-carolina-nursing-home-gunman-had-explosive-temper-was-prone-to-violence","1")</f>
        <v>1</v>
      </c>
      <c r="CJ112" s="101" t="s">
        <v>871</v>
      </c>
      <c r="CK112" s="113">
        <v>0</v>
      </c>
      <c r="CL112" s="113"/>
      <c r="CM112" s="113"/>
      <c r="CN112" s="110">
        <v>0</v>
      </c>
      <c r="CO112" s="110">
        <v>0</v>
      </c>
      <c r="CP112" s="110">
        <v>0</v>
      </c>
      <c r="CQ112" s="110">
        <v>0</v>
      </c>
      <c r="CR112" s="110">
        <v>0</v>
      </c>
      <c r="CS112" s="110">
        <v>0</v>
      </c>
      <c r="CT112" s="110">
        <v>0</v>
      </c>
      <c r="CU112" s="108" t="str">
        <f>HYPERLINK("https://www.cbsnews.com/news/suspects-wife-i-wish-it-had-been-me/","1")</f>
        <v>1</v>
      </c>
      <c r="CV112" s="110">
        <v>0</v>
      </c>
      <c r="CW112" s="110">
        <v>0</v>
      </c>
      <c r="CX112" s="110">
        <v>0</v>
      </c>
      <c r="CY112" s="110">
        <v>0</v>
      </c>
      <c r="CZ112" s="108" t="str">
        <f>HYPERLINK("https://www.wral.com/news/local/story/9845639/","1")</f>
        <v>1</v>
      </c>
      <c r="DA112" s="51">
        <v>0</v>
      </c>
      <c r="DB112" s="51">
        <v>0</v>
      </c>
      <c r="DC112" s="141" t="str">
        <f>HYPERLINK("https://www.wral.com/news/local/story/9845639/","1")</f>
        <v>1</v>
      </c>
      <c r="DD112" s="107"/>
      <c r="DE112" s="51">
        <v>2</v>
      </c>
      <c r="DF112" s="51">
        <v>0</v>
      </c>
      <c r="DG112" s="51"/>
      <c r="DH112" s="51"/>
      <c r="DI112" s="51"/>
      <c r="DJ112" s="51">
        <v>0</v>
      </c>
      <c r="DK112" s="51">
        <v>0</v>
      </c>
      <c r="DL112" s="48" t="s">
        <v>100</v>
      </c>
      <c r="DM112" s="101" t="str">
        <f>HYPERLINK("https://www.wral.com/news/local/story/9936931/","0")</f>
        <v>0</v>
      </c>
      <c r="DN112" s="51">
        <v>0</v>
      </c>
      <c r="DO112" s="51" t="s">
        <v>100</v>
      </c>
      <c r="DP112" s="101">
        <v>0</v>
      </c>
      <c r="DQ112" s="101" t="str">
        <f>HYPERLINK("https://www.wral.com/news/local/story/9936931/","0")</f>
        <v>0</v>
      </c>
      <c r="DR112" s="105" t="str">
        <f>HYPERLINK("https://caselaw.findlaw.com/nc-court-of-appeals/1651398.html","1")</f>
        <v>1</v>
      </c>
      <c r="DS112" s="101" t="str">
        <f>HYPERLINK("https://www.foxnews.com/printer_friendly_wires/2009Mar31/0,4675,NursingHomeShooting,00.html","3")</f>
        <v>3</v>
      </c>
      <c r="DT112" s="101" t="str">
        <f>HYPERLINK("https://caselaw.findlaw.com/nc-court-of-appeals/1651398.html","4")</f>
        <v>4</v>
      </c>
      <c r="DU112" s="101" t="str">
        <f>HYPERLINK("https://www.cbsnews.com/news/nc-man-convicted-of-killing-8-at-nursing-home/","1")</f>
        <v>1</v>
      </c>
      <c r="DV112" s="101" t="str">
        <f>HYPERLINK("https://www.cbsnews.com/news/nc-man-convicted-of-killing-8-at-nursing-home/","holsters")</f>
        <v>holsters</v>
      </c>
      <c r="DW112" s="101" t="str">
        <f>HYPERLINK("https://www.wral.com/hero-in-nursing-home-rampage-recalls-facing-mass-murderer/11341284/","2")</f>
        <v>2</v>
      </c>
      <c r="DX112" s="101" t="str">
        <f>HYPERLINK("https://www.wral.com/hero-in-nursing-home-rampage-recalls-facing-mass-murderer/11341284/","0")</f>
        <v>0</v>
      </c>
      <c r="DY112" s="105" t="str">
        <f>HYPERLINK("https://caselaw.findlaw.com/nc-court-of-appeals/1651398.html","1")</f>
        <v>1</v>
      </c>
      <c r="DZ112" s="133" t="str">
        <f>HYPERLINK("https://www.sandiegouniontribune.com/sdut-man-gets-life-in-prison-for-nursing-home-slayings-2011sep03-story.html","3")</f>
        <v>3</v>
      </c>
    </row>
    <row r="113" spans="1:130" ht="50.25" customHeight="1">
      <c r="A113" s="96">
        <v>111</v>
      </c>
      <c r="B113" s="97" t="s">
        <v>527</v>
      </c>
      <c r="C113" s="97" t="s">
        <v>528</v>
      </c>
      <c r="D113" s="98">
        <v>39906</v>
      </c>
      <c r="E113" s="48" t="s">
        <v>157</v>
      </c>
      <c r="F113" s="99">
        <v>3</v>
      </c>
      <c r="G113" s="100">
        <v>4</v>
      </c>
      <c r="H113" s="101">
        <v>2009</v>
      </c>
      <c r="I113" s="48" t="s">
        <v>529</v>
      </c>
      <c r="J113" s="105" t="s">
        <v>530</v>
      </c>
      <c r="K113" s="100" t="str">
        <f>HYPERLINK("https://www.nytimes.com/2009/04/04/nyregion/04hostage.html","32")</f>
        <v>32</v>
      </c>
      <c r="L113" s="119">
        <v>2</v>
      </c>
      <c r="M113" s="102" t="str">
        <f>HYPERLINK("http://news.bbc.co.uk/2/hi/americas/7983463.stm","1")</f>
        <v>1</v>
      </c>
      <c r="N113" s="102" t="str">
        <f>HYPERLINK("https://www.nytimes.com/2009/04/12/nyregion/12binghamton.html","2")</f>
        <v>2</v>
      </c>
      <c r="O113" s="100" t="str">
        <f>HYPERLINK("https://www.nytimes.com/2009/04/12/nyregion/12binghamton.html","0")</f>
        <v>0</v>
      </c>
      <c r="P113" s="99" t="s">
        <v>100</v>
      </c>
      <c r="Q113" s="103">
        <v>0</v>
      </c>
      <c r="R113" s="103">
        <v>0</v>
      </c>
      <c r="S113" s="100" t="str">
        <f>HYPERLINK("https://www.nytimes.com/2009/04/04/nyregion/04hostage.html","13")</f>
        <v>13</v>
      </c>
      <c r="T113" s="100" t="str">
        <f>HYPERLINK("https://www.nytimes.com/2009/04/04/nyregion/04hostage.html","4")</f>
        <v>4</v>
      </c>
      <c r="U113" s="101" t="str">
        <f>HYPERLINK("https://www.nytimes.com/2009/04/12/nyregion/12binghamton.html","0")</f>
        <v>0</v>
      </c>
      <c r="V113" s="105">
        <v>41</v>
      </c>
      <c r="W113" s="101">
        <v>0</v>
      </c>
      <c r="X113" s="101" t="str">
        <f>HYPERLINK("http://news.bbc.co.uk/2/hi/americas/7983463.stm","3")</f>
        <v>3</v>
      </c>
      <c r="Y113" s="101" t="str">
        <f>HYPERLINK("https://www.syracuse.com/news/2009/04/jiverly_wongs_father_our_son_w.html","1")</f>
        <v>1</v>
      </c>
      <c r="Z113" s="101" t="str">
        <f>HYPERLINK("https://www.nytimes.com/2009/04/12/nyregion/12binghamton.html","0")</f>
        <v>0</v>
      </c>
      <c r="AA113" s="104" t="str">
        <f>HYPERLINK("https://www.nytimes.com/2009/04/12/nyregion/12binghamton.html","3")</f>
        <v>3</v>
      </c>
      <c r="AB113" s="106" t="s">
        <v>818</v>
      </c>
      <c r="AC113" s="51"/>
      <c r="AD113" s="51"/>
      <c r="AE113" s="105" t="str">
        <f>HYPERLINK("https://www.syracuse.com/news/2009/04/jiverly_wongs_father_our_son_w.html","2")</f>
        <v>2</v>
      </c>
      <c r="AF113" s="105" t="str">
        <f>HYPERLINK("https://www.syracuse.com/news/2009/04/jiverly_wongs_father_our_son_w.html","3")</f>
        <v>3</v>
      </c>
      <c r="AG113" s="105" t="str">
        <f>HYPERLINK("https://www.syracuse.com/news/2009/04/jiverly_wongs_father_our_son_w.html","1")</f>
        <v>1</v>
      </c>
      <c r="AH113" s="105" t="str">
        <f>HYPERLINK("https://www.syracuse.com/news/2009/04/jiverly_wongs_father_our_son_w.html","2")</f>
        <v>2</v>
      </c>
      <c r="AI113" s="105">
        <v>3</v>
      </c>
      <c r="AJ113" s="104" t="str">
        <f>HYPERLINK("https://www.nytimes.com/2009/04/12/nyregion/12binghamton.html","0")</f>
        <v>0</v>
      </c>
      <c r="AK113" s="101">
        <v>0</v>
      </c>
      <c r="AL113" s="101">
        <v>0</v>
      </c>
      <c r="AM113" s="51">
        <v>0</v>
      </c>
      <c r="AN113" s="48" t="s">
        <v>100</v>
      </c>
      <c r="AO113" s="101" t="str">
        <f>HYPERLINK("https://www.syracuse.com/news/2009/04/jiverly_wongs_father_our_son_w.html","0")</f>
        <v>0</v>
      </c>
      <c r="AP113" s="54"/>
      <c r="AQ113" s="101">
        <v>1</v>
      </c>
      <c r="AR113" s="51">
        <v>0</v>
      </c>
      <c r="AS113" s="101">
        <v>1</v>
      </c>
      <c r="AT113" s="101" t="str">
        <f>HYPERLINK("https://www.syracuse.com/news/2009/04/jiverly_wongs_father_our_son_w.html","2")</f>
        <v>2</v>
      </c>
      <c r="AU113" s="101">
        <v>1</v>
      </c>
      <c r="AV113" s="51"/>
      <c r="AW113" s="51"/>
      <c r="AX113" s="51">
        <v>0</v>
      </c>
      <c r="AY113" s="51">
        <v>0</v>
      </c>
      <c r="AZ113" s="101" t="str">
        <f>HYPERLINK("http://news.bbc.co.uk/2/hi/americas/7983463.stm","0")</f>
        <v>0</v>
      </c>
      <c r="BA113" s="51">
        <v>0</v>
      </c>
      <c r="BB113" s="107">
        <v>0</v>
      </c>
      <c r="BC113" s="101" t="str">
        <f>HYPERLINK("https://www.syracuse.com/news/2009/04/jiverly_wongs_father_our_son_w.html","0")</f>
        <v>0</v>
      </c>
      <c r="BD113" s="101">
        <v>0</v>
      </c>
      <c r="BE113" s="105" t="str">
        <f>HYPERLINK("https://www.syracuse.com/news/index.ssf/2009/04/jiverly_wongs_father_our_son_w.html","0")</f>
        <v>0</v>
      </c>
      <c r="BF113" s="104" t="str">
        <f>HYPERLINK("https://www.syracuse.com/news/2009/04/jiverly_wongs_father_our_son_w.html","0")</f>
        <v>0</v>
      </c>
      <c r="BG113" s="104" t="str">
        <f>HYPERLINK("https://www.syracuse.com/news/2009/04/jiverly_wongs_father_our_son_w.html","3")</f>
        <v>3</v>
      </c>
      <c r="BH113" s="106"/>
      <c r="BI113" s="48">
        <v>0</v>
      </c>
      <c r="BJ113" s="101">
        <v>0</v>
      </c>
      <c r="BK113" s="101">
        <v>1</v>
      </c>
      <c r="BL113" s="108">
        <v>1</v>
      </c>
      <c r="BM113" s="109">
        <v>1</v>
      </c>
      <c r="BN113" s="110" t="s">
        <v>3017</v>
      </c>
      <c r="BO113" s="115">
        <v>0</v>
      </c>
      <c r="BP113" s="111">
        <v>1</v>
      </c>
      <c r="BQ113" s="111">
        <v>0</v>
      </c>
      <c r="BR113" s="111">
        <v>0</v>
      </c>
      <c r="BS113" s="111">
        <v>0</v>
      </c>
      <c r="BT113" s="111">
        <v>0</v>
      </c>
      <c r="BU113" s="111">
        <v>0</v>
      </c>
      <c r="BV113" s="111">
        <v>1</v>
      </c>
      <c r="BW113" s="147" t="str">
        <f>HYPERLINK("https://web.archive.org/web/20170303200408/http://www.cnn.com/2009/CRIME/04/06/binghamton.shooter.letter/index.html#","1")</f>
        <v>1</v>
      </c>
      <c r="BX113" s="111">
        <v>1</v>
      </c>
      <c r="BY113" s="105" t="str">
        <f>HYPERLINK("https://www.nytimes.com/2009/04/04/nyregion/04hostage.html","2")</f>
        <v>2</v>
      </c>
      <c r="BZ113" s="101">
        <v>0</v>
      </c>
      <c r="CA113" s="51">
        <v>0</v>
      </c>
      <c r="CB113" s="51" t="s">
        <v>100</v>
      </c>
      <c r="CC113" s="51">
        <v>0</v>
      </c>
      <c r="CD113" s="107" t="s">
        <v>100</v>
      </c>
      <c r="CE113" s="101" t="str">
        <f>HYPERLINK("https://www.syracuse.com/news/index.ssf/2009/04/jiverly_wongs_father_our_son_w.html","2")</f>
        <v>2</v>
      </c>
      <c r="CF113" s="101" t="str">
        <f>HYPERLINK("https://www.syracuse.com/news/2009/04/jiverly_wongs_father_our_son_w.html","0")</f>
        <v>0</v>
      </c>
      <c r="CG113" s="51">
        <v>0</v>
      </c>
      <c r="CH113" s="101">
        <v>3</v>
      </c>
      <c r="CI113" s="51">
        <v>0</v>
      </c>
      <c r="CJ113" s="51" t="s">
        <v>100</v>
      </c>
      <c r="CK113" s="113">
        <v>0</v>
      </c>
      <c r="CL113" s="113"/>
      <c r="CM113" s="113"/>
      <c r="CN113" s="110">
        <v>0</v>
      </c>
      <c r="CO113" s="110">
        <v>0</v>
      </c>
      <c r="CP113" s="110">
        <v>0</v>
      </c>
      <c r="CQ113" s="110">
        <v>0</v>
      </c>
      <c r="CR113" s="108">
        <v>0</v>
      </c>
      <c r="CS113" s="110">
        <v>0</v>
      </c>
      <c r="CT113" s="110">
        <v>0</v>
      </c>
      <c r="CU113" s="110">
        <v>0</v>
      </c>
      <c r="CV113" s="110">
        <v>0</v>
      </c>
      <c r="CW113" s="110">
        <v>0</v>
      </c>
      <c r="CX113" s="109">
        <v>2</v>
      </c>
      <c r="CY113" s="110">
        <v>0</v>
      </c>
      <c r="CZ113" s="108" t="str">
        <f>HYPERLINK("https://www.nytimes.com/2009/04/04/nyregion/04hostage.html","0")</f>
        <v>0</v>
      </c>
      <c r="DA113" s="101">
        <v>3</v>
      </c>
      <c r="DB113" s="51">
        <v>0</v>
      </c>
      <c r="DC113" s="101" t="str">
        <f>HYPERLINK("https://www.syracuse.com/news/2009/04/jiverly_wongs_father_our_son_w.html","0")</f>
        <v>0</v>
      </c>
      <c r="DD113" s="48"/>
      <c r="DE113" s="48"/>
      <c r="DF113" s="48"/>
      <c r="DG113" s="48"/>
      <c r="DH113" s="48"/>
      <c r="DI113" s="48"/>
      <c r="DJ113" s="48">
        <v>0</v>
      </c>
      <c r="DK113" s="51">
        <v>0</v>
      </c>
      <c r="DL113" s="48" t="s">
        <v>100</v>
      </c>
      <c r="DM113" s="105" t="str">
        <f>HYPERLINK("https://web.archive.org/web/20170303200408/http://www.cnn.com/2009/CRIME/04/06/binghamton.shooter.letter/index.html#","1")</f>
        <v>1</v>
      </c>
      <c r="DN113" s="51">
        <v>0</v>
      </c>
      <c r="DO113" s="51" t="s">
        <v>100</v>
      </c>
      <c r="DP113" s="101" t="str">
        <f>HYPERLINK("https://www.nytimes.com/2009/04/04/nyregion/04hostage.html","0")</f>
        <v>0</v>
      </c>
      <c r="DQ113" s="101" t="str">
        <f>HYPERLINK("https://www.nytimes.com/2009/04/12/nyregion/12binghamton.html","0")</f>
        <v>0</v>
      </c>
      <c r="DR113" s="101" t="str">
        <f>HYPERLINK("https://www.nytimes.com/2009/04/12/nyregion/12binghamton.html","1")</f>
        <v>1</v>
      </c>
      <c r="DS113" s="101" t="str">
        <f>HYPERLINK("https://www.nytimes.com/2009/04/12/nyregion/12binghamton.html","3")</f>
        <v>3</v>
      </c>
      <c r="DT113" s="101">
        <v>2</v>
      </c>
      <c r="DU113" s="101" t="str">
        <f>HYPERLINK("http://news.bbc.co.uk/2/hi/americas/7983968.stm","1")</f>
        <v>1</v>
      </c>
      <c r="DV113" s="101" t="str">
        <f>HYPERLINK("http://news.bbc.co.uk/2/hi/americas/7983968.stm","body armor")</f>
        <v>body armor</v>
      </c>
      <c r="DW113" s="101">
        <v>0</v>
      </c>
      <c r="DX113" s="101" t="str">
        <f>HYPERLINK("https://www.nytimes.com/2009/04/04/nyregion/04hostage.html","0")</f>
        <v>0</v>
      </c>
      <c r="DY113" s="51">
        <v>2</v>
      </c>
      <c r="DZ113" s="48">
        <v>0</v>
      </c>
    </row>
    <row r="114" spans="1:130" ht="50.25" customHeight="1">
      <c r="A114" s="96">
        <v>112</v>
      </c>
      <c r="B114" s="97" t="s">
        <v>532</v>
      </c>
      <c r="C114" s="97" t="s">
        <v>533</v>
      </c>
      <c r="D114" s="98">
        <v>40118</v>
      </c>
      <c r="E114" s="48" t="s">
        <v>137</v>
      </c>
      <c r="F114" s="99">
        <v>1</v>
      </c>
      <c r="G114" s="100" t="str">
        <f>HYPERLINK("http://www.nbcnews.com/id/33581235/ns/us_news-crime_and_courts/t/suspect-nabbed-after-killed-nc-shooting/#.XaIFvUZKhPZ","11")</f>
        <v>11</v>
      </c>
      <c r="H114" s="105" t="str">
        <f>HYPERLINK("http://www.nbcnews.com/id/33581235/ns/us_news-crime_and_courts/t/suspect-nabbed-after-killed-nc-shooting/#.XaIFvUZKhPZ","2009")</f>
        <v>2009</v>
      </c>
      <c r="I114" s="48" t="s">
        <v>534</v>
      </c>
      <c r="J114" s="105" t="str">
        <f>HYPERLINK("https://www.mtairynews.com/archive/18387/view-full_story-12350459-article-murderer_gets_three_life_terms","Mt. Airy")</f>
        <v>Mt. Airy</v>
      </c>
      <c r="K114" s="100" t="str">
        <f>HYPERLINK("https://www.wral.com/two-arrested-for-shooting-at-mount-airy-store/6398482/","33")</f>
        <v>33</v>
      </c>
      <c r="L114" s="100" t="str">
        <f>HYPERLINK("https://www.wral.com/two-arrested-for-shooting-at-mount-airy-store/6398482/","0")</f>
        <v>0</v>
      </c>
      <c r="M114" s="100" t="str">
        <f>HYPERLINK("https://www.cbsnews.com/news/man-arrested-in-nc-quadruple-shooting/","2")</f>
        <v>2</v>
      </c>
      <c r="N114" s="100" t="str">
        <f>HYPERLINK("http://www.nbcnews.com/id/33581235/ns/us_news-crime_and_courts/t/suspect-nabbed-after-killed-nc-shooting/#.XaH0RkZKhPY","4")</f>
        <v>4</v>
      </c>
      <c r="O114" s="100" t="str">
        <f>HYPERLINK("http://www.nbcnews.com/id/33581235/ns/us_news-crime_and_courts/t/suspect-nabbed-after-killed-nc-shooting/#.XaH0RkZKhPY","0")</f>
        <v>0</v>
      </c>
      <c r="P114" s="99" t="s">
        <v>100</v>
      </c>
      <c r="Q114" s="103">
        <v>0</v>
      </c>
      <c r="R114" s="103">
        <v>0</v>
      </c>
      <c r="S114" s="100" t="str">
        <f>HYPERLINK("http://www.nbcnews.com/id/33581235/ns/us_news-crime_and_courts/t/suspect-nabbed-after-killed-nc-shooting/#.XaH0RkZKhPY","4")</f>
        <v>4</v>
      </c>
      <c r="T114" s="100" t="str">
        <f>HYPERLINK("http://www.nbcnews.com/id/33581235/ns/us_news-crime_and_courts/t/suspect-nabbed-after-killed-nc-shooting/#.XaH0RkZKhPY","0")</f>
        <v>0</v>
      </c>
      <c r="U114" s="105" t="str">
        <f>HYPERLINK("https://www.mtairynews.com/archive/18387/view-full_story-12350459-article-murderer_gets_three_life_terms","0")</f>
        <v>0</v>
      </c>
      <c r="V114" s="105" t="str">
        <f>HYPERLINK("https://www.wral.com/two-arrested-for-shooting-at-mount-airy-store/6398482/","29")</f>
        <v>29</v>
      </c>
      <c r="W114" s="105" t="str">
        <f>HYPERLINK("http://www.nbcnews.com/id/33581235/ns/us_news-crime_and_courts/t/suspect-nabbed-after-killed-nc-shooting/#.XaH0RkZKhPY","0")</f>
        <v>0</v>
      </c>
      <c r="X114" s="105" t="str">
        <f>HYPERLINK("http://www.nbcnews.com/id/33581235/ns/us_news-crime_and_courts/t/suspect-nabbed-after-killed-nc-shooting/#.XaH0RkZKhPY","2")</f>
        <v>2</v>
      </c>
      <c r="Y114" s="105" t="str">
        <f>HYPERLINK("https://www.mtairynews.com/archive/18387/view-full_story-12350459-article-murderer_gets_three_life_terms","1")</f>
        <v>1</v>
      </c>
      <c r="Z114" s="105" t="str">
        <f>HYPERLINK("https://www.roanoke.com/archive/man-charged-with-killing-in-mayberry/article_88cc11b1-9f83-526c-99bf-ad15fc178a33.html","0")</f>
        <v>0</v>
      </c>
      <c r="AA114" s="48"/>
      <c r="AB114" s="48"/>
      <c r="AC114" s="51"/>
      <c r="AD114" s="51"/>
      <c r="AE114" s="48"/>
      <c r="AF114" s="48"/>
      <c r="AG114" s="48"/>
      <c r="AH114" s="48"/>
      <c r="AI114" s="105" t="str">
        <f>HYPERLINK("https://www.roanoke.com/archive/man-charged-with-killing-in-mayberry/article_88cc11b1-9f83-526c-99bf-ad15fc178a33.html","1")</f>
        <v>1</v>
      </c>
      <c r="AJ114" s="48"/>
      <c r="AK114" s="48"/>
      <c r="AL114" s="105" t="str">
        <f>HYPERLINK("https://www.wfmynews2.com/article/news/local/police-victims-in-mount-airy-shootings-related/83-401927666","0")</f>
        <v>0</v>
      </c>
      <c r="AM114" s="48">
        <v>0</v>
      </c>
      <c r="AN114" s="48" t="s">
        <v>100</v>
      </c>
      <c r="AO114" s="51"/>
      <c r="AP114" s="51"/>
      <c r="AQ114" s="105" t="str">
        <f>HYPERLINK("https://www.roanoke.com/archive/man-charged-with-killing-in-mayberry/article_88cc11b1-9f83-526c-99bf-ad15fc178a33.html","1")</f>
        <v>1</v>
      </c>
      <c r="AR114" s="48">
        <v>0</v>
      </c>
      <c r="AS114" s="105" t="str">
        <f>HYPERLINK("https://www.roanoke.com/archive/man-charged-with-killing-in-mayberry/article_88cc11b1-9f83-526c-99bf-ad15fc178a33.html","1")</f>
        <v>1</v>
      </c>
      <c r="AT114" s="52">
        <v>0</v>
      </c>
      <c r="AU114" s="52" t="s">
        <v>100</v>
      </c>
      <c r="AV114" s="52" t="s">
        <v>100</v>
      </c>
      <c r="AW114" s="52" t="s">
        <v>100</v>
      </c>
      <c r="AX114" s="105" t="str">
        <f>HYPERLINK("https://www.roanoke.com/archive/man-charged-with-killing-in-mayberry/article_88cc11b1-9f83-526c-99bf-ad15fc178a33.html","1")</f>
        <v>1</v>
      </c>
      <c r="AY114" s="48">
        <v>0</v>
      </c>
      <c r="AZ114" s="48">
        <v>0</v>
      </c>
      <c r="BA114" s="48">
        <v>0</v>
      </c>
      <c r="BB114" s="107">
        <v>0</v>
      </c>
      <c r="BC114" s="48"/>
      <c r="BD114" s="48"/>
      <c r="BE114" s="48"/>
      <c r="BF114" s="48"/>
      <c r="BG114" s="48"/>
      <c r="BH114" s="48"/>
      <c r="BI114" s="48"/>
      <c r="BJ114" s="48"/>
      <c r="BK114" s="48"/>
      <c r="BL114" s="116"/>
      <c r="BM114" s="116"/>
      <c r="BN114" s="113"/>
      <c r="BO114" s="129">
        <v>0</v>
      </c>
      <c r="BP114" s="129">
        <v>0</v>
      </c>
      <c r="BQ114" s="129">
        <v>0</v>
      </c>
      <c r="BR114" s="129">
        <v>0</v>
      </c>
      <c r="BS114" s="129">
        <v>0</v>
      </c>
      <c r="BT114" s="129">
        <v>0</v>
      </c>
      <c r="BU114" s="129">
        <v>0</v>
      </c>
      <c r="BV114" s="129">
        <v>0</v>
      </c>
      <c r="BW114" s="129">
        <v>0</v>
      </c>
      <c r="BX114" s="129">
        <v>0</v>
      </c>
      <c r="BY114" s="105" t="str">
        <f>HYPERLINK("https://www.mtairynews.com/archive/18387/view-full_story-12350459-article-murderer_gets_three_life_terms","0")</f>
        <v>0</v>
      </c>
      <c r="BZ114" s="48">
        <v>0</v>
      </c>
      <c r="CA114" s="48">
        <v>0</v>
      </c>
      <c r="CB114" s="48" t="s">
        <v>100</v>
      </c>
      <c r="CC114" s="48">
        <v>0</v>
      </c>
      <c r="CD114" s="52" t="s">
        <v>100</v>
      </c>
      <c r="CE114" s="48">
        <v>0</v>
      </c>
      <c r="CF114" s="48">
        <v>0</v>
      </c>
      <c r="CG114" s="48">
        <v>0</v>
      </c>
      <c r="CH114" s="48"/>
      <c r="CI114" s="48">
        <v>0</v>
      </c>
      <c r="CJ114" s="51" t="s">
        <v>100</v>
      </c>
      <c r="CK114" s="129">
        <v>0</v>
      </c>
      <c r="CL114" s="129"/>
      <c r="CM114" s="129"/>
      <c r="CN114" s="110">
        <v>0</v>
      </c>
      <c r="CO114" s="116">
        <v>0</v>
      </c>
      <c r="CP114" s="116">
        <v>0</v>
      </c>
      <c r="CQ114" s="116">
        <v>0</v>
      </c>
      <c r="CR114" s="116">
        <v>0</v>
      </c>
      <c r="CS114" s="116">
        <v>0</v>
      </c>
      <c r="CT114" s="116">
        <v>0</v>
      </c>
      <c r="CU114" s="116">
        <v>0</v>
      </c>
      <c r="CV114" s="127">
        <v>1</v>
      </c>
      <c r="CW114" s="116">
        <v>0</v>
      </c>
      <c r="CX114" s="116">
        <v>0</v>
      </c>
      <c r="CY114" s="116">
        <v>0</v>
      </c>
      <c r="CZ114" s="116">
        <v>0</v>
      </c>
      <c r="DA114" s="48">
        <v>0</v>
      </c>
      <c r="DB114" s="48">
        <v>0</v>
      </c>
      <c r="DC114" s="48">
        <v>0</v>
      </c>
      <c r="DD114" s="48"/>
      <c r="DE114" s="48"/>
      <c r="DF114" s="48"/>
      <c r="DG114" s="48"/>
      <c r="DH114" s="48"/>
      <c r="DI114" s="48"/>
      <c r="DJ114" s="48">
        <v>0</v>
      </c>
      <c r="DK114" s="48">
        <v>0</v>
      </c>
      <c r="DL114" s="48" t="s">
        <v>100</v>
      </c>
      <c r="DM114" s="105" t="str">
        <f>HYPERLINK("https://www.mtairynews.com/archive/18387/view-full_story-12350459-article-murderer_gets_three_life_terms","0")</f>
        <v>0</v>
      </c>
      <c r="DN114" s="48">
        <v>0</v>
      </c>
      <c r="DO114" s="48" t="s">
        <v>100</v>
      </c>
      <c r="DP114" s="105" t="str">
        <f t="shared" ref="DP114:DQ114" si="285">HYPERLINK("https://www.mtairynews.com/archive/18387/view-full_story-12350459-article-murderer_gets_three_life_terms","0")</f>
        <v>0</v>
      </c>
      <c r="DQ114" s="105" t="str">
        <f t="shared" si="285"/>
        <v>0</v>
      </c>
      <c r="DR114" s="48">
        <v>0</v>
      </c>
      <c r="DS114" s="51"/>
      <c r="DT114" s="105" t="str">
        <f>HYPERLINK("https://www.mtairynews.com/archive/18387/view-full_story-12350459-article-murderer_gets_three_life_terms","1")</f>
        <v>1</v>
      </c>
      <c r="DU114" s="105" t="str">
        <f>HYPERLINK("https://www.mtairynews.com/archive/18387/view-full_story-12350459-article-murderer_gets_three_life_terms","0")</f>
        <v>0</v>
      </c>
      <c r="DV114" s="48" t="s">
        <v>100</v>
      </c>
      <c r="DW114" s="105" t="str">
        <f>HYPERLINK("http://www.nbcnews.com/id/33581235/ns/us_news-crime_and_courts/t/suspect-nabbed-after-killed-nc-shooting/#.XaPDU5NKgUu","2")</f>
        <v>2</v>
      </c>
      <c r="DX114" s="105" t="str">
        <f>HYPERLINK("https://www.mtairynews.com/archive/18387/view-full_story-12350459-article-murderer_gets_three_life_terms","1")</f>
        <v>1</v>
      </c>
      <c r="DY114" s="105" t="str">
        <f>HYPERLINK("https://www.mtairynews.com/archive/18387/view-full_story-12350459-article-murderer_gets_three_life_terms","0")</f>
        <v>0</v>
      </c>
      <c r="DZ114" s="105" t="str">
        <f>HYPERLINK("https://www.mtairynews.com/archive/18387/view-full_story-12350459-article-murderer_gets_three_life_terms","2")</f>
        <v>2</v>
      </c>
    </row>
    <row r="115" spans="1:130" ht="50.25" customHeight="1">
      <c r="A115" s="96">
        <v>113</v>
      </c>
      <c r="B115" s="97" t="s">
        <v>536</v>
      </c>
      <c r="C115" s="97" t="s">
        <v>537</v>
      </c>
      <c r="D115" s="98">
        <v>40122</v>
      </c>
      <c r="E115" s="48" t="s">
        <v>178</v>
      </c>
      <c r="F115" s="119">
        <v>5</v>
      </c>
      <c r="G115" s="102" t="str">
        <f>HYPERLINK("https://www.theguardian.com/world/2009/nov/06/nidal-malik-hasan-fort-hood-shooting1","11")</f>
        <v>11</v>
      </c>
      <c r="H115" s="101" t="str">
        <f>HYPERLINK("http://www.cnn.com/2013/08/06/justice/hasan-court-martial/index.html?hpt=hp_t2","2009")</f>
        <v>2009</v>
      </c>
      <c r="I115" s="48" t="s">
        <v>538</v>
      </c>
      <c r="J115" s="101" t="str">
        <f>HYPERLINK("http://www.nytimes.com/2009/11/09/us/09reconstruct.html?pagewanted=all","Killeen
")</f>
        <v xml:space="preserve">Killeen
</v>
      </c>
      <c r="K115" s="102" t="str">
        <f>HYPERLINK("https://www.washingtonpost.com/world/national-security/nidal-hasan-sentenced-to-death-for-fort-hood-shooting-rampage/2013/08/28/aad28de2-0ffa-11e3-bdf6-e4fc677d94a1_story.html","43")</f>
        <v>43</v>
      </c>
      <c r="L115" s="102" t="str">
        <f>HYPERLINK("https://www.washingtonpost.com/world/national-security/nidal-hasan-sentenced-to-death-for-fort-hood-shooting-rampage/2013/08/28/aad28de2-0ffa-11e3-bdf6-e4fc677d94a1_story.html","0")</f>
        <v>0</v>
      </c>
      <c r="M115" s="102" t="str">
        <f>HYPERLINK("https://www.nytimes.com/2009/11/06/us/06forthood.html?rref=collection%2Ftimestopic%2FHasan%2C%20Nidal%20Malik","0")</f>
        <v>0</v>
      </c>
      <c r="N115" s="102" t="str">
        <f>HYPERLINK("https://www.theguardian.com/world/2009/nov/06/nidal-malik-hasan-fort-hood-shooting1","6")</f>
        <v>6</v>
      </c>
      <c r="O115" s="102">
        <v>0</v>
      </c>
      <c r="P115" s="99" t="s">
        <v>100</v>
      </c>
      <c r="Q115" s="103">
        <v>0</v>
      </c>
      <c r="R115" s="103">
        <v>0</v>
      </c>
      <c r="S115" s="102" t="str">
        <f>HYPERLINK("http://www.cnn.com/2013/08/06/justice/hasan-court-martial/index.html?hpt=hp_t2","13")</f>
        <v>13</v>
      </c>
      <c r="T115" s="102" t="str">
        <f>HYPERLINK("https://www.cnn.com/2013/08/06/justice/hasan-court-martial/index.html","32")</f>
        <v>32</v>
      </c>
      <c r="U115" s="101" t="str">
        <f>HYPERLINK("https://extremism.gwu.edu/sites/g/files/zaxdzs2191/f/Nidal%20Hasan.pdf","0")</f>
        <v>0</v>
      </c>
      <c r="V115" s="101" t="str">
        <f>HYPERLINK("https://www.nytimes.com/2009/11/07/us/07suspect.html?rref=collection%2Ftimestopic%2FHasan%2C%20Nidal%20Malik&amp;action=click&amp;contentCollection=timestopics&amp;region=stream&amp;module=stream_unit&amp;version=latest&amp;contentPlacement=139&amp;pgtype=collection","39")</f>
        <v>39</v>
      </c>
      <c r="W115" s="101" t="str">
        <f>HYPERLINK("http://www.nytimes.com/2009/11/09/us/09reconstruct.html?pagewanted=all","0")</f>
        <v>0</v>
      </c>
      <c r="X115" s="101" t="str">
        <f>HYPERLINK("https://www.theguardian.com/world/2009/nov/06/nidal-malik-hasan-fort-hood-shooting1","4")</f>
        <v>4</v>
      </c>
      <c r="Y115" s="105" t="str">
        <f>HYPERLINK("https://www.cnn.com/2013/08/06/justice/hasan-court-martial/index.html?hpt=hp_t2","0")</f>
        <v>0</v>
      </c>
      <c r="Z115" s="101" t="str">
        <f>HYPERLINK("https://www.nytimes.com/2009/11/09/us/09reconstruct.html?pagewanted=all","0")</f>
        <v>0</v>
      </c>
      <c r="AA115" s="101" t="str">
        <f>HYPERLINK("http://www.nytimes.com/2009/11/09/us/09reconstruct.html?pagewanted=all","2")</f>
        <v>2</v>
      </c>
      <c r="AB115" s="101" t="str">
        <f>HYPERLINK("https://www.nytimes.com/2009/11/09/us/09reconstruct.html?pagewanted=all","4")</f>
        <v>4</v>
      </c>
      <c r="AC115" s="101" t="str">
        <f>HYPERLINK("https://www.nytimes.com/2009/11/09/us/09reconstruct.html?pagewanted=all","2")</f>
        <v>2</v>
      </c>
      <c r="AD115" s="101" t="str">
        <f>HYPERLINK("https://www.nytimes.com/2009/11/09/us/09reconstruct.html?pagewanted=all","graduated with honors")</f>
        <v>graduated with honors</v>
      </c>
      <c r="AE115" s="101" t="str">
        <f>HYPERLINK("https://www.nytimes.com/2009/11/09/us/09reconstruct.html","1")</f>
        <v>1</v>
      </c>
      <c r="AF115" s="101" t="str">
        <f>HYPERLINK("https://www.nytimes.com/2009/11/09/us/09reconstruct.html","2")</f>
        <v>2</v>
      </c>
      <c r="AG115" s="101" t="str">
        <f>HYPERLINK("https://www.nytimes.com/2009/11/09/us/09reconstruct.html","0")</f>
        <v>0</v>
      </c>
      <c r="AH115" s="101" t="str">
        <f>HYPERLINK("https://www.nytimes.com/2009/11/09/us/09reconstruct.html","2")</f>
        <v>2</v>
      </c>
      <c r="AI115" s="101" t="str">
        <f t="shared" ref="AI115:AJ115" si="286">HYPERLINK("https://www.theguardian.com/world/2009/nov/06/nidal-malik-hasan-fort-hood-shooting1","0")</f>
        <v>0</v>
      </c>
      <c r="AJ115" s="101" t="str">
        <f t="shared" si="286"/>
        <v>0</v>
      </c>
      <c r="AK115" s="101" t="str">
        <f>HYPERLINK("http://www.nytimes.com/2009/11/06/us/06forthood.html?rref=collection%2Ftimestopic%2FHasan%2C%20Nidal%20Malik","1")</f>
        <v>1</v>
      </c>
      <c r="AL115" s="101" t="str">
        <f>HYPERLINK("https://www.nytimes.com/2009/11/06/us/06forthood.html?rref=collection%2Ftimestopic%2FHasan%2C%20Nidal%20Malik","1")</f>
        <v>1</v>
      </c>
      <c r="AM115" s="101" t="str">
        <f>HYPERLINK("http://www.nytimes.com/2009/11/09/us/09reconstruct.html?pagewanted=all","1")</f>
        <v>1</v>
      </c>
      <c r="AN115" s="101" t="str">
        <f>HYPERLINK("http://www.nytimes.com/2009/11/09/us/09reconstruct.html?pagewanted=all","0")</f>
        <v>0</v>
      </c>
      <c r="AO115" s="101" t="str">
        <f>HYPERLINK("https://www.nytimes.com/2009/11/09/us/09reconstruct.html?pagewanted=all","2")</f>
        <v>2</v>
      </c>
      <c r="AP115" s="101" t="str">
        <f>HYPERLINK("https://www.nytimes.com/2009/11/09/us/09reconstruct.html?pagewanted=all","mosque, friendly with neighbors")</f>
        <v>mosque, friendly with neighbors</v>
      </c>
      <c r="AQ115" s="101" t="str">
        <f>HYPERLINK("https://abcnews.go.com/Politics/fort-hood-shooter-obtained-weapon-ongoing-terrorism-investigation/story?id=9058803","1")</f>
        <v>1</v>
      </c>
      <c r="AR115" s="51">
        <v>0</v>
      </c>
      <c r="AS115" s="101" t="str">
        <f>HYPERLINK("https://www.theguardian.com/world/2009/nov/06/nidal-malik-hasan-fort-hood-shooting1","0")</f>
        <v>0</v>
      </c>
      <c r="AT115" s="51">
        <v>0</v>
      </c>
      <c r="AU115" s="51" t="s">
        <v>100</v>
      </c>
      <c r="AV115" s="51" t="s">
        <v>100</v>
      </c>
      <c r="AW115" s="51" t="s">
        <v>100</v>
      </c>
      <c r="AX115" s="51">
        <v>0</v>
      </c>
      <c r="AY115" s="51">
        <v>0</v>
      </c>
      <c r="AZ115" s="101" t="str">
        <f>HYPERLINK("https://extremism.gwu.edu/sites/g/files/zaxdzs2191/f/Nidal%20Hasan.pdf","1")</f>
        <v>1</v>
      </c>
      <c r="BA115" s="101" t="str">
        <f>HYPERLINK("https://extremism.gwu.edu/sites/g/files/zaxdzs2191/f/Nidal%20Hasan.pdf","3")</f>
        <v>3</v>
      </c>
      <c r="BB115" s="107">
        <v>0</v>
      </c>
      <c r="BC115" s="101" t="str">
        <f>HYPERLINK("https://www.nytimes.com/2009/11/09/us/09reconstruct.html?pagewanted=all","0")</f>
        <v>0</v>
      </c>
      <c r="BD115" s="101" t="str">
        <f>HYPERLINK("https://www.nytimes.com/2009/11/09/us/09reconstruct.html?pagewanted=all","1")</f>
        <v>1</v>
      </c>
      <c r="BE115" s="101" t="str">
        <f t="shared" ref="BE115:BF115" si="287">HYPERLINK("https://extremism.gwu.edu/sites/g/files/zaxdzs2191/f/Nidal%20Hasan.pdf","0")</f>
        <v>0</v>
      </c>
      <c r="BF115" s="101" t="str">
        <f t="shared" si="287"/>
        <v>0</v>
      </c>
      <c r="BG115" s="51"/>
      <c r="BH115" s="51">
        <v>1</v>
      </c>
      <c r="BI115" s="101">
        <v>1</v>
      </c>
      <c r="BJ115" s="101">
        <v>0</v>
      </c>
      <c r="BK115" s="101" t="str">
        <f>HYPERLINK("https://www.npr.org/templates/story/story.php?storyId=120313570","1")</f>
        <v>1</v>
      </c>
      <c r="BL115" s="108" t="str">
        <f>HYPERLINK("https://www.nytimes.com/2009/11/09/us/09reconstruct.html?pagewanted=all","1")</f>
        <v>1</v>
      </c>
      <c r="BM115" s="109">
        <v>2</v>
      </c>
      <c r="BN115" s="110" t="s">
        <v>3046</v>
      </c>
      <c r="BO115" s="111">
        <v>1</v>
      </c>
      <c r="BP115" s="111">
        <v>0</v>
      </c>
      <c r="BQ115" s="111">
        <v>0</v>
      </c>
      <c r="BR115" s="111">
        <v>0</v>
      </c>
      <c r="BS115" s="111">
        <v>0</v>
      </c>
      <c r="BT115" s="111">
        <v>1</v>
      </c>
      <c r="BU115" s="111">
        <v>0</v>
      </c>
      <c r="BV115" s="111">
        <v>0</v>
      </c>
      <c r="BW115" s="111">
        <v>0</v>
      </c>
      <c r="BX115" s="111">
        <v>0</v>
      </c>
      <c r="BY115" s="101" t="str">
        <f>HYPERLINK("https://extremism.gwu.edu/sites/g/files/zaxdzs2191/f/Nidal%20Hasan.pdf","2")</f>
        <v>2</v>
      </c>
      <c r="BZ115" s="51">
        <v>0</v>
      </c>
      <c r="CA115" s="101" t="str">
        <f>HYPERLINK("http://www.nytimes.com/2009/11/09/us/09reconstruct.html?pagewanted=all","1")</f>
        <v>1</v>
      </c>
      <c r="CB115" s="101" t="str">
        <f>HYPERLINK("https://theweek.com/articles/499970/who-nidal-hasan","0")</f>
        <v>0</v>
      </c>
      <c r="CC115" s="101">
        <v>0</v>
      </c>
      <c r="CD115" s="101" t="str">
        <f>HYPERLINK("https://www.nytimes.com/2009/11/09/us/09reconstruct.html?pagewanted=all","0")</f>
        <v>0</v>
      </c>
      <c r="CE115" s="101" t="str">
        <f>HYPERLINK("http://www.nbcnews.com/id/33868368/ns/us_news-tragedy_at_fort_hood/t/doctors-questioned-hasans-behavior/#.XVWSxJNKgUt","5")</f>
        <v>5</v>
      </c>
      <c r="CF115" s="51">
        <v>0</v>
      </c>
      <c r="CG115" s="51">
        <v>0</v>
      </c>
      <c r="CH115" s="51">
        <v>0</v>
      </c>
      <c r="CI115" s="51">
        <v>0</v>
      </c>
      <c r="CJ115" s="51" t="s">
        <v>100</v>
      </c>
      <c r="CK115" s="117">
        <v>4</v>
      </c>
      <c r="CL115" s="113"/>
      <c r="CM115" s="113"/>
      <c r="CN115" s="110">
        <v>0</v>
      </c>
      <c r="CO115" s="110">
        <v>0</v>
      </c>
      <c r="CP115" s="110">
        <v>0</v>
      </c>
      <c r="CQ115" s="110">
        <v>0</v>
      </c>
      <c r="CR115" s="110">
        <v>0</v>
      </c>
      <c r="CS115" s="110">
        <v>0</v>
      </c>
      <c r="CT115" s="110">
        <v>0</v>
      </c>
      <c r="CU115" s="110">
        <v>0</v>
      </c>
      <c r="CV115" s="110">
        <v>0</v>
      </c>
      <c r="CW115" s="110">
        <v>0</v>
      </c>
      <c r="CX115" s="108" t="str">
        <f>HYPERLINK("https://www.cnn.com/2013/08/06/justice/hasan-court-martial/index.html?hpt=hp_t2","1")</f>
        <v>1</v>
      </c>
      <c r="CY115" s="110">
        <v>0</v>
      </c>
      <c r="CZ115" s="108" t="str">
        <f>HYPERLINK("https://www.cnn.com/2013/08/06/justice/hasan-court-martial/index.html?hpt=hp_t2","0")</f>
        <v>0</v>
      </c>
      <c r="DA115" s="51">
        <v>0</v>
      </c>
      <c r="DB115" s="101" t="str">
        <f>HYPERLINK("https://www.theguardian.com/world/2009/nov/06/nidal-malik-hasan-fort-hood-shooting1","1")</f>
        <v>1</v>
      </c>
      <c r="DC115" s="141" t="str">
        <f>HYPERLINK("https://www.nytimes.com/2009/11/09/us/09reconstruct.html?pagewanted=all","1")</f>
        <v>1</v>
      </c>
      <c r="DD115" s="107">
        <v>0</v>
      </c>
      <c r="DE115" s="51">
        <v>9</v>
      </c>
      <c r="DF115" s="51">
        <v>0</v>
      </c>
      <c r="DG115" s="51"/>
      <c r="DH115" s="51"/>
      <c r="DI115" s="51"/>
      <c r="DJ115" s="101" t="str">
        <f>HYPERLINK("https://www.cnn.com/2013/08/06/justice/hasan-court-martial/index.html?hpt=hp_t2","1")</f>
        <v>1</v>
      </c>
      <c r="DK115" s="51">
        <v>0</v>
      </c>
      <c r="DL115" s="48" t="s">
        <v>100</v>
      </c>
      <c r="DM115" s="101" t="str">
        <f>HYPERLINK("https://www.cnn.com/2013/08/06/justice/hasan-court-martial/index.html?hpt=hp_t2","0")</f>
        <v>0</v>
      </c>
      <c r="DN115" s="51">
        <v>0</v>
      </c>
      <c r="DO115" s="51" t="s">
        <v>100</v>
      </c>
      <c r="DP115" s="101" t="str">
        <f>HYPERLINK("https://www.washingtonpost.com/world/national-security/nidal-hasan-convicted-of-fort-hood-killings/2013/08/23/39c468c8-0c03-11e3-9941-6711ed662e71_story.html","1")</f>
        <v>1</v>
      </c>
      <c r="DQ115" s="101" t="str">
        <f>HYPERLINK("https://www.cnn.com/2013/08/06/justice/hasan-court-martial/index.html?hpt=hp_t2","0")</f>
        <v>0</v>
      </c>
      <c r="DR115" s="101" t="str">
        <f>HYPERLINK("https://www.theguardian.com/world/2009/nov/06/nidal-malik-hasan-fort-hood-shooting1","0")</f>
        <v>0</v>
      </c>
      <c r="DS115" s="101" t="str">
        <f>HYPERLINK("https://www.nytimes.com/2009/11/09/us/09reconstruct.html?pagewanted=all","3")</f>
        <v>3</v>
      </c>
      <c r="DT115" s="101" t="str">
        <f>HYPERLINK("https://extremism.gwu.edu/sites/g/files/zaxdzs2191/f/Nidal%20Hasan.pdf","2")</f>
        <v>2</v>
      </c>
      <c r="DU115" s="101" t="str">
        <f>HYPERLINK("https://www.cnn.com/2013/08/06/justice/hasan-court-martial/index.html?hpt=hp_t2","1")</f>
        <v>1</v>
      </c>
      <c r="DV115" s="101" t="str">
        <f>HYPERLINK("https://extremism.gwu.edu/sites/g/files/zaxdzs2191/f/Nidal%20Hasan.pdf","laser sights, earplugs")</f>
        <v>laser sights, earplugs</v>
      </c>
      <c r="DW115" s="101" t="str">
        <f>HYPERLINK("https://www.theguardian.com/world/2013/aug/28/fort-hood-shooter-sentenced-death","2")</f>
        <v>2</v>
      </c>
      <c r="DX115" s="101" t="str">
        <f>HYPERLINK("https://extremism.gwu.edu/sites/g/files/zaxdzs2191/f/Nidal%20Hasan.pdf","0")</f>
        <v>0</v>
      </c>
      <c r="DY115" s="101" t="str">
        <f>HYPERLINK("https://www.washingtonpost.com/world/national-security/nidal-hasan-convicted-of-fort-hood-killings/2013/08/23/39c468c8-0c03-11e3-9941-6711ed662e71_story.html","0")</f>
        <v>0</v>
      </c>
      <c r="DZ115" s="133" t="str">
        <f>HYPERLINK("https://www.theguardian.com/world/2013/aug/28/fort-hood-shooter-sentenced-death","1")</f>
        <v>1</v>
      </c>
    </row>
    <row r="116" spans="1:130" ht="50.25" customHeight="1">
      <c r="A116" s="96">
        <v>114</v>
      </c>
      <c r="B116" s="97" t="s">
        <v>540</v>
      </c>
      <c r="C116" s="97" t="s">
        <v>541</v>
      </c>
      <c r="D116" s="98">
        <v>40146</v>
      </c>
      <c r="E116" s="48" t="s">
        <v>137</v>
      </c>
      <c r="F116" s="119">
        <v>29</v>
      </c>
      <c r="G116" s="102">
        <v>11</v>
      </c>
      <c r="H116" s="101">
        <v>2009</v>
      </c>
      <c r="I116" s="48" t="s">
        <v>542</v>
      </c>
      <c r="J116" s="101" t="s">
        <v>543</v>
      </c>
      <c r="K116" s="102">
        <v>47</v>
      </c>
      <c r="L116" s="102">
        <v>3</v>
      </c>
      <c r="M116" s="102">
        <v>1</v>
      </c>
      <c r="N116" s="102" t="str">
        <f>HYPERLINK("https://www.latimes.com/archives/la-xpm-2009-dec-02-la-na-police-shooting2-2009dec02-story.html","5")</f>
        <v>5</v>
      </c>
      <c r="O116" s="102" t="str">
        <f>HYPERLINK("https://web.archive.org/web/20101021234307/http:/seattletimes.nwsource.com/html/localnews/2013170137_otherside21.html","0")</f>
        <v>0</v>
      </c>
      <c r="P116" s="99" t="s">
        <v>100</v>
      </c>
      <c r="Q116" s="103">
        <v>1</v>
      </c>
      <c r="R116" s="103">
        <v>1</v>
      </c>
      <c r="S116" s="102">
        <v>4</v>
      </c>
      <c r="T116" s="102">
        <v>0</v>
      </c>
      <c r="U116" s="101" t="str">
        <f>HYPERLINK("https://web.archive.org/web/20101021234307/http:/seattletimes.nwsource.com/html/localnews/2013170137_otherside21.html","0")</f>
        <v>0</v>
      </c>
      <c r="V116" s="101">
        <v>37</v>
      </c>
      <c r="W116" s="101">
        <v>0</v>
      </c>
      <c r="X116" s="101">
        <v>1</v>
      </c>
      <c r="Y116" s="105">
        <v>0</v>
      </c>
      <c r="Z116" s="101" t="str">
        <f>HYPERLINK("https://web.archive.org/web/20101021234307/http:/seattletimes.nwsource.com/html/localnews/2013170137_otherside21.html","0")</f>
        <v>0</v>
      </c>
      <c r="AA116" s="101" t="str">
        <f>HYPERLINK("https://web.archive.org/web/20101022133257/http://seattletimes.nwsource.com/html/localnews/2013170126_otherside19.html","1")</f>
        <v>1</v>
      </c>
      <c r="AB116" s="101" t="str">
        <f t="shared" ref="AB116:AC116" si="288">HYPERLINK("https://www.seattletimes.com/seattle-news/a-path-to-murder-the-story-of-maurice-clemmons/","0")</f>
        <v>0</v>
      </c>
      <c r="AC116" s="101" t="str">
        <f t="shared" si="288"/>
        <v>0</v>
      </c>
      <c r="AD116" s="101" t="str">
        <f>HYPERLINK("https://www.seattletimes.com/seattle-news/a-path-to-murder-the-story-of-maurice-clemmons/","expelled at 16 for bringing a gun to school")</f>
        <v>expelled at 16 for bringing a gun to school</v>
      </c>
      <c r="AE116" s="101" t="str">
        <f>HYPERLINK("https://www.theolympian.com/news/local/article25272496.html","2")</f>
        <v>2</v>
      </c>
      <c r="AF116" s="101" t="str">
        <f>HYPERLINK("https://books.google.com/books?id=ms5s4g_e6zEC&amp;pg=PA191&amp;lpg=PA191&amp;dq=maurice+clemmons+childhood&amp;source=bl&amp;ots=xZXMNp_4yR&amp;sig=ACfU3U1yCsYo7senIGlVGcQJBbEmmHBi8w&amp;hl=en&amp;sa=X&amp;ved=2ahUKEwi2nobf7f7nAhWoIjQIHaJEBe8Q6AEwCXoECA0QAQ#v=snippet&amp;q=dorthy&amp;f=false","5")</f>
        <v>5</v>
      </c>
      <c r="AG116" s="101" t="str">
        <f>HYPERLINK("https://www.pulitzer.org/winners/staff-71","1")</f>
        <v>1</v>
      </c>
      <c r="AH116" s="101" t="str">
        <f>HYPERLINK("https://www.pulitzer.org/winners/staff-71","4")</f>
        <v>4</v>
      </c>
      <c r="AI116" s="101">
        <v>2</v>
      </c>
      <c r="AJ116" s="101" t="str">
        <f>HYPERLINK("https://web.archive.org/web/20101020091348/http://seattletimes.nwsource.com/html/localnews/2013169933_otherside17.html","1")</f>
        <v>1</v>
      </c>
      <c r="AK116" s="101" t="str">
        <f>HYPERLINK("https://www.latimes.com/archives/la-xpm-2009-dec-01-la-na-police-shootings1-2009dec01-story.html","0")</f>
        <v>0</v>
      </c>
      <c r="AL116" s="101">
        <v>0</v>
      </c>
      <c r="AM116" s="51">
        <v>0</v>
      </c>
      <c r="AN116" s="48" t="s">
        <v>100</v>
      </c>
      <c r="AO116" s="101" t="str">
        <f>HYPERLINK("https://www.seattletimes.com/seattle-news/a-path-to-murder-the-story-of-maurice-clemmons/","0")</f>
        <v>0</v>
      </c>
      <c r="AP116" s="51"/>
      <c r="AQ116" s="101">
        <v>1</v>
      </c>
      <c r="AR116" s="51">
        <v>0</v>
      </c>
      <c r="AS116" s="101">
        <v>1</v>
      </c>
      <c r="AT116" s="105" t="str">
        <f>HYPERLINK("https://www.pulitzer.org/winners/staff-71","2")</f>
        <v>2</v>
      </c>
      <c r="AU116" s="105">
        <v>2</v>
      </c>
      <c r="AV116" s="48"/>
      <c r="AW116" s="48"/>
      <c r="AX116" s="105" t="str">
        <f>HYPERLINK("https://www.pulitzer.org/winners/staff-71","1")</f>
        <v>1</v>
      </c>
      <c r="AY116" s="51">
        <v>0</v>
      </c>
      <c r="AZ116" s="106" t="s">
        <v>809</v>
      </c>
      <c r="BA116" s="51">
        <v>0</v>
      </c>
      <c r="BB116" s="107">
        <v>0</v>
      </c>
      <c r="BC116" s="101">
        <v>0</v>
      </c>
      <c r="BD116" s="101">
        <v>0</v>
      </c>
      <c r="BE116" s="123">
        <v>1</v>
      </c>
      <c r="BF116" s="51">
        <v>0</v>
      </c>
      <c r="BG116" s="101" t="str">
        <f>HYPERLINK("https://www.seattletimes.com/seattle-news/a-path-to-murder-the-story-of-maurice-clemmons/","3")</f>
        <v>3</v>
      </c>
      <c r="BH116" s="51">
        <v>0</v>
      </c>
      <c r="BI116" s="51">
        <v>0</v>
      </c>
      <c r="BJ116" s="101" t="str">
        <f>HYPERLINK("https://www.npr.org/templates/story/story.php?storyId=130636272","1")</f>
        <v>1</v>
      </c>
      <c r="BK116" s="101" t="str">
        <f>HYPERLINK("https://www.seattletimes.com/seattle-news/a-path-to-murder-the-story-of-maurice-clemmons/","1")</f>
        <v>1</v>
      </c>
      <c r="BL116" s="108">
        <v>1</v>
      </c>
      <c r="BM116" s="109">
        <v>2</v>
      </c>
      <c r="BN116" s="110" t="s">
        <v>3108</v>
      </c>
      <c r="BO116" s="111">
        <v>1</v>
      </c>
      <c r="BP116" s="111">
        <v>0</v>
      </c>
      <c r="BQ116" s="111">
        <v>0</v>
      </c>
      <c r="BR116" s="111">
        <v>0</v>
      </c>
      <c r="BS116" s="111">
        <v>0</v>
      </c>
      <c r="BT116" s="111">
        <v>1</v>
      </c>
      <c r="BU116" s="111">
        <v>1</v>
      </c>
      <c r="BV116" s="111">
        <v>0</v>
      </c>
      <c r="BW116" s="111">
        <v>1</v>
      </c>
      <c r="BX116" s="151">
        <v>1</v>
      </c>
      <c r="BY116" s="101">
        <v>0</v>
      </c>
      <c r="BZ116" s="51">
        <v>0</v>
      </c>
      <c r="CA116" s="101">
        <v>1</v>
      </c>
      <c r="CB116" s="101" t="str">
        <f>HYPERLINK("https://web.archive.org/web/20091209021105/http:/seattletimes.nwsource.com/html/localnews/2010436039_clemmonsprofile06m.html","0")</f>
        <v>0</v>
      </c>
      <c r="CC116" s="101">
        <v>0</v>
      </c>
      <c r="CD116" s="141" t="str">
        <f>HYPERLINK("https://web.archive.org/web/20091209021105/http:/seattletimes.nwsource.com/html/localnews/2010436039_clemmonsprofile06m.html","1")</f>
        <v>1</v>
      </c>
      <c r="CE116" s="101" t="str">
        <f>HYPERLINK("https://www.npr.org/templates/story/story.php?storyId=130636272","2")</f>
        <v>2</v>
      </c>
      <c r="CF116" s="101" t="str">
        <f>HYPERLINK("https://www.seattletimes.com/seattle-news/a-path-to-murder-the-story-of-maurice-clemmons/","0")</f>
        <v>0</v>
      </c>
      <c r="CG116" s="51">
        <v>0</v>
      </c>
      <c r="CH116" s="101">
        <v>2</v>
      </c>
      <c r="CI116" s="51">
        <v>0</v>
      </c>
      <c r="CJ116" s="51" t="s">
        <v>100</v>
      </c>
      <c r="CK116" s="117">
        <v>2</v>
      </c>
      <c r="CL116" s="113"/>
      <c r="CM116" s="113"/>
      <c r="CN116" s="110">
        <v>0</v>
      </c>
      <c r="CO116" s="110">
        <v>0</v>
      </c>
      <c r="CP116" s="108">
        <v>0</v>
      </c>
      <c r="CQ116" s="110">
        <v>0</v>
      </c>
      <c r="CR116" s="110">
        <v>0</v>
      </c>
      <c r="CS116" s="110">
        <v>0</v>
      </c>
      <c r="CT116" s="108" t="str">
        <f>HYPERLINK("https://www.npr.org/templates/story/story.php?storyId=130636272","1")</f>
        <v>1</v>
      </c>
      <c r="CU116" s="110">
        <v>0</v>
      </c>
      <c r="CV116" s="110">
        <v>0</v>
      </c>
      <c r="CW116" s="110">
        <v>0</v>
      </c>
      <c r="CX116" s="108">
        <v>0</v>
      </c>
      <c r="CY116" s="110">
        <v>0</v>
      </c>
      <c r="CZ116" s="108" t="str">
        <f>HYPERLINK("https://web.archive.org/web/20101021234307/http:/seattletimes.nwsource.com/html/localnews/2013170137_otherside21.html","0")</f>
        <v>0</v>
      </c>
      <c r="DA116" s="51">
        <v>0</v>
      </c>
      <c r="DB116" s="51">
        <v>0</v>
      </c>
      <c r="DC116" s="101" t="str">
        <f>HYPERLINK("https://www.seattletimes.com/seattle-news/a-path-to-murder-the-story-of-maurice-clemmons/","1")</f>
        <v>1</v>
      </c>
      <c r="DD116" s="107">
        <v>0</v>
      </c>
      <c r="DE116" s="107">
        <v>3</v>
      </c>
      <c r="DF116" s="107">
        <v>0</v>
      </c>
      <c r="DG116" s="107">
        <v>0</v>
      </c>
      <c r="DH116" s="107">
        <v>1</v>
      </c>
      <c r="DI116" s="107">
        <v>1</v>
      </c>
      <c r="DJ116" s="51">
        <v>0</v>
      </c>
      <c r="DK116" s="51">
        <v>0</v>
      </c>
      <c r="DL116" s="48" t="s">
        <v>100</v>
      </c>
      <c r="DM116" s="101" t="str">
        <f>HYPERLINK("https://web.archive.org/web/20101021234307/http:/seattletimes.nwsource.com/html/localnews/2013170137_otherside21.html","0")</f>
        <v>0</v>
      </c>
      <c r="DN116" s="51">
        <v>0</v>
      </c>
      <c r="DO116" s="51" t="s">
        <v>100</v>
      </c>
      <c r="DP116" s="101" t="str">
        <f t="shared" ref="DP116:DQ116" si="289">HYPERLINK("https://web.archive.org/web/20101021234307/http:/seattletimes.nwsource.com/html/localnews/2013170137_otherside21.html","0")</f>
        <v>0</v>
      </c>
      <c r="DQ116" s="101" t="str">
        <f t="shared" si="289"/>
        <v>0</v>
      </c>
      <c r="DR116" s="48">
        <v>0</v>
      </c>
      <c r="DS116" s="101" t="str">
        <f>HYPERLINK("https://www.seattletimes.com/seattle-news/a-path-to-murder-the-story-of-maurice-clemmons/","1")</f>
        <v>1</v>
      </c>
      <c r="DT116" s="101">
        <v>2</v>
      </c>
      <c r="DU116" s="101" t="str">
        <f>HYPERLINK("https://web.archive.org/web/20101021234307/http:/seattletimes.nwsource.com/html/localnews/2013170137_otherside21.html","0")</f>
        <v>0</v>
      </c>
      <c r="DV116" s="48" t="s">
        <v>100</v>
      </c>
      <c r="DW116" s="101">
        <v>1</v>
      </c>
      <c r="DX116" s="101" t="str">
        <f>HYPERLINK("https://web.archive.org/web/20101021234307/http:/seattletimes.nwsource.com/html/localnews/2013170137_otherside21.html","1")</f>
        <v>1</v>
      </c>
      <c r="DY116" s="48">
        <v>2</v>
      </c>
      <c r="DZ116" s="48">
        <v>0</v>
      </c>
    </row>
    <row r="117" spans="1:130" ht="50.25" customHeight="1">
      <c r="A117" s="96">
        <v>115</v>
      </c>
      <c r="B117" s="97" t="s">
        <v>544</v>
      </c>
      <c r="C117" s="97" t="s">
        <v>545</v>
      </c>
      <c r="D117" s="98">
        <v>40271</v>
      </c>
      <c r="E117" s="48" t="s">
        <v>103</v>
      </c>
      <c r="F117" s="119">
        <v>3</v>
      </c>
      <c r="G117" s="102" t="str">
        <f>HYPERLINK("http://www.latimes.com/local/lanow/la-me-ln-valley-village-sentencing-20161220-story.html","4")</f>
        <v>4</v>
      </c>
      <c r="H117" s="101" t="str">
        <f>HYPERLINK("http://www.latimes.com/local/lanow/la-me-ln-valley-village-sentencing-20161220-story.html","2010")</f>
        <v>2010</v>
      </c>
      <c r="I117" s="48" t="s">
        <v>546</v>
      </c>
      <c r="J117" s="101" t="str">
        <f>HYPERLINK("https://abc7.com/news/man-in-2010-valley-village-shooting-gets-life-in-prison/1666093/","Los Angeles")</f>
        <v>Los Angeles</v>
      </c>
      <c r="K117" s="102" t="str">
        <f>HYPERLINK("https://www.lapd.com/article/suspect-valley-village-massacre-named","5")</f>
        <v>5</v>
      </c>
      <c r="L117" s="102" t="str">
        <f>HYPERLINK("https://www.latimes.com/local/lanow/la-me-ln-valley-village-sentencing-20161220-story.html","3")</f>
        <v>3</v>
      </c>
      <c r="M117" s="119">
        <v>0</v>
      </c>
      <c r="N117" s="102" t="str">
        <f>HYPERLINK("https://www.scpr.org/news/2010/04/09/13972/suspect-identified-north-hollywood-shooting-left-f/","5")</f>
        <v>5</v>
      </c>
      <c r="O117" s="102">
        <v>0</v>
      </c>
      <c r="P117" s="99" t="s">
        <v>100</v>
      </c>
      <c r="Q117" s="103">
        <v>1</v>
      </c>
      <c r="R117" s="103">
        <v>2</v>
      </c>
      <c r="S117" s="102" t="str">
        <f>HYPERLINK("https://www.scpr.org/news/2010/04/09/13972/suspect-identified-north-hollywood-shooting-left-f/","4")</f>
        <v>4</v>
      </c>
      <c r="T117" s="102" t="str">
        <f>HYPERLINK("https://www.scpr.org/news/2010/04/09/13972/suspect-identified-north-hollywood-shooting-left-f/","2")</f>
        <v>2</v>
      </c>
      <c r="U117" s="101" t="str">
        <f>HYPERLINK("https://www.dailynews.com/2016/04/04/killer-of-4-at-valley-village-restaurant-escapes-death-penalty/","0")</f>
        <v>0</v>
      </c>
      <c r="V117" s="101" t="str">
        <f>HYPERLINK("https://www.scpr.org/news/2010/04/09/13972/suspect-identified-north-hollywood-shooting-left-f/","28")</f>
        <v>28</v>
      </c>
      <c r="W117" s="101" t="str">
        <f>HYPERLINK("http://www.latimes.com/local/lanow/la-me-ln-valley-village-sentencing-20161220-story.html","0")</f>
        <v>0</v>
      </c>
      <c r="X117" s="101">
        <v>3</v>
      </c>
      <c r="Y117" s="105">
        <v>1</v>
      </c>
      <c r="Z117" s="51">
        <v>0</v>
      </c>
      <c r="AA117" s="51"/>
      <c r="AB117" s="101" t="str">
        <f>HYPERLINK("https://www.agbumds.org/apps/pages/index.jsp?uREC_ID=318510&amp;type=d&amp;pREC_ID=1191041","1")</f>
        <v>1</v>
      </c>
      <c r="AC117" s="51"/>
      <c r="AD117" s="51"/>
      <c r="AE117" s="101" t="str">
        <f t="shared" ref="AE117:AF117" si="290">HYPERLINK("https://www.latimes.com/archives/la-xpm-2010-apr-22-la-me-0423-valley-massacre-20100423-story.html","1")</f>
        <v>1</v>
      </c>
      <c r="AF117" s="101" t="str">
        <f t="shared" si="290"/>
        <v>1</v>
      </c>
      <c r="AG117" s="101" t="str">
        <f>HYPERLINK("https://www.latimes.com/archives/la-xpm-2010-apr-22-la-me-0423-valley-massacre-20100423-story.html","0")</f>
        <v>0</v>
      </c>
      <c r="AH117" s="101" t="str">
        <f>HYPERLINK("https://www.latimes.com/archives/la-xpm-2010-apr-22-la-me-0423-valley-massacre-20100423-story.html","1")</f>
        <v>1</v>
      </c>
      <c r="AI117" s="51">
        <v>0</v>
      </c>
      <c r="AJ117" s="51">
        <v>0</v>
      </c>
      <c r="AK117" s="51">
        <v>0</v>
      </c>
      <c r="AL117" s="51">
        <v>0</v>
      </c>
      <c r="AM117" s="51">
        <v>0</v>
      </c>
      <c r="AN117" s="48" t="s">
        <v>100</v>
      </c>
      <c r="AO117" s="51"/>
      <c r="AP117" s="51"/>
      <c r="AQ117" s="101" t="str">
        <f>HYPERLINK("https://www.dailybreeze.com/2010/04/23/armenian-national-held-in-seattle-as-suspect-in-4-noho-killings/","1")</f>
        <v>1</v>
      </c>
      <c r="AR117" s="51">
        <v>0</v>
      </c>
      <c r="AS117" s="101" t="str">
        <f>HYPERLINK("https://www.dailynews.com/2016/04/04/killer-of-4-at-valley-village-restaurant-escapes-death-penalty/","0")</f>
        <v>0</v>
      </c>
      <c r="AT117" s="51">
        <v>0</v>
      </c>
      <c r="AU117" s="51" t="s">
        <v>100</v>
      </c>
      <c r="AV117" s="51" t="s">
        <v>100</v>
      </c>
      <c r="AW117" s="51" t="s">
        <v>100</v>
      </c>
      <c r="AX117" s="51">
        <v>0</v>
      </c>
      <c r="AY117" s="51">
        <v>0</v>
      </c>
      <c r="AZ117" s="51">
        <v>0</v>
      </c>
      <c r="BA117" s="51">
        <v>0</v>
      </c>
      <c r="BB117" s="51">
        <v>0</v>
      </c>
      <c r="BC117" s="51">
        <v>0</v>
      </c>
      <c r="BD117" s="101">
        <v>1</v>
      </c>
      <c r="BE117" s="101" t="str">
        <f>HYPERLINK("https://www.leagle.com/decision/incaco20191104021","0")</f>
        <v>0</v>
      </c>
      <c r="BF117" s="51"/>
      <c r="BG117" s="51"/>
      <c r="BH117" s="51"/>
      <c r="BI117" s="51">
        <v>0</v>
      </c>
      <c r="BJ117" s="51">
        <v>0</v>
      </c>
      <c r="BK117" s="51">
        <v>0</v>
      </c>
      <c r="BL117" s="110">
        <v>0</v>
      </c>
      <c r="BM117" s="110" t="s">
        <v>100</v>
      </c>
      <c r="BN117" s="113"/>
      <c r="BO117" s="113">
        <v>0</v>
      </c>
      <c r="BP117" s="113">
        <v>0</v>
      </c>
      <c r="BQ117" s="113">
        <v>0</v>
      </c>
      <c r="BR117" s="113">
        <v>0</v>
      </c>
      <c r="BS117" s="113">
        <v>0</v>
      </c>
      <c r="BT117" s="113">
        <v>0</v>
      </c>
      <c r="BU117" s="113">
        <v>0</v>
      </c>
      <c r="BV117" s="113">
        <v>0</v>
      </c>
      <c r="BW117" s="113">
        <v>0</v>
      </c>
      <c r="BX117" s="113">
        <v>0</v>
      </c>
      <c r="BY117" s="51">
        <v>0</v>
      </c>
      <c r="BZ117" s="51">
        <v>0</v>
      </c>
      <c r="CA117" s="51">
        <v>0</v>
      </c>
      <c r="CB117" s="51" t="s">
        <v>100</v>
      </c>
      <c r="CC117" s="51">
        <v>0</v>
      </c>
      <c r="CD117" s="107" t="s">
        <v>100</v>
      </c>
      <c r="CE117" s="51">
        <v>0</v>
      </c>
      <c r="CF117" s="51">
        <v>0</v>
      </c>
      <c r="CG117" s="51">
        <v>0</v>
      </c>
      <c r="CH117" s="51"/>
      <c r="CI117" s="51">
        <v>0</v>
      </c>
      <c r="CJ117" s="51" t="s">
        <v>100</v>
      </c>
      <c r="CK117" s="113">
        <v>0</v>
      </c>
      <c r="CL117" s="113"/>
      <c r="CM117" s="113"/>
      <c r="CN117" s="110">
        <v>0</v>
      </c>
      <c r="CO117" s="110">
        <v>0</v>
      </c>
      <c r="CP117" s="110">
        <v>0</v>
      </c>
      <c r="CQ117" s="110">
        <v>0</v>
      </c>
      <c r="CR117" s="110">
        <v>0</v>
      </c>
      <c r="CS117" s="110">
        <v>0</v>
      </c>
      <c r="CT117" s="110">
        <v>0</v>
      </c>
      <c r="CU117" s="110">
        <v>0</v>
      </c>
      <c r="CV117" s="108" t="str">
        <f>HYPERLINK("https://www.scpr.org/news/2010/04/09/13972/suspect-identified-north-hollywood-shooting-left-f/","1")</f>
        <v>1</v>
      </c>
      <c r="CW117" s="110">
        <v>0</v>
      </c>
      <c r="CX117" s="110">
        <v>0</v>
      </c>
      <c r="CY117" s="110">
        <v>0</v>
      </c>
      <c r="CZ117" s="108" t="str">
        <f>HYPERLINK("https://www.latimes.com/local/lanow/la-me-ln-valley-village-sentencing-20161220-story.html","0")</f>
        <v>0</v>
      </c>
      <c r="DA117" s="51">
        <v>0</v>
      </c>
      <c r="DB117" s="51">
        <v>0</v>
      </c>
      <c r="DC117" s="51">
        <v>0</v>
      </c>
      <c r="DD117" s="51"/>
      <c r="DE117" s="51"/>
      <c r="DF117" s="51"/>
      <c r="DG117" s="51"/>
      <c r="DH117" s="51"/>
      <c r="DI117" s="51"/>
      <c r="DJ117" s="51">
        <v>0</v>
      </c>
      <c r="DK117" s="51">
        <v>0</v>
      </c>
      <c r="DL117" s="48" t="s">
        <v>100</v>
      </c>
      <c r="DM117" s="101" t="str">
        <f>HYPERLINK("https://www.latimes.com/local/lanow/la-me-ln-man-convicted-of-killing-four--20160315-story.html","0")</f>
        <v>0</v>
      </c>
      <c r="DN117" s="51">
        <v>0</v>
      </c>
      <c r="DO117" s="51" t="s">
        <v>100</v>
      </c>
      <c r="DP117" s="101" t="str">
        <f t="shared" ref="DP117:DQ117" si="291">HYPERLINK("https://www.latimes.com/local/lanow/la-me-ln-valley-village-sentencing-20161220-story.html","0")</f>
        <v>0</v>
      </c>
      <c r="DQ117" s="101" t="str">
        <f t="shared" si="291"/>
        <v>0</v>
      </c>
      <c r="DR117" s="101">
        <v>1</v>
      </c>
      <c r="DS117" s="101" t="str">
        <f>HYPERLINK("https://www.lapd.com/article/suspect-valley-village-massacre-named","2")</f>
        <v>2</v>
      </c>
      <c r="DT117" s="101">
        <v>1</v>
      </c>
      <c r="DU117" s="101" t="str">
        <f>HYPERLINK("https://www.latimes.com/local/lanow/la-me-ln-valley-village-sentencing-20161220-story.html","0")</f>
        <v>0</v>
      </c>
      <c r="DV117" s="48" t="s">
        <v>100</v>
      </c>
      <c r="DW117" s="101" t="str">
        <f>HYPERLINK("http://www.dailynews.com/2016/04/04/killer-of-4-at-valley-village-restaurant-escapes-death-penalty/","2")</f>
        <v>2</v>
      </c>
      <c r="DX117" s="101" t="str">
        <f>HYPERLINK("http://da.lacounty.gov/media/news/man-sentenced-life-prison-killing-four-valley-village-restaurant","1")</f>
        <v>1</v>
      </c>
      <c r="DY117" s="101" t="str">
        <f>HYPERLINK("https://www.latimes.com/local/lanow/la-me-ln-man-convicted-of-killing-four--20160315-story.html","0")</f>
        <v>0</v>
      </c>
      <c r="DZ117" s="133" t="str">
        <f>HYPERLINK("https://www.dailynews.com/2016/04/04/killer-of-4-at-valley-village-restaurant-escapes-death-penalty/","2")</f>
        <v>2</v>
      </c>
    </row>
    <row r="118" spans="1:130" ht="50.25" customHeight="1">
      <c r="A118" s="96">
        <v>116</v>
      </c>
      <c r="B118" s="97" t="s">
        <v>547</v>
      </c>
      <c r="C118" s="97" t="s">
        <v>548</v>
      </c>
      <c r="D118" s="98">
        <v>40335</v>
      </c>
      <c r="E118" s="48" t="s">
        <v>137</v>
      </c>
      <c r="F118" s="119">
        <v>6</v>
      </c>
      <c r="G118" s="102">
        <v>6</v>
      </c>
      <c r="H118" s="101">
        <v>2010</v>
      </c>
      <c r="I118" s="48" t="s">
        <v>549</v>
      </c>
      <c r="J118" s="101" t="s">
        <v>872</v>
      </c>
      <c r="K118" s="102">
        <v>9</v>
      </c>
      <c r="L118" s="119">
        <v>0</v>
      </c>
      <c r="M118" s="102">
        <v>0</v>
      </c>
      <c r="N118" s="102" t="str">
        <f>HYPERLINK("https://www.sun-sentinel.com/news/fl-xpm-2010-06-08-fl-hialeah-restaurant-shootings-20100607-story.html","5")</f>
        <v>5</v>
      </c>
      <c r="O118" s="102" t="str">
        <f>HYPERLINK("https://www.cbsnews.com/news/florida-man-kills-four-women-in-restaurant-shooting-police-say/","0")</f>
        <v>0</v>
      </c>
      <c r="P118" s="99" t="s">
        <v>100</v>
      </c>
      <c r="Q118" s="103">
        <v>0</v>
      </c>
      <c r="R118" s="103">
        <v>0</v>
      </c>
      <c r="S118" s="102" t="str">
        <f>HYPERLINK("https://www.huffpost.com/entry/hialeah-only-the-latest-m_b_3676274?guccounter=1","4")</f>
        <v>4</v>
      </c>
      <c r="T118" s="102" t="str">
        <f>HYPERLINK("https://www.huffpost.com/entry/hialeah-only-the-latest-m_b_3676274?guccounter=1","3")</f>
        <v>3</v>
      </c>
      <c r="U118" s="101" t="str">
        <f>HYPERLINK("https://www.sun-sentinel.com/news/fl-xpm-2010-06-13-sfl-hialeah-massacre-romance-06132010-story.html","0")</f>
        <v>0</v>
      </c>
      <c r="V118" s="101">
        <v>38</v>
      </c>
      <c r="W118" s="101">
        <v>0</v>
      </c>
      <c r="X118" s="101" t="str">
        <f>HYPERLINK("https://www.cbsnews.com/news/florida-man-kills-four-women-in-restaurant-shooting-police-say/","2")</f>
        <v>2</v>
      </c>
      <c r="Y118" s="101" t="str">
        <f>HYPERLINK("https://www.cbsnews.com/news/florida-man-kills-four-women-in-restaurant-shooting-police-say/","1")</f>
        <v>1</v>
      </c>
      <c r="Z118" s="101" t="str">
        <f>HYPERLINK("https://www.sun-sentinel.com/news/fl-xpm-2010-06-13-sfl-hialeah-massacre-romance-06132010-story.html","0")</f>
        <v>0</v>
      </c>
      <c r="AA118" s="51"/>
      <c r="AB118" s="51" t="s">
        <v>818</v>
      </c>
      <c r="AC118" s="51"/>
      <c r="AD118" s="51"/>
      <c r="AE118" s="101" t="str">
        <f>HYPERLINK("https://www.sun-sentinel.com/news/fl-xpm-2010-06-13-sfl-hialeah-massacre-romance-06132010-story.html","3")</f>
        <v>3</v>
      </c>
      <c r="AF118" s="101" t="str">
        <f t="shared" ref="AF118:AG118" si="292">HYPERLINK("https://www.sun-sentinel.com/news/fl-xpm-2010-06-13-sfl-hialeah-massacre-romance-06132010-story.html","1")</f>
        <v>1</v>
      </c>
      <c r="AG118" s="101" t="str">
        <f t="shared" si="292"/>
        <v>1</v>
      </c>
      <c r="AH118" s="101" t="str">
        <f>HYPERLINK("https://www.sun-sentinel.com/news/fl-xpm-2010-06-13-sfl-hialeah-massacre-romance-06132010-story.html","0")</f>
        <v>0</v>
      </c>
      <c r="AI118" s="101" t="str">
        <f>HYPERLINK("https://www.sun-sentinel.com/news/fl-xpm-2010-06-13-sfl-hialeah-massacre-romance-06132010-story.html","3")</f>
        <v>3</v>
      </c>
      <c r="AJ118" s="51">
        <v>0</v>
      </c>
      <c r="AK118" s="101" t="str">
        <f t="shared" ref="AK118:AL118" si="293">HYPERLINK("https://www.sun-sentinel.com/news/fl-xpm-2010-06-08-fl-hialeah-restaurant-shootings-20100607-story.html","0")</f>
        <v>0</v>
      </c>
      <c r="AL118" s="101" t="str">
        <f t="shared" si="293"/>
        <v>0</v>
      </c>
      <c r="AM118" s="51">
        <v>0</v>
      </c>
      <c r="AN118" s="48" t="s">
        <v>100</v>
      </c>
      <c r="AO118" s="101" t="str">
        <f>HYPERLINK("https://www.sun-sentinel.com/news/fl-xpm-2010-06-13-sfl-hialeah-massacre-romance-06132010-story.html","1")</f>
        <v>1</v>
      </c>
      <c r="AP118" s="101" t="str">
        <f>HYPERLINK("https://www.sun-sentinel.com/news/fl-xpm-2010-06-13-sfl-hialeah-massacre-romance-06132010-story.html","involved in neighborhood community")</f>
        <v>involved in neighborhood community</v>
      </c>
      <c r="AQ118" s="101">
        <v>1</v>
      </c>
      <c r="AR118" s="51">
        <v>0</v>
      </c>
      <c r="AS118" s="101">
        <v>1</v>
      </c>
      <c r="AT118" s="101" t="str">
        <f>HYPERLINK("https://www.sun-sentinel.com/news/fl-xpm-2010-06-13-sfl-hialeah-massacre-romance-06132010-story.html","1")</f>
        <v>1</v>
      </c>
      <c r="AU118" s="101">
        <v>1</v>
      </c>
      <c r="AV118" s="101">
        <v>2</v>
      </c>
      <c r="AW118" s="101">
        <v>3</v>
      </c>
      <c r="AX118" s="101" t="str">
        <f>HYPERLINK("https://www.sun-sentinel.com/news/fl-xpm-2010-06-13-sfl-hialeah-massacre-romance-06132010-story.html","1")</f>
        <v>1</v>
      </c>
      <c r="AY118" s="51">
        <v>0</v>
      </c>
      <c r="AZ118" s="51">
        <v>0</v>
      </c>
      <c r="BA118" s="51">
        <v>0</v>
      </c>
      <c r="BB118" s="107">
        <v>0</v>
      </c>
      <c r="BC118" s="101">
        <v>0</v>
      </c>
      <c r="BD118" s="51">
        <v>0</v>
      </c>
      <c r="BE118" s="101"/>
      <c r="BF118" s="51"/>
      <c r="BG118" s="51"/>
      <c r="BH118" s="51">
        <v>0</v>
      </c>
      <c r="BI118" s="51">
        <v>0</v>
      </c>
      <c r="BJ118" s="101" t="str">
        <f>HYPERLINK("https://www.sun-sentinel.com/news/fl-xpm-2010-06-13-sfl-hialeah-massacre-romance-06132010-story.html","1")</f>
        <v>1</v>
      </c>
      <c r="BK118" s="51">
        <v>0</v>
      </c>
      <c r="BL118" s="108" t="str">
        <f>HYPERLINK("https://www.sun-sentinel.com/news/fl-xpm-2010-06-13-sfl-hialeah-massacre-romance-06132010-story.html","1")</f>
        <v>1</v>
      </c>
      <c r="BM118" s="109">
        <v>1</v>
      </c>
      <c r="BN118" s="110" t="s">
        <v>3016</v>
      </c>
      <c r="BO118" s="111">
        <v>1</v>
      </c>
      <c r="BP118" s="111">
        <v>1</v>
      </c>
      <c r="BQ118" s="111">
        <v>1</v>
      </c>
      <c r="BR118" s="111">
        <v>0</v>
      </c>
      <c r="BS118" s="111">
        <v>0</v>
      </c>
      <c r="BT118" s="111">
        <v>1</v>
      </c>
      <c r="BU118" s="111">
        <v>0</v>
      </c>
      <c r="BV118" s="111">
        <v>0</v>
      </c>
      <c r="BW118" s="111">
        <v>0</v>
      </c>
      <c r="BX118" s="111">
        <v>0</v>
      </c>
      <c r="BY118" s="101" t="str">
        <f>HYPERLINK("https://www.cbsnews.com/news/florida-man-kills-four-women-in-restaurant-shooting-police-say/","2")</f>
        <v>2</v>
      </c>
      <c r="BZ118" s="51">
        <v>0</v>
      </c>
      <c r="CA118" s="51">
        <v>0</v>
      </c>
      <c r="CB118" s="51" t="s">
        <v>100</v>
      </c>
      <c r="CC118" s="51">
        <v>0</v>
      </c>
      <c r="CD118" s="107" t="s">
        <v>100</v>
      </c>
      <c r="CE118" s="51">
        <v>0</v>
      </c>
      <c r="CF118" s="51">
        <v>0</v>
      </c>
      <c r="CG118" s="51">
        <v>0</v>
      </c>
      <c r="CH118" s="51">
        <v>0</v>
      </c>
      <c r="CI118" s="51">
        <v>0</v>
      </c>
      <c r="CJ118" s="51" t="s">
        <v>100</v>
      </c>
      <c r="CK118" s="117">
        <v>2</v>
      </c>
      <c r="CL118" s="113"/>
      <c r="CM118" s="113"/>
      <c r="CN118" s="110">
        <v>0</v>
      </c>
      <c r="CO118" s="110">
        <v>0</v>
      </c>
      <c r="CP118" s="109" t="str">
        <f>HYPERLINK("https://www.sun-sentinel.com/news/fl-xpm-2010-06-13-sfl-hialeah-massacre-romance-06132010-story.html","1")</f>
        <v>1</v>
      </c>
      <c r="CQ118" s="110">
        <v>0</v>
      </c>
      <c r="CR118" s="110">
        <v>0</v>
      </c>
      <c r="CS118" s="110">
        <v>0</v>
      </c>
      <c r="CT118" s="110">
        <v>0</v>
      </c>
      <c r="CU118" s="108" t="str">
        <f>HYPERLINK("https://www.sun-sentinel.com/news/fl-xpm-2010-06-13-sfl-hialeah-massacre-romance-06132010-story.html","1")</f>
        <v>1</v>
      </c>
      <c r="CV118" s="110">
        <v>0</v>
      </c>
      <c r="CW118" s="110">
        <v>0</v>
      </c>
      <c r="CX118" s="110">
        <v>0</v>
      </c>
      <c r="CY118" s="110">
        <v>0</v>
      </c>
      <c r="CZ118" s="108" t="str">
        <f>HYPERLINK("https://www.cbsnews.com/news/florida-man-kills-four-women-in-restaurant-shooting-police-say/","1")</f>
        <v>1</v>
      </c>
      <c r="DA118" s="51">
        <v>0</v>
      </c>
      <c r="DB118" s="101">
        <v>1</v>
      </c>
      <c r="DC118" s="101" t="str">
        <f>HYPERLINK("https://www.sun-sentinel.com/news/fl-xpm-2010-06-08-fl-hialeah-restaurant-shootings-20100607-story.html","0")</f>
        <v>0</v>
      </c>
      <c r="DD118" s="51"/>
      <c r="DE118" s="51"/>
      <c r="DF118" s="51"/>
      <c r="DG118" s="51"/>
      <c r="DH118" s="51"/>
      <c r="DI118" s="51"/>
      <c r="DJ118" s="51">
        <v>0</v>
      </c>
      <c r="DK118" s="51">
        <v>0</v>
      </c>
      <c r="DL118" s="48" t="s">
        <v>100</v>
      </c>
      <c r="DM118" s="101" t="str">
        <f>HYPERLINK("https://www.sun-sentinel.com/news/fl-xpm-2010-06-08-fl-hialeah-restaurant-shootings-20100607-story.html","0")</f>
        <v>0</v>
      </c>
      <c r="DN118" s="51">
        <v>0</v>
      </c>
      <c r="DO118" s="51" t="s">
        <v>100</v>
      </c>
      <c r="DP118" s="101" t="str">
        <f>HYPERLINK("https://www.sun-sentinel.com/news/fl-xpm-2010-06-08-fl-hialeah-restaurant-shootings-20100607-story.html","0")</f>
        <v>0</v>
      </c>
      <c r="DQ118" s="101" t="str">
        <f>HYPERLINK("https://www.cbsnews.com/news/florida-man-kills-four-women-in-restaurant-shooting-police-say/","0")</f>
        <v>0</v>
      </c>
      <c r="DR118" s="51">
        <v>0</v>
      </c>
      <c r="DS118" s="101" t="str">
        <f>HYPERLINK("https://www.huffpost.com/entry/hialeah-only-the-latest-m_b_3676274","2")</f>
        <v>2</v>
      </c>
      <c r="DT118" s="101">
        <v>1</v>
      </c>
      <c r="DU118" s="101" t="str">
        <f>HYPERLINK("https://www.sun-sentinel.com/news/fl-xpm-2010-06-13-sfl-hialeah-massacre-romance-06132010-story.html","0")</f>
        <v>0</v>
      </c>
      <c r="DV118" s="48" t="s">
        <v>100</v>
      </c>
      <c r="DW118" s="101">
        <v>0</v>
      </c>
      <c r="DX118" s="101" t="str">
        <f>HYPERLINK("https://www.sun-sentinel.com/news/fl-xpm-2010-06-13-sfl-hialeah-massacre-romance-06132010-story.html","0")</f>
        <v>0</v>
      </c>
      <c r="DY118" s="51">
        <v>2</v>
      </c>
      <c r="DZ118" s="48">
        <v>0</v>
      </c>
    </row>
    <row r="119" spans="1:130" ht="50.25" customHeight="1">
      <c r="A119" s="96">
        <v>117</v>
      </c>
      <c r="B119" s="97" t="s">
        <v>507</v>
      </c>
      <c r="C119" s="97" t="s">
        <v>551</v>
      </c>
      <c r="D119" s="98">
        <v>40393</v>
      </c>
      <c r="E119" s="48" t="s">
        <v>203</v>
      </c>
      <c r="F119" s="99">
        <v>3</v>
      </c>
      <c r="G119" s="100" t="str">
        <f>HYPERLINK("http://www.nytimes.com/2010/08/04/nyregion/04shooting.html?mtrref=www.google.com&amp;gwh=D409825036CCEFE1F3F82868E2212156&amp;gwt=pay","8")</f>
        <v>8</v>
      </c>
      <c r="H119" s="101" t="str">
        <f>HYPERLINK("http://www.nytimes.com/2010/08/04/nyregion/04shooting.html?mtrref=www.google.com&amp;gwh=D409825036CCEFE1F3F82868E2212156&amp;gwt=pay","2010")</f>
        <v>2010</v>
      </c>
      <c r="I119" s="48" t="s">
        <v>552</v>
      </c>
      <c r="J119" s="101" t="str">
        <f>HYPERLINK("https://web.archive.org/web/20190227060721/https://www.cnn.com/2010/CRIME/08/03/connecticut.business.shootings/index.html","Manchester ")</f>
        <v xml:space="preserve">Manchester </v>
      </c>
      <c r="K119" s="100" t="str">
        <f>HYPERLINK("https://web.archive.org/web/20190227060721/https://www.cnn.com/2010/CRIME/08/03/connecticut.business.shootings/index.html","7")</f>
        <v>7</v>
      </c>
      <c r="L119" s="100" t="str">
        <f>HYPERLINK("http://www.cnn.com/2010/CRIME/08/03/connecticut.business.shootings/index.html","2")</f>
        <v>2</v>
      </c>
      <c r="M119" s="102" t="str">
        <f>HYPERLINK("http://www.nbcnews.com/id/38535909/ns/us_news-crime_and_courts/t/dead-shooting-conn-beer-distributor/#.XVWgt5NKgUs","1")</f>
        <v>1</v>
      </c>
      <c r="N119" s="100" t="str">
        <f>HYPERLINK("http://www.nbcnews.com/id/38535909/ns/us_news-crime_and_courts/t/dead-shooting-conn-beer-distributor/#.XVWgt5NKgUs","6")</f>
        <v>6</v>
      </c>
      <c r="O119" s="100">
        <v>0</v>
      </c>
      <c r="P119" s="99" t="s">
        <v>100</v>
      </c>
      <c r="Q119" s="103">
        <v>0</v>
      </c>
      <c r="R119" s="103">
        <v>0</v>
      </c>
      <c r="S119" s="100" t="str">
        <f>HYPERLINK("http://www.nbcnews.com/id/38535909/ns/us_news-crime_and_courts/t/dead-shooting-conn-beer-distributor/","8")</f>
        <v>8</v>
      </c>
      <c r="T119" s="100" t="str">
        <f>HYPERLINK("http://www.nbcnews.com/id/38535909/ns/us_news-crime_and_courts/t/dead-shooting-conn-beer-distributor/#.XHGOJuhKhPY","2")</f>
        <v>2</v>
      </c>
      <c r="U119" s="105" t="str">
        <f>HYPERLINK("http://www.nbcnews.com/id/38535909/ns/us_news-crime_and_courts/t/dead-shooting-conn-beer-distributor/#.XVWgt5NKgUs","0")</f>
        <v>0</v>
      </c>
      <c r="V119" s="105" t="str">
        <f>HYPERLINK("http://www.nbcnews.com/id/38535909/ns/us_news-crime_and_courts/t/dead-shooting-conn-beer-distributor/","34")</f>
        <v>34</v>
      </c>
      <c r="W119" s="105" t="str">
        <f>HYPERLINK("http://www.nbcnews.com/id/38535909/ns/us_news-crime_and_courts/t/dead-shooting-conn-beer-distributor/","0")</f>
        <v>0</v>
      </c>
      <c r="X119" s="105" t="str">
        <f>HYPERLINK("https://abcnews.go.com/US/connecticut-shooter-omar-thornton-chased-victims-beer-distributor/story?id=11322281","1")</f>
        <v>1</v>
      </c>
      <c r="Y119" s="48">
        <v>0</v>
      </c>
      <c r="Z119" s="105" t="str">
        <f>HYPERLINK("https://www.masslive.com/news/2010/08/enfield_girlfriend_omar_thornt.html","0")</f>
        <v>0</v>
      </c>
      <c r="AA119" s="48"/>
      <c r="AB119" s="105" t="str">
        <f>HYPERLINK("http://www.nbcnews.com/id/38535909/ns/us_news-crime_and_courts/t/dead-shooting-conn-beer-distributor/#.XVWgt5NKgUs","2")</f>
        <v>2</v>
      </c>
      <c r="AC119" s="51"/>
      <c r="AD119" s="51"/>
      <c r="AE119" s="105" t="str">
        <f>HYPERLINK("https://www.courant.com/community/hartford/hc-xpm-2010-08-03-hc-omar-thornton-story-0804-20100803-story.html","3")</f>
        <v>3</v>
      </c>
      <c r="AF119" s="105" t="str">
        <f>HYPERLINK("https://www.legacy.com/obituaries/hartfordcourant/obituary.aspx?n=omar-shariff-thornton&amp;pid=144995865","2")</f>
        <v>2</v>
      </c>
      <c r="AG119" s="105" t="str">
        <f>HYPERLINK("http://www.thehartfordguardian.com/2010/08/04/friend-omar-thornton-made-eight-or-nine-complaints-about-racism/","2")</f>
        <v>2</v>
      </c>
      <c r="AH119" s="105" t="str">
        <f>HYPERLINK("http://www.thehartfordguardian.com/2010/08/04/friend-omar-thornton-made-eight-or-nine-complaints-about-racism/","0")</f>
        <v>0</v>
      </c>
      <c r="AI119" s="105" t="str">
        <f>HYPERLINK("https://www.masslive.com/news/2010/08/enfield_girlfriend_omar_thornt.html","1")</f>
        <v>1</v>
      </c>
      <c r="AJ119" s="105">
        <v>0</v>
      </c>
      <c r="AK119" s="105" t="str">
        <f t="shared" ref="AK119:AL119" si="294">HYPERLINK("https://www.nytimes.com/2010/08/04/nyregion/04shooting.html?mtrref=www.google.com","0")</f>
        <v>0</v>
      </c>
      <c r="AL119" s="105" t="str">
        <f t="shared" si="294"/>
        <v>0</v>
      </c>
      <c r="AM119" s="48">
        <v>0</v>
      </c>
      <c r="AN119" s="48" t="s">
        <v>100</v>
      </c>
      <c r="AO119" s="101" t="str">
        <f>HYPERLINK("http://www.nbcnews.com/id/38535909/ns/us_news-crime_and_courts/t/dead-shooting-conn-beer-distributor/#.XVWgt5NKgUs","1")</f>
        <v>1</v>
      </c>
      <c r="AP119" s="105" t="str">
        <f>HYPERLINK("http://www.nbcnews.com/id/38535909/ns/us_news-crime_and_courts/t/dead-shooting-conn-beer-distributor/#.XVWgt5NKgUs","sports")</f>
        <v>sports</v>
      </c>
      <c r="AQ119" s="105">
        <v>0</v>
      </c>
      <c r="AR119" s="48">
        <v>0</v>
      </c>
      <c r="AS119" s="101">
        <v>0</v>
      </c>
      <c r="AT119" s="51">
        <v>0</v>
      </c>
      <c r="AU119" s="51" t="s">
        <v>100</v>
      </c>
      <c r="AV119" s="51" t="s">
        <v>100</v>
      </c>
      <c r="AW119" s="51" t="s">
        <v>100</v>
      </c>
      <c r="AX119" s="51">
        <v>0</v>
      </c>
      <c r="AY119" s="48">
        <v>0</v>
      </c>
      <c r="AZ119" s="48">
        <v>0</v>
      </c>
      <c r="BA119" s="48">
        <v>0</v>
      </c>
      <c r="BB119" s="141" t="str">
        <f>HYPERLINK("https://www.masslive.com/news/2010/08/teamsters_official_omar_thornt.html","2")</f>
        <v>2</v>
      </c>
      <c r="BC119" s="105">
        <v>0</v>
      </c>
      <c r="BD119" s="105" t="str">
        <f>HYPERLINK("https://www.masslive.com/news/2010/08/enfield_girlfriend_omar_thornt.html","1")</f>
        <v>1</v>
      </c>
      <c r="BE119" s="48"/>
      <c r="BF119" s="51">
        <v>0</v>
      </c>
      <c r="BG119" s="51"/>
      <c r="BH119" s="51">
        <v>0</v>
      </c>
      <c r="BI119" s="48">
        <v>0</v>
      </c>
      <c r="BJ119" s="105" t="str">
        <f>HYPERLINK("https://www.masslive.com/news/2010/08/enfield_girlfriend_omar_thornt.html","0")</f>
        <v>0</v>
      </c>
      <c r="BK119" s="101" t="str">
        <f>HYPERLINK("http://www.cnn.com/2010/CRIME/08/03/connecticut.business.shootings/index.html","1")</f>
        <v>1</v>
      </c>
      <c r="BL119" s="108">
        <v>1</v>
      </c>
      <c r="BM119" s="109">
        <v>0</v>
      </c>
      <c r="BN119" s="115" t="s">
        <v>3047</v>
      </c>
      <c r="BO119" s="111">
        <v>1</v>
      </c>
      <c r="BP119" s="111">
        <v>0</v>
      </c>
      <c r="BQ119" s="111">
        <v>1</v>
      </c>
      <c r="BR119" s="111">
        <v>0</v>
      </c>
      <c r="BS119" s="111">
        <v>0</v>
      </c>
      <c r="BT119" s="111">
        <v>1</v>
      </c>
      <c r="BU119" s="111">
        <v>0</v>
      </c>
      <c r="BV119" s="111">
        <v>0</v>
      </c>
      <c r="BW119" s="111">
        <v>0</v>
      </c>
      <c r="BX119" s="111">
        <v>0</v>
      </c>
      <c r="BY119" s="105" t="str">
        <f>HYPERLINK("http://www.nbcnews.com/id/38535909/ns/us_news-crime_and_courts/t/dead-shooting-conn-beer-distributor/#.XVWgt5NKgUs","2")</f>
        <v>2</v>
      </c>
      <c r="BZ119" s="51">
        <v>0</v>
      </c>
      <c r="CA119" s="51">
        <v>0</v>
      </c>
      <c r="CB119" s="48" t="s">
        <v>100</v>
      </c>
      <c r="CC119" s="48">
        <v>0</v>
      </c>
      <c r="CD119" s="52" t="s">
        <v>100</v>
      </c>
      <c r="CE119" s="48">
        <v>0</v>
      </c>
      <c r="CF119" s="48">
        <v>0</v>
      </c>
      <c r="CG119" s="48">
        <v>0</v>
      </c>
      <c r="CH119" s="105" t="str">
        <f>HYPERLINK("https://www.chicagotribune.com/hc-omar-thornton-story-0804-20100803-story.html","0")</f>
        <v>0</v>
      </c>
      <c r="CI119" s="48">
        <v>0</v>
      </c>
      <c r="CJ119" s="51" t="s">
        <v>100</v>
      </c>
      <c r="CK119" s="113">
        <v>0</v>
      </c>
      <c r="CL119" s="113"/>
      <c r="CM119" s="113"/>
      <c r="CN119" s="109">
        <v>2</v>
      </c>
      <c r="CO119" s="110">
        <v>0</v>
      </c>
      <c r="CP119" s="108" t="str">
        <f>HYPERLINK("https://www.courant.com/community/manchester/hc-ap-omar-thornton-racism-0808-20100808-story.html","0")</f>
        <v>0</v>
      </c>
      <c r="CQ119" s="110">
        <v>0</v>
      </c>
      <c r="CR119" s="108" t="str">
        <f>HYPERLINK("https://abcnews.go.com/US/connecticut-shooter-omar-thornton-chased-victims-beer-distributor/story?id=11322281","1")</f>
        <v>1</v>
      </c>
      <c r="CS119" s="110">
        <v>0</v>
      </c>
      <c r="CT119" s="110">
        <v>0</v>
      </c>
      <c r="CU119" s="110">
        <v>0</v>
      </c>
      <c r="CV119" s="108">
        <v>0</v>
      </c>
      <c r="CW119" s="116">
        <v>0</v>
      </c>
      <c r="CX119" s="116">
        <v>0</v>
      </c>
      <c r="CY119" s="116">
        <v>0</v>
      </c>
      <c r="CZ119" s="108" t="str">
        <f>HYPERLINK("http://www.nbcnews.com/id/38535909/ns/us_news-crime_and_courts/t/dead-shooting-conn-beer-distributor/#.XVWgt5NKgUs","0")</f>
        <v>0</v>
      </c>
      <c r="DA119" s="48">
        <v>0</v>
      </c>
      <c r="DB119" s="105">
        <v>1</v>
      </c>
      <c r="DC119" s="101">
        <v>1</v>
      </c>
      <c r="DD119" s="48">
        <v>0</v>
      </c>
      <c r="DE119" s="48">
        <v>1</v>
      </c>
      <c r="DF119" s="48">
        <v>1</v>
      </c>
      <c r="DG119" s="48"/>
      <c r="DH119" s="48"/>
      <c r="DI119" s="48"/>
      <c r="DJ119" s="48">
        <v>0</v>
      </c>
      <c r="DK119" s="48">
        <v>0</v>
      </c>
      <c r="DL119" s="48" t="s">
        <v>100</v>
      </c>
      <c r="DM119" s="105" t="str">
        <f>HYPERLINK("https://web.archive.org/web/20190227060721/https://www.cnn.com/2010/CRIME/08/03/connecticut.business.shootings/index.html","0")</f>
        <v>0</v>
      </c>
      <c r="DN119" s="51">
        <v>0</v>
      </c>
      <c r="DO119" s="51" t="s">
        <v>100</v>
      </c>
      <c r="DP119" s="101" t="str">
        <f>HYPERLINK("https://www.nytimes.com/2010/08/04/nyregion/04shooting.html?mtrref=www.google.com","0")</f>
        <v>0</v>
      </c>
      <c r="DQ119" s="101" t="str">
        <f>HYPERLINK("http://www.nbcnews.com/id/38535909/ns/us_news-crime_and_courts/t/dead-shooting-conn-beer-distributor/#.XVWgt5NKgUs","0")</f>
        <v>0</v>
      </c>
      <c r="DR119" s="51">
        <v>0</v>
      </c>
      <c r="DS119" s="101" t="str">
        <f>HYPERLINK("https://www.courant.com/community/hartford/hc-xpm-2010-08-04-hc-omar-s-thornton-connecticut-shooti20100804-story.html","1")</f>
        <v>1</v>
      </c>
      <c r="DT119" s="105" t="str">
        <f>HYPERLINK("https://abcnews.go.com/US/connecticut-shooter-omar-thornton-chased-victims-beer-distributor/story?id=11322281","3")</f>
        <v>3</v>
      </c>
      <c r="DU119" s="105" t="str">
        <f>HYPERLINK("https://abcnews.go.com/US/connecticut-shooter-omar-thornton-chased-victims-beer-distributor/story?id=11322281","0")</f>
        <v>0</v>
      </c>
      <c r="DV119" s="48" t="s">
        <v>100</v>
      </c>
      <c r="DW119" s="105" t="str">
        <f>HYPERLINK("https://www.cbsnews.com/news/9-dead-in-conn-beer-distributor-shooting/","0")</f>
        <v>0</v>
      </c>
      <c r="DX119" s="105" t="str">
        <f>HYPERLINK("http://www.nbcnews.com/id/38535909/ns/us_news-crime_and_courts/t/dead-shooting-conn-beer-distributor/#.XVWgt5NKgUs","0")</f>
        <v>0</v>
      </c>
      <c r="DY119" s="51">
        <v>2</v>
      </c>
      <c r="DZ119" s="48">
        <v>0</v>
      </c>
    </row>
    <row r="120" spans="1:130" ht="50.25" customHeight="1">
      <c r="A120" s="96">
        <v>118</v>
      </c>
      <c r="B120" s="97" t="s">
        <v>553</v>
      </c>
      <c r="C120" s="97" t="s">
        <v>554</v>
      </c>
      <c r="D120" s="98">
        <v>40404</v>
      </c>
      <c r="E120" s="48" t="s">
        <v>103</v>
      </c>
      <c r="F120" s="119">
        <v>14</v>
      </c>
      <c r="G120" s="102" t="str">
        <f>HYPERLINK("http://www.nbcnews.com/id/38853191/ns/us_news-crime_and_courts/t/man-surrenders-ny-shooting-deaths/#.Wi1efFcTlFI ","8")</f>
        <v>8</v>
      </c>
      <c r="H120" s="101" t="str">
        <f>HYPERLINK("http://www.nbcnews.com/id/ 38853191/ns/us_news-crime_and_courts/t/man-surrenders-ny-shooting-deaths/#.Wi1efFcTlFI","2010")</f>
        <v>2010</v>
      </c>
      <c r="I120" s="48" t="s">
        <v>555</v>
      </c>
      <c r="J120" s="101" t="str">
        <f>HYPERLINK("http://www.nbcnews.com/id/38853191/ns/us_news-crime_and_courts/t/man-surrenders-ny-shooting-deaths/#.Wi1efFcTlFI ","Buffalo ")</f>
        <v xml:space="preserve">Buffalo </v>
      </c>
      <c r="K120" s="102" t="str">
        <f>HYPERLINK("http://www.nbcnews.com/id/38853191/ns/us_news-crime_and_courts/t/man-surrenders-ny-shooting-deaths/#.Wi1efFcTlFI ","32")</f>
        <v>32</v>
      </c>
      <c r="L120" s="102" t="str">
        <f>HYPERLINK("http://www.nbcnews.com/id/38853191/ns/us_news-crime_and_courts/t/man-surrenders-ny-shooting-deaths/#.Wi1efFcTlFI","2")</f>
        <v>2</v>
      </c>
      <c r="M120" s="102" t="str">
        <f>HYPERLINK("http://www.nbcnews.com/id/38853191/ns/us_news-crime_and_courts/t/man-surrenders-ny-shooting-deaths/#.Wi1efFcTlFI","0")</f>
        <v>0</v>
      </c>
      <c r="N120" s="102" t="str">
        <f>HYPERLINK("http://www.nbcnews.com/id/38853191/ns/us_news-crime_and_courts/t/man-surrenders-ny-shooting-deaths/#.XVrdRZNKgUt","5")</f>
        <v>5</v>
      </c>
      <c r="O120" s="102">
        <v>0</v>
      </c>
      <c r="P120" s="99" t="s">
        <v>100</v>
      </c>
      <c r="Q120" s="103">
        <v>1</v>
      </c>
      <c r="R120" s="103">
        <v>1</v>
      </c>
      <c r="S120" s="102" t="str">
        <f t="shared" ref="S120:T120" si="295">HYPERLINK("https://www.sandiegouniontribune.com/sdut-gang-member-gets-life-for-upstate-ny-mass-shooting-2011jun02-story.html","4")</f>
        <v>4</v>
      </c>
      <c r="T120" s="102" t="str">
        <f t="shared" si="295"/>
        <v>4</v>
      </c>
      <c r="U120" s="101" t="str">
        <f>HYPERLINK("https://www.tmcnet.com/usubmit/2011/04/03/5420269.htm","0")</f>
        <v>0</v>
      </c>
      <c r="V120" s="101" t="str">
        <f>HYPERLINK("http://www.nbcnews.com/id/38853191/ns/us_news-crime_and_courts/t/man-surrenders-ny-shooting-deaths/#.XVrdRZNKgUt","23")</f>
        <v>23</v>
      </c>
      <c r="W120" s="101" t="str">
        <f>HYPERLINK("https://www.sandiegouniontribune.com/sdut-gang-member-gets-life-for-upstate-ny-mass-shooting-2011jun02-story.html","0")</f>
        <v>0</v>
      </c>
      <c r="X120" s="101" t="str">
        <f>HYPERLINK("http://www.sandiegouniontribune.com/sdut-gang-member-gets-life-for-upstate-ny-mass-shooting-2011jun02-story.html","1")</f>
        <v>1</v>
      </c>
      <c r="Y120" s="48">
        <v>0</v>
      </c>
      <c r="Z120" s="101" t="str">
        <f>HYPERLINK("https://news.wbfo.org/post/riccardo-mccray-gets-life-without-parole","0")</f>
        <v>0</v>
      </c>
      <c r="AA120" s="51"/>
      <c r="AB120" s="101" t="str">
        <f>HYPERLINK("https://buffalonews.com/2011/05/29/filling-in-blanks-on-mccray-husband-father-killer/","1")</f>
        <v>1</v>
      </c>
      <c r="AC120" s="101" t="str">
        <f>HYPERLINK("https://newyork.cbslocal.com/2010/10/19/buffalo-mass-shooting-suspect-appears-in-court/","0")</f>
        <v>0</v>
      </c>
      <c r="AD120" s="101" t="str">
        <f>HYPERLINK("https://newyork.cbslocal.com/2010/10/19/buffalo-mass-shooting-suspect-appears-in-court/","highschool dropout")</f>
        <v>highschool dropout</v>
      </c>
      <c r="AE120" s="51"/>
      <c r="AF120" s="101" t="str">
        <f>HYPERLINK("https://buffalonews.com/2011/05/29/filling-in-blanks-on-mccray-husband-father-killer/","1")</f>
        <v>1</v>
      </c>
      <c r="AG120" s="51"/>
      <c r="AH120" s="51"/>
      <c r="AI120" s="101" t="str">
        <f>HYPERLINK("https://news.wbfo.org/post/riccardo-mccray-gets-life-without-parole","1")</f>
        <v>1</v>
      </c>
      <c r="AJ120" s="101" t="str">
        <f>HYPERLINK("https://www.sandiegouniontribune.com/sdut-gang-member-gets-life-for-upstate-ny-mass-shooting-2011jun02-story.html","1")</f>
        <v>1</v>
      </c>
      <c r="AK120" s="51"/>
      <c r="AL120" s="51"/>
      <c r="AM120" s="51">
        <v>0</v>
      </c>
      <c r="AN120" s="48" t="s">
        <v>100</v>
      </c>
      <c r="AO120" s="101" t="str">
        <f>HYPERLINK("http://www.nbcnews.com/id/42371480/ns/us_news-crime_and_courts/t/ex-gang-member-guilty-shooting-deadly--second-rampage/","0")</f>
        <v>0</v>
      </c>
      <c r="AP120" s="51"/>
      <c r="AQ120" s="101">
        <v>1</v>
      </c>
      <c r="AR120" s="51"/>
      <c r="AS120" s="101">
        <v>1</v>
      </c>
      <c r="AT120" s="107">
        <v>0</v>
      </c>
      <c r="AU120" s="107" t="s">
        <v>100</v>
      </c>
      <c r="AV120" s="107" t="s">
        <v>100</v>
      </c>
      <c r="AW120" s="107" t="s">
        <v>100</v>
      </c>
      <c r="AX120" s="51">
        <v>0</v>
      </c>
      <c r="AY120" s="101" t="str">
        <f>HYPERLINK("https://www.sandiegouniontribune.com/sdut-gang-member-gets-life-for-upstate-ny-mass-shooting-2011jun02-story.html","1")</f>
        <v>1</v>
      </c>
      <c r="AZ120" s="48">
        <v>0</v>
      </c>
      <c r="BA120" s="51">
        <v>0</v>
      </c>
      <c r="BB120" s="107">
        <v>0</v>
      </c>
      <c r="BC120" s="51"/>
      <c r="BD120" s="51"/>
      <c r="BE120" s="51"/>
      <c r="BF120" s="51"/>
      <c r="BG120" s="51"/>
      <c r="BH120" s="51">
        <v>0</v>
      </c>
      <c r="BI120" s="51">
        <v>0</v>
      </c>
      <c r="BJ120" s="51">
        <v>0</v>
      </c>
      <c r="BK120" s="51"/>
      <c r="BL120" s="110">
        <v>0</v>
      </c>
      <c r="BM120" s="110" t="s">
        <v>100</v>
      </c>
      <c r="BN120" s="110"/>
      <c r="BO120" s="110">
        <v>0</v>
      </c>
      <c r="BP120" s="110">
        <v>0</v>
      </c>
      <c r="BQ120" s="110">
        <v>0</v>
      </c>
      <c r="BR120" s="110">
        <v>0</v>
      </c>
      <c r="BS120" s="110">
        <v>0</v>
      </c>
      <c r="BT120" s="110">
        <v>0</v>
      </c>
      <c r="BU120" s="110">
        <v>0</v>
      </c>
      <c r="BV120" s="110">
        <v>0</v>
      </c>
      <c r="BW120" s="110">
        <v>0</v>
      </c>
      <c r="BX120" s="110">
        <v>0</v>
      </c>
      <c r="BY120" s="51">
        <v>0</v>
      </c>
      <c r="BZ120" s="51">
        <v>0</v>
      </c>
      <c r="CA120" s="51">
        <v>0</v>
      </c>
      <c r="CB120" s="51" t="s">
        <v>100</v>
      </c>
      <c r="CC120" s="51">
        <v>0</v>
      </c>
      <c r="CD120" s="107" t="s">
        <v>100</v>
      </c>
      <c r="CE120" s="51">
        <v>0</v>
      </c>
      <c r="CF120" s="51">
        <v>0</v>
      </c>
      <c r="CG120" s="51">
        <v>0</v>
      </c>
      <c r="CH120" s="51"/>
      <c r="CI120" s="51">
        <v>0</v>
      </c>
      <c r="CJ120" s="51" t="s">
        <v>100</v>
      </c>
      <c r="CK120" s="113">
        <v>0</v>
      </c>
      <c r="CL120" s="113"/>
      <c r="CM120" s="113"/>
      <c r="CN120" s="108">
        <v>0</v>
      </c>
      <c r="CO120" s="108">
        <v>0</v>
      </c>
      <c r="CP120" s="108">
        <v>0</v>
      </c>
      <c r="CQ120" s="110">
        <v>0</v>
      </c>
      <c r="CR120" s="108">
        <v>0</v>
      </c>
      <c r="CS120" s="108">
        <v>0</v>
      </c>
      <c r="CT120" s="110">
        <v>0</v>
      </c>
      <c r="CU120" s="108">
        <v>0</v>
      </c>
      <c r="CV120" s="109">
        <v>1</v>
      </c>
      <c r="CW120" s="110">
        <v>0</v>
      </c>
      <c r="CX120" s="108">
        <v>0</v>
      </c>
      <c r="CY120" s="108" t="str">
        <f t="shared" ref="CY120" si="296">HYPERLINK("https://www.mpnnow.com/x905911221/Jurors-get-case-of-Buffalo-shooting-that-killed-4","1")</f>
        <v>1</v>
      </c>
      <c r="CZ120" s="108" t="str">
        <f>HYPERLINK("https://www.tmcnet.com/usubmit/2011/04/03/5420269.htm","0")</f>
        <v>0</v>
      </c>
      <c r="DA120" s="51">
        <v>0</v>
      </c>
      <c r="DB120" s="51">
        <v>0</v>
      </c>
      <c r="DC120" s="101" t="str">
        <f>HYPERLINK("https://www.tmcnet.com/usubmit/2011/04/03/5420269.htm","0")</f>
        <v>0</v>
      </c>
      <c r="DD120" s="51"/>
      <c r="DE120" s="51"/>
      <c r="DF120" s="51"/>
      <c r="DG120" s="51"/>
      <c r="DH120" s="51"/>
      <c r="DI120" s="51"/>
      <c r="DJ120" s="51">
        <v>0</v>
      </c>
      <c r="DK120" s="51">
        <v>0</v>
      </c>
      <c r="DL120" s="48" t="s">
        <v>100</v>
      </c>
      <c r="DM120" s="101" t="str">
        <f>HYPERLINK("https://www.sandiegouniontribune.com/sdut-gang-member-gets-life-for-upstate-ny-mass-shooting-2011jun02-story.html","0")</f>
        <v>0</v>
      </c>
      <c r="DN120" s="51">
        <v>0</v>
      </c>
      <c r="DO120" s="51" t="s">
        <v>100</v>
      </c>
      <c r="DP120" s="101" t="str">
        <f t="shared" ref="DP120:DQ120" si="297">HYPERLINK("https://www.tmcnet.com/usubmit/2011/04/03/5420269.htm","0")</f>
        <v>0</v>
      </c>
      <c r="DQ120" s="101" t="str">
        <f t="shared" si="297"/>
        <v>0</v>
      </c>
      <c r="DR120" s="51"/>
      <c r="DS120" s="101" t="str">
        <f>HYPERLINK("http://www.nbcnews.com/id/38853191/ns/us_news-crime_and_courts/t/man-surrenders-ny-shooting-deaths/#.XqhRd1NKhQK","1")</f>
        <v>1</v>
      </c>
      <c r="DT120" s="101">
        <v>1</v>
      </c>
      <c r="DU120" s="101" t="str">
        <f>HYPERLINK("https://www.sandiegouniontribune.com/sdut-gang-member-gets-life-for-upstate-ny-mass-shooting-2011jun02-story.html","0")</f>
        <v>0</v>
      </c>
      <c r="DV120" s="48" t="s">
        <v>100</v>
      </c>
      <c r="DW120" s="101" t="str">
        <f>HYPERLINK("http://www.sandiegouniontribune.com/sdut-gang-member-gets-life-for-upstate-ny-mass-shooting-2011jun02-story.html ","2")</f>
        <v>2</v>
      </c>
      <c r="DX120" s="101" t="str">
        <f>HYPERLINK("http://downtown.wgrz.com/news/news/mccray-jury-hears-suspects-voice-first-time/53683","1")</f>
        <v>1</v>
      </c>
      <c r="DY120" s="101" t="str">
        <f>HYPERLINK("https://newyork.cbslocal.com/2010/10/19/buffalo-mass-shooting-suspect-appears-in-court/","0")</f>
        <v>0</v>
      </c>
      <c r="DZ120" s="133" t="str">
        <f>HYPERLINK("https://www.sandiegouniontribune.com/sdut-gang-member-gets-life-for-upstate-ny-mass-shooting-2011jun02-story.html","2")</f>
        <v>2</v>
      </c>
    </row>
    <row r="121" spans="1:130" ht="50.25" customHeight="1">
      <c r="A121" s="96">
        <v>119</v>
      </c>
      <c r="B121" s="97" t="s">
        <v>556</v>
      </c>
      <c r="C121" s="97" t="s">
        <v>557</v>
      </c>
      <c r="D121" s="98">
        <v>40432</v>
      </c>
      <c r="E121" s="48" t="s">
        <v>103</v>
      </c>
      <c r="F121" s="99">
        <v>11</v>
      </c>
      <c r="G121" s="100" t="str">
        <f>HYPERLINK("http://www.nbcnews.com/id/39119240/ns/us_news-crime_and_courts/t/victims-kin-spat-began-fatal-ky-rampage/#.XatTC-dKiRt","9")</f>
        <v>9</v>
      </c>
      <c r="H121" s="105" t="str">
        <f>HYPERLINK("http://www.nbcnews.com/id/39119240/ns/us_news-crime_and_courts/t/victims-kin-spat-began-fatal-ky-rampage/#.XaJmFS3Mzq0","2010")</f>
        <v>2010</v>
      </c>
      <c r="I121" s="48" t="s">
        <v>558</v>
      </c>
      <c r="J121" s="105" t="str">
        <f>HYPERLINK("http://www.nbcnews.com/id/39119240/ns/us_news-crime_and_courts/t/victims-kin-spat-began-fatal-ky-rampage/#.XatTC-dKiRt","Jackson")</f>
        <v>Jackson</v>
      </c>
      <c r="K121" s="100" t="str">
        <f>HYPERLINK("http://www.nbcnews.com/id/39119240/ns/us_news-crime_and_courts/t/victims-kin-spat-began-fatal-ky-rampage/#.XatTC-dKiRt","17")</f>
        <v>17</v>
      </c>
      <c r="L121" s="100" t="str">
        <f>HYPERLINK("http://www.nbcnews.com/id/39119240/ns/us_news-crime_and_courts/t/victims-kin-spat-began-fatal-ky-rampage/#.XatTC-dKiRt","0")</f>
        <v>0</v>
      </c>
      <c r="M121" s="100" t="str">
        <f>HYPERLINK("http://www.nbcnews.com/id/39119240/ns/us_news-crime_and_courts/t/victims-kin-spat-began-fatal-ky-rampage/#.XatTC-dKiRt","2")</f>
        <v>2</v>
      </c>
      <c r="N121" s="100" t="str">
        <f>HYPERLINK("http://www.nbcnews.com/id/39119240/ns/us_news-crime_and_courts/t/victims-kin-spat-began-fatal-ky-rampage/#.XatTC-dKiRt","7")</f>
        <v>7</v>
      </c>
      <c r="O121" s="100" t="str">
        <f>HYPERLINK("http://www.nbcnews.com/id/39119240/ns/us_news-crime_and_courts/t/victims-kin-spat-began-fatal-ky-rampage/#.XatTC-dKiRt","0")</f>
        <v>0</v>
      </c>
      <c r="P121" s="99" t="s">
        <v>100</v>
      </c>
      <c r="Q121" s="103">
        <v>0</v>
      </c>
      <c r="R121" s="103">
        <v>0</v>
      </c>
      <c r="S121" s="100" t="str">
        <f>HYPERLINK("https://www.nytimes.com/2010/09/12/us/12kentucky.html","5")</f>
        <v>5</v>
      </c>
      <c r="T121" s="100" t="str">
        <f>HYPERLINK("https://www.nytimes.com/2010/09/12/us/12kentucky.html","0")</f>
        <v>0</v>
      </c>
      <c r="U121" s="105" t="str">
        <f>HYPERLINK("https://www.theguardian.com/world/2010/sep/12/man-shot-wife-cooked-eggs","0")</f>
        <v>0</v>
      </c>
      <c r="V121" s="105" t="str">
        <f>HYPERLINK("https://www.theguardian.com/world/2010/sep/12/man-shot-wife-cooked-eggs","47")</f>
        <v>47</v>
      </c>
      <c r="W121" s="105" t="str">
        <f>HYPERLINK("https://www.theguardian.com/world/2010/sep/12/man-shot-wife-cooked-eggs","0")</f>
        <v>0</v>
      </c>
      <c r="X121" s="48">
        <v>0</v>
      </c>
      <c r="Y121" s="48">
        <v>0</v>
      </c>
      <c r="Z121" s="105" t="str">
        <f>HYPERLINK("https://www.theguardian.com/world/2010/sep/12/man-shot-wife-cooked-eggs","0")</f>
        <v>0</v>
      </c>
      <c r="AA121" s="48"/>
      <c r="AB121" s="48"/>
      <c r="AC121" s="51"/>
      <c r="AD121" s="51"/>
      <c r="AE121" s="48"/>
      <c r="AF121" s="105" t="str">
        <f>HYPERLINK("https://www.express.co.uk/news/world/199153/Husband-shoots-5-dead-in-row-over-breakfast-eggs","1")</f>
        <v>1</v>
      </c>
      <c r="AG121" s="48"/>
      <c r="AH121" s="48"/>
      <c r="AI121" s="105" t="str">
        <f>HYPERLINK("https://www.theguardian.com/world/2010/sep/12/man-shot-wife-cooked-eggs","2")</f>
        <v>2</v>
      </c>
      <c r="AJ121" s="105" t="str">
        <f>HYPERLINK("https://www.theguardian.com/world/2010/sep/12/man-shot-wife-cooked-eggs","1")</f>
        <v>1</v>
      </c>
      <c r="AK121" s="105" t="str">
        <f>HYPERLINK("https://www.syracuse.com/news/2010/09/kentucky_man_enraged_over_how.html","0")</f>
        <v>0</v>
      </c>
      <c r="AL121" s="48"/>
      <c r="AM121" s="48">
        <v>0</v>
      </c>
      <c r="AN121" s="48" t="s">
        <v>100</v>
      </c>
      <c r="AO121" s="101" t="str">
        <f>HYPERLINK("https://www.theguardian.com/world/2010/sep/12/man-shot-wife-cooked-eggs","0")</f>
        <v>0</v>
      </c>
      <c r="AP121" s="54"/>
      <c r="AQ121" s="105" t="str">
        <f>HYPERLINK("https://www.wkyt.com/home/headlines/102783529.html","1")</f>
        <v>1</v>
      </c>
      <c r="AR121" s="48">
        <v>0</v>
      </c>
      <c r="AS121" s="105" t="str">
        <f t="shared" ref="AS121:AT121" si="298">HYPERLINK("https://www.wkyt.com/home/headlines/102783529.html","1")</f>
        <v>1</v>
      </c>
      <c r="AT121" s="105" t="str">
        <f t="shared" si="298"/>
        <v>1</v>
      </c>
      <c r="AU121" s="105">
        <v>3</v>
      </c>
      <c r="AV121" s="48"/>
      <c r="AW121" s="48"/>
      <c r="AX121" s="105" t="str">
        <f>HYPERLINK("https://www.wkyt.com/home/headlines/102783529.html","1")</f>
        <v>1</v>
      </c>
      <c r="AY121" s="48">
        <v>0</v>
      </c>
      <c r="AZ121" s="48">
        <v>0</v>
      </c>
      <c r="BA121" s="48">
        <v>0</v>
      </c>
      <c r="BB121" s="107">
        <v>0</v>
      </c>
      <c r="BC121" s="105" t="str">
        <f>HYPERLINK("https://www.nytimes.com/2010/09/12/us/12kentucky.html","1")</f>
        <v>1</v>
      </c>
      <c r="BD121" s="48">
        <v>0</v>
      </c>
      <c r="BE121" s="48"/>
      <c r="BF121" s="48"/>
      <c r="BG121" s="48"/>
      <c r="BH121" s="48"/>
      <c r="BI121" s="48">
        <v>0</v>
      </c>
      <c r="BJ121" s="48">
        <v>0</v>
      </c>
      <c r="BK121" s="48">
        <v>0</v>
      </c>
      <c r="BL121" s="118" t="str">
        <f>HYPERLINK("https://www.theguardian.com/world/2010/sep/12/man-shot-wife-cooked-eggs","1")</f>
        <v>1</v>
      </c>
      <c r="BM121" s="127">
        <v>2</v>
      </c>
      <c r="BN121" s="115" t="s">
        <v>3015</v>
      </c>
      <c r="BO121" s="111">
        <v>1</v>
      </c>
      <c r="BP121" s="111">
        <v>0</v>
      </c>
      <c r="BQ121" s="111">
        <v>0</v>
      </c>
      <c r="BR121" s="111">
        <v>0</v>
      </c>
      <c r="BS121" s="111">
        <v>1</v>
      </c>
      <c r="BT121" s="111">
        <v>1</v>
      </c>
      <c r="BU121" s="111">
        <v>1</v>
      </c>
      <c r="BV121" s="111">
        <v>0</v>
      </c>
      <c r="BW121" s="111">
        <v>0</v>
      </c>
      <c r="BX121" s="111">
        <v>0</v>
      </c>
      <c r="BY121" s="105" t="str">
        <f>HYPERLINK("https://www.theguardian.com/world/2010/sep/12/man-shot-wife-cooked-eggs","2")</f>
        <v>2</v>
      </c>
      <c r="BZ121" s="48">
        <v>0</v>
      </c>
      <c r="CA121" s="48">
        <v>0</v>
      </c>
      <c r="CB121" s="48" t="s">
        <v>100</v>
      </c>
      <c r="CC121" s="48">
        <v>0</v>
      </c>
      <c r="CD121" s="52" t="s">
        <v>100</v>
      </c>
      <c r="CE121" s="105" t="str">
        <f>HYPERLINK("https://www.express.co.uk/news/world/199153/Husband-shoots-5-dead-in-row-over-breakfast-eggs","5")</f>
        <v>5</v>
      </c>
      <c r="CF121" s="48">
        <v>0</v>
      </c>
      <c r="CG121" s="48">
        <v>0</v>
      </c>
      <c r="CH121" s="48"/>
      <c r="CI121" s="105" t="str">
        <f>HYPERLINK("https://www.theguardian.com/world/2010/sep/12/man-shot-wife-cooked-eggs","1")</f>
        <v>1</v>
      </c>
      <c r="CJ121" s="123" t="s">
        <v>559</v>
      </c>
      <c r="CK121" s="129">
        <v>0</v>
      </c>
      <c r="CL121" s="129"/>
      <c r="CM121" s="129"/>
      <c r="CN121" s="116">
        <v>0</v>
      </c>
      <c r="CO121" s="116">
        <v>0</v>
      </c>
      <c r="CP121" s="116">
        <v>0</v>
      </c>
      <c r="CQ121" s="116">
        <v>0</v>
      </c>
      <c r="CR121" s="116">
        <v>0</v>
      </c>
      <c r="CS121" s="116">
        <v>0</v>
      </c>
      <c r="CT121" s="116">
        <v>0</v>
      </c>
      <c r="CU121" s="127">
        <v>1</v>
      </c>
      <c r="CV121" s="116">
        <v>0</v>
      </c>
      <c r="CW121" s="116">
        <v>0</v>
      </c>
      <c r="CX121" s="116">
        <v>0</v>
      </c>
      <c r="CY121" s="116">
        <v>0</v>
      </c>
      <c r="CZ121" s="118" t="str">
        <f>HYPERLINK("https://www.theguardian.com/world/2010/sep/12/man-shot-wife-cooked-eggs","1")</f>
        <v>1</v>
      </c>
      <c r="DA121" s="48">
        <v>0</v>
      </c>
      <c r="DB121" s="48">
        <v>0</v>
      </c>
      <c r="DC121" s="105" t="str">
        <f>HYPERLINK("https://www.wkyt.com/home/headlines/102783529.html","1")</f>
        <v>1</v>
      </c>
      <c r="DD121" s="51">
        <v>0</v>
      </c>
      <c r="DE121" s="51">
        <v>2</v>
      </c>
      <c r="DF121" s="51">
        <v>1</v>
      </c>
      <c r="DG121" s="51"/>
      <c r="DH121" s="51"/>
      <c r="DI121" s="51"/>
      <c r="DJ121" s="48">
        <v>0</v>
      </c>
      <c r="DK121" s="48">
        <v>0</v>
      </c>
      <c r="DL121" s="48" t="s">
        <v>100</v>
      </c>
      <c r="DM121" s="105" t="str">
        <f>HYPERLINK("http://www.nbcnews.com/id/39119240/ns/us_news-crime_and_courts/t/victims-kin-spat-began-fatal-ky-rampage/#.XatTC-dKiRt","0")</f>
        <v>0</v>
      </c>
      <c r="DN121" s="48">
        <v>0</v>
      </c>
      <c r="DO121" s="48" t="s">
        <v>100</v>
      </c>
      <c r="DP121" s="105" t="str">
        <f>HYPERLINK("https://www.theguardian.com/world/2010/sep/12/man-shot-wife-cooked-eggs","0")</f>
        <v>0</v>
      </c>
      <c r="DQ121" s="105" t="str">
        <f>HYPERLINK("http://www.nbcnews.com/id/39119240/ns/us_news-crime_and_courts/t/victims-kin-spat-began-fatal-ky-rampage/#.XatTC-dKiRt","0")</f>
        <v>0</v>
      </c>
      <c r="DR121" s="48"/>
      <c r="DS121" s="51">
        <v>1</v>
      </c>
      <c r="DT121" s="105" t="str">
        <f>HYPERLINK("https://www.theguardian.com/world/2010/sep/12/man-shot-wife-cooked-eggs","1")</f>
        <v>1</v>
      </c>
      <c r="DU121" s="105" t="str">
        <f>HYPERLINK("https://www.theguardian.com/world/2010/sep/12/man-shot-wife-cooked-eggs","0")</f>
        <v>0</v>
      </c>
      <c r="DV121" s="48" t="s">
        <v>100</v>
      </c>
      <c r="DW121" s="105" t="str">
        <f t="shared" ref="DW121:DX121" si="299">HYPERLINK("https://www.theguardian.com/world/2010/sep/12/man-shot-wife-cooked-eggs","0")</f>
        <v>0</v>
      </c>
      <c r="DX121" s="105" t="str">
        <f t="shared" si="299"/>
        <v>0</v>
      </c>
      <c r="DY121" s="48">
        <v>2</v>
      </c>
      <c r="DZ121" s="48">
        <v>0</v>
      </c>
    </row>
    <row r="122" spans="1:130" ht="50.25" customHeight="1">
      <c r="A122" s="96">
        <v>120</v>
      </c>
      <c r="B122" s="97" t="s">
        <v>560</v>
      </c>
      <c r="C122" s="97" t="s">
        <v>561</v>
      </c>
      <c r="D122" s="98">
        <v>40551</v>
      </c>
      <c r="E122" s="48" t="s">
        <v>103</v>
      </c>
      <c r="F122" s="99">
        <v>8</v>
      </c>
      <c r="G122" s="100">
        <v>1</v>
      </c>
      <c r="H122" s="101">
        <v>2011</v>
      </c>
      <c r="I122" s="48" t="s">
        <v>562</v>
      </c>
      <c r="J122" s="105" t="str">
        <f>HYPERLINK("https://www.cnn.com/2013/06/10/us/arizona-safeway-shootings-fast-facts/index.html","Tucson ")</f>
        <v xml:space="preserve">Tucson </v>
      </c>
      <c r="K122" s="100" t="str">
        <f>HYPERLINK("https://www.cbsnews.com/pictures/arizona-gunman-jared-loughner/","3")</f>
        <v>3</v>
      </c>
      <c r="L122" s="119">
        <v>3</v>
      </c>
      <c r="M122" s="102">
        <v>0</v>
      </c>
      <c r="N122" s="102" t="str">
        <f>HYPERLINK("https://www.nytimes.com/2011/01/09/us/politics/09giffords.html","4")</f>
        <v>4</v>
      </c>
      <c r="O122" s="100" t="str">
        <f>HYPERLINK("https://www.nytimes.com/2011/01/16/us/16loughner.html","0")</f>
        <v>0</v>
      </c>
      <c r="P122" s="99" t="s">
        <v>100</v>
      </c>
      <c r="Q122" s="103">
        <v>0</v>
      </c>
      <c r="R122" s="103">
        <v>0</v>
      </c>
      <c r="S122" s="100" t="str">
        <f>HYPERLINK("https://www.nytimes.com/2011/01/09/us/politics/09giffords.html","6")</f>
        <v>6</v>
      </c>
      <c r="T122" s="100" t="str">
        <f>HYPERLINK("https://www.cbsnews.com/news/jared-loughner-who-shot-gabrielle-giffords-in-tucson-ranted-online/","13")</f>
        <v>13</v>
      </c>
      <c r="U122" s="101" t="str">
        <f>HYPERLINK("https://www.nytimes.com/2011/01/16/us/16loughner.html","0")</f>
        <v>0</v>
      </c>
      <c r="V122" s="105" t="str">
        <f>HYPERLINK("https://www.nytimes.com/2011/01/16/us/16loughner.html","22")</f>
        <v>22</v>
      </c>
      <c r="W122" s="101">
        <v>0</v>
      </c>
      <c r="X122" s="101" t="str">
        <f>HYPERLINK("https://www.nytimes.com/2011/01/16/us/16loughner.html","0")</f>
        <v>0</v>
      </c>
      <c r="Y122" s="104" t="str">
        <f>HYPERLINK("https://www.latimes.com/archives/la-xpm-2011-jan-10-la-na-0111-loughner-parents-20110111-story.html","0")</f>
        <v>0</v>
      </c>
      <c r="Z122" s="105" t="str">
        <f>HYPERLINK("https://www.nytimes.com/2011/01/16/us/16loughner.html","0")</f>
        <v>0</v>
      </c>
      <c r="AA122" s="101" t="str">
        <f>HYPERLINK("https://www.telegraph.co.uk/news/worldnews/us-politics/8251085/Gabrielle-Giffords-shooting-Jared-Loughner-may-have-been-influenced-by-occult.html","4")</f>
        <v>4</v>
      </c>
      <c r="AB122" s="105">
        <v>2</v>
      </c>
      <c r="AC122" s="101" t="str">
        <f>HYPERLINK("https://www.morningjournal.com/news/documents-detail-jared-loughner-s-college-outbursts/article_cc84bbcc-3ec6-56a0-b5a5-be5a09a0cd07.html","1")</f>
        <v>1</v>
      </c>
      <c r="AD122" s="101" t="str">
        <f>HYPERLINK("https://www.morningjournal.com/news/documents-detail-jared-loughner-s-college-outbursts/article_cc84bbcc-3ec6-56a0-b5a5-be5a09a0cd07.html","unremarkable student")</f>
        <v>unremarkable student</v>
      </c>
      <c r="AE122" s="105" t="str">
        <f t="shared" ref="AE122:AH122" si="300">HYPERLINK("https://www.latimes.com/archives/la-xpm-2011-jan-10-la-na-0111-loughner-parents-20110111-story.html","0")</f>
        <v>0</v>
      </c>
      <c r="AF122" s="105" t="str">
        <f t="shared" si="300"/>
        <v>0</v>
      </c>
      <c r="AG122" s="105" t="str">
        <f t="shared" si="300"/>
        <v>0</v>
      </c>
      <c r="AH122" s="105" t="str">
        <f t="shared" si="300"/>
        <v>0</v>
      </c>
      <c r="AI122" s="105">
        <v>0</v>
      </c>
      <c r="AJ122" s="51">
        <v>0</v>
      </c>
      <c r="AK122" s="101" t="str">
        <f>HYPERLINK("https://tucson.com/news/local/crime/what-loughner-s-parents-knew-they-watched-his-decline-but/article_fb334f4e-4d20-5d80-baac-b467e8f56cb9.html","0")</f>
        <v>0</v>
      </c>
      <c r="AL122" s="101">
        <v>0</v>
      </c>
      <c r="AM122" s="101">
        <v>0</v>
      </c>
      <c r="AN122" s="48" t="s">
        <v>100</v>
      </c>
      <c r="AO122" s="101" t="str">
        <f>HYPERLINK("https://schoolshooters.info/sites/default/files/Jared_Loughner_Secret_Service_Report.pdf","3")</f>
        <v>3</v>
      </c>
      <c r="AP122" s="101" t="str">
        <f>HYPERLINK("https://schoolshooters.info/sites/default/files/Jared_Loughner_Secret_Service_Report.pdf","formerly volunteered at an animal shelter")</f>
        <v>formerly volunteered at an animal shelter</v>
      </c>
      <c r="AQ122" s="101" t="str">
        <f>HYPERLINK("https://www.nytimes.com/2011/01/16/us/16loughner.html","1")</f>
        <v>1</v>
      </c>
      <c r="AR122" s="51">
        <v>0</v>
      </c>
      <c r="AS122" s="104" t="str">
        <f>HYPERLINK("https://www.nytimes.com/2011/01/16/us/16loughner.html","0")</f>
        <v>0</v>
      </c>
      <c r="AT122" s="106" t="s">
        <v>809</v>
      </c>
      <c r="AU122" s="106" t="s">
        <v>100</v>
      </c>
      <c r="AV122" s="106" t="s">
        <v>100</v>
      </c>
      <c r="AW122" s="106" t="s">
        <v>100</v>
      </c>
      <c r="AX122" s="106" t="s">
        <v>809</v>
      </c>
      <c r="AY122" s="51">
        <v>0</v>
      </c>
      <c r="AZ122" s="51">
        <v>0</v>
      </c>
      <c r="BA122" s="101" t="str">
        <f>HYPERLINK("https://www.politico.com/story/2011/01/loughners-supremacists-tie-debunked-047438","0")</f>
        <v>0</v>
      </c>
      <c r="BB122" s="101">
        <v>1</v>
      </c>
      <c r="BC122" s="101">
        <v>0</v>
      </c>
      <c r="BD122" s="101">
        <v>0</v>
      </c>
      <c r="BE122" s="105" t="str">
        <f>HYPERLINK("https://www.nytimes.com/2011/01/16/us/16loughner.html","0")</f>
        <v>0</v>
      </c>
      <c r="BF122" s="104" t="str">
        <f>HYPERLINK("https://tucson.com/news/local/crime/what-loughner-s-parents-knew-they-watched-his-decline-but/article_fb334f4e-4d20-5d80-baac-b467e8f56cb9.html","0")</f>
        <v>0</v>
      </c>
      <c r="BG122" s="106"/>
      <c r="BH122" s="106" t="s">
        <v>806</v>
      </c>
      <c r="BI122" s="48">
        <v>0</v>
      </c>
      <c r="BJ122" s="101">
        <v>0</v>
      </c>
      <c r="BK122" s="101" t="str">
        <f>HYPERLINK("https://tucson.com/news/local/crime/what-loughner-s-parents-knew-they-watched-his-decline-but/article_fb334f4e-4d20-5d80-baac-b467e8f56cb9.html","0")</f>
        <v>0</v>
      </c>
      <c r="BL122" s="108" t="str">
        <f>HYPERLINK("https://www.nytimes.com/2011/01/16/us/16loughner.html","1")</f>
        <v>1</v>
      </c>
      <c r="BM122" s="109">
        <v>3</v>
      </c>
      <c r="BN122" s="110" t="s">
        <v>3048</v>
      </c>
      <c r="BO122" s="110">
        <v>1</v>
      </c>
      <c r="BP122" s="116">
        <v>1</v>
      </c>
      <c r="BQ122" s="116">
        <v>0</v>
      </c>
      <c r="BR122" s="116">
        <v>0</v>
      </c>
      <c r="BS122" s="110">
        <v>1</v>
      </c>
      <c r="BT122" s="110">
        <v>1</v>
      </c>
      <c r="BU122" s="110">
        <v>1</v>
      </c>
      <c r="BV122" s="109">
        <v>1</v>
      </c>
      <c r="BW122" s="110">
        <v>1</v>
      </c>
      <c r="BX122" s="110">
        <v>0</v>
      </c>
      <c r="BY122" s="104" t="s">
        <v>806</v>
      </c>
      <c r="BZ122" s="101" t="str">
        <f>HYPERLINK("https://tucson.com/news/local/crime/what-loughner-s-parents-knew-they-watched-his-decline-but/article_fb334f4e-4d20-5d80-baac-b467e8f56cb9.html","0")</f>
        <v>0</v>
      </c>
      <c r="CA122" s="101" t="str">
        <f>HYPERLINK("https://tucson.com/news/local/crime/loughner-at-was-treated-for-behavioral-health-issue/article_49344b47-f4e2-5b3d-9102-9ab600ee2149.html","1")</f>
        <v>1</v>
      </c>
      <c r="CB122" s="101" t="str">
        <f>HYPERLINK("https://tucson.com/news/local/crime/loughner-at-was-treated-for-behavioral-health-issue/article_49344b47-f4e2-5b3d-9102-9ab600ee2149.html","0")</f>
        <v>0</v>
      </c>
      <c r="CC122" s="101" t="str">
        <f>HYPERLINK("https://tucson.com/news/local/crime/what-loughner-s-parents-knew-they-watched-his-decline-but/article_fb334f4e-4d20-5d80-baac-b467e8f56cb9.html","0")</f>
        <v>0</v>
      </c>
      <c r="CD122" s="105" t="str">
        <f>HYPERLINK("https://tucson.com/news/local/crime/loughner-at-was-treated-for-behavioral-health-issue/article_49344b47-f4e2-5b3d-9102-9ab600ee2149.html","0")</f>
        <v>0</v>
      </c>
      <c r="CE122" s="105" t="str">
        <f>HYPERLINK("https://www.cbsnews.com/news/jared-lee-loughner-grew-delusional-in-months-before-tucson-rampage-police-reports-show/","2")</f>
        <v>2</v>
      </c>
      <c r="CF122" s="105" t="str">
        <f>HYPERLINK("https://www.courant.com/sdut-loughner-team-focuses-on-mental-illness-in-family-2011aug17-story.html","2")</f>
        <v>2</v>
      </c>
      <c r="CG122" s="48">
        <v>0</v>
      </c>
      <c r="CH122" s="101">
        <v>4</v>
      </c>
      <c r="CI122" s="51">
        <v>0</v>
      </c>
      <c r="CJ122" s="51" t="s">
        <v>100</v>
      </c>
      <c r="CK122" s="128">
        <v>2</v>
      </c>
      <c r="CL122" s="128">
        <v>4</v>
      </c>
      <c r="CM122" s="129"/>
      <c r="CN122" s="116">
        <v>0</v>
      </c>
      <c r="CO122" s="116">
        <v>0</v>
      </c>
      <c r="CP122" s="118">
        <v>0</v>
      </c>
      <c r="CQ122" s="116">
        <v>0</v>
      </c>
      <c r="CR122" s="116">
        <v>0</v>
      </c>
      <c r="CS122" s="116">
        <v>0</v>
      </c>
      <c r="CT122" s="116">
        <v>0</v>
      </c>
      <c r="CU122" s="116">
        <v>0</v>
      </c>
      <c r="CV122" s="116">
        <v>0</v>
      </c>
      <c r="CW122" s="110">
        <v>0</v>
      </c>
      <c r="CX122" s="109">
        <v>1</v>
      </c>
      <c r="CY122" s="110">
        <v>0</v>
      </c>
      <c r="CZ122" s="118" t="str">
        <f>HYPERLINK("https://www.nytimes.com/2011/01/09/us/politics/09giffords.html","0")</f>
        <v>0</v>
      </c>
      <c r="DA122" s="101">
        <v>3</v>
      </c>
      <c r="DB122" s="101">
        <v>1</v>
      </c>
      <c r="DC122" s="105">
        <v>1</v>
      </c>
      <c r="DD122" s="107" t="s">
        <v>874</v>
      </c>
      <c r="DE122" s="107">
        <v>9</v>
      </c>
      <c r="DF122" s="107" t="s">
        <v>809</v>
      </c>
      <c r="DG122" s="107"/>
      <c r="DH122" s="107"/>
      <c r="DI122" s="107"/>
      <c r="DJ122" s="104" t="str">
        <f>HYPERLINK("https://www.cbsnews.com/news/jared-loughner-who-shot-gabrielle-giffords-in-tucson-ranted-online/","1")</f>
        <v>1</v>
      </c>
      <c r="DK122" s="106" t="s">
        <v>833</v>
      </c>
      <c r="DL122" s="48" t="s">
        <v>100</v>
      </c>
      <c r="DM122" s="104" t="str">
        <f>HYPERLINK("https://abcnews.go.com/US/jared-loughner-alleged-tucson-shooting-gunman-appears-court/story?id=12580344","1")</f>
        <v>1</v>
      </c>
      <c r="DN122" s="48">
        <v>0</v>
      </c>
      <c r="DO122" s="48" t="s">
        <v>100</v>
      </c>
      <c r="DP122" s="105" t="str">
        <f t="shared" ref="DP122:DQ122" si="301">HYPERLINK("https://www.cbsnews.com/news/jared-loughner-who-shot-gabrielle-giffords-in-tucson-ranted-online/","1")</f>
        <v>1</v>
      </c>
      <c r="DQ122" s="105" t="str">
        <f t="shared" si="301"/>
        <v>1</v>
      </c>
      <c r="DR122" s="104" t="str">
        <f>HYPERLINK("https://www.nytimes.com/2011/01/16/us/16loughner.html","1")</f>
        <v>1</v>
      </c>
      <c r="DS122" s="101" t="str">
        <f>HYPERLINK("https://www.nytimes.com/2011/01/16/us/16loughner.html","2")</f>
        <v>2</v>
      </c>
      <c r="DT122" s="101" t="str">
        <f t="shared" ref="DT122" si="302">HYPERLINK("https://abcnews.go.com/US/jared-loughner-alleged-tucson-shooting-gunman-appears-court/story?id=12580344","1")</f>
        <v>1</v>
      </c>
      <c r="DU122" s="101" t="str">
        <f>HYPERLINK("https://www.nytimes.com/2011/01/16/us/16loughner.html","1")</f>
        <v>1</v>
      </c>
      <c r="DV122" s="101" t="str">
        <f>HYPERLINK("https://www.nytimes.com/2011/01/16/us/16loughner.html","knife")</f>
        <v>knife</v>
      </c>
      <c r="DW122" s="101">
        <v>2</v>
      </c>
      <c r="DX122" s="101" t="str">
        <f>HYPERLINK("https://www.nytimes.com/2011/01/16/us/16loughner.html","0")</f>
        <v>0</v>
      </c>
      <c r="DY122" s="104" t="str">
        <f>HYPERLINK("https://www.cbsnews.com/news/jared-lee-loughner-grew-delusional-in-months-before-tucson-rampage-police-reports-show/","0")</f>
        <v>0</v>
      </c>
      <c r="DZ122" s="164" t="str">
        <f>HYPERLINK("https://www.cnn.com/2012/11/08/justice/arizona-loughner-sentencing/index.html","2")</f>
        <v>2</v>
      </c>
    </row>
    <row r="123" spans="1:130" ht="50.25" customHeight="1">
      <c r="A123" s="96">
        <v>121</v>
      </c>
      <c r="B123" s="97" t="s">
        <v>563</v>
      </c>
      <c r="C123" s="97" t="s">
        <v>212</v>
      </c>
      <c r="D123" s="98">
        <v>40762</v>
      </c>
      <c r="E123" s="48" t="s">
        <v>137</v>
      </c>
      <c r="F123" s="99">
        <v>7</v>
      </c>
      <c r="G123" s="100" t="str">
        <f>HYPERLINK("https://abcnews.go.com/US/ohio-gunman-hunted-child-shooting-rampage-girlfriend-lone/story?id=14255204","8")</f>
        <v>8</v>
      </c>
      <c r="H123" s="105" t="str">
        <f>HYPERLINK("https://www.ohio.com/article/20120807/NEWS/308079402","2011")</f>
        <v>2011</v>
      </c>
      <c r="I123" s="48" t="s">
        <v>564</v>
      </c>
      <c r="J123" s="105" t="str">
        <f>HYPERLINK("https://www.cbsnews.com/news/gunman-in-ohio-rampage-identified-as-michael-hance/","Copley Township")</f>
        <v>Copley Township</v>
      </c>
      <c r="K123" s="100" t="str">
        <f>HYPERLINK("http://www.nbcnews.com/id/44057589/ns/us_news-crime_and_courts/t/woman-alleged-ohio-killer-estate-dispute/#.XatYGOdKiRt","35")</f>
        <v>35</v>
      </c>
      <c r="L123" s="100" t="str">
        <f>HYPERLINK("http://www.nbcnews.com/id/44057589/ns/us_news-crime_and_courts/t/woman-alleged-ohio-killer-estate-dispute/#.XatYGOdKiRt","1")</f>
        <v>1</v>
      </c>
      <c r="M123" s="100" t="str">
        <f>HYPERLINK("https://www.cbsnews.com/news/gunman-in-ohio-rampage-identified-as-michael-hance/","1")</f>
        <v>1</v>
      </c>
      <c r="N123" s="100" t="str">
        <f>HYPERLINK("http://www.nbcnews.com/id/44057589/ns/us_news-crime_and_courts/t/woman-alleged-ohio-killer-estate-dispute/#.XaJyRS3Mz-Y","7")</f>
        <v>7</v>
      </c>
      <c r="O123" s="100" t="str">
        <f>HYPERLINK("https://abcnews.go.com/US/ohio-gunman-hunted-child-shooting-rampage-girlfriend-lone/story?id=14255204","1")</f>
        <v>1</v>
      </c>
      <c r="P123" s="100" t="str">
        <f>HYPERLINK("https://abcnews.go.com/US/ohio-gunman-hunted-child-shooting-rampage-girlfriend-lone/story?id=14255204","7")</f>
        <v>7</v>
      </c>
      <c r="Q123" s="103">
        <v>1</v>
      </c>
      <c r="R123" s="139">
        <v>2</v>
      </c>
      <c r="S123" s="100" t="str">
        <f>HYPERLINK("http://www.nbcnews.com/id/44057589/ns/us_news-crime_and_courts/t/woman-alleged-ohio-killer-estate-dispute/#.XatYGOdKiRt","7")</f>
        <v>7</v>
      </c>
      <c r="T123" s="100" t="str">
        <f>HYPERLINK("https://abcnews.go.com/US/ohio-gunman-hunted-child-shooting-rampage-girlfriend-lone/story?id=14255204","1")</f>
        <v>1</v>
      </c>
      <c r="U123" s="105" t="str">
        <f>HYPERLINK("https://abcnews.go.com/US/ohio-gunman-hunted-child-shooting-rampage-girlfriend-lone/story?id=14255204","0")</f>
        <v>0</v>
      </c>
      <c r="V123" s="105" t="str">
        <f>HYPERLINK("https://abcnews.go.com/US/ohio-gunman-hunted-child-shooting-rampage-girlfriend-lone/story?id=14255204","51")</f>
        <v>51</v>
      </c>
      <c r="W123" s="105" t="str">
        <f>HYPERLINK("https://abcnews.go.com/US/ohio-gunman-hunted-child-shooting-rampage-girlfriend-lone/story?id=14255204","0")</f>
        <v>0</v>
      </c>
      <c r="X123" s="105" t="str">
        <f>HYPERLINK("https://www.cbsnews.com/news/gunman-in-ohio-rampage-identified-as-michael-hance/","0")</f>
        <v>0</v>
      </c>
      <c r="Y123" s="48">
        <v>0</v>
      </c>
      <c r="Z123" s="105" t="str">
        <f>HYPERLINK("http://www.nbcnews.com/id/44057589/ns/us_news-crime_and_courts/t/woman-alleged-ohio-killer-estate-dispute/#.XatYGOdKiRt","0")</f>
        <v>0</v>
      </c>
      <c r="AA123" s="48"/>
      <c r="AB123" s="105" t="str">
        <f>HYPERLINK("https://www.cleveland.com/metro/2011/08/shooter_described_as_eccentric.html","1")</f>
        <v>1</v>
      </c>
      <c r="AC123" s="51"/>
      <c r="AD123" s="51"/>
      <c r="AE123" s="48"/>
      <c r="AF123" s="105" t="str">
        <f>HYPERLINK("https://www.cleveland.com/metro/2011/08/shooter_described_as_eccentric.html","1")</f>
        <v>1</v>
      </c>
      <c r="AG123" s="48"/>
      <c r="AH123" s="48"/>
      <c r="AI123" s="105" t="str">
        <f>HYPERLINK("https://abcnews.go.com/US/ohio-gunman-hunted-child-shooting-rampage-girlfriend-lone/story?id=14255204","1")</f>
        <v>1</v>
      </c>
      <c r="AJ123" s="48">
        <v>0</v>
      </c>
      <c r="AK123" s="105" t="str">
        <f>HYPERLINK("https://www.cleveland.com/metro/2011/08/shooter_described_as_eccentric.html","0")</f>
        <v>0</v>
      </c>
      <c r="AL123" s="48"/>
      <c r="AM123" s="48">
        <v>0</v>
      </c>
      <c r="AN123" s="48" t="s">
        <v>100</v>
      </c>
      <c r="AO123" s="101" t="str">
        <f>HYPERLINK("https://www.cleveland.com/metro/2011/08/shooter_described_as_eccentric.html","1")</f>
        <v>1</v>
      </c>
      <c r="AP123" s="150" t="str">
        <f>HYPERLINK("https://www.cleveland.com/metro/2011/08/shooter_described_as_eccentric.html","helpful to neighbors")</f>
        <v>helpful to neighbors</v>
      </c>
      <c r="AQ123" s="105" t="str">
        <f>HYPERLINK("https://www.cleveland.com/metro/2011/08/shooter_described_as_eccentric.html","0")</f>
        <v>0</v>
      </c>
      <c r="AR123" s="48">
        <v>0</v>
      </c>
      <c r="AS123" s="105" t="str">
        <f>HYPERLINK("https://www.beaconjournal.com/news/20190811/survivor-of-copley-rampage-reflects-on-mass-shootings-gun-control-measures","0")</f>
        <v>0</v>
      </c>
      <c r="AT123" s="48">
        <v>0</v>
      </c>
      <c r="AU123" s="48" t="s">
        <v>100</v>
      </c>
      <c r="AV123" s="48" t="s">
        <v>100</v>
      </c>
      <c r="AW123" s="48" t="s">
        <v>100</v>
      </c>
      <c r="AX123" s="48">
        <v>0</v>
      </c>
      <c r="AY123" s="48">
        <v>0</v>
      </c>
      <c r="AZ123" s="48">
        <v>0</v>
      </c>
      <c r="BA123" s="48">
        <v>0</v>
      </c>
      <c r="BB123" s="107">
        <v>0</v>
      </c>
      <c r="BC123" s="105" t="str">
        <f t="shared" ref="BC123:BE123" si="303">HYPERLINK("https://www.cleveland.com/metro/2011/08/shooter_described_as_eccentric.html","0")</f>
        <v>0</v>
      </c>
      <c r="BD123" s="105" t="str">
        <f t="shared" si="303"/>
        <v>0</v>
      </c>
      <c r="BE123" s="105" t="str">
        <f t="shared" si="303"/>
        <v>0</v>
      </c>
      <c r="BF123" s="48"/>
      <c r="BG123" s="48"/>
      <c r="BH123" s="48">
        <v>1</v>
      </c>
      <c r="BI123" s="105" t="str">
        <f>HYPERLINK("https://www.cleveland.com/metro/2011/08/shooter_described_as_eccentric.html","1")</f>
        <v>1</v>
      </c>
      <c r="BJ123" s="105" t="str">
        <f>HYPERLINK("https://www.beaconjournal.com/news/20190811/survivor-of-copley-rampage-reflects-on-mass-shootings-gun-control-measures","0")</f>
        <v>0</v>
      </c>
      <c r="BK123" s="105" t="str">
        <f>HYPERLINK("https://www.cleveland.com/metro/2011/08/shooter_described_as_eccentric.html","1")</f>
        <v>1</v>
      </c>
      <c r="BL123" s="118" t="str">
        <f>HYPERLINK("https://www.beaconjournal.com/news/20190811/survivor-of-copley-rampage-reflects-on-mass-shootings-gun-control-measures","1")</f>
        <v>1</v>
      </c>
      <c r="BM123" s="127">
        <v>0</v>
      </c>
      <c r="BN123" s="115" t="s">
        <v>3014</v>
      </c>
      <c r="BO123" s="111">
        <v>1</v>
      </c>
      <c r="BP123" s="111">
        <v>0</v>
      </c>
      <c r="BQ123" s="111">
        <v>1</v>
      </c>
      <c r="BR123" s="111">
        <v>0</v>
      </c>
      <c r="BS123" s="111">
        <v>0</v>
      </c>
      <c r="BT123" s="111">
        <v>1</v>
      </c>
      <c r="BU123" s="111">
        <v>0</v>
      </c>
      <c r="BV123" s="111">
        <v>0</v>
      </c>
      <c r="BW123" s="111">
        <v>1</v>
      </c>
      <c r="BX123" s="111">
        <v>0</v>
      </c>
      <c r="BY123" s="105" t="str">
        <f>HYPERLINK("https://www.cbsnews.com/news/gunman-in-ohio-rampage-identified-as-michael-hance/","2")</f>
        <v>2</v>
      </c>
      <c r="BZ123" s="48">
        <v>0</v>
      </c>
      <c r="CA123" s="48">
        <v>0</v>
      </c>
      <c r="CB123" s="48" t="s">
        <v>100</v>
      </c>
      <c r="CC123" s="48">
        <v>0</v>
      </c>
      <c r="CD123" s="48" t="s">
        <v>100</v>
      </c>
      <c r="CE123" s="105" t="str">
        <f>HYPERLINK("https://www.cleveland.com/metro/2011/08/shooter_described_as_eccentric.html","5")</f>
        <v>5</v>
      </c>
      <c r="CF123" s="48">
        <v>0</v>
      </c>
      <c r="CG123" s="48">
        <v>0</v>
      </c>
      <c r="CH123" s="48">
        <v>0</v>
      </c>
      <c r="CI123" s="48">
        <v>0</v>
      </c>
      <c r="CJ123" s="51" t="s">
        <v>100</v>
      </c>
      <c r="CK123" s="129">
        <v>0</v>
      </c>
      <c r="CL123" s="129"/>
      <c r="CM123" s="129"/>
      <c r="CN123" s="116">
        <v>0</v>
      </c>
      <c r="CO123" s="116">
        <v>0</v>
      </c>
      <c r="CP123" s="116">
        <v>0</v>
      </c>
      <c r="CQ123" s="116">
        <v>0</v>
      </c>
      <c r="CR123" s="116">
        <v>0</v>
      </c>
      <c r="CS123" s="116">
        <v>0</v>
      </c>
      <c r="CT123" s="127">
        <v>1</v>
      </c>
      <c r="CU123" s="116">
        <v>0</v>
      </c>
      <c r="CV123" s="127">
        <v>1</v>
      </c>
      <c r="CW123" s="116">
        <v>0</v>
      </c>
      <c r="CX123" s="116">
        <v>0</v>
      </c>
      <c r="CY123" s="116">
        <v>0</v>
      </c>
      <c r="CZ123" s="118" t="str">
        <f>HYPERLINK("http://www.nbcnews.com/id/44057589/ns/us_news-crime_and_courts/t/woman-alleged-ohio-killer-estate-dispute/#.XaJyRS3Mz-Y","1")</f>
        <v>1</v>
      </c>
      <c r="DA123" s="48">
        <v>0</v>
      </c>
      <c r="DB123" s="48">
        <v>0</v>
      </c>
      <c r="DC123" s="105" t="str">
        <f>HYPERLINK("https://www.beaconjournal.com/news/20190811/survivor-of-copley-rampage-reflects-on-mass-shootings-gun-control-measures","0")</f>
        <v>0</v>
      </c>
      <c r="DD123" s="48"/>
      <c r="DE123" s="48"/>
      <c r="DF123" s="48"/>
      <c r="DG123" s="48"/>
      <c r="DH123" s="48"/>
      <c r="DI123" s="48"/>
      <c r="DJ123" s="48">
        <v>0</v>
      </c>
      <c r="DK123" s="48">
        <v>0</v>
      </c>
      <c r="DL123" s="48" t="s">
        <v>100</v>
      </c>
      <c r="DM123" s="105" t="str">
        <f>HYPERLINK("https://www.beaconjournal.com/news/20190811/survivor-of-copley-rampage-reflects-on-mass-shootings-gun-control-measures","0")</f>
        <v>0</v>
      </c>
      <c r="DN123" s="48">
        <v>0</v>
      </c>
      <c r="DO123" s="48" t="s">
        <v>100</v>
      </c>
      <c r="DP123" s="105" t="str">
        <f>HYPERLINK("https://www.beaconjournal.com/news/20190811/survivor-of-copley-rampage-reflects-on-mass-shootings-gun-control-measures","0")</f>
        <v>0</v>
      </c>
      <c r="DQ123" s="105" t="str">
        <f>HYPERLINK("http://www.nbcnews.com/id/44057589/ns/us_news-crime_and_courts/t/woman-alleged-ohio-killer-estate-dispute/#.XatYGOdKiRt","0")</f>
        <v>0</v>
      </c>
      <c r="DR123" s="48">
        <v>0</v>
      </c>
      <c r="DS123" s="101" t="str">
        <f>HYPERLINK("http://www.nbcnews.com/id/44089816/ns/us_news-crime_and_courts/t/pawn-shop-says-it-sold-gun-ohio-shooter/#.XqhT1FNKhQJ","0")</f>
        <v>0</v>
      </c>
      <c r="DT123" s="105" t="str">
        <f t="shared" ref="DT123" si="304">HYPERLINK("https://www.cleveland.com/metro/2011/08/copley_police_release_details.html","2")</f>
        <v>2</v>
      </c>
      <c r="DU123" s="105" t="str">
        <f>HYPERLINK("https://www.cleveland.com/metro/2011/08/copley_police_release_details.html","0")</f>
        <v>0</v>
      </c>
      <c r="DV123" s="48" t="s">
        <v>100</v>
      </c>
      <c r="DW123" s="105" t="str">
        <f>HYPERLINK("http://www.nbcnews.com/id/44057589/ns/us_news-crime_and_courts/t/woman-alleged-ohio-killer-estate-dispute/#.XaJyRS3Mz-Y","1")</f>
        <v>1</v>
      </c>
      <c r="DX123" s="105" t="str">
        <f>HYPERLINK("https://www.cbsnews.com/news/gunman-in-ohio-rampage-identified-as-michael-hance/","0")</f>
        <v>0</v>
      </c>
      <c r="DY123" s="48">
        <v>2</v>
      </c>
      <c r="DZ123" s="48">
        <v>0</v>
      </c>
    </row>
    <row r="124" spans="1:130" ht="50.25" customHeight="1">
      <c r="A124" s="96">
        <v>122</v>
      </c>
      <c r="B124" s="97" t="s">
        <v>566</v>
      </c>
      <c r="C124" s="97" t="s">
        <v>567</v>
      </c>
      <c r="D124" s="98">
        <v>40792</v>
      </c>
      <c r="E124" s="48" t="s">
        <v>203</v>
      </c>
      <c r="F124" s="119">
        <v>6</v>
      </c>
      <c r="G124" s="102" t="str">
        <f>HYPERLINK("https://sacramento.cbslocal.com/2011/10/05/rifle-in-ihop-shooting-was-illegally-altered/","9")</f>
        <v>9</v>
      </c>
      <c r="H124" s="101" t="str">
        <f>HYPERLINK("https://www.nj.com/news/index.ssf/2011/09/ihop_shooting_rampage_in_nevad.html","2011")</f>
        <v>2011</v>
      </c>
      <c r="I124" s="48" t="s">
        <v>568</v>
      </c>
      <c r="J124" s="101" t="str">
        <f>HYPERLINK("https://www.nj.com/news/index.ssf/2011/09/ihop_shooting_rampage_in_nevad.html","Carson City")</f>
        <v>Carson City</v>
      </c>
      <c r="K124" s="102" t="str">
        <f>HYPERLINK("https://www.nj.com/news/index.ssf/2011/09/ihop_shooting_rampage_in_nevad.html","28")</f>
        <v>28</v>
      </c>
      <c r="L124" s="119">
        <v>3</v>
      </c>
      <c r="M124" s="102">
        <v>1</v>
      </c>
      <c r="N124" s="102" t="str">
        <f>HYPERLINK("https://www.nj.com/news/index.ssf/2011/09/ihop_shooting_rampage_in_nevad.html","5")</f>
        <v>5</v>
      </c>
      <c r="O124" s="102" t="str">
        <f>HYPERLINK("https://www.nj.com/news/2011/09/ihop_shooting_rampage_in_nevad.html","0")</f>
        <v>0</v>
      </c>
      <c r="P124" s="99" t="s">
        <v>100</v>
      </c>
      <c r="Q124" s="103">
        <v>1</v>
      </c>
      <c r="R124" s="103">
        <v>1</v>
      </c>
      <c r="S124" s="102" t="str">
        <f>HYPERLINK("https://web.archive.org/web/20111122040437/https://www.nola.com/crime/index.ssf/2011/09/details_emerge_of_quiet_troubl.html","4")</f>
        <v>4</v>
      </c>
      <c r="T124" s="102">
        <v>7</v>
      </c>
      <c r="U124" s="101" t="str">
        <f>HYPERLINK("https://www.nj.com/news/2011/09/ihop_shooting_rampage_in_nevad.html","0")</f>
        <v>0</v>
      </c>
      <c r="V124" s="101" t="str">
        <f>HYPERLINK("https://www.nj.com/news/index.ssf/2011/09/ihop_shooting_rampage_in_nevad.html","32")</f>
        <v>32</v>
      </c>
      <c r="W124" s="101" t="str">
        <f>HYPERLINK("https://www.nj.com/news/index.ssf/2011/09/ihop_shooting_rampage_in_nevad.html","0")</f>
        <v>0</v>
      </c>
      <c r="X124" s="101" t="str">
        <f>HYPERLINK("https://web.archive.org/web/20111122040437/https://www.nola.com/crime/index.ssf/2011/09/details_emerge_of_quiet_troubl.html","2")</f>
        <v>2</v>
      </c>
      <c r="Y124" s="105">
        <v>1</v>
      </c>
      <c r="Z124" s="101" t="str">
        <f>HYPERLINK("https://www.tahoedailytribune.com/news/ihop-gunman-had-been-unstable-two-months-before-the-shooting/","0")</f>
        <v>0</v>
      </c>
      <c r="AA124" s="101" t="str">
        <f>HYPERLINK("https://www.huffpost.com/entry/eduardo-sencion-ihop-shooter_n_1073677","1")</f>
        <v>1</v>
      </c>
      <c r="AB124" s="101" t="str">
        <f>HYPERLINK("https://www.sandiegouniontribune.com/sdut-details-emerge-of-quiet-troubled-ihop-gunman-2011sep08-story.html","1")</f>
        <v>1</v>
      </c>
      <c r="AC124" s="51"/>
      <c r="AD124" s="51"/>
      <c r="AE124" s="101" t="str">
        <f t="shared" ref="AE124:AG124" si="305">HYPERLINK("https://www.sandiegouniontribune.com/sdut-details-emerge-of-quiet-troubled-ihop-gunman-2011sep08-story.html","3")</f>
        <v>3</v>
      </c>
      <c r="AF124" s="101" t="str">
        <f t="shared" si="305"/>
        <v>3</v>
      </c>
      <c r="AG124" s="101" t="str">
        <f t="shared" si="305"/>
        <v>3</v>
      </c>
      <c r="AH124" s="101" t="str">
        <f>HYPERLINK("https://www.sandiegouniontribune.com/sdut-details-emerge-of-quiet-troubled-ihop-gunman-2011sep08-story.html","0")</f>
        <v>0</v>
      </c>
      <c r="AI124" s="51">
        <v>0</v>
      </c>
      <c r="AJ124" s="51">
        <v>0</v>
      </c>
      <c r="AK124" s="101" t="str">
        <f>HYPERLINK("https://web.archive.org/web/20111122040437/https://www.nola.com/crime/index.ssf/2011/09/details_emerge_of_quiet_troubl.html","1")</f>
        <v>1</v>
      </c>
      <c r="AL124" s="101" t="str">
        <f>HYPERLINK("https://web.archive.org/web/20111122040437/https://www.nola.com/crime/index.ssf/2011/09/details_emerge_of_quiet_troubl.html","0")</f>
        <v>0</v>
      </c>
      <c r="AM124" s="101" t="str">
        <f>HYPERLINK("https://www.nj.com/news/index.ssf/2011/09/ihop_shooting_rampage_in_nevad.html","0")</f>
        <v>0</v>
      </c>
      <c r="AN124" s="48" t="s">
        <v>100</v>
      </c>
      <c r="AO124" s="101" t="str">
        <f>HYPERLINK("https://www.sandiegouniontribune.com/sdut-details-emerge-of-quiet-troubled-ihop-gunman-2011sep08-story.html","0")</f>
        <v>0</v>
      </c>
      <c r="AP124" s="51"/>
      <c r="AQ124" s="101" t="str">
        <f>HYPERLINK("https://web.archive.org/web/20111122040437/https://www.nola.com/crime/index.ssf/2011/09/details_emerge_of_quiet_troubl.html","0")</f>
        <v>0</v>
      </c>
      <c r="AR124" s="51">
        <v>0</v>
      </c>
      <c r="AS124" s="101" t="str">
        <f>HYPERLINK("https://web.archive.org/web/20111122040437/https://www.nola.com/crime/index.ssf/2011/09/details_emerge_of_quiet_troubl.html","1")</f>
        <v>1</v>
      </c>
      <c r="AT124" s="52">
        <v>0</v>
      </c>
      <c r="AU124" s="52" t="s">
        <v>100</v>
      </c>
      <c r="AV124" s="52" t="s">
        <v>100</v>
      </c>
      <c r="AW124" s="52" t="s">
        <v>100</v>
      </c>
      <c r="AX124" s="48">
        <v>0</v>
      </c>
      <c r="AY124" s="51">
        <v>0</v>
      </c>
      <c r="AZ124" s="101" t="str">
        <f>HYPERLINK("https://www.nj.com/news/2011/09/ihop_shooting_rampage_in_nevad.html","0")</f>
        <v>0</v>
      </c>
      <c r="BA124" s="101" t="str">
        <f>HYPERLINK("https://www.politico.com/story/2011/01/loughners-supremacists-tie-debunked-047438","0")</f>
        <v>0</v>
      </c>
      <c r="BB124" s="107">
        <v>0</v>
      </c>
      <c r="BC124" s="101" t="str">
        <f>HYPERLINK("https://web.archive.org/web/20111122040437/https://www.nola.com/crime/index.ssf/2011/09/details_emerge_of_quiet_troubl.html","0")</f>
        <v>0</v>
      </c>
      <c r="BD124" s="51">
        <v>0</v>
      </c>
      <c r="BE124" s="101">
        <v>0</v>
      </c>
      <c r="BF124" s="51">
        <v>0</v>
      </c>
      <c r="BG124" s="51"/>
      <c r="BH124" s="51"/>
      <c r="BI124" s="51">
        <v>0</v>
      </c>
      <c r="BJ124" s="51">
        <v>0</v>
      </c>
      <c r="BK124" s="51">
        <v>0</v>
      </c>
      <c r="BL124" s="108" t="str">
        <f>HYPERLINK("https://www.rgj.com/story/news/2014/04/05/authorities-who-is-carson-city-ihop-gunman-eduardo-sencion/6671951/","0")</f>
        <v>0</v>
      </c>
      <c r="BM124" s="108" t="s">
        <v>100</v>
      </c>
      <c r="BN124" s="110"/>
      <c r="BO124" s="110">
        <v>0</v>
      </c>
      <c r="BP124" s="110">
        <v>0</v>
      </c>
      <c r="BQ124" s="110">
        <v>0</v>
      </c>
      <c r="BR124" s="110">
        <v>0</v>
      </c>
      <c r="BS124" s="110">
        <v>0</v>
      </c>
      <c r="BT124" s="110">
        <v>0</v>
      </c>
      <c r="BU124" s="110">
        <v>0</v>
      </c>
      <c r="BV124" s="110">
        <v>0</v>
      </c>
      <c r="BW124" s="110">
        <v>0</v>
      </c>
      <c r="BX124" s="110">
        <v>0</v>
      </c>
      <c r="BY124" s="101">
        <v>0</v>
      </c>
      <c r="BZ124" s="101" t="str">
        <f>HYPERLINK("https://web.archive.org/web/20111122040437/https://www.nola.com/crime/index.ssf/2011/09/details_emerge_of_quiet_troubl.html","1")</f>
        <v>1</v>
      </c>
      <c r="CA124" s="51">
        <v>0</v>
      </c>
      <c r="CB124" s="51" t="s">
        <v>100</v>
      </c>
      <c r="CC124" s="101" t="str">
        <f t="shared" ref="CC124:CD124" si="306">HYPERLINK("https://web.archive.org/web/20111122040437/https://www.nola.com/crime/index.ssf/2011/09/details_emerge_of_quiet_troubl.html","1")</f>
        <v>1</v>
      </c>
      <c r="CD124" s="101" t="str">
        <f t="shared" si="306"/>
        <v>1</v>
      </c>
      <c r="CE124" s="101" t="str">
        <f>HYPERLINK("https://sacramento.cbslocal.com/2011/10/05/rifle-in-ihop-shooting-was-illegally-altered/","2")</f>
        <v>2</v>
      </c>
      <c r="CF124" s="51">
        <v>0</v>
      </c>
      <c r="CG124" s="51">
        <v>0</v>
      </c>
      <c r="CH124" s="51">
        <v>0</v>
      </c>
      <c r="CI124" s="51">
        <v>0</v>
      </c>
      <c r="CJ124" s="51" t="s">
        <v>100</v>
      </c>
      <c r="CK124" s="113">
        <v>0</v>
      </c>
      <c r="CL124" s="113"/>
      <c r="CM124" s="113"/>
      <c r="CN124" s="110">
        <v>0</v>
      </c>
      <c r="CO124" s="110">
        <v>0</v>
      </c>
      <c r="CP124" s="110">
        <v>0</v>
      </c>
      <c r="CQ124" s="110">
        <v>0</v>
      </c>
      <c r="CR124" s="110">
        <v>0</v>
      </c>
      <c r="CS124" s="110">
        <v>0</v>
      </c>
      <c r="CT124" s="110">
        <v>0</v>
      </c>
      <c r="CU124" s="110">
        <v>0</v>
      </c>
      <c r="CV124" s="110">
        <v>0</v>
      </c>
      <c r="CW124" s="110">
        <v>0</v>
      </c>
      <c r="CX124" s="110">
        <v>0</v>
      </c>
      <c r="CY124" s="108" t="str">
        <f>HYPERLINK("https://www.rgj.com/story/news/2014/04/05/in-interview-family-says-carson-city-ihop-shooter-wasnt-angry-his-motivation-unclear/7265485/","1")</f>
        <v>1</v>
      </c>
      <c r="CZ124" s="108" t="str">
        <f>HYPERLINK("https://www.nj.com/news/2011/09/ihop_shooting_rampage_in_nevad.html","0")</f>
        <v>0</v>
      </c>
      <c r="DA124" s="101">
        <v>1</v>
      </c>
      <c r="DB124" s="51">
        <v>0</v>
      </c>
      <c r="DC124" s="101" t="str">
        <f>HYPERLINK("https://www.rgj.com/story/news/2014/04/05/authorities-who-is-carson-city-ihop-gunman-eduardo-sencion/6671951/","0")</f>
        <v>0</v>
      </c>
      <c r="DD124" s="51"/>
      <c r="DE124" s="51"/>
      <c r="DF124" s="51"/>
      <c r="DG124" s="51"/>
      <c r="DH124" s="51"/>
      <c r="DI124" s="51"/>
      <c r="DJ124" s="51">
        <v>0</v>
      </c>
      <c r="DK124" s="51">
        <v>0</v>
      </c>
      <c r="DL124" s="48" t="s">
        <v>100</v>
      </c>
      <c r="DM124" s="101" t="str">
        <f>HYPERLINK("https://www.rgj.com/story/news/2014/04/05/authorities-who-is-carson-city-ihop-gunman-eduardo-sencion/6671951/","0")</f>
        <v>0</v>
      </c>
      <c r="DN124" s="51">
        <v>0</v>
      </c>
      <c r="DO124" s="51" t="s">
        <v>100</v>
      </c>
      <c r="DP124" s="101" t="str">
        <f>HYPERLINK("https://www.rgj.com/story/news/2014/04/05/authorities-who-is-carson-city-ihop-gunman-eduardo-sencion/6671951/","0")</f>
        <v>0</v>
      </c>
      <c r="DQ124" s="101" t="str">
        <f>HYPERLINK("https://www.nj.com/news/2011/09/ihop_shooting_rampage_in_nevad.html","0")</f>
        <v>0</v>
      </c>
      <c r="DR124" s="48">
        <v>0</v>
      </c>
      <c r="DS124" s="101" t="str">
        <f>HYPERLINK("https://www.leg.state.nv.us/App/NELIS/REL/77th2013/ExhibitDocument/OpenExhibitDocument?exhibitId=2560&amp;fileDownloadName=Power%20Point-Ken%20Furlong.pdf","1")</f>
        <v>1</v>
      </c>
      <c r="DT124" s="101" t="str">
        <f>HYPERLINK("https://www.leg.state.nv.us/App/NELIS/REL/77th2013/ExhibitDocument/OpenExhibitDocument?exhibitId=2560&amp;fileDownloadName=Power%20Point-Ken%20Furlong.pdf","4")</f>
        <v>4</v>
      </c>
      <c r="DU124" s="101" t="str">
        <f>HYPERLINK("https://www.nj.com/news/2011/09/ihop_shooting_rampage_in_nevad.html","0")</f>
        <v>0</v>
      </c>
      <c r="DV124" s="48" t="s">
        <v>100</v>
      </c>
      <c r="DW124" s="101" t="str">
        <f>HYPERLINK("https://www.nj.com/news/index.ssf/2011/09/ihop_shooting_rampage_in_nevad.html","0")</f>
        <v>0</v>
      </c>
      <c r="DX124" s="101" t="str">
        <f>HYPERLINK("https://www.nj.com/news/2011/09/ihop_shooting_rampage_in_nevad.html","0")</f>
        <v>0</v>
      </c>
      <c r="DY124" s="48">
        <v>2</v>
      </c>
      <c r="DZ124" s="48">
        <v>0</v>
      </c>
    </row>
    <row r="125" spans="1:130" ht="50.25" customHeight="1">
      <c r="A125" s="96">
        <v>123</v>
      </c>
      <c r="B125" s="97" t="s">
        <v>570</v>
      </c>
      <c r="C125" s="97" t="s">
        <v>571</v>
      </c>
      <c r="D125" s="98">
        <v>40828</v>
      </c>
      <c r="E125" s="48" t="s">
        <v>123</v>
      </c>
      <c r="F125" s="119">
        <v>12</v>
      </c>
      <c r="G125" s="102" t="str">
        <f>HYPERLINK("https://www.latimes.com/archives/la-xpm-2011-oct-12-la-me-1013-seal-beach-shooting-20111013-story.html","10")</f>
        <v>10</v>
      </c>
      <c r="H125" s="101" t="str">
        <f>HYPERLINK("http://articles.latimes.com/2011/oct/12/local/la-me-1013-seal-beach-shooting-20111013","2011")</f>
        <v>2011</v>
      </c>
      <c r="I125" s="48" t="s">
        <v>572</v>
      </c>
      <c r="J125" s="101" t="str">
        <f>HYPERLINK("http://articles.latimes.com/2011/oct/12/local/la-me-1013-seal-beach-shooting-20111013","Seal Beach")</f>
        <v>Seal Beach</v>
      </c>
      <c r="K125" s="102" t="str">
        <f>HYPERLINK("https://www.bbc.co.uk/news/world-us-canada-15317461","5")</f>
        <v>5</v>
      </c>
      <c r="L125" s="102">
        <v>3</v>
      </c>
      <c r="M125" s="102" t="str">
        <f>HYPERLINK("https://www.scpr.org/news/2011/10/13/29383/scott-dekraai-seal-beach-shooter/","1")</f>
        <v>1</v>
      </c>
      <c r="N125" s="102" t="str">
        <f>HYPERLINK("https://www.latimes.com/archives/la-xpm-2011-oct-12-la-me-1013-seal-beach-shooting-20111013-story.html","4")</f>
        <v>4</v>
      </c>
      <c r="O125" s="102" t="str">
        <f>HYPERLINK("https://www.latimes.com/local/la-xpm-2011-oct-15-la-me-seal-beach-shooting-20111015-story.html","0")</f>
        <v>0</v>
      </c>
      <c r="P125" s="99" t="s">
        <v>100</v>
      </c>
      <c r="Q125" s="103">
        <v>0</v>
      </c>
      <c r="R125" s="103">
        <v>0</v>
      </c>
      <c r="S125" s="102" t="str">
        <f>HYPERLINK("http://articles.latimes.com/2011/oct/12/local/la-me-1013-seal-beach-shooting-20111013","8")</f>
        <v>8</v>
      </c>
      <c r="T125" s="102">
        <v>1</v>
      </c>
      <c r="U125" s="101" t="str">
        <f>HYPERLINK("https://www.nytimes.com/2011/10/13/us/8-killed-in-shooting-at-hair-salon-in-seal-beach-california.html","0")</f>
        <v>0</v>
      </c>
      <c r="V125" s="101" t="str">
        <f>HYPERLINK("https://www.ocregister.com/2011/10/14/police-id-victims-in-seal-beach-shooting/","41")</f>
        <v>41</v>
      </c>
      <c r="W125" s="101" t="str">
        <f>HYPERLINK("https://www.cbsnews.com/news/lawyer-accused-salon-shooter-will-plead-guilty-to-killing-eight/","0")</f>
        <v>0</v>
      </c>
      <c r="X125" s="101" t="str">
        <f>HYPERLINK("https://www.cbsnews.com/news/the-gates-of-hell-flew-open-hair-salon-mass-killer-scott-dekraai-sentenced-at-emotional-hearing/","0")</f>
        <v>0</v>
      </c>
      <c r="Y125" s="48">
        <v>0</v>
      </c>
      <c r="Z125" s="101" t="str">
        <f>HYPERLINK("https://www.ocregister.com/2011/10/14/police-id-victims-in-seal-beach-shooting/","0")</f>
        <v>0</v>
      </c>
      <c r="AA125" s="51"/>
      <c r="AB125" s="101" t="str">
        <f>HYPERLINK("http://www.nbcnews.com/id/44913588/ns/us_news-crime_and_courts/t/details-calif-shooting-suspects-life-emerges/#.XWazhi3MyqQ","1")</f>
        <v>1</v>
      </c>
      <c r="AC125" s="51"/>
      <c r="AD125" s="51"/>
      <c r="AE125" s="101" t="str">
        <f t="shared" ref="AE125:AH125" si="307">HYPERLINK("http://www.nbcnews.com/id/44913588/ns/us_news-crime_and_courts/t/details-calif-shooting-suspects-life-emerges/#.Xl7F-RNKhQJ","0")</f>
        <v>0</v>
      </c>
      <c r="AF125" s="101" t="str">
        <f t="shared" si="307"/>
        <v>0</v>
      </c>
      <c r="AG125" s="101" t="str">
        <f t="shared" si="307"/>
        <v>0</v>
      </c>
      <c r="AH125" s="101" t="str">
        <f t="shared" si="307"/>
        <v>0</v>
      </c>
      <c r="AI125" s="101" t="str">
        <f>HYPERLINK("https://www.latimes.com/socal/daily-pilot/news/tn-dpt-xpm-2011-10-19-tn-hbi-1020-shooting-20111019-story.html","2")</f>
        <v>2</v>
      </c>
      <c r="AJ125" s="101" t="str">
        <f>HYPERLINK("https://www.latimes.com/socal/daily-pilot/news/tn-dpt-xpm-2011-10-19-tn-hbi-1020-shooting-20111019-story.html","1")</f>
        <v>1</v>
      </c>
      <c r="AK125" s="101" t="str">
        <f>HYPERLINK("http://www.nbcnews.com/id/44913588/ns/us_news-crime_and_courts/t/details-calif-shooting-suspects-life-emerges/#.XWazhi3MyqQ","0")</f>
        <v>0</v>
      </c>
      <c r="AL125" s="101">
        <v>0</v>
      </c>
      <c r="AM125" s="101" t="str">
        <f>HYPERLINK("http://www.nbcnews.com/id/44913588/ns/us_news-crime_and_courts/t/details-calif-shooting-suspects-life-emerges/#.XWazhi3MyqQ","0")</f>
        <v>0</v>
      </c>
      <c r="AN125" s="48" t="s">
        <v>100</v>
      </c>
      <c r="AO125" s="101" t="str">
        <f>HYPERLINK("https://latimesblogs.latimes.com/lanow/2011/10/seal-beach-shooting-suspect-suffered-ptsd-from-boat-injury.html","3")</f>
        <v>3</v>
      </c>
      <c r="AP125" s="101" t="str">
        <f>HYPERLINK("https://latimesblogs.latimes.com/lanow/2011/10/seal-beach-shooting-suspect-suffered-ptsd-from-boat-injury.html","formerly active in community")</f>
        <v>formerly active in community</v>
      </c>
      <c r="AQ125" s="101" t="str">
        <f>HYPERLINK("http://www.nbcnews.com/id/44913588/ns/us_news-crime_and_courts/t/details-calif-shooting-suspects-life-emerges/#.XWazhi3MyqQ","1")</f>
        <v>1</v>
      </c>
      <c r="AR125" s="51">
        <v>0</v>
      </c>
      <c r="AS125" s="101" t="str">
        <f>HYPERLINK("http://www.nbcnews.com/id/44913588/ns/us_news-crime_and_courts/t/details-calif-shooting-suspects-life-emerges/#.XWazhi3MyqQ","1")</f>
        <v>1</v>
      </c>
      <c r="AT125" s="105">
        <v>3</v>
      </c>
      <c r="AU125" s="105">
        <v>1</v>
      </c>
      <c r="AV125" s="105">
        <v>4</v>
      </c>
      <c r="AW125" s="105">
        <v>3</v>
      </c>
      <c r="AX125" s="105" t="str">
        <f>HYPERLINK("http://www.nbcnews.com/id/44913588/ns/us_news-crime_and_courts/t/details-calif-shooting-suspects-life-emerges/#.XoOAFJNKhQK","1")</f>
        <v>1</v>
      </c>
      <c r="AY125" s="51">
        <v>0</v>
      </c>
      <c r="AZ125" s="51">
        <v>0</v>
      </c>
      <c r="BA125" s="51">
        <v>0</v>
      </c>
      <c r="BB125" s="107">
        <v>0</v>
      </c>
      <c r="BC125" s="101" t="str">
        <f>HYPERLINK("https://www.latimes.com/socal/daily-pilot/news/tn-dpt-xpm-2011-10-19-tn-hbi-1020-shooting-20111019-story.html","0")</f>
        <v>0</v>
      </c>
      <c r="BD125" s="51">
        <v>0</v>
      </c>
      <c r="BE125" s="101" t="str">
        <f>HYPERLINK("http://www.nbcnews.com/id/44913588/ns/us_news-crime_and_courts/t/details-calif-shooting-suspects-life-emerges/#.XWazhi3MyqQ","1")</f>
        <v>1</v>
      </c>
      <c r="BF125" s="101" t="str">
        <f>HYPERLINK("http://www.nbcnews.com/id/44913588/ns/us_news-crime_and_courts/t/details-calif-shooting-suspects-life-emerges/#.XWazhi3MyqQ","0")</f>
        <v>0</v>
      </c>
      <c r="BG125" s="101" t="str">
        <f>HYPERLINK("http://www.nbcnews.com/id/44913588/ns/us_news-crime_and_courts/t/details-calif-shooting-suspects-life-emerges/#.XWazhi3MyqQ","3")</f>
        <v>3</v>
      </c>
      <c r="BH125" s="51">
        <v>2</v>
      </c>
      <c r="BI125" s="101" t="str">
        <f>HYPERLINK("https://www.ocregister.com/2011/10/14/police-id-victims-in-seal-beach-shooting/","1")</f>
        <v>1</v>
      </c>
      <c r="BJ125" s="101" t="str">
        <f>HYPERLINK("https://www.latimes.com/socal/daily-pilot/news/tn-dpt-xpm-2011-10-19-tn-hbi-1020-shooting-20111019-story.html","0")</f>
        <v>0</v>
      </c>
      <c r="BK125" s="101" t="str">
        <f>HYPERLINK("http://www.nbcnews.com/id/44913588/ns/us_news-crime_and_courts/t/details-calif-shooting-suspects-life-emerges/#.XWazhi3MyqQ","0")</f>
        <v>0</v>
      </c>
      <c r="BL125" s="108" t="str">
        <f>HYPERLINK("http://www.nbcnews.com/id/44913588/ns/us_news-crime_and_courts/t/details-calif-shooting-suspects-life-emerges/#.XWazhi3MyqQ","1")</f>
        <v>1</v>
      </c>
      <c r="BM125" s="109">
        <v>2</v>
      </c>
      <c r="BN125" s="110" t="s">
        <v>2978</v>
      </c>
      <c r="BO125" s="110">
        <v>1</v>
      </c>
      <c r="BP125" s="116">
        <v>0</v>
      </c>
      <c r="BQ125" s="116">
        <v>0</v>
      </c>
      <c r="BR125" s="116">
        <v>0</v>
      </c>
      <c r="BS125" s="115">
        <v>1</v>
      </c>
      <c r="BT125" s="110">
        <v>1</v>
      </c>
      <c r="BU125" s="110">
        <v>1</v>
      </c>
      <c r="BV125" s="116">
        <v>0</v>
      </c>
      <c r="BW125" s="116">
        <v>0</v>
      </c>
      <c r="BX125" s="116">
        <v>0</v>
      </c>
      <c r="BY125" s="101" t="str">
        <f>HYPERLINK("https://www.bbc.co.uk/news/world-us-canada-15317461","1")</f>
        <v>1</v>
      </c>
      <c r="BZ125" s="51">
        <v>0</v>
      </c>
      <c r="CA125" s="101">
        <v>1</v>
      </c>
      <c r="CB125" s="101">
        <v>1</v>
      </c>
      <c r="CC125" s="101">
        <v>1</v>
      </c>
      <c r="CD125" s="101" t="str">
        <f>HYPERLINK("https://www.latimes.com/local/la-xpm-2011-oct-15-la-me-seal-beach-shooting-20111015-story.html","1")</f>
        <v>1</v>
      </c>
      <c r="CE125" s="101" t="str">
        <f>HYPERLINK("http://www.nbcnews.com/id/44913588/ns/us_news-crime_and_courts/t/details-calif-shooting-suspects-life-emerges/#.XWazhi3MyqQ","1")</f>
        <v>1</v>
      </c>
      <c r="CF125" s="101" t="str">
        <f>HYPERLINK("https://www.ocregister.com/2012/04/18/seal-beach-shooting-new-custody-battle-over-boy/","1")</f>
        <v>1</v>
      </c>
      <c r="CG125" s="51">
        <v>0</v>
      </c>
      <c r="CH125" s="101" t="str">
        <f>HYPERLINK("http://www.nbcnews.com/id/44913588/ns/us_news-crime_and_courts/t/details-calif-shooting-suspects-life-emerges/#.XWazhi3MyqQ","3")</f>
        <v>3</v>
      </c>
      <c r="CI125" s="101" t="str">
        <f>HYPERLINK("http://www.nbcnews.com/id/44913588/ns/us_news-crime_and_courts/t/details-calif-shooting-suspects-life-emerges/#.XWazhi3MyqQ","1")</f>
        <v>1</v>
      </c>
      <c r="CJ125" s="123" t="str">
        <f>HYPERLINK("http://www.nbcnews.com/id/44913588/ns/us_news-crime_and_courts/t/details-calif-shooting-suspects-life-emerges/#.XWazhi3MyqQ","debilitating leg injury")</f>
        <v>debilitating leg injury</v>
      </c>
      <c r="CK125" s="113">
        <v>0</v>
      </c>
      <c r="CL125" s="113"/>
      <c r="CM125" s="113"/>
      <c r="CN125" s="108">
        <v>0</v>
      </c>
      <c r="CO125" s="108">
        <v>0</v>
      </c>
      <c r="CP125" s="108">
        <v>0</v>
      </c>
      <c r="CQ125" s="110">
        <v>0</v>
      </c>
      <c r="CR125" s="108">
        <v>0</v>
      </c>
      <c r="CS125" s="108">
        <v>0</v>
      </c>
      <c r="CT125" s="108" t="str">
        <f>HYPERLINK("https://www.sfgate.com/bayarea/article/Scott-Dekraai-ex-argued-before-salon-shootings-2324865.php","1")</f>
        <v>1</v>
      </c>
      <c r="CU125" s="108" t="str">
        <f>HYPERLINK("https://www.sfgate.com/bayarea/article/Scott-Dekraai-ex-argued-before-salon-shootings-2324865.php","1")</f>
        <v>1</v>
      </c>
      <c r="CV125" s="108">
        <v>0</v>
      </c>
      <c r="CW125" s="110">
        <v>0</v>
      </c>
      <c r="CX125" s="110">
        <v>0</v>
      </c>
      <c r="CY125" s="110">
        <v>0</v>
      </c>
      <c r="CZ125" s="108" t="str">
        <f>HYPERLINK("https://www.ocregister.com/2011/10/14/police-id-victims-in-seal-beach-shooting/","1")</f>
        <v>1</v>
      </c>
      <c r="DA125" s="51">
        <v>0</v>
      </c>
      <c r="DB125" s="51">
        <v>0</v>
      </c>
      <c r="DC125" s="101" t="str">
        <f>HYPERLINK("https://www.scpr.org/news/2011/10/13/29383/scott-dekraai-seal-beach-shooter/","1")</f>
        <v>1</v>
      </c>
      <c r="DD125" s="51">
        <v>0</v>
      </c>
      <c r="DE125" s="51">
        <v>2</v>
      </c>
      <c r="DF125" s="51">
        <v>1</v>
      </c>
      <c r="DG125" s="51"/>
      <c r="DH125" s="51"/>
      <c r="DI125" s="51"/>
      <c r="DJ125" s="51">
        <v>0</v>
      </c>
      <c r="DK125" s="51">
        <v>0</v>
      </c>
      <c r="DL125" s="48" t="s">
        <v>100</v>
      </c>
      <c r="DM125" s="101" t="str">
        <f>HYPERLINK("https://www.cbsnews.com/news/the-gates-of-hell-flew-open-hair-salon-mass-killer-scott-dekraai-sentenced-at-emotional-hearing/","0")</f>
        <v>0</v>
      </c>
      <c r="DN125" s="51">
        <v>0</v>
      </c>
      <c r="DO125" s="51" t="s">
        <v>100</v>
      </c>
      <c r="DP125" s="101" t="str">
        <f t="shared" ref="DP125:DQ125" si="308">HYPERLINK("https://www.sfgate.com/bayarea/article/Scott-Dekraai-ex-argued-before-salon-shootings-2324865.php","0")</f>
        <v>0</v>
      </c>
      <c r="DQ125" s="101" t="str">
        <f t="shared" si="308"/>
        <v>0</v>
      </c>
      <c r="DR125" s="48">
        <v>0</v>
      </c>
      <c r="DS125" s="101" t="str">
        <f>HYPERLINK("http://www.nbcnews.com/id/44913588/ns/us_news-crime_and_courts/t/details-calif-shooting-suspects-life-emerges/#.XqhVyFNKhQJ","1")</f>
        <v>1</v>
      </c>
      <c r="DT125" s="101" t="str">
        <f>HYPERLINK("https://losangeles.cbslocal.com/2011/11/02/arrest-affidavit-shows-suspect-argued-with-ex-wife-before-seal-beach-salon-shooting/","3")</f>
        <v>3</v>
      </c>
      <c r="DU125" s="101" t="str">
        <f>HYPERLINK("https://www.bbc.co.uk/news/world-us-canada-15317461","1")</f>
        <v>1</v>
      </c>
      <c r="DV125" s="101" t="str">
        <f>HYPERLINK("https://www.bbc.co.uk/news/world-us-canada-15317461","bulletproof vest")</f>
        <v>bulletproof vest</v>
      </c>
      <c r="DW125" s="101" t="str">
        <f>HYPERLINK("https://www.bbc.co.uk/news/world-us-canada-15317461","2")</f>
        <v>2</v>
      </c>
      <c r="DX125" s="101" t="str">
        <f>HYPERLINK("https://losangeles.cbslocal.com/2011/11/02/arrest-affidavit-shows-suspect-argued-with-ex-wife-before-seal-beach-salon-shooting/","0")</f>
        <v>0</v>
      </c>
      <c r="DY125" s="105" t="str">
        <f>HYPERLINK("https://www.cbsnews.com/news/lawyer-accused-salon-shooter-will-plead-guilty-to-killing-eight/","0")</f>
        <v>0</v>
      </c>
      <c r="DZ125" s="133" t="str">
        <f>HYPERLINK("https://abc7.com/scott-dekraai-gets-8-life-terms-for-2011-oc-mass-killing/2443134/","2")</f>
        <v>2</v>
      </c>
    </row>
    <row r="126" spans="1:130" ht="50.25" customHeight="1">
      <c r="A126" s="96">
        <v>124</v>
      </c>
      <c r="B126" s="97" t="s">
        <v>575</v>
      </c>
      <c r="C126" s="97" t="s">
        <v>576</v>
      </c>
      <c r="D126" s="98">
        <v>41001</v>
      </c>
      <c r="E126" s="48" t="s">
        <v>95</v>
      </c>
      <c r="F126" s="119">
        <v>2</v>
      </c>
      <c r="G126" s="102" t="str">
        <f>HYPERLINK(" http://www.latimes.com/local/lanow/la-me-ln-oikos-college-shooting-plea-no-contest-20170502-story.html","4")</f>
        <v>4</v>
      </c>
      <c r="H126" s="101" t="str">
        <f>HYPERLINK("http://www.latimes.com/local/lanow/la-me-ln-oikos-college-shooting-plea-no-contest-20170502-story.html","2012")</f>
        <v>2012</v>
      </c>
      <c r="I126" s="48" t="s">
        <v>577</v>
      </c>
      <c r="J126" s="101" t="str">
        <f>HYPERLINK("http://abc7news.com/news/man-accused-in-oakland-oikos-shooting-pleads-no-contest/1944933/","Oakland")</f>
        <v>Oakland</v>
      </c>
      <c r="K126" s="102" t="str">
        <f>HYPERLINK("http://abc7news.com/news/man-accused-in-oakland-oikos-shooting-pleads-no-contest/1944933/","5")</f>
        <v>5</v>
      </c>
      <c r="L126" s="102" t="str">
        <f>HYPERLINK("http://abc7news.com/news/man-accused-in-oakland-oikos-shooting-pleads-no-contest/1944933/","3")</f>
        <v>3</v>
      </c>
      <c r="M126" s="102" t="str">
        <f>HYPERLINK("http://abc7news.com/news/man-accused-in-oakland-oikos-shooting-pleads-no-contest/1944933/","0")</f>
        <v>0</v>
      </c>
      <c r="N126" s="102" t="str">
        <f>HYPERLINK("https://www.latimes.com/local/lanow/la-me-ln-oikos-college-shooting-plea-no-contest-20170502-story.html","1")</f>
        <v>1</v>
      </c>
      <c r="O126" s="102">
        <v>0</v>
      </c>
      <c r="P126" s="99" t="s">
        <v>100</v>
      </c>
      <c r="Q126" s="103">
        <v>0</v>
      </c>
      <c r="R126" s="103">
        <v>0</v>
      </c>
      <c r="S126" s="102" t="str">
        <f>HYPERLINK("http://abc7news.com/news/man-accused-in-oakland-oikos-shooting-pleads-no-contest/1944933/","7")</f>
        <v>7</v>
      </c>
      <c r="T126" s="102" t="str">
        <f>HYPERLINK("https://abc7news.com/news/man-accused-in-oakland-oikos-shooting-pleads-no-contest/1944933/","3")</f>
        <v>3</v>
      </c>
      <c r="U126" s="101" t="str">
        <f>HYPERLINK("https://www.washingtonpost.com/blogs/blogpost/post/who-is-one-goh-oakland-school-shooting-suspect/2012/04/03/gIQACiZysS_blog.html?noredirect=on","1")</f>
        <v>1</v>
      </c>
      <c r="V126" s="101" t="str">
        <f>HYPERLINK("https://www.nytimes.com/2012/04/04/us/oikos-university-gunman-lined-up-victims.html","43")</f>
        <v>43</v>
      </c>
      <c r="W126" s="101" t="str">
        <f>HYPERLINK("http://abc7news.com/news/man-accused-in-oakland-oikos-shooting-pleads-no-contest/1944933/","0")</f>
        <v>0</v>
      </c>
      <c r="X126" s="101" t="str">
        <f>HYPERLINK("https://www.nytimes.com/2012/04/04/us/oikos-university-gunman-lined-up-victims.html","3")</f>
        <v>3</v>
      </c>
      <c r="Y126" s="105">
        <v>1</v>
      </c>
      <c r="Z126" s="51">
        <v>0</v>
      </c>
      <c r="AA126" s="101" t="str">
        <f>HYPERLINK("https://www.nytimes.com/2012/04/04/us/oikos-university-gunman-lined-up-victims.html","0")</f>
        <v>0</v>
      </c>
      <c r="AB126" s="141" t="str">
        <f>HYPERLINK("http://www.latimes.com/local/lanow/la-me-ln-oikos-college-shooting-plea-no-contest-20170502-story.html","2")</f>
        <v>2</v>
      </c>
      <c r="AC126" s="101" t="str">
        <f>HYPERLINK("https://www.mercurynews.com/2019/03/27/one-goh-man-who-killed-7-in-oikos-university-shooting-dies-in-prison/","2")</f>
        <v>2</v>
      </c>
      <c r="AD126" s="101" t="str">
        <f>HYPERLINK("https://www.mercurynews.com/2019/03/27/one-goh-man-who-killed-7-in-oikos-university-shooting-dies-in-prison/","good student")</f>
        <v>good student</v>
      </c>
      <c r="AE126" s="139">
        <v>3</v>
      </c>
      <c r="AF126" s="139">
        <v>2</v>
      </c>
      <c r="AG126" s="139">
        <v>2</v>
      </c>
      <c r="AH126" s="139">
        <v>0</v>
      </c>
      <c r="AI126" s="101">
        <v>3</v>
      </c>
      <c r="AJ126" s="101">
        <v>1</v>
      </c>
      <c r="AK126" s="101" t="str">
        <f t="shared" ref="AK126:AL126" si="309">HYPERLINK("https://latimesblogs.latimes.com/lanow/2012/04/oakland-college-shooting-troubling-portrait-of-suspect-emerges.html","0")</f>
        <v>0</v>
      </c>
      <c r="AL126" s="101" t="str">
        <f t="shared" si="309"/>
        <v>0</v>
      </c>
      <c r="AM126" s="51">
        <v>0</v>
      </c>
      <c r="AN126" s="48" t="s">
        <v>100</v>
      </c>
      <c r="AO126" s="101" t="str">
        <f>HYPERLINK("https://latimesblogs.latimes.com/lanow/2012/04/oakland-college-shooting-suspect.html","0")</f>
        <v>0</v>
      </c>
      <c r="AP126" s="54"/>
      <c r="AQ126" s="101" t="str">
        <f>HYPERLINK("https://www.washingtonpost.com/blogs/blogpost/post/who-is-one-goh-oakland-school-shooting-suspect/2012/04/03/gIQACiZysS_blog.html?noredirect=on&amp;utm_term=.69b74e85b8c4","0")</f>
        <v>0</v>
      </c>
      <c r="AR126" s="51">
        <v>0</v>
      </c>
      <c r="AS126" s="101">
        <v>1</v>
      </c>
      <c r="AT126" s="51">
        <v>0</v>
      </c>
      <c r="AU126" s="51" t="s">
        <v>100</v>
      </c>
      <c r="AV126" s="51" t="s">
        <v>100</v>
      </c>
      <c r="AW126" s="51" t="s">
        <v>100</v>
      </c>
      <c r="AX126" s="51">
        <v>0</v>
      </c>
      <c r="AY126" s="51">
        <v>0</v>
      </c>
      <c r="AZ126" s="51">
        <v>0</v>
      </c>
      <c r="BA126" s="51">
        <v>0</v>
      </c>
      <c r="BB126" s="107">
        <v>0</v>
      </c>
      <c r="BC126" s="101" t="str">
        <f t="shared" ref="BC126:BD126" si="310">HYPERLINK("https://www.nytimes.com/2012/04/04/us/oikos-university-gunman-lined-up-victims.html","0")</f>
        <v>0</v>
      </c>
      <c r="BD126" s="101" t="str">
        <f t="shared" si="310"/>
        <v>0</v>
      </c>
      <c r="BE126" s="101">
        <v>0</v>
      </c>
      <c r="BF126" s="101" t="str">
        <f>HYPERLINK("https://www.dailymail.co.uk/news/article-2124173/Oakland-shooting-Gunman-One-Gohs-boasts-massacre-Oikos-University-California-revealed.html","0")</f>
        <v>0</v>
      </c>
      <c r="BG126" s="101" t="str">
        <f>HYPERLINK("https://www.nytimes.com/2013/03/31/magazine/should-it-matter-that-the-shooter-at-oikos-university-was-korean.html","0")</f>
        <v>0</v>
      </c>
      <c r="BH126" s="51">
        <v>0</v>
      </c>
      <c r="BI126" s="101" t="str">
        <f>HYPERLINK("https://www.washingtonpost.com/blogs/blogpost/post/who-is-one-goh-oakland-school-shooting-suspect/2012/04/03/gIQACiZysS_blog.html?noredirect=on&amp;utm_term=.69b74e85b8c4","1")</f>
        <v>1</v>
      </c>
      <c r="BJ126" s="51">
        <v>0</v>
      </c>
      <c r="BK126" s="101" t="str">
        <f>HYPERLINK("https://latimesblogs.latimes.com/lanow/2012/04/oakland-college-shooting-troubling-portrait-of-suspect-emerges.html","1")</f>
        <v>1</v>
      </c>
      <c r="BL126" s="109">
        <v>1</v>
      </c>
      <c r="BM126" s="109">
        <v>2</v>
      </c>
      <c r="BN126" s="115" t="s">
        <v>2977</v>
      </c>
      <c r="BO126" s="115">
        <v>1</v>
      </c>
      <c r="BP126" s="111">
        <v>0</v>
      </c>
      <c r="BQ126" s="111">
        <v>0</v>
      </c>
      <c r="BR126" s="111">
        <v>0</v>
      </c>
      <c r="BS126" s="111">
        <v>0</v>
      </c>
      <c r="BT126" s="111">
        <v>1</v>
      </c>
      <c r="BU126" s="111">
        <v>0</v>
      </c>
      <c r="BV126" s="111">
        <v>1</v>
      </c>
      <c r="BW126" s="147" t="str">
        <f>HYPERLINK("https://www.eastbaytimes.com/2017/07/14/oikos-nursing-school-massacre-suspect-one-goh-to-face-life-in-prison/","1")</f>
        <v>1</v>
      </c>
      <c r="BX126" s="111">
        <v>1</v>
      </c>
      <c r="BY126" s="101" t="str">
        <f>HYPERLINK("https://www.eastbaytimes.com/2017/07/14/oikos-nursing-school-massacre-suspect-one-goh-to-face-life-in-prison/","2")</f>
        <v>2</v>
      </c>
      <c r="BZ126" s="51">
        <v>0</v>
      </c>
      <c r="CA126" s="51">
        <v>0</v>
      </c>
      <c r="CB126" s="51" t="s">
        <v>100</v>
      </c>
      <c r="CC126" s="51">
        <v>0</v>
      </c>
      <c r="CD126" s="51" t="s">
        <v>100</v>
      </c>
      <c r="CE126" s="101" t="str">
        <f>HYPERLINK("https://www.eastbaytimes.com/2017/07/14/oikos-nursing-school-massacre-suspect-one-goh-to-face-life-in-prison/","2")</f>
        <v>2</v>
      </c>
      <c r="CF126" s="51">
        <v>0</v>
      </c>
      <c r="CG126" s="51">
        <v>0</v>
      </c>
      <c r="CH126" s="51">
        <v>0</v>
      </c>
      <c r="CI126" s="51">
        <v>0</v>
      </c>
      <c r="CJ126" s="51" t="s">
        <v>100</v>
      </c>
      <c r="CK126" s="113">
        <v>0</v>
      </c>
      <c r="CL126" s="113"/>
      <c r="CM126" s="113"/>
      <c r="CN126" s="110">
        <v>0</v>
      </c>
      <c r="CO126" s="110">
        <v>0</v>
      </c>
      <c r="CP126" s="110">
        <v>0</v>
      </c>
      <c r="CQ126" s="110">
        <v>0</v>
      </c>
      <c r="CR126" s="110">
        <v>0</v>
      </c>
      <c r="CS126" s="109">
        <v>1</v>
      </c>
      <c r="CT126" s="110">
        <v>0</v>
      </c>
      <c r="CU126" s="110">
        <v>0</v>
      </c>
      <c r="CV126" s="110">
        <v>0</v>
      </c>
      <c r="CW126" s="110">
        <v>0</v>
      </c>
      <c r="CX126" s="109">
        <v>1</v>
      </c>
      <c r="CY126" s="110">
        <v>0</v>
      </c>
      <c r="CZ126" s="108" t="str">
        <f>HYPERLINK("https://www.latimes.com/local/lanow/la-me-ln-oikos-college-shooting-plea-no-contest-20170502-story.html","0")</f>
        <v>0</v>
      </c>
      <c r="DA126" s="101">
        <v>2</v>
      </c>
      <c r="DB126" s="51">
        <v>0</v>
      </c>
      <c r="DC126" s="101">
        <v>0</v>
      </c>
      <c r="DD126" s="51"/>
      <c r="DE126" s="51"/>
      <c r="DF126" s="51"/>
      <c r="DG126" s="51"/>
      <c r="DH126" s="51"/>
      <c r="DI126" s="51"/>
      <c r="DJ126" s="51">
        <v>0</v>
      </c>
      <c r="DK126" s="101">
        <v>0</v>
      </c>
      <c r="DL126" s="48" t="s">
        <v>100</v>
      </c>
      <c r="DM126" s="101" t="str">
        <f>HYPERLINK("https://www.latimes.com/local/lanow/la-me-ln-oikos-college-shooting-plea-no-contest-20170502-story.html","0")</f>
        <v>0</v>
      </c>
      <c r="DN126" s="51">
        <v>0</v>
      </c>
      <c r="DO126" s="51" t="s">
        <v>100</v>
      </c>
      <c r="DP126" s="101" t="str">
        <f>HYPERLINK("https://www.eastbaytimes.com/2017/07/14/oikos-nursing-school-massacre-suspect-one-goh-to-face-life-in-prison/","0")</f>
        <v>0</v>
      </c>
      <c r="DQ126" s="101" t="str">
        <f>HYPERLINK("https://www.sfgate.com/crime/article/Oakland-school-massacre-Jury-told-of-5-minutes-5760283.php","0")</f>
        <v>0</v>
      </c>
      <c r="DR126" s="51">
        <v>0</v>
      </c>
      <c r="DS126" s="101" t="str">
        <f>HYPERLINK("https://www.eastbaytimes.com/2017/07/14/oikos-nursing-school-massacre-suspect-one-goh-to-face-life-in-prison/","0")</f>
        <v>0</v>
      </c>
      <c r="DT126" s="101" t="str">
        <f>HYPERLINK("http://www.latimes.com/local/lanow/la-me-ln-oikos-college-shooting-plea-no-contest-20170502-story.html","1")</f>
        <v>1</v>
      </c>
      <c r="DU126" s="101" t="str">
        <f>HYPERLINK("https://www.latimes.com/local/lanow/la-me-ln-oikos-college-shooting-plea-no-contest-20170502-story.html","0")</f>
        <v>0</v>
      </c>
      <c r="DV126" s="48" t="s">
        <v>100</v>
      </c>
      <c r="DW126" s="101" t="str">
        <f>HYPERLINK("http://abc7news.com/news/man-accused-in-oakland-oikos-shooting-pleads-no-contest/1944933/    ","2")</f>
        <v>2</v>
      </c>
      <c r="DX126" s="101" t="str">
        <f>HYPERLINK("https://www.sfgate.com/crime/article/Oakland-school-massacre-Jury-told-of-5-minutes-5760283.php","0")</f>
        <v>0</v>
      </c>
      <c r="DY126" s="101" t="str">
        <f>HYPERLINK("https://abc7news.com/news/man-accused-in-oakland-oikos-shooting-pleads-no-contest/1944933/","0")</f>
        <v>0</v>
      </c>
      <c r="DZ126" s="133" t="str">
        <f>HYPERLINK("https://www.mercurynews.com/2017/07/14/oikos-nursing-school-massacre-suspect-one-goh-to-face-life-in-prison/","2")</f>
        <v>2</v>
      </c>
    </row>
    <row r="127" spans="1:130" ht="50.25" customHeight="1">
      <c r="A127" s="96">
        <v>125</v>
      </c>
      <c r="B127" s="97" t="s">
        <v>579</v>
      </c>
      <c r="C127" s="97" t="s">
        <v>580</v>
      </c>
      <c r="D127" s="98">
        <v>41059</v>
      </c>
      <c r="E127" s="48" t="s">
        <v>123</v>
      </c>
      <c r="F127" s="119">
        <v>30</v>
      </c>
      <c r="G127" s="102">
        <v>5</v>
      </c>
      <c r="H127" s="101" t="str">
        <f>HYPERLINK("https://www.kiro7.com/news/shooting-suspect-large-north-seattle/246788850","2012")</f>
        <v>2012</v>
      </c>
      <c r="I127" s="48" t="s">
        <v>581</v>
      </c>
      <c r="J127" s="101" t="s">
        <v>877</v>
      </c>
      <c r="K127" s="102" t="str">
        <f>HYPERLINK("https://www.seattletimes.com/seattle-news/gunman-a-life-full-of-rage-a-shocking-final-act/","47")</f>
        <v>47</v>
      </c>
      <c r="L127" s="119">
        <v>3</v>
      </c>
      <c r="M127" s="102">
        <v>0</v>
      </c>
      <c r="N127" s="102" t="str">
        <f>HYPERLINK("https://abcnews.go.com/US/ian-stawicki-seattle-cafe-racer-shooter-kills-shoots-citywide/story?id=16463885","5")</f>
        <v>5</v>
      </c>
      <c r="O127" s="100" t="str">
        <f>HYPERLINK("https://abcnews.go.com/US/ian-stawicki-seattle-cafe-racer-shooter-kills-shoots-citywide/story?id=16463885","1")</f>
        <v>1</v>
      </c>
      <c r="P127" s="122" t="str">
        <f>HYPERLINK("https://abcnews.go.com/US/ian-stawicki-seattle-cafe-racer-shooter-kills-shoots-citywide/story?id=16463885","8")</f>
        <v>8</v>
      </c>
      <c r="Q127" s="103">
        <v>0</v>
      </c>
      <c r="R127" s="103">
        <v>0</v>
      </c>
      <c r="S127" s="100" t="str">
        <f>HYPERLINK("https://www.seattletimes.com/seattle-news/gunman-a-life-full-of-rage-a-shocking-final-act/","5")</f>
        <v>5</v>
      </c>
      <c r="T127" s="100" t="str">
        <f>HYPERLINK("https://www.seattletimes.com/seattle-news/gunman-a-life-full-of-rage-a-shocking-final-act/","1")</f>
        <v>1</v>
      </c>
      <c r="U127" s="101" t="str">
        <f>HYPERLINK("https://www.seattletimes.com/seattle-news/gunman-a-life-full-of-rage-a-shocking-final-act/","0")</f>
        <v>0</v>
      </c>
      <c r="V127" s="101" t="str">
        <f>HYPERLINK("https://www.seattletimes.com/seattle-news/gunman-a-life-full-of-rage-a-shocking-final-act/","40")</f>
        <v>40</v>
      </c>
      <c r="W127" s="101" t="str">
        <f>HYPERLINK("https://www.kiro7.com/news/shooting-suspect-large-north-seattle/246788850","0")</f>
        <v>0</v>
      </c>
      <c r="X127" s="101" t="str">
        <f>HYPERLINK("https://www.seattlepi.com/local/article/Police-Seattle-shootings-were-like-an-execution-3599900.php","0")</f>
        <v>0</v>
      </c>
      <c r="Y127" s="101" t="str">
        <f t="shared" ref="Y127:Z127" si="311">HYPERLINK("https://www.seattletimes.com/seattle-news/gunman-a-life-full-of-rage-a-shocking-final-act/","0")</f>
        <v>0</v>
      </c>
      <c r="Z127" s="101" t="str">
        <f t="shared" si="311"/>
        <v>0</v>
      </c>
      <c r="AA127" s="51"/>
      <c r="AB127" s="101">
        <v>1</v>
      </c>
      <c r="AC127" s="101" t="str">
        <f>HYPERLINK("https://www.seattletimes.com/seattle-news/gunman-a-life-full-of-rage-a-shocking-final-act/","0")</f>
        <v>0</v>
      </c>
      <c r="AD127" s="101" t="str">
        <f>HYPERLINK("https://www.seattletimes.com/seattle-news/gunman-a-life-full-of-rage-a-shocking-final-act/","struggled in high school, went to alternative school for GED")</f>
        <v>struggled in high school, went to alternative school for GED</v>
      </c>
      <c r="AE127" s="101" t="str">
        <f>HYPERLINK("https://www.seattletimes.com/seattle-news/gunman-a-life-full-of-rage-a-shocking-final-act/","1")</f>
        <v>1</v>
      </c>
      <c r="AF127" s="101" t="str">
        <f>HYPERLINK("https://www.seattletimes.com/seattle-news/gunman-a-life-full-of-rage-a-shocking-final-act/","2")</f>
        <v>2</v>
      </c>
      <c r="AG127" s="101" t="str">
        <f>HYPERLINK("https://www.seattletimes.com/seattle-news/gunman-a-life-full-of-rage-a-shocking-final-act/","0")</f>
        <v>0</v>
      </c>
      <c r="AH127" s="101" t="str">
        <f>HYPERLINK("https://www.seattletimes.com/seattle-news/gunman-a-life-full-of-rage-a-shocking-final-act/","2")</f>
        <v>2</v>
      </c>
      <c r="AI127" s="101" t="str">
        <f>HYPERLINK("https://www.seattletimes.com/seattle-news/gunman-a-life-full-of-rage-a-shocking-final-act/","1")</f>
        <v>1</v>
      </c>
      <c r="AJ127" s="101" t="str">
        <f>HYPERLINK("https://abcnews.go.com/US/ian-stawicki-seattle-cafe-racer-shooter-kills-shoots-citywide/story?id=16463885","0")</f>
        <v>0</v>
      </c>
      <c r="AK127" s="101" t="str">
        <f>HYPERLINK("https://komonews.com/news/local/family-seattle-gunman-had-a-concealed-weapon-permit-11-20-2015","0")</f>
        <v>0</v>
      </c>
      <c r="AL127" s="101" t="str">
        <f>HYPERLINK("https://abcnews.go.com/US/ian-stawicki-seattle-cafe-racer-shooter-kills-shoots-citywide/story?id=16463885","0")</f>
        <v>0</v>
      </c>
      <c r="AM127" s="101" t="str">
        <f>HYPERLINK("https://www.kiro7.com/news/father-gunman-says-son-had-mental-health-problems/246881494/","2")</f>
        <v>2</v>
      </c>
      <c r="AN127" s="101">
        <v>0</v>
      </c>
      <c r="AO127" s="101" t="str">
        <f>HYPERLINK("https://www.seattletimes.com/seattle-news/gunman-a-life-full-of-rage-a-shocking-final-act/","1")</f>
        <v>1</v>
      </c>
      <c r="AP127" s="101" t="str">
        <f>HYPERLINK("https://www.seattletimes.com/seattle-news/gunman-a-life-full-of-rage-a-shocking-final-act/","regular at businesses, tried to join musician crowd")</f>
        <v>regular at businesses, tried to join musician crowd</v>
      </c>
      <c r="AQ127" s="101" t="str">
        <f>HYPERLINK("https://www.seattletimes.com/seattle-news/gunman-a-life-full-of-rage-a-shocking-final-act/","1")</f>
        <v>1</v>
      </c>
      <c r="AR127" s="51">
        <v>0</v>
      </c>
      <c r="AS127" s="101" t="str">
        <f>HYPERLINK("https://www.seattletimes.com/seattle-news/gunman-a-life-full-of-rage-a-shocking-final-act/","1")</f>
        <v>1</v>
      </c>
      <c r="AT127" s="101" t="str">
        <f>HYPERLINK("https://www.seattletimes.com/seattle-news/gunman-a-life-full-of-rage-a-shocking-final-act/","3")</f>
        <v>3</v>
      </c>
      <c r="AU127" s="101">
        <v>1</v>
      </c>
      <c r="AV127" s="51"/>
      <c r="AW127" s="51"/>
      <c r="AX127" s="51">
        <v>0</v>
      </c>
      <c r="AY127" s="51">
        <v>0</v>
      </c>
      <c r="AZ127" s="51">
        <v>0</v>
      </c>
      <c r="BA127" s="51">
        <v>0</v>
      </c>
      <c r="BB127" s="107">
        <v>0</v>
      </c>
      <c r="BC127" s="101" t="str">
        <f>HYPERLINK("https://www.seattletimes.com/seattle-news/gunman-a-life-full-of-rage-a-shocking-final-act/","1")</f>
        <v>1</v>
      </c>
      <c r="BD127" s="51">
        <v>0</v>
      </c>
      <c r="BE127" s="101" t="str">
        <f t="shared" ref="BE127:BF127" si="312">HYPERLINK("https://www.seattletimes.com/seattle-news/gunman-a-life-full-of-rage-a-shocking-final-act/","0")</f>
        <v>0</v>
      </c>
      <c r="BF127" s="101" t="str">
        <f t="shared" si="312"/>
        <v>0</v>
      </c>
      <c r="BG127" s="51"/>
      <c r="BH127" s="51">
        <v>1</v>
      </c>
      <c r="BI127" s="51">
        <v>0</v>
      </c>
      <c r="BJ127" s="101" t="s">
        <v>833</v>
      </c>
      <c r="BK127" s="101">
        <v>0</v>
      </c>
      <c r="BL127" s="109">
        <v>1</v>
      </c>
      <c r="BM127" s="109">
        <v>0</v>
      </c>
      <c r="BN127" s="110" t="s">
        <v>3109</v>
      </c>
      <c r="BO127" s="111">
        <v>1</v>
      </c>
      <c r="BP127" s="111">
        <v>0</v>
      </c>
      <c r="BQ127" s="111">
        <v>0</v>
      </c>
      <c r="BR127" s="111">
        <v>1</v>
      </c>
      <c r="BS127" s="111">
        <v>1</v>
      </c>
      <c r="BT127" s="111">
        <v>1</v>
      </c>
      <c r="BU127" s="111">
        <v>1</v>
      </c>
      <c r="BV127" s="111">
        <v>0</v>
      </c>
      <c r="BW127" s="111">
        <v>1</v>
      </c>
      <c r="BX127" s="111">
        <v>0</v>
      </c>
      <c r="BY127" s="101" t="str">
        <f>HYPERLINK("https://abcnews.go.com/US/ian-stawicki-seattle-cafe-racer-shooter-kills-shoots-citywide/story?id=16463885","2")</f>
        <v>2</v>
      </c>
      <c r="BZ127" s="101" t="str">
        <f>HYPERLINK("https://www.seattletimes.com/seattle-news/gunman-a-life-full-of-rage-a-shocking-final-act/","0")</f>
        <v>0</v>
      </c>
      <c r="CA127" s="101" t="str">
        <f>HYPERLINK("https://mynorthwest.com/13664/father-of-cafe-racer-shooter-reflects-on-the-tragedy/","0")</f>
        <v>0</v>
      </c>
      <c r="CB127" s="51" t="s">
        <v>100</v>
      </c>
      <c r="CC127" s="101">
        <v>0</v>
      </c>
      <c r="CD127" s="51" t="s">
        <v>100</v>
      </c>
      <c r="CE127" s="101" t="str">
        <f>HYPERLINK("https://www.seattletimes.com/seattle-news/gunman-a-life-full-of-rage-a-shocking-final-act/","2")</f>
        <v>2</v>
      </c>
      <c r="CF127" s="51">
        <v>0</v>
      </c>
      <c r="CG127" s="101" t="str">
        <f t="shared" ref="CG127:CG128" si="313">HYPERLINK("https://www.tandfonline.com/doi/pdf/10.1080/00223980.2016.1175998","1")</f>
        <v>1</v>
      </c>
      <c r="CH127" s="101" t="str">
        <f>HYPERLINK("https://www.seattlepi.com/local/article/Seattle-shooting-two-killed-three-wounded-3595992.php","1")</f>
        <v>1</v>
      </c>
      <c r="CI127" s="101">
        <v>1</v>
      </c>
      <c r="CJ127" s="123" t="str">
        <f>HYPERLINK("https://www.seattletimes.com/seattle-news/gunman-a-life-full-of-rage-a-shocking-final-act/","head injury, hearing loss")</f>
        <v>head injury, hearing loss</v>
      </c>
      <c r="CK127" s="113">
        <v>0</v>
      </c>
      <c r="CL127" s="113"/>
      <c r="CM127" s="113"/>
      <c r="CN127" s="110">
        <v>0</v>
      </c>
      <c r="CO127" s="110">
        <v>0</v>
      </c>
      <c r="CP127" s="110">
        <v>0</v>
      </c>
      <c r="CQ127" s="110">
        <v>0</v>
      </c>
      <c r="CR127" s="110">
        <v>0</v>
      </c>
      <c r="CS127" s="110">
        <v>0</v>
      </c>
      <c r="CT127" s="110">
        <v>0</v>
      </c>
      <c r="CU127" s="110">
        <v>0</v>
      </c>
      <c r="CV127" s="109" t="str">
        <f>HYPERLINK("https://www.seattletimes.com/seattle-news/gunman-a-life-full-of-rage-a-shocking-final-act/","1")</f>
        <v>1</v>
      </c>
      <c r="CW127" s="110">
        <v>0</v>
      </c>
      <c r="CX127" s="110">
        <v>0</v>
      </c>
      <c r="CY127" s="110">
        <v>0</v>
      </c>
      <c r="CZ127" s="108" t="str">
        <f>HYPERLINK("https://www.seattlepi.com/local/article/Police-Seattle-shootings-were-like-an-execution-3599900.php","0")</f>
        <v>0</v>
      </c>
      <c r="DA127" s="101">
        <v>1</v>
      </c>
      <c r="DB127" s="101">
        <v>0</v>
      </c>
      <c r="DC127" s="101">
        <v>0</v>
      </c>
      <c r="DD127" s="51"/>
      <c r="DE127" s="51"/>
      <c r="DF127" s="51"/>
      <c r="DG127" s="51"/>
      <c r="DH127" s="51"/>
      <c r="DI127" s="51"/>
      <c r="DJ127" s="51">
        <v>0</v>
      </c>
      <c r="DK127" s="101" t="s">
        <v>833</v>
      </c>
      <c r="DL127" s="48" t="s">
        <v>100</v>
      </c>
      <c r="DM127" s="101" t="str">
        <f>HYPERLINK("https://komonews.com/news/local/stawicki-bought-blueberry-bush-for-former-teacher-during-manhunt-11-20-2015","1")</f>
        <v>1</v>
      </c>
      <c r="DN127" s="51">
        <v>0</v>
      </c>
      <c r="DO127" s="51" t="s">
        <v>100</v>
      </c>
      <c r="DP127" s="101" t="str">
        <f>HYPERLINK("https://www.seattletimes.com/seattle-news/gunman-a-life-full-of-rage-a-shocking-final-act/","0")</f>
        <v>0</v>
      </c>
      <c r="DQ127" s="101" t="str">
        <f>HYPERLINK("https://www.seattlepi.com/local/article/Police-Seattle-shootings-were-like-an-execution-3599900.php","0")</f>
        <v>0</v>
      </c>
      <c r="DR127" s="101" t="str">
        <f>HYPERLINK("https://www.seattletimes.com/seattle-news/gunman-a-life-full-of-rage-a-shocking-final-act/","1")</f>
        <v>1</v>
      </c>
      <c r="DS127" s="101" t="str">
        <f>HYPERLINK("https://www.seattletimes.com/seattle-news/gunman-a-life-full-of-rage-a-shocking-final-act/","3")</f>
        <v>3</v>
      </c>
      <c r="DT127" s="101" t="str">
        <f t="shared" ref="DT127" si="314">HYPERLINK("https://www.seattlepi.com/local/article/Seattle-shooting-two-killed-three-wounded-3595992.php","2")</f>
        <v>2</v>
      </c>
      <c r="DU127" s="101" t="str">
        <f>HYPERLINK("https://www.seattlepi.com/local/article/Seattle-shooting-two-killed-three-wounded-3595992.php","0")</f>
        <v>0</v>
      </c>
      <c r="DV127" s="48" t="s">
        <v>100</v>
      </c>
      <c r="DW127" s="101">
        <v>0</v>
      </c>
      <c r="DX127" s="101" t="str">
        <f>HYPERLINK("https://www.seattletimes.com/seattle-news/gunman-a-life-full-of-rage-a-shocking-final-act/","0")</f>
        <v>0</v>
      </c>
      <c r="DY127" s="51">
        <v>2</v>
      </c>
      <c r="DZ127" s="48">
        <v>0</v>
      </c>
    </row>
    <row r="128" spans="1:130" ht="50.25" customHeight="1">
      <c r="A128" s="96">
        <v>126</v>
      </c>
      <c r="B128" s="97" t="s">
        <v>582</v>
      </c>
      <c r="C128" s="97" t="s">
        <v>221</v>
      </c>
      <c r="D128" s="98">
        <v>41110</v>
      </c>
      <c r="E128" s="48" t="s">
        <v>157</v>
      </c>
      <c r="F128" s="119">
        <v>20</v>
      </c>
      <c r="G128" s="102">
        <v>7</v>
      </c>
      <c r="H128" s="101">
        <v>2012</v>
      </c>
      <c r="I128" s="48" t="s">
        <v>583</v>
      </c>
      <c r="J128" s="101" t="s">
        <v>321</v>
      </c>
      <c r="K128" s="102">
        <v>6</v>
      </c>
      <c r="L128" s="119">
        <v>3</v>
      </c>
      <c r="M128" s="102">
        <v>0</v>
      </c>
      <c r="N128" s="122" t="str">
        <f>HYPERLINK("https://www.cnn.com/2013/07/19/us/colorado-theater-shooting-fast-facts/index.html","4")</f>
        <v>4</v>
      </c>
      <c r="O128" s="102" t="str">
        <f>HYPERLINK("https://www.nytimes.com/2012/08/27/us/before-gunfire-in-colorado-theater-hints-of-bad-news-about-james-holmes.html","0")</f>
        <v>0</v>
      </c>
      <c r="P128" s="99" t="s">
        <v>100</v>
      </c>
      <c r="Q128" s="103">
        <v>0</v>
      </c>
      <c r="R128" s="103">
        <v>0</v>
      </c>
      <c r="S128" s="102">
        <v>12</v>
      </c>
      <c r="T128" s="102">
        <v>70</v>
      </c>
      <c r="U128" s="101" t="str">
        <f>HYPERLINK("https://www.cnn.com/2012/07/20/us/colorado-theater-shooting/index.html","0")</f>
        <v>0</v>
      </c>
      <c r="V128" s="101">
        <v>24</v>
      </c>
      <c r="W128" s="101">
        <v>0</v>
      </c>
      <c r="X128" s="101">
        <v>0</v>
      </c>
      <c r="Y128" s="101" t="str">
        <f>HYPERLINK("https://www.cnn.com/2013/07/19/us/colorado-theater-shooting-fast-facts/index.html","0")</f>
        <v>0</v>
      </c>
      <c r="Z128" s="101" t="str">
        <f>HYPERLINK("https://www.cbsnews.com/news/james-holmes-trial-colorado-shooter-ex-girlfriend-describes-him-as-shy/","0")</f>
        <v>0</v>
      </c>
      <c r="AA128" s="101">
        <v>1</v>
      </c>
      <c r="AB128" s="101">
        <v>4</v>
      </c>
      <c r="AC128" s="101" t="str">
        <f>HYPERLINK("https://www.nbcchicago.com/news/local/man-accused-in-colo-shooting-was-accepted-to-uiuc/2070009/","2")</f>
        <v>2</v>
      </c>
      <c r="AD128" s="101" t="str">
        <f>HYPERLINK("https://www.nbcchicago.com/news/local/man-accused-in-colo-shooting-was-accepted-to-uiuc/2070009/","top 1% of class, 3.949 GPA")</f>
        <v>top 1% of class, 3.949 GPA</v>
      </c>
      <c r="AE128" s="101" t="str">
        <f t="shared" ref="AE128:AF128" si="315">HYPERLINK("https://www.cnn.com/2015/08/02/us/13th-juror-james-holmes-aurora-shooting/index.html","1")</f>
        <v>1</v>
      </c>
      <c r="AF128" s="101" t="str">
        <f t="shared" si="315"/>
        <v>1</v>
      </c>
      <c r="AG128" s="101" t="str">
        <f>HYPERLINK("https://www.cnn.com/2015/08/02/us/13th-juror-james-holmes-aurora-shooting/index.html","0")</f>
        <v>0</v>
      </c>
      <c r="AH128" s="101" t="str">
        <f>HYPERLINK("https://www.cnn.com/2015/08/02/us/13th-juror-james-holmes-aurora-shooting/index.html","1")</f>
        <v>1</v>
      </c>
      <c r="AI128" s="101" t="str">
        <f>HYPERLINK("https://www.cbsnews.com/news/james-holmes-trial-colorado-shooter-ex-girlfriend-describes-him-as-shy/","0")</f>
        <v>0</v>
      </c>
      <c r="AJ128" s="51">
        <v>0</v>
      </c>
      <c r="AK128" s="101" t="str">
        <f>HYPERLINK("https://denver.cbslocal.com/2012/07/22/cu-investigating-suspect-james-holmes-deliveries/","0")</f>
        <v>0</v>
      </c>
      <c r="AL128" s="101" t="str">
        <f>HYPERLINK("https://www.cnn.com/2012/07/20/us/colorado-theater-suspect-profile/index.html","1")</f>
        <v>1</v>
      </c>
      <c r="AM128" s="51">
        <v>0</v>
      </c>
      <c r="AN128" s="48" t="s">
        <v>100</v>
      </c>
      <c r="AO128" s="101" t="str">
        <f>HYPERLINK("https://www.nbcchicago.com/news/local/man-accused-in-colo-shooting-was-accepted-to-uiuc/2070009/","1")</f>
        <v>1</v>
      </c>
      <c r="AP128" s="101" t="str">
        <f>HYPERLINK("https://www.nbcchicago.com/news/local/man-accused-in-colo-shooting-was-accepted-to-uiuc/2070009/","involved in college community")</f>
        <v>involved in college community</v>
      </c>
      <c r="AQ128" s="101" t="str">
        <f>HYPERLINK("https://www.latimes.com/nation/la-na-james-holmes-parents-20150504-story.html","0")</f>
        <v>0</v>
      </c>
      <c r="AR128" s="51">
        <v>0</v>
      </c>
      <c r="AS128" s="101" t="str">
        <f>HYPERLINK("https://www.cnn.com/2015/08/02/us/13th-juror-james-holmes-aurora-shooting/index.html","0")</f>
        <v>0</v>
      </c>
      <c r="AT128" s="51">
        <v>0</v>
      </c>
      <c r="AU128" s="51" t="s">
        <v>100</v>
      </c>
      <c r="AV128" s="51" t="s">
        <v>100</v>
      </c>
      <c r="AW128" s="51" t="s">
        <v>100</v>
      </c>
      <c r="AX128" s="51">
        <v>0</v>
      </c>
      <c r="AY128" s="51">
        <v>0</v>
      </c>
      <c r="AZ128" s="51">
        <v>0</v>
      </c>
      <c r="BA128" s="51">
        <v>0</v>
      </c>
      <c r="BB128" s="141" t="str">
        <f>HYPERLINK("https://www.nytimes.com/2012/08/27/us/before-gunfire-in-colorado-theater-hints-of-bad-news-about-james-holmes.html","1")</f>
        <v>1</v>
      </c>
      <c r="BC128" s="101">
        <v>0</v>
      </c>
      <c r="BD128" s="101">
        <v>0</v>
      </c>
      <c r="BE128" s="101" t="str">
        <f t="shared" ref="BE128:BF128" si="316">HYPERLINK("https://www.latimes.com/nation/la-na-james-holmes-parents-20150504-story.html","0")</f>
        <v>0</v>
      </c>
      <c r="BF128" s="101" t="str">
        <f t="shared" si="316"/>
        <v>0</v>
      </c>
      <c r="BG128" s="101" t="str">
        <f>HYPERLINK("https://www.cnn.com/2015/08/02/us/13th-juror-james-holmes-aurora-shooting/index.html","0")</f>
        <v>0</v>
      </c>
      <c r="BH128" s="51">
        <v>1</v>
      </c>
      <c r="BI128" s="51">
        <v>0</v>
      </c>
      <c r="BJ128" s="101">
        <v>1</v>
      </c>
      <c r="BK128" s="101" t="str">
        <f>HYPERLINK("https://denver.cbslocal.com/2012/07/22/cu-investigating-suspect-james-holmes-deliveries/","1")</f>
        <v>1</v>
      </c>
      <c r="BL128" s="108" t="str">
        <f>HYPERLINK("https://www.nytimes.com/2012/08/27/us/before-gunfire-in-colorado-theater-hints-of-bad-news-about-james-holmes.html","1")</f>
        <v>1</v>
      </c>
      <c r="BM128" s="109">
        <v>2</v>
      </c>
      <c r="BN128" s="115" t="s">
        <v>2976</v>
      </c>
      <c r="BO128" s="111">
        <v>1</v>
      </c>
      <c r="BP128" s="111">
        <v>1</v>
      </c>
      <c r="BQ128" s="111">
        <v>1</v>
      </c>
      <c r="BR128" s="111">
        <v>0</v>
      </c>
      <c r="BS128" s="111">
        <v>0</v>
      </c>
      <c r="BT128" s="111">
        <v>0</v>
      </c>
      <c r="BU128" s="111">
        <v>0</v>
      </c>
      <c r="BV128" s="111">
        <v>1</v>
      </c>
      <c r="BW128" s="147" t="str">
        <f>HYPERLINK("https://www.cnn.com/2015/08/02/us/13th-juror-james-holmes-aurora-shooting/index.html","1")</f>
        <v>1</v>
      </c>
      <c r="BX128" s="111">
        <v>0</v>
      </c>
      <c r="BY128" s="101">
        <v>1</v>
      </c>
      <c r="BZ128" s="51">
        <v>0</v>
      </c>
      <c r="CA128" s="101" t="str">
        <f>HYPERLINK("https://www.nytimes.com/2012/08/27/us/before-gunfire-in-colorado-theater-hints-of-bad-news-about-james-holmes.html","1")</f>
        <v>1</v>
      </c>
      <c r="CB128" s="101" t="str">
        <f>HYPERLINK("https://www.cnn.com/2015/06/16/us/james-holmes-theater-shooting-fenton/index.html","0")</f>
        <v>0</v>
      </c>
      <c r="CC128" s="101">
        <v>1</v>
      </c>
      <c r="CD128" s="141" t="str">
        <f>HYPERLINK("https://www.cnn.com/2015/08/02/us/13th-juror-james-holmes-aurora-shooting/index.html","1")</f>
        <v>1</v>
      </c>
      <c r="CE128" s="101" t="str">
        <f>HYPERLINK("https://www.cnn.com/2015/08/02/us/13th-juror-james-holmes-aurora-shooting/index.html","4")</f>
        <v>4</v>
      </c>
      <c r="CF128" s="101" t="str">
        <f>HYPERLINK("https://www.latimes.com/nation/la-na-james-holmes-parents-20150504-story.html","2")</f>
        <v>2</v>
      </c>
      <c r="CG128" s="101" t="str">
        <f t="shared" si="313"/>
        <v>1</v>
      </c>
      <c r="CH128" s="101">
        <v>3</v>
      </c>
      <c r="CI128" s="101">
        <v>0</v>
      </c>
      <c r="CJ128" s="51" t="s">
        <v>100</v>
      </c>
      <c r="CK128" s="113">
        <v>0</v>
      </c>
      <c r="CL128" s="113"/>
      <c r="CM128" s="113"/>
      <c r="CN128" s="110">
        <v>0</v>
      </c>
      <c r="CO128" s="110">
        <v>0</v>
      </c>
      <c r="CP128" s="110">
        <v>0</v>
      </c>
      <c r="CQ128" s="110">
        <v>0</v>
      </c>
      <c r="CR128" s="110">
        <v>0</v>
      </c>
      <c r="CS128" s="110">
        <v>0</v>
      </c>
      <c r="CT128" s="110">
        <v>0</v>
      </c>
      <c r="CU128" s="110">
        <v>0</v>
      </c>
      <c r="CV128" s="110">
        <v>0</v>
      </c>
      <c r="CW128" s="110">
        <v>0</v>
      </c>
      <c r="CX128" s="108">
        <v>1</v>
      </c>
      <c r="CY128" s="110">
        <v>0</v>
      </c>
      <c r="CZ128" s="108" t="str">
        <f>HYPERLINK("https://www.cnn.com/2012/07/20/us/colorado-theater-shooting/index.html","0")</f>
        <v>0</v>
      </c>
      <c r="DA128" s="101" t="str">
        <f>HYPERLINK("https://www.cnn.com/2015/08/02/us/13th-juror-james-holmes-aurora-shooting/index.html","3")</f>
        <v>3</v>
      </c>
      <c r="DB128" s="101">
        <v>0</v>
      </c>
      <c r="DC128" s="101">
        <v>1</v>
      </c>
      <c r="DD128" s="51">
        <v>0</v>
      </c>
      <c r="DE128" s="107">
        <v>6</v>
      </c>
      <c r="DF128" s="51">
        <v>1</v>
      </c>
      <c r="DG128" s="51"/>
      <c r="DH128" s="51"/>
      <c r="DI128" s="51"/>
      <c r="DJ128" s="51">
        <v>0</v>
      </c>
      <c r="DK128" s="101" t="str">
        <f>HYPERLINK("https://www.apnews.com/2841561fb8f14b2c9d7d6f60eb75c5ec","1")</f>
        <v>1</v>
      </c>
      <c r="DL128" s="101" t="str">
        <f>HYPERLINK("https://www.apnews.com/2841561fb8f14b2c9d7d6f60eb75c5ec","Arcan Cetin planned to imitate this shooting.")</f>
        <v>Arcan Cetin planned to imitate this shooting.</v>
      </c>
      <c r="DM128" s="101" t="str">
        <f>HYPERLINK("https://www.cnn.com/2015/05/26/us/james-holmes-trial-notebook/index.html","1")</f>
        <v>1</v>
      </c>
      <c r="DN128" s="101" t="str">
        <f>HYPERLINK("https://www.vanityfair.com/hollywood/2019/10/joker-aurora-shooting-rumor","0")</f>
        <v>0</v>
      </c>
      <c r="DO128" s="101" t="str">
        <f>HYPERLINK("https://www.vanityfair.com/hollywood/2019/10/joker-aurora-shooting-rumor","N/A (despite rumors he was emulating the Joker from Batman)")</f>
        <v>N/A (despite rumors he was emulating the Joker from Batman)</v>
      </c>
      <c r="DP128" s="101" t="str">
        <f>HYPERLINK("https://www.cnn.com/2015/05/26/us/james-holmes-trial-notebook/index.html","1")</f>
        <v>1</v>
      </c>
      <c r="DQ128" s="101" t="str">
        <f>HYPERLINK("https://www.cnn.com/2012/07/20/us/colorado-theater-shooting/index.html","1")</f>
        <v>1</v>
      </c>
      <c r="DR128" s="51">
        <v>0</v>
      </c>
      <c r="DS128" s="101" t="str">
        <f>HYPERLINK("https://www.denverpost.com/2015/05/04/aurora-theater-gunman-there-werent-any-children-hurt-were-there/","1")</f>
        <v>1</v>
      </c>
      <c r="DT128" s="101" t="str">
        <f>HYPERLINK("https://www.cnn.com/2013/07/19/us/colorado-theater-shooting-fast-facts/index.html","4")</f>
        <v>4</v>
      </c>
      <c r="DU128" s="101" t="str">
        <f>HYPERLINK("https://www.cnn.com/2013/07/19/us/colorado-theater-shooting-fast-facts/index.html","1")</f>
        <v>1</v>
      </c>
      <c r="DV128" s="101" t="str">
        <f>HYPERLINK("https://www.cnn.com/2013/07/19/us/colorado-theater-shooting-fast-facts/index.html","tactical gear, gas mask, tear gas canisters, bombs")</f>
        <v>tactical gear, gas mask, tear gas canisters, bombs</v>
      </c>
      <c r="DW128" s="101">
        <v>2</v>
      </c>
      <c r="DX128" s="101" t="str">
        <f>HYPERLINK("https://www.cnn.com/2015/05/26/us/james-holmes-trial-notebook/index.html","0")</f>
        <v>0</v>
      </c>
      <c r="DY128" s="101" t="str">
        <f>HYPERLINK("https://www.cnn.com/2013/07/19/us/colorado-theater-shooting-fast-facts/index.html","1")</f>
        <v>1</v>
      </c>
      <c r="DZ128" s="133" t="str">
        <f>HYPERLINK("https://www.cnn.com/2013/07/19/us/colorado-theater-shooting-fast-facts/index.html","2")</f>
        <v>2</v>
      </c>
    </row>
    <row r="129" spans="1:130" ht="50.25" customHeight="1">
      <c r="A129" s="96">
        <v>127</v>
      </c>
      <c r="B129" s="97" t="s">
        <v>586</v>
      </c>
      <c r="C129" s="97" t="s">
        <v>587</v>
      </c>
      <c r="D129" s="98">
        <v>41126</v>
      </c>
      <c r="E129" s="48" t="s">
        <v>137</v>
      </c>
      <c r="F129" s="119">
        <v>5</v>
      </c>
      <c r="G129" s="102">
        <v>8</v>
      </c>
      <c r="H129" s="101">
        <v>2012</v>
      </c>
      <c r="I129" s="48" t="s">
        <v>588</v>
      </c>
      <c r="J129" s="101" t="s">
        <v>589</v>
      </c>
      <c r="K129" s="102">
        <v>49</v>
      </c>
      <c r="L129" s="102">
        <v>1</v>
      </c>
      <c r="M129" s="102">
        <v>1</v>
      </c>
      <c r="N129" s="102" t="str">
        <f>HYPERLINK("https://www.cbsnews.com/news/sikh-temple-shooting-suspect-wade-michael-page-was-white-supremacist/","3")</f>
        <v>3</v>
      </c>
      <c r="O129" s="102">
        <v>0</v>
      </c>
      <c r="P129" s="99" t="s">
        <v>100</v>
      </c>
      <c r="Q129" s="103">
        <v>0</v>
      </c>
      <c r="R129" s="103">
        <v>0</v>
      </c>
      <c r="S129" s="102" t="str">
        <f>HYPERLINK("https://www.cbsnews.com/news/sikh-temple-shooting-suspect-wade-michael-page-was-white-supremacist/","6")</f>
        <v>6</v>
      </c>
      <c r="T129" s="102" t="str">
        <f>HYPERLINK("https://www.cbsnews.com/news/sikh-temple-shooting-suspect-wade-michael-page-was-white-supremacist/","3")</f>
        <v>3</v>
      </c>
      <c r="U129" s="101" t="str">
        <f>HYPERLINK("https://www.cbsnews.com/news/sikh-temple-shooting-suspect-identified-as-wade-michael-page-motivation-unclear/","0")</f>
        <v>0</v>
      </c>
      <c r="V129" s="101">
        <v>40</v>
      </c>
      <c r="W129" s="101">
        <v>0</v>
      </c>
      <c r="X129" s="101" t="str">
        <f>HYPERLINK("https://www.bbc.com/news/world-us-canada-19167324","0")</f>
        <v>0</v>
      </c>
      <c r="Y129" s="105">
        <v>0</v>
      </c>
      <c r="Z129" s="101" t="str">
        <f>HYPERLINK("https://www.bbc.com/news/world-us-canada-19167324","0")</f>
        <v>0</v>
      </c>
      <c r="AA129" s="51"/>
      <c r="AB129" s="101">
        <v>1</v>
      </c>
      <c r="AC129" s="51"/>
      <c r="AD129" s="51"/>
      <c r="AE129" s="51"/>
      <c r="AF129" s="101" t="str">
        <f>HYPERLINK("https://www.denverpost.com/2012/08/06/suspect-in-sikh-temple-shootings-linked-to-colorado/","2")</f>
        <v>2</v>
      </c>
      <c r="AG129" s="51"/>
      <c r="AH129" s="51"/>
      <c r="AI129" s="101" t="str">
        <f>HYPERLINK("https://www.bbc.com/news/world-us-canada-19167324","0")</f>
        <v>0</v>
      </c>
      <c r="AJ129" s="51">
        <v>0</v>
      </c>
      <c r="AK129" s="101" t="str">
        <f>HYPERLINK("https://www.splcenter.org/fighting-hate/intelligence-report/2012/sikh-temple-killer-wade-michael-page-radicalized-army","0")</f>
        <v>0</v>
      </c>
      <c r="AL129" s="101" t="str">
        <f>HYPERLINK("https://edition.cnn.com/2012/08/06/us/wisconsin-shooting-suspect/index.html","0")</f>
        <v>0</v>
      </c>
      <c r="AM129" s="101">
        <v>1</v>
      </c>
      <c r="AN129" s="101">
        <v>0</v>
      </c>
      <c r="AO129" s="101" t="str">
        <f>HYPERLINK("https://www.bbc.com/news/world-us-canada-19167324","1")</f>
        <v>1</v>
      </c>
      <c r="AP129" s="101" t="str">
        <f>HYPERLINK("https://www.bbc.com/news/world-us-canada-19167324","white power music groups")</f>
        <v>white power music groups</v>
      </c>
      <c r="AQ129" s="101">
        <v>1</v>
      </c>
      <c r="AR129" s="51">
        <v>0</v>
      </c>
      <c r="AS129" s="101" t="str">
        <f>HYPERLINK("https://www.nytimes.com/2012/08/07/us/army-veteran-identified-as-suspect-in-wisconsin-shooting.html","1")</f>
        <v>1</v>
      </c>
      <c r="AT129" s="105" t="str">
        <f>HYPERLINK("https://www.nytimes.com/2012/08/07/us/army-veteran-identified-as-suspect-in-wisconsin-shooting.html","0")</f>
        <v>0</v>
      </c>
      <c r="AU129" s="48" t="s">
        <v>100</v>
      </c>
      <c r="AV129" s="48" t="s">
        <v>100</v>
      </c>
      <c r="AW129" s="48" t="s">
        <v>100</v>
      </c>
      <c r="AX129" s="48">
        <v>0</v>
      </c>
      <c r="AY129" s="101">
        <v>1</v>
      </c>
      <c r="AZ129" s="101" t="str">
        <f>HYPERLINK("https://www.nytimes.com/2012/08/06/us/shooting-reported-at-temple-in-wisconsin.html","1")</f>
        <v>1</v>
      </c>
      <c r="BA129" s="101" t="str">
        <f>HYPERLINK("https://www.bbc.com/news/world-us-canada-19167324","1")</f>
        <v>1</v>
      </c>
      <c r="BB129" s="107">
        <v>0</v>
      </c>
      <c r="BC129" s="101" t="str">
        <f>HYPERLINK("https://www.bbc.com/news/world-us-canada-19167324","0")</f>
        <v>0</v>
      </c>
      <c r="BD129" s="51">
        <v>0</v>
      </c>
      <c r="BE129" s="105" t="str">
        <f>HYPERLINK("https://www.nytimes.com/2012/08/07/us/army-veteran-identified-as-suspect-in-wisconsin-shooting.html","1")</f>
        <v>1</v>
      </c>
      <c r="BF129" s="51">
        <v>0</v>
      </c>
      <c r="BG129" s="101" t="str">
        <f>HYPERLINK("https://www.bbc.com/news/world-us-canada-19167324","3")</f>
        <v>3</v>
      </c>
      <c r="BH129" s="51">
        <v>1</v>
      </c>
      <c r="BI129" s="48">
        <v>0</v>
      </c>
      <c r="BJ129" s="101" t="str">
        <f>HYPERLINK("https://www.bbc.com/news/world-us-canada-19167324","1")</f>
        <v>1</v>
      </c>
      <c r="BK129" s="101" t="str">
        <f>HYPERLINK("https://www.splcenter.org/fighting-hate/intelligence-report/2012/sikh-temple-killer-wade-michael-page-radicalized-army","1")</f>
        <v>1</v>
      </c>
      <c r="BL129" s="108" t="str">
        <f>HYPERLINK("https://www.bbc.com/news/world-us-canada-19167324","0")</f>
        <v>0</v>
      </c>
      <c r="BM129" s="108" t="s">
        <v>100</v>
      </c>
      <c r="BN129" s="110"/>
      <c r="BO129" s="110">
        <v>0</v>
      </c>
      <c r="BP129" s="110">
        <v>0</v>
      </c>
      <c r="BQ129" s="110">
        <v>0</v>
      </c>
      <c r="BR129" s="110">
        <v>0</v>
      </c>
      <c r="BS129" s="110">
        <v>0</v>
      </c>
      <c r="BT129" s="110">
        <v>0</v>
      </c>
      <c r="BU129" s="110">
        <v>0</v>
      </c>
      <c r="BV129" s="110">
        <v>0</v>
      </c>
      <c r="BW129" s="110">
        <v>0</v>
      </c>
      <c r="BX129" s="110">
        <v>0</v>
      </c>
      <c r="BY129" s="101" t="str">
        <f>HYPERLINK("https://www.bbc.com/news/world-us-canada-19167324","2")</f>
        <v>2</v>
      </c>
      <c r="BZ129" s="51">
        <v>0</v>
      </c>
      <c r="CA129" s="51">
        <v>0</v>
      </c>
      <c r="CB129" s="51" t="s">
        <v>100</v>
      </c>
      <c r="CC129" s="51">
        <v>0</v>
      </c>
      <c r="CD129" s="107" t="s">
        <v>100</v>
      </c>
      <c r="CE129" s="51">
        <v>0</v>
      </c>
      <c r="CF129" s="51">
        <v>0</v>
      </c>
      <c r="CG129" s="51">
        <v>0</v>
      </c>
      <c r="CH129" s="101" t="str">
        <f>HYPERLINK("https://www.bbc.com/news/world-us-canada-19167324","5")</f>
        <v>5</v>
      </c>
      <c r="CI129" s="51">
        <v>0</v>
      </c>
      <c r="CJ129" s="51" t="s">
        <v>100</v>
      </c>
      <c r="CK129" s="117">
        <v>1</v>
      </c>
      <c r="CL129" s="117">
        <v>4</v>
      </c>
      <c r="CM129" s="113"/>
      <c r="CN129" s="108" t="str">
        <f>HYPERLINK("https://www.cbsnews.com/news/sikh-temple-shooting-suspect-wade-michael-page-was-white-supremacist/","1")</f>
        <v>1</v>
      </c>
      <c r="CO129" s="108" t="str">
        <f>HYPERLINK("https://www.splcenter.org/fighting-hate/intelligence-report/2012/sikh-temple-killer-wade-michael-page-radicalized-army","2")</f>
        <v>2</v>
      </c>
      <c r="CP129" s="110">
        <v>0</v>
      </c>
      <c r="CQ129" s="110">
        <v>0</v>
      </c>
      <c r="CR129" s="110">
        <v>0</v>
      </c>
      <c r="CS129" s="110">
        <v>0</v>
      </c>
      <c r="CT129" s="110">
        <v>0</v>
      </c>
      <c r="CU129" s="110">
        <v>0</v>
      </c>
      <c r="CV129" s="110">
        <v>0</v>
      </c>
      <c r="CW129" s="110">
        <v>0</v>
      </c>
      <c r="CX129" s="110">
        <v>0</v>
      </c>
      <c r="CY129" s="110">
        <v>0</v>
      </c>
      <c r="CZ129" s="108" t="str">
        <f>HYPERLINK("https://www.cbsnews.com/news/sikh-temple-shooting-weapon-obtained-legally/","0")</f>
        <v>0</v>
      </c>
      <c r="DA129" s="51">
        <v>0</v>
      </c>
      <c r="DB129" s="101">
        <v>1</v>
      </c>
      <c r="DC129" s="141" t="str">
        <f>HYPERLINK("https://www.theguardian.com/world/2012/aug/07/wade-michael-page-wisconsin-shooting","0")</f>
        <v>0</v>
      </c>
      <c r="DD129" s="107">
        <v>0</v>
      </c>
      <c r="DE129" s="107">
        <v>5</v>
      </c>
      <c r="DF129" s="107">
        <v>0</v>
      </c>
      <c r="DG129" s="107"/>
      <c r="DH129" s="107"/>
      <c r="DI129" s="107"/>
      <c r="DJ129" s="101" t="str">
        <f>HYPERLINK("https://www.splcenter.org/fighting-hate/intelligence-report/2012/sikh-temple-killer-wade-michael-page-radicalized-army","1")</f>
        <v>1</v>
      </c>
      <c r="DK129" s="51">
        <v>0</v>
      </c>
      <c r="DL129" s="48" t="s">
        <v>100</v>
      </c>
      <c r="DM129" s="101" t="str">
        <f>HYPERLINK("https://www.splcenter.org/fighting-hate/intelligence-report/2012/sikh-temple-killer-wade-michael-page-radicalized-army","0")</f>
        <v>0</v>
      </c>
      <c r="DN129" s="51">
        <v>0</v>
      </c>
      <c r="DO129" s="51" t="s">
        <v>100</v>
      </c>
      <c r="DP129" s="101">
        <v>0</v>
      </c>
      <c r="DQ129" s="101" t="str">
        <f>HYPERLINK("https://www.cbsnews.com/news/sikh-temple-shooting-weapon-obtained-legally/","0")</f>
        <v>0</v>
      </c>
      <c r="DR129" s="48">
        <v>0</v>
      </c>
      <c r="DS129" s="101" t="str">
        <f>HYPERLINK("https://www.bbc.com/news/world-us-canada-19167324","3")</f>
        <v>3</v>
      </c>
      <c r="DT129" s="101">
        <v>1</v>
      </c>
      <c r="DU129" s="101" t="str">
        <f>HYPERLINK("https://www.cnn.com/2012/08/06/us/wisconsin-temple-shooting/index.html","0")</f>
        <v>0</v>
      </c>
      <c r="DV129" s="48" t="s">
        <v>100</v>
      </c>
      <c r="DW129" s="101" t="str">
        <f>HYPERLINK("https://www.npr.org/sections/thetwo-way/2012/11/21/165651868/sikh-temple-shooter-acted-alone-had-no-drugs-in-system","0")</f>
        <v>0</v>
      </c>
      <c r="DX129" s="101" t="str">
        <f>HYPERLINK("https://www.splcenter.org/fighting-hate/intelligence-report/2012/sikh-temple-killer-wade-michael-page-radicalized-army","0")</f>
        <v>0</v>
      </c>
      <c r="DY129" s="48">
        <v>2</v>
      </c>
      <c r="DZ129" s="48">
        <v>0</v>
      </c>
    </row>
    <row r="130" spans="1:130" ht="50.25" customHeight="1">
      <c r="A130" s="96">
        <v>128</v>
      </c>
      <c r="B130" s="97" t="s">
        <v>590</v>
      </c>
      <c r="C130" s="97" t="s">
        <v>367</v>
      </c>
      <c r="D130" s="98">
        <v>41179</v>
      </c>
      <c r="E130" s="48" t="s">
        <v>178</v>
      </c>
      <c r="F130" s="119">
        <v>27</v>
      </c>
      <c r="G130" s="102" t="str">
        <f>HYPERLINK("http://www.startribune.com/andrew-engeldinger-lost-his-job-then-opened-fire-killing-5/171774461/","9")</f>
        <v>9</v>
      </c>
      <c r="H130" s="101">
        <v>2012</v>
      </c>
      <c r="I130" s="48" t="s">
        <v>591</v>
      </c>
      <c r="J130" s="101" t="str">
        <f>HYPERLINK("http://www.startribune.com/andrew-engeldinger-lost-his-job-then-opened-fire-killing-5/171774461/","Minneapolis ")</f>
        <v xml:space="preserve">Minneapolis </v>
      </c>
      <c r="K130" s="102" t="str">
        <f>HYPERLINK("http://www.startribune.com/andrew-engeldinger-lost-his-job-then-opened-fire-killing-5/171774461/","23")</f>
        <v>23</v>
      </c>
      <c r="L130" s="119">
        <v>1</v>
      </c>
      <c r="M130" s="102" t="str">
        <f>HYPERLINK("https://www.cbsnews.com/news/minnesota-office-shooting-gunman-kills-4-injures-4-more-before-killing-self-police-say/","0")</f>
        <v>0</v>
      </c>
      <c r="N130" s="102" t="str">
        <f>HYPERLINK("http://www.startribune.com/andrew-engeldinger-lost-his-job-then-opened-fire-killing-5/171774461/","6")</f>
        <v>6</v>
      </c>
      <c r="O130" s="102" t="str">
        <f>HYPERLINK("http://www.startribune.com/andrew-engeldinger-lost-his-job-then-opened-fire-killing-5/171774461/","0")</f>
        <v>0</v>
      </c>
      <c r="P130" s="99" t="s">
        <v>100</v>
      </c>
      <c r="Q130" s="103">
        <v>0</v>
      </c>
      <c r="R130" s="103">
        <v>0</v>
      </c>
      <c r="S130" s="102">
        <v>6</v>
      </c>
      <c r="T130" s="102">
        <v>2</v>
      </c>
      <c r="U130" s="101" t="str">
        <f>HYPERLINK("http://www.startribune.com/andrew-engeldinger-lost-his-job-then-opened-fire-killing-5/171774461/","0")</f>
        <v>0</v>
      </c>
      <c r="V130" s="101" t="str">
        <f>HYPERLINK("http://www.startribune.com/andrew-engeldinger-lost-his-job-then-opened-fire-killing-5/171774461/","36")</f>
        <v>36</v>
      </c>
      <c r="W130" s="101" t="str">
        <f>HYPERLINK("http://www.startribune.com/andrew-engeldinger-lost-his-job-then-opened-fire-killing-5/171774461/","0")</f>
        <v>0</v>
      </c>
      <c r="X130" s="101" t="str">
        <f>HYPERLINK("https://www.mprnews.org/story/2013/09/27/news/accent-signage-shooting-one-year","0")</f>
        <v>0</v>
      </c>
      <c r="Y130" s="105" t="str">
        <f>HYPERLINK("http://www.startribune.com/andrew-engeldinger-lost-his-job-then-opened-fire-killing-5/171774461/?refresh=true","0")</f>
        <v>0</v>
      </c>
      <c r="Z130" s="51">
        <v>0</v>
      </c>
      <c r="AA130" s="101"/>
      <c r="AB130" s="101" t="str">
        <f>HYPERLINK("https://www.mprnews.org/story/2013/09/27/news/accent-signage-shooting-one-year","1")</f>
        <v>1</v>
      </c>
      <c r="AC130" s="51"/>
      <c r="AD130" s="51"/>
      <c r="AE130" s="101" t="str">
        <f t="shared" ref="AE130:AF130" si="317">HYPERLINK("http://www.startribune.com/parents-say-engeldinger-fell-into-world-of-delusion/174052111/","2")</f>
        <v>2</v>
      </c>
      <c r="AF130" s="101" t="str">
        <f t="shared" si="317"/>
        <v>2</v>
      </c>
      <c r="AG130" s="101" t="str">
        <f t="shared" ref="AG130:AH130" si="318">HYPERLINK("http://www.startribune.com/parents-say-engeldinger-fell-into-world-of-delusion/174052111/","1")</f>
        <v>1</v>
      </c>
      <c r="AH130" s="101" t="str">
        <f t="shared" si="318"/>
        <v>1</v>
      </c>
      <c r="AI130" s="101">
        <v>0</v>
      </c>
      <c r="AJ130" s="51">
        <v>0</v>
      </c>
      <c r="AK130" s="101" t="str">
        <f t="shared" ref="AK130:AL130" si="319">HYPERLINK("http://www.startribune.com/andrew-engeldinger-lost-his-job-then-opened-fire-killing-5/171774461/","0")</f>
        <v>0</v>
      </c>
      <c r="AL130" s="101" t="str">
        <f t="shared" si="319"/>
        <v>0</v>
      </c>
      <c r="AM130" s="51">
        <v>0</v>
      </c>
      <c r="AN130" s="48" t="s">
        <v>100</v>
      </c>
      <c r="AO130" s="101" t="str">
        <f>HYPERLINK("https://www.startribune.com/andrew-engeldinger-lost-his-job-then-opened-fire-killing-5/171774461/","0")</f>
        <v>0</v>
      </c>
      <c r="AP130" s="54"/>
      <c r="AQ130" s="101">
        <v>1</v>
      </c>
      <c r="AR130" s="51">
        <v>0</v>
      </c>
      <c r="AS130" s="101">
        <v>0</v>
      </c>
      <c r="AT130" s="48">
        <v>0</v>
      </c>
      <c r="AU130" s="48" t="s">
        <v>100</v>
      </c>
      <c r="AV130" s="48" t="s">
        <v>100</v>
      </c>
      <c r="AW130" s="48" t="s">
        <v>100</v>
      </c>
      <c r="AX130" s="48">
        <v>0</v>
      </c>
      <c r="AY130" s="51">
        <v>0</v>
      </c>
      <c r="AZ130" s="51">
        <v>0</v>
      </c>
      <c r="BA130" s="51">
        <v>0</v>
      </c>
      <c r="BB130" s="107">
        <v>0</v>
      </c>
      <c r="BC130" s="101" t="str">
        <f t="shared" ref="BC130:BD130" si="320">HYPERLINK("http://www.startribune.com/andrew-engeldinger-lost-his-job-then-opened-fire-killing-5/171774461/?refresh=true","0")</f>
        <v>0</v>
      </c>
      <c r="BD130" s="101" t="str">
        <f t="shared" si="320"/>
        <v>0</v>
      </c>
      <c r="BE130" s="101">
        <v>0</v>
      </c>
      <c r="BF130" s="101" t="str">
        <f t="shared" ref="BF130:BG130" si="321">HYPERLINK("https://www.mprnews.org/story/2012/10/16/engeldinger_1","0")</f>
        <v>0</v>
      </c>
      <c r="BG130" s="101" t="str">
        <f t="shared" si="321"/>
        <v>0</v>
      </c>
      <c r="BH130" s="51">
        <v>1</v>
      </c>
      <c r="BI130" s="51">
        <v>0</v>
      </c>
      <c r="BJ130" s="51">
        <v>0</v>
      </c>
      <c r="BK130" s="101">
        <v>1</v>
      </c>
      <c r="BL130" s="108" t="str">
        <f>HYPERLINK("https://www.mprnews.org/story/2012/10/16/engeldinger_1","1")</f>
        <v>1</v>
      </c>
      <c r="BM130" s="109">
        <v>3</v>
      </c>
      <c r="BN130" s="110" t="s">
        <v>2975</v>
      </c>
      <c r="BO130" s="151">
        <v>1</v>
      </c>
      <c r="BP130" s="111">
        <v>1</v>
      </c>
      <c r="BQ130" s="111">
        <v>1</v>
      </c>
      <c r="BR130" s="111">
        <v>0</v>
      </c>
      <c r="BS130" s="111">
        <v>0</v>
      </c>
      <c r="BT130" s="111">
        <v>1</v>
      </c>
      <c r="BU130" s="111">
        <v>0</v>
      </c>
      <c r="BV130" s="111">
        <v>1</v>
      </c>
      <c r="BW130" s="111">
        <v>1</v>
      </c>
      <c r="BX130" s="111">
        <v>1</v>
      </c>
      <c r="BY130" s="101" t="str">
        <f>HYPERLINK("http://www.startribune.com/andrew-engeldinger-lost-his-job-then-opened-fire-killing-5/171774461/?refresh=true","2")</f>
        <v>2</v>
      </c>
      <c r="BZ130" s="101" t="str">
        <f>HYPERLINK("https://www.mprnews.org/story/2012/11/06/health/mental-health-minnesota","0")</f>
        <v>0</v>
      </c>
      <c r="CA130" s="101">
        <v>1</v>
      </c>
      <c r="CB130" s="101">
        <v>0</v>
      </c>
      <c r="CC130" s="101">
        <v>1</v>
      </c>
      <c r="CD130" s="101" t="str">
        <f>HYPERLINK("https://www.mprnews.org/story/2012/10/08/depression-meds-found-in-accent-signage-shooters-home-police-say","1")</f>
        <v>1</v>
      </c>
      <c r="CE130" s="101" t="str">
        <f>HYPERLINK("https://www.mprnews.org/story/2012/10/16/engeldinger_1","4")</f>
        <v>4</v>
      </c>
      <c r="CF130" s="101" t="str">
        <f>HYPERLINK("https://www.mprnews.org/story/2012/10/16/engeldinger-parents-describe-their-sons-struggles-with-mental-illness","2")</f>
        <v>2</v>
      </c>
      <c r="CG130" s="51">
        <v>0</v>
      </c>
      <c r="CH130" s="101" t="str">
        <f>HYPERLINK("https://www.mprnews.org/story/2012/10/16/engeldinger_1","4")</f>
        <v>4</v>
      </c>
      <c r="CI130" s="101" t="str">
        <f>HYPERLINK("https://www.mprnews.org/story/2012/10/16/engeldinger_1","0")</f>
        <v>0</v>
      </c>
      <c r="CJ130" s="51" t="s">
        <v>100</v>
      </c>
      <c r="CK130" s="113">
        <v>0</v>
      </c>
      <c r="CL130" s="113"/>
      <c r="CM130" s="113"/>
      <c r="CN130" s="110">
        <v>0</v>
      </c>
      <c r="CO130" s="110">
        <v>0</v>
      </c>
      <c r="CP130" s="110">
        <v>0</v>
      </c>
      <c r="CQ130" s="110">
        <v>0</v>
      </c>
      <c r="CR130" s="108" t="str">
        <f>HYPERLINK("http://www.startribune.com/andrew-engeldinger-lost-his-job-then-opened-fire-killing-5/171774461/","1")</f>
        <v>1</v>
      </c>
      <c r="CS130" s="110">
        <v>0</v>
      </c>
      <c r="CT130" s="110">
        <v>0</v>
      </c>
      <c r="CU130" s="110">
        <v>0</v>
      </c>
      <c r="CV130" s="110">
        <v>0</v>
      </c>
      <c r="CW130" s="110">
        <v>0</v>
      </c>
      <c r="CX130" s="110">
        <v>0</v>
      </c>
      <c r="CY130" s="110">
        <v>0</v>
      </c>
      <c r="CZ130" s="108" t="str">
        <f>HYPERLINK("http://www.startribune.com/andrew-engeldinger-lost-his-job-then-opened-fire-killing-5/171774461/?refresh=true","0")</f>
        <v>0</v>
      </c>
      <c r="DA130" s="101">
        <v>1</v>
      </c>
      <c r="DB130" s="51">
        <v>0</v>
      </c>
      <c r="DC130" s="101" t="str">
        <f>HYPERLINK("http://www.startribune.com/andrew-engeldinger-lost-his-job-then-opened-fire-killing-5/171774461/?refresh=true","0")</f>
        <v>0</v>
      </c>
      <c r="DD130" s="51"/>
      <c r="DE130" s="51"/>
      <c r="DF130" s="51"/>
      <c r="DG130" s="51"/>
      <c r="DH130" s="51"/>
      <c r="DI130" s="51"/>
      <c r="DJ130" s="101" t="str">
        <f>HYPERLINK("https://www.mprnews.org/story/2012/10/16/engeldinger_1","0")</f>
        <v>0</v>
      </c>
      <c r="DK130" s="51">
        <v>0</v>
      </c>
      <c r="DL130" s="48" t="s">
        <v>100</v>
      </c>
      <c r="DM130" s="101" t="str">
        <f>HYPERLINK("http://www.startribune.com/andrew-engeldinger-lost-his-job-then-opened-fire-killing-5/171774461/","0")</f>
        <v>0</v>
      </c>
      <c r="DN130" s="51">
        <v>0</v>
      </c>
      <c r="DO130" s="51" t="s">
        <v>100</v>
      </c>
      <c r="DP130" s="101" t="str">
        <f t="shared" ref="DP130:DQ130" si="322">HYPERLINK("http://www.startribune.com/andrew-engeldinger-lost-his-job-then-opened-fire-killing-5/171774461/?refresh=true","0")</f>
        <v>0</v>
      </c>
      <c r="DQ130" s="101" t="str">
        <f t="shared" si="322"/>
        <v>0</v>
      </c>
      <c r="DR130" s="105" t="str">
        <f>HYPERLINK("https://www.mprnews.org/story/2013/09/27/news/accent-signage-shooting-one-year","1")</f>
        <v>1</v>
      </c>
      <c r="DS130" s="101" t="str">
        <f>HYPERLINK("https://www.mprnews.org/story/2012/10/01/accent-signage-employees-fought-for-lives-with-shooter#timeline","2")</f>
        <v>2</v>
      </c>
      <c r="DT130" s="101" t="str">
        <f t="shared" ref="DT130" si="323">HYPERLINK("http://www.startribune.com/andrew-engeldinger-lost-his-job-then-opened-fire-killing-5/171774461/","1")</f>
        <v>1</v>
      </c>
      <c r="DU130" s="101" t="str">
        <f>HYPERLINK("http://www.startribune.com/andrew-engeldinger-lost-his-job-then-opened-fire-killing-5/171774461/?refresh=true","0")</f>
        <v>0</v>
      </c>
      <c r="DV130" s="48" t="s">
        <v>100</v>
      </c>
      <c r="DW130" s="101" t="str">
        <f t="shared" ref="DW130:DX130" si="324">HYPERLINK("http://www.startribune.com/andrew-engeldinger-lost-his-job-then-opened-fire-killing-5/171774461/","0")</f>
        <v>0</v>
      </c>
      <c r="DX130" s="101" t="str">
        <f t="shared" si="324"/>
        <v>0</v>
      </c>
      <c r="DY130" s="48">
        <v>2</v>
      </c>
      <c r="DZ130" s="48">
        <v>0</v>
      </c>
    </row>
    <row r="131" spans="1:130" ht="50.25" customHeight="1">
      <c r="A131" s="96">
        <v>129</v>
      </c>
      <c r="B131" s="97" t="s">
        <v>592</v>
      </c>
      <c r="C131" s="97" t="s">
        <v>593</v>
      </c>
      <c r="D131" s="98">
        <v>41257</v>
      </c>
      <c r="E131" s="48" t="s">
        <v>157</v>
      </c>
      <c r="F131" s="119">
        <v>14</v>
      </c>
      <c r="G131" s="102" t="str">
        <f>HYPERLINK(" https://usnews.newsvine.com/_news/2012/12/15/15907407-elementary-school-massacre-20-children-among-28-killed-in-connecticut-slaughter ","12")</f>
        <v>12</v>
      </c>
      <c r="H131" s="101" t="str">
        <f>HYPERLINK("https://usnews.newsvine.com/_news/2012/12/15/15907407-elementary-school-massacre-20-children-among-28-killed-in-connecticut-slaughter ","2012")</f>
        <v>2012</v>
      </c>
      <c r="I131" s="48" t="s">
        <v>594</v>
      </c>
      <c r="J131" s="101" t="str">
        <f>HYPERLINK("https://nypost.com/2018/12/09/sandy-hook-killer-described-scorn-for-humanity-and-severe-isolation/","Newtown")</f>
        <v>Newtown</v>
      </c>
      <c r="K131" s="102">
        <v>7</v>
      </c>
      <c r="L131" s="119">
        <v>2</v>
      </c>
      <c r="M131" s="102" t="str">
        <f>HYPERLINK("http://usnews.nbcnews.com/_news/2012/12/15/15907407-elementary-school-massacre-20-children-among-28-killed-in-connecticut-slaughter","1")</f>
        <v>1</v>
      </c>
      <c r="N131" s="102" t="str">
        <f>HYPERLINK("https://www.washingtonpost.com/local/for-lanza-family-son-adams-difficulties-dominated/2012/12/17/3c0e8eb0-4890-11e2-ad54-580638ede391_story.html?utm_term=.9042da30fc06","0")</f>
        <v>0</v>
      </c>
      <c r="O131" s="102">
        <v>1</v>
      </c>
      <c r="P131" s="102" t="str">
        <f>HYPERLINK("https://www.washingtonpost.com/local/for-lanza-family-son-adams-difficulties-dominated/2012/12/17/3c0e8eb0-4890-11e2-ad54-580638ede391_story.html?utm_term=.9042da30fc06","7")</f>
        <v>7</v>
      </c>
      <c r="Q131" s="103">
        <v>0</v>
      </c>
      <c r="R131" s="103">
        <v>0</v>
      </c>
      <c r="S131" s="102" t="str">
        <f>HYPERLINK("http://abcnews.go.com/US/twenty-children-died-newtown-connecticut-school-shooting/story?id=17973836","27")</f>
        <v>27</v>
      </c>
      <c r="T131" s="102">
        <v>1</v>
      </c>
      <c r="U131" s="101" t="str">
        <f>HYPERLINK("https://www.nytimes.com/2012/12/15/nyregion/shooting-reported-at-connecticut-elementary-school.html?mcubz=3","0")</f>
        <v>0</v>
      </c>
      <c r="V131" s="101" t="str">
        <f>HYPERLINK(" https://usnews.newsvine.com/_news/2012/12/15/15907407-elementary-school-massacre-20-children-among-28-killed-in-connecticut-slaughter ","20")</f>
        <v>20</v>
      </c>
      <c r="W131" s="101" t="str">
        <f>HYPERLINK(" https://usnews.newsvine.com/_news/2012/12/15/15907407-elementary-school-massacre-20-children-among-28-killed-in-connecticut-slaughter ","0")</f>
        <v>0</v>
      </c>
      <c r="X131" s="101" t="str">
        <f>HYPERLINK("https://www.cbsnews.com/news/did-race-and-affluence-factor-into-mental-care-of-sandy-hook-shooter/","0")</f>
        <v>0</v>
      </c>
      <c r="Y131" s="105" t="str">
        <f>HYPERLINK("https://www.washingtonpost.com/local/for-lanza-family-son-adams-difficulties-dominated/2012/12/17/3c0e8eb0-4890-11e2-ad54-580638ede391_story.html?utm_term=.fbb45d994820","0")</f>
        <v>0</v>
      </c>
      <c r="Z131" s="51"/>
      <c r="AA131" s="101" t="str">
        <f>HYPERLINK("http://nypost.com/2012/12/17/some-victims-funerals-will-be-held-at-gunmans-church/","1")</f>
        <v>1</v>
      </c>
      <c r="AB131" s="101">
        <v>2</v>
      </c>
      <c r="AC131" s="101" t="str">
        <f>HYPERLINK("https://www.usatoday.com/story/college/2013/04/18/despite-autism-adam-lanza-had-solid-college-transcript/37431037/","1")</f>
        <v>1</v>
      </c>
      <c r="AD131" s="101" t="str">
        <f>HYPERLINK("https://www.usatoday.com/story/college/2013/04/18/despite-autism-adam-lanza-had-solid-college-transcript/37431037/","3.26 GPA")</f>
        <v>3.26 GPA</v>
      </c>
      <c r="AE131" s="101" t="str">
        <f>HYPERLINK("http://i2.cdn.turner.com/cnn/2014/images/11/21/office.of.the.child.advocate.report.pdf.pdf","3")</f>
        <v>3</v>
      </c>
      <c r="AF131" s="101" t="str">
        <f t="shared" ref="AF131:AG131" si="325">HYPERLINK("http://i2.cdn.turner.com/cnn/2014/images/11/21/office.of.the.child.advocate.report.pdf.pdf","1")</f>
        <v>1</v>
      </c>
      <c r="AG131" s="101" t="str">
        <f t="shared" si="325"/>
        <v>1</v>
      </c>
      <c r="AH131" s="101" t="str">
        <f>HYPERLINK("http://i2.cdn.turner.com/cnn/2014/images/11/21/office.of.the.child.advocate.report.pdf.pdf","0")</f>
        <v>0</v>
      </c>
      <c r="AI131" s="101">
        <v>0</v>
      </c>
      <c r="AJ131" s="101">
        <v>0</v>
      </c>
      <c r="AK131" s="101" t="str">
        <f t="shared" ref="AK131:AL131" si="326">HYPERLINK("https://web.archive.org/web/20131223225701/http://www.ct.gov/csao/lib/csao/Sandy_Hook_Final_Report.pdf","0")</f>
        <v>0</v>
      </c>
      <c r="AL131" s="101" t="str">
        <f t="shared" si="326"/>
        <v>0</v>
      </c>
      <c r="AM131" s="51">
        <v>0</v>
      </c>
      <c r="AN131" s="48" t="s">
        <v>100</v>
      </c>
      <c r="AO131" s="101" t="str">
        <f>HYPERLINK("https://www.washingtonpost.com/local/for-lanza-family-son-adams-difficulties-dominated/2012/12/17/3c0e8eb0-4890-11e2-ad54-580638ede391_story.html","0")</f>
        <v>0</v>
      </c>
      <c r="AP131" s="54"/>
      <c r="AQ131" s="101" t="str">
        <f>HYPERLINK("https://www.usatoday.com/story/news/politics/2017/10/24/newly-released-fbi-documents-reveal-disturbing-details-sandy-hook-shooter-adam-lanza/794585001/","1")</f>
        <v>1</v>
      </c>
      <c r="AR131" s="51">
        <v>0</v>
      </c>
      <c r="AS131" s="101" t="str">
        <f>HYPERLINK("https://web.archive.org/web/20131223225701/http://www.ct.gov/csao/lib/csao/Sandy_Hook_Final_Report.pdf","0")</f>
        <v>0</v>
      </c>
      <c r="AT131" s="48">
        <v>0</v>
      </c>
      <c r="AU131" s="48" t="s">
        <v>100</v>
      </c>
      <c r="AV131" s="48" t="s">
        <v>100</v>
      </c>
      <c r="AW131" s="48" t="s">
        <v>100</v>
      </c>
      <c r="AX131" s="48">
        <v>0</v>
      </c>
      <c r="AY131" s="101">
        <v>0</v>
      </c>
      <c r="AZ131" s="51">
        <v>0</v>
      </c>
      <c r="BA131" s="51">
        <v>0</v>
      </c>
      <c r="BB131" s="141" t="str">
        <f>HYPERLINK("https://www.theguardian.com/world/2013/nov/25/sandy-hook-shooter-adam-lanza-report","1")</f>
        <v>1</v>
      </c>
      <c r="BC131" s="101" t="str">
        <f>HYPERLINK("https://web.archive.org/web/20131218072027/http:/www.cnn.com/2013/11/25/justice/sandy-hook-shooting-report/","0")</f>
        <v>0</v>
      </c>
      <c r="BD131" s="101" t="str">
        <f>HYPERLINK("https://web.archive.org/web/20131223225701/http://www.ct.gov/csao/lib/csao/Sandy_Hook_Final_Report.pdf","1")</f>
        <v>1</v>
      </c>
      <c r="BE131" s="101" t="str">
        <f t="shared" ref="BE131:BF131" si="327">HYPERLINK("https://web.archive.org/web/20131223225701/http://www.ct.gov/csao/lib/csao/Sandy_Hook_Final_Report.pdf","0")</f>
        <v>0</v>
      </c>
      <c r="BF131" s="101" t="str">
        <f t="shared" si="327"/>
        <v>0</v>
      </c>
      <c r="BG131" s="101" t="str">
        <f>HYPERLINK("https://nypost.com/2018/12/09/sandy-hook-killer-described-scorn-for-humanity-and-severe-isolation/","3")</f>
        <v>3</v>
      </c>
      <c r="BH131" s="51">
        <v>2</v>
      </c>
      <c r="BI131" s="51">
        <v>0</v>
      </c>
      <c r="BJ131" s="101">
        <v>0</v>
      </c>
      <c r="BK131" s="51">
        <v>0</v>
      </c>
      <c r="BL131" s="108" t="str">
        <f>HYPERLINK("https://www.courant.com/news/connecticut/hc-newtown-adam-lanza-child-advocate-report-20141121-story.html ","1")</f>
        <v>1</v>
      </c>
      <c r="BM131" s="109">
        <v>3</v>
      </c>
      <c r="BN131" s="110" t="s">
        <v>3013</v>
      </c>
      <c r="BO131" s="111">
        <v>1</v>
      </c>
      <c r="BP131" s="111">
        <v>1</v>
      </c>
      <c r="BQ131" s="111">
        <v>0</v>
      </c>
      <c r="BR131" s="111">
        <v>0</v>
      </c>
      <c r="BS131" s="115">
        <v>0</v>
      </c>
      <c r="BT131" s="111">
        <v>0</v>
      </c>
      <c r="BU131" s="111">
        <v>0</v>
      </c>
      <c r="BV131" s="111">
        <v>1</v>
      </c>
      <c r="BW131" s="111">
        <v>1</v>
      </c>
      <c r="BX131" s="111">
        <v>0</v>
      </c>
      <c r="BY131" s="101" t="str">
        <f>HYPERLINK("https://www.courant.com/news/connecticut/hc-newtown-adam-lanza-child-advocate-report-20141121-story.html","1")</f>
        <v>1</v>
      </c>
      <c r="BZ131" s="101">
        <v>0</v>
      </c>
      <c r="CA131" s="101">
        <v>0</v>
      </c>
      <c r="CB131" s="51" t="s">
        <v>100</v>
      </c>
      <c r="CC131" s="101">
        <v>0</v>
      </c>
      <c r="CD131" s="51" t="s">
        <v>100</v>
      </c>
      <c r="CE131" s="101" t="str">
        <f>HYPERLINK("https://web.archive.org/web/20131218072027/http:/www.cnn.com/2013/11/25/justice/sandy-hook-shooting-report/","3")</f>
        <v>3</v>
      </c>
      <c r="CF131" s="51">
        <v>0</v>
      </c>
      <c r="CG131" s="101" t="str">
        <f>HYPERLINK("https://www.tandfonline.com/doi/pdf/10.1080/00223980.2016.1175998","1")</f>
        <v>1</v>
      </c>
      <c r="CH131" s="101" t="str">
        <f>HYPERLINK("https://web.archive.org/web/20131218072027/http://www.cnn.com/2013/11/25/justice/sandy-hook-shooting-report/","0")</f>
        <v>0</v>
      </c>
      <c r="CI131" s="101" t="str">
        <f>HYPERLINK("https://www.courant.com/news/connecticut/hc-newtown-adam-lanza-child-advocate-report-20141121-story.html","1")</f>
        <v>1</v>
      </c>
      <c r="CJ131" s="101" t="str">
        <f>HYPERLINK("https://www.courant.com/news/connecticut/hc-newtown-adam-lanza-child-advocate-report-20141121-story.html","malnutrition and possible brain damage; seizures as a child")</f>
        <v>malnutrition and possible brain damage; seizures as a child</v>
      </c>
      <c r="CK131" s="117">
        <v>2</v>
      </c>
      <c r="CL131" s="113"/>
      <c r="CM131" s="113"/>
      <c r="CN131" s="110">
        <v>0</v>
      </c>
      <c r="CO131" s="110">
        <v>0</v>
      </c>
      <c r="CP131" s="110">
        <v>0</v>
      </c>
      <c r="CQ131" s="110">
        <v>0</v>
      </c>
      <c r="CR131" s="110">
        <v>0</v>
      </c>
      <c r="CS131" s="110">
        <v>0</v>
      </c>
      <c r="CT131" s="110">
        <v>0</v>
      </c>
      <c r="CU131" s="110">
        <v>0</v>
      </c>
      <c r="CV131" s="110">
        <v>0</v>
      </c>
      <c r="CW131" s="110">
        <v>0</v>
      </c>
      <c r="CX131" s="110">
        <v>0</v>
      </c>
      <c r="CY131" s="108" t="str">
        <f>HYPERLINK("https://web.archive.org/web/20131218072027/http:/www.cnn.com/2013/11/25/justice/sandy-hook-shooting-report/","1")</f>
        <v>1</v>
      </c>
      <c r="CZ131" s="108" t="str">
        <f>HYPERLINK("https://web.archive.org/web/20131218072027/http:/www.cnn.com/2013/11/25/justice/sandy-hook-shooting-report/","1")</f>
        <v>1</v>
      </c>
      <c r="DA131" s="51">
        <v>0</v>
      </c>
      <c r="DB131" s="101" t="str">
        <f>HYPERLINK("https://web.archive.org/web/20131223225701/http://www.ct.gov/csao/lib/csao/Sandy_Hook_Final_Report.pdf","1")</f>
        <v>1</v>
      </c>
      <c r="DC131" s="101">
        <v>1</v>
      </c>
      <c r="DD131" s="51">
        <v>0</v>
      </c>
      <c r="DE131" s="51"/>
      <c r="DF131" s="51">
        <v>1</v>
      </c>
      <c r="DG131" s="51"/>
      <c r="DH131" s="51"/>
      <c r="DI131" s="51"/>
      <c r="DJ131" s="101" t="str">
        <f>HYPERLINK("https://web.archive.org/web/20131218072027/http://www.cnn.com/2013/11/25/justice/sandy-hook-shooting-report/","1")</f>
        <v>1</v>
      </c>
      <c r="DK131" s="51">
        <v>0</v>
      </c>
      <c r="DL131" s="48" t="s">
        <v>100</v>
      </c>
      <c r="DM131" s="101" t="str">
        <f>HYPERLINK("https://web.archive.org/web/20131223225701/http://www.ct.gov/csao/lib/csao/Sandy_Hook_Final_Report.pdf","0")</f>
        <v>0</v>
      </c>
      <c r="DN131" s="51">
        <v>0</v>
      </c>
      <c r="DO131" s="51" t="s">
        <v>100</v>
      </c>
      <c r="DP131" s="101">
        <v>1</v>
      </c>
      <c r="DQ131" s="101" t="str">
        <f>HYPERLINK("https://www.theguardian.com/world/2013/mar/28/newtown-shooting-gunman-adam-lanza-weapons","0")</f>
        <v>0</v>
      </c>
      <c r="DR131" s="105">
        <v>1</v>
      </c>
      <c r="DS131" s="101" t="str">
        <f>HYPERLINK("https://www.courant.com/news/connecticut/hc-sandy-hook-report-lanza-20131125-story.html","3")</f>
        <v>3</v>
      </c>
      <c r="DT131" s="101" t="str">
        <f>HYPERLINK("https://web.archive.org/web/20131223225701/http://www.ct.gov/csao/lib/csao/Sandy_Hook_Final_Report.pdf","5")</f>
        <v>5</v>
      </c>
      <c r="DU131" s="101" t="str">
        <f>HYPERLINK("https://abcnews.go.com/US/twenty-children-died-newtown-connecticut-school-shooting/story?id=17973836","1")</f>
        <v>1</v>
      </c>
      <c r="DV131" s="101" t="str">
        <f>HYPERLINK("https://abcnews.go.com/US/twenty-children-died-newtown-connecticut-school-shooting/story?id=17973836","bulletproof vest")</f>
        <v>bulletproof vest</v>
      </c>
      <c r="DW131" s="101" t="str">
        <f>HYPERLINK("https://www.nytimes.com/2012/12/15/nyregion/shooting-reported-at-connecticut-elementary-school.html?mcubz=3 AN7","0")</f>
        <v>0</v>
      </c>
      <c r="DX131" s="101" t="str">
        <f>HYPERLINK("https://web.archive.org/web/20131218072027/http:/www.cnn.com/2013/11/25/justice/sandy-hook-shooting-report/","0")</f>
        <v>0</v>
      </c>
      <c r="DY131" s="48">
        <v>2</v>
      </c>
      <c r="DZ131" s="48">
        <v>0</v>
      </c>
    </row>
    <row r="132" spans="1:130" ht="50.25" customHeight="1">
      <c r="A132" s="96">
        <v>130</v>
      </c>
      <c r="B132" s="97" t="s">
        <v>597</v>
      </c>
      <c r="C132" s="97" t="s">
        <v>598</v>
      </c>
      <c r="D132" s="98">
        <v>41346</v>
      </c>
      <c r="E132" s="48" t="s">
        <v>123</v>
      </c>
      <c r="F132" s="99">
        <v>13</v>
      </c>
      <c r="G132" s="100">
        <v>3</v>
      </c>
      <c r="H132" s="101">
        <v>2013</v>
      </c>
      <c r="I132" s="48" t="s">
        <v>599</v>
      </c>
      <c r="J132" s="105" t="str">
        <f>HYPERLINK("https://www.nytimes.com/2013/03/14/nyregion/four-killed-in-shootings-in-upstate-new-york.html","Herkimer")</f>
        <v>Herkimer</v>
      </c>
      <c r="K132" s="102" t="s">
        <v>879</v>
      </c>
      <c r="L132" s="102">
        <v>2</v>
      </c>
      <c r="M132" s="102">
        <v>2</v>
      </c>
      <c r="N132" s="102" t="str">
        <f>HYPERLINK("https://www.cbsnews.com/news/upstate-new-york-shooting-update-kurt-myers-suspected-gunman-killed-by-police-in-shootout/","4")</f>
        <v>4</v>
      </c>
      <c r="O132" s="100">
        <v>1</v>
      </c>
      <c r="P132" s="102" t="str">
        <f>HYPERLINK("https://www.cbsnews.com/news/upstate-new-york-shooting-update-kurt-myers-suspected-gunman-killed-by-police-in-shootout/","4")</f>
        <v>4</v>
      </c>
      <c r="Q132" s="103">
        <v>0</v>
      </c>
      <c r="R132" s="103">
        <v>0</v>
      </c>
      <c r="S132" s="100">
        <v>4</v>
      </c>
      <c r="T132" s="100">
        <v>2</v>
      </c>
      <c r="U132" s="101" t="str">
        <f>HYPERLINK("https://www.cbsnews.com/news/upstate-new-york-shooting-update-kurt-myers-suspected-gunman-killed-by-police-in-shootout/","0")</f>
        <v>0</v>
      </c>
      <c r="V132" s="105">
        <v>64</v>
      </c>
      <c r="W132" s="104">
        <v>0</v>
      </c>
      <c r="X132" s="104">
        <v>0</v>
      </c>
      <c r="Y132" s="48">
        <v>0</v>
      </c>
      <c r="Z132" s="104" t="str">
        <f>HYPERLINK("https://www.uticaod.com/article/20140313/NEWS/140319690","0")</f>
        <v>0</v>
      </c>
      <c r="AA132" s="106"/>
      <c r="AB132" s="104">
        <v>2</v>
      </c>
      <c r="AC132" s="51"/>
      <c r="AD132" s="51"/>
      <c r="AE132" s="106"/>
      <c r="AF132" s="104" t="str">
        <f>HYPERLINK("https://www.syracuse.com/news/2013/03/herkimer_shooting_suspect_was.html","2")</f>
        <v>2</v>
      </c>
      <c r="AG132" s="106"/>
      <c r="AH132" s="106"/>
      <c r="AI132" s="104" t="str">
        <f>HYPERLINK("https://www.uticaod.com/article/20140313/NEWS/140319690","0")</f>
        <v>0</v>
      </c>
      <c r="AJ132" s="104" t="s">
        <v>809</v>
      </c>
      <c r="AK132" s="105">
        <v>0</v>
      </c>
      <c r="AL132" s="101">
        <v>0</v>
      </c>
      <c r="AM132" s="106" t="s">
        <v>809</v>
      </c>
      <c r="AN132" s="48" t="s">
        <v>100</v>
      </c>
      <c r="AO132" s="101" t="str">
        <f>HYPERLINK("https://www.usatoday.com/story/news/2013/03/14/upstate-new-york-herkimer-mohawk-suspect-surrounded/1986913/","0")</f>
        <v>0</v>
      </c>
      <c r="AP132" s="54"/>
      <c r="AQ132" s="101" t="str">
        <f>HYPERLINK("https://www.nytimes.com/2013/03/14/nyregion/four-killed-in-shootings-in-upstate-new-york.html","1")</f>
        <v>1</v>
      </c>
      <c r="AR132" s="51">
        <v>0</v>
      </c>
      <c r="AS132" s="101">
        <v>0</v>
      </c>
      <c r="AT132" s="48">
        <v>0</v>
      </c>
      <c r="AU132" s="48" t="s">
        <v>100</v>
      </c>
      <c r="AV132" s="48" t="s">
        <v>100</v>
      </c>
      <c r="AW132" s="48" t="s">
        <v>100</v>
      </c>
      <c r="AX132" s="48">
        <v>0</v>
      </c>
      <c r="AY132" s="106" t="s">
        <v>809</v>
      </c>
      <c r="AZ132" s="106" t="s">
        <v>809</v>
      </c>
      <c r="BA132" s="106" t="s">
        <v>809</v>
      </c>
      <c r="BB132" s="107">
        <v>0</v>
      </c>
      <c r="BC132" s="104" t="s">
        <v>809</v>
      </c>
      <c r="BD132" s="104" t="s">
        <v>809</v>
      </c>
      <c r="BE132" s="106"/>
      <c r="BF132" s="106"/>
      <c r="BG132" s="106"/>
      <c r="BH132" s="106"/>
      <c r="BI132" s="106" t="s">
        <v>809</v>
      </c>
      <c r="BJ132" s="104" t="str">
        <f>HYPERLINK("https://www.uticaod.com/article/20140313/NEWS/140319690","0")</f>
        <v>0</v>
      </c>
      <c r="BK132" s="104" t="s">
        <v>809</v>
      </c>
      <c r="BL132" s="138" t="str">
        <f>HYPERLINK("https://www.uticaod.com/article/20140313/NEWS/140319690","1")</f>
        <v>1</v>
      </c>
      <c r="BM132" s="137" t="s">
        <v>810</v>
      </c>
      <c r="BN132" s="115" t="s">
        <v>3087</v>
      </c>
      <c r="BO132" s="155" t="s">
        <v>806</v>
      </c>
      <c r="BP132" s="155" t="s">
        <v>809</v>
      </c>
      <c r="BQ132" s="155" t="s">
        <v>809</v>
      </c>
      <c r="BR132" s="155" t="s">
        <v>809</v>
      </c>
      <c r="BS132" s="155" t="s">
        <v>809</v>
      </c>
      <c r="BT132" s="155" t="s">
        <v>809</v>
      </c>
      <c r="BU132" s="155" t="s">
        <v>809</v>
      </c>
      <c r="BV132" s="121" t="s">
        <v>806</v>
      </c>
      <c r="BW132" s="165" t="s">
        <v>809</v>
      </c>
      <c r="BX132" s="165" t="s">
        <v>809</v>
      </c>
      <c r="BY132" s="106" t="s">
        <v>809</v>
      </c>
      <c r="BZ132" s="106" t="s">
        <v>809</v>
      </c>
      <c r="CA132" s="106" t="s">
        <v>809</v>
      </c>
      <c r="CB132" s="106" t="s">
        <v>100</v>
      </c>
      <c r="CC132" s="106" t="s">
        <v>809</v>
      </c>
      <c r="CD132" s="104" t="s">
        <v>100</v>
      </c>
      <c r="CE132" s="104" t="s">
        <v>809</v>
      </c>
      <c r="CF132" s="106" t="s">
        <v>809</v>
      </c>
      <c r="CG132" s="104" t="s">
        <v>809</v>
      </c>
      <c r="CH132" s="104" t="s">
        <v>808</v>
      </c>
      <c r="CI132" s="106" t="s">
        <v>809</v>
      </c>
      <c r="CJ132" s="51" t="s">
        <v>100</v>
      </c>
      <c r="CK132" s="158" t="s">
        <v>809</v>
      </c>
      <c r="CL132" s="158"/>
      <c r="CM132" s="158"/>
      <c r="CN132" s="121" t="s">
        <v>809</v>
      </c>
      <c r="CO132" s="121" t="s">
        <v>809</v>
      </c>
      <c r="CP132" s="121" t="s">
        <v>809</v>
      </c>
      <c r="CQ132" s="121" t="s">
        <v>809</v>
      </c>
      <c r="CR132" s="121" t="s">
        <v>809</v>
      </c>
      <c r="CS132" s="138" t="str">
        <f>HYPERLINK("https://www.uticaod.com/article/20140313/NEWS/140319690","1")</f>
        <v>1</v>
      </c>
      <c r="CT132" s="121" t="s">
        <v>809</v>
      </c>
      <c r="CU132" s="121" t="s">
        <v>809</v>
      </c>
      <c r="CV132" s="121" t="s">
        <v>809</v>
      </c>
      <c r="CW132" s="110">
        <v>0</v>
      </c>
      <c r="CX132" s="110">
        <v>0</v>
      </c>
      <c r="CY132" s="108">
        <v>0</v>
      </c>
      <c r="CZ132" s="138" t="str">
        <f>HYPERLINK("https://www.huffpost.com/entry/kurt-myers-killed_n_2874981","0")</f>
        <v>0</v>
      </c>
      <c r="DA132" s="51">
        <v>0</v>
      </c>
      <c r="DB132" s="51">
        <v>0</v>
      </c>
      <c r="DC132" s="104" t="str">
        <f>HYPERLINK("https://www.uticaod.com/x930813837/2-people-reportedly-shot-at-Herkimer-car-wash","0")</f>
        <v>0</v>
      </c>
      <c r="DD132" s="106"/>
      <c r="DE132" s="106"/>
      <c r="DF132" s="106"/>
      <c r="DG132" s="106"/>
      <c r="DH132" s="106"/>
      <c r="DI132" s="106"/>
      <c r="DJ132" s="106" t="s">
        <v>809</v>
      </c>
      <c r="DK132" s="106" t="s">
        <v>809</v>
      </c>
      <c r="DL132" s="48" t="s">
        <v>100</v>
      </c>
      <c r="DM132" s="104" t="str">
        <f>HYPERLINK("http://nymag.com/intelligencer/2013/03/all-shooter-kurt-myers-left-behind-was-debt.html","0")</f>
        <v>0</v>
      </c>
      <c r="DN132" s="106" t="s">
        <v>809</v>
      </c>
      <c r="DO132" s="106" t="s">
        <v>100</v>
      </c>
      <c r="DP132" s="104" t="s">
        <v>809</v>
      </c>
      <c r="DQ132" s="104" t="str">
        <f>HYPERLINK("https://www.dailymail.co.uk/news/article-2293066/Kurt-Myers-New-York-gunman-killed-ignites-shootout-killing-FBI-dog-dramatic-end-19-hour-standoff-day-murdered-people-towns.html","0")</f>
        <v>0</v>
      </c>
      <c r="DR132" s="48">
        <v>0</v>
      </c>
      <c r="DS132" s="51"/>
      <c r="DT132" s="101" t="str">
        <f>HYPERLINK("https://www.uticaod.com/x930813837/2-people-reportedly-shot-at-Herkimer-car-wash","1")</f>
        <v>1</v>
      </c>
      <c r="DU132" s="104" t="str">
        <f>HYPERLINK("https://www.dailymail.co.uk/news/article-2293066/Kurt-Myers-New-York-gunman-killed-ignites-shootout-killing-FBI-dog-dramatic-end-19-hour-standoff-day-murdered-people-towns.html","0")</f>
        <v>0</v>
      </c>
      <c r="DV132" s="48" t="s">
        <v>100</v>
      </c>
      <c r="DW132" s="101" t="str">
        <f>HYPERLINK("https://www.usatoday.com/story/news/2013/03/14/upstate-new-york-herkimer-mohawk-suspect-surrounded/1986913/","1")</f>
        <v>1</v>
      </c>
      <c r="DX132" s="101" t="str">
        <f>HYPERLINK("https://www.uticaod.com/x930813837/2-people-reportedly-shot-at-Herkimer-car-wash","0")</f>
        <v>0</v>
      </c>
      <c r="DY132" s="48">
        <v>2</v>
      </c>
      <c r="DZ132" s="48">
        <v>0</v>
      </c>
    </row>
    <row r="133" spans="1:130" ht="50.25" customHeight="1">
      <c r="A133" s="96">
        <v>131</v>
      </c>
      <c r="B133" s="97" t="s">
        <v>601</v>
      </c>
      <c r="C133" s="97" t="s">
        <v>602</v>
      </c>
      <c r="D133" s="98">
        <v>41385</v>
      </c>
      <c r="E133" s="48" t="s">
        <v>137</v>
      </c>
      <c r="F133" s="99">
        <v>21</v>
      </c>
      <c r="G133" s="100" t="str">
        <f>HYPERLINK("https://www.seattletimes.com/seattle-news/witnesses-among-5-dead-in-federal-way/","4")</f>
        <v>4</v>
      </c>
      <c r="H133" s="101" t="str">
        <f>HYPERLINK("https://www.seattletimes.com/seattle-news/witnesses-among-5-dead-in-federal-way/","2013")</f>
        <v>2013</v>
      </c>
      <c r="I133" s="48" t="s">
        <v>603</v>
      </c>
      <c r="J133" s="101" t="str">
        <f>HYPERLINK("https://www.kiro7.com/news/five-dead-bloody-shootout-federal-way-apartments/246369986","Federal Way ")</f>
        <v xml:space="preserve">Federal Way </v>
      </c>
      <c r="K133" s="100" t="str">
        <f>HYPERLINK("https://www.kiro7.com/news/five-dead-bloody-shootout-federal-way-apartments/246369986","47")</f>
        <v>47</v>
      </c>
      <c r="L133" s="99">
        <v>3</v>
      </c>
      <c r="M133" s="102" t="str">
        <f>HYPERLINK("https://www.seattletimes.com/seattle-news/witnesses-among-5-dead-in-federal-way/","0")</f>
        <v>0</v>
      </c>
      <c r="N133" s="100" t="str">
        <f>HYPERLINK("https://www.kiro7.com/news/five-dead-bloody-shootout-federal-way-apartments/246369986","7")</f>
        <v>7</v>
      </c>
      <c r="O133" s="100" t="str">
        <f>HYPERLINK("https://www.kiro7.com/news/five-dead-bloody-shootout-federal-way-apartments/246369986","0")</f>
        <v>0</v>
      </c>
      <c r="P133" s="99" t="s">
        <v>100</v>
      </c>
      <c r="Q133" s="103">
        <v>0</v>
      </c>
      <c r="R133" s="103">
        <v>0</v>
      </c>
      <c r="S133" s="100" t="str">
        <f>HYPERLINK("https://www.kiro7.com/news/five-dead-bloody-shootout-federal-way-apartments/246369986","4")</f>
        <v>4</v>
      </c>
      <c r="T133" s="100">
        <v>0</v>
      </c>
      <c r="U133" s="105" t="str">
        <f>HYPERLINK("https://www.kiro7.com/news/five-dead-bloody-shootout-federal-way-apartments/246369986","0")</f>
        <v>0</v>
      </c>
      <c r="V133" s="105" t="str">
        <f>HYPERLINK("http://www.federalwaymirror.com/news/names-of-victims-emerge-after-deadly-federal-way-shooting/","27")</f>
        <v>27</v>
      </c>
      <c r="W133" s="105" t="str">
        <f>HYPERLINK("https://www.seattletimes.com/seattle-news/witnesses-among-5-dead-in-federal-way/","0")</f>
        <v>0</v>
      </c>
      <c r="X133" s="105" t="str">
        <f>HYPERLINK("http://www.federalwaymirror.com/news/names-of-victims-emerge-after-deadly-federal-way-shooting/","1")</f>
        <v>1</v>
      </c>
      <c r="Y133" s="48">
        <v>0</v>
      </c>
      <c r="Z133" s="105" t="str">
        <f>HYPERLINK("https://www.seattletimes.com/seattle-news/witnesses-among-5-dead-in-federal-way/","0")</f>
        <v>0</v>
      </c>
      <c r="AA133" s="48"/>
      <c r="AB133" s="105" t="str">
        <f>HYPERLINK("http://www.federalwaymirror.com/news/names-of-victims-emerge-after-deadly-federal-way-shooting/","2")</f>
        <v>2</v>
      </c>
      <c r="AC133" s="51"/>
      <c r="AD133" s="51"/>
      <c r="AE133" s="48"/>
      <c r="AF133" s="48"/>
      <c r="AG133" s="48"/>
      <c r="AH133" s="48"/>
      <c r="AI133" s="105" t="str">
        <f>HYPERLINK("https://www.seattletimes.com/seattle-news/witnesses-among-5-dead-in-federal-way/","1")</f>
        <v>1</v>
      </c>
      <c r="AJ133" s="48">
        <v>0</v>
      </c>
      <c r="AK133" s="48"/>
      <c r="AL133" s="48"/>
      <c r="AM133" s="48">
        <v>0</v>
      </c>
      <c r="AN133" s="48" t="s">
        <v>100</v>
      </c>
      <c r="AO133" s="51"/>
      <c r="AP133" s="51"/>
      <c r="AQ133" s="105" t="str">
        <f t="shared" ref="AQ133:DS133" si="328">HYPERLINK("https://www.seattletimes.com/seattle-news/federal-way-gunman-charged-at-17-in-bb-gun-attack-on-an-ex/","1")</f>
        <v>1</v>
      </c>
      <c r="AR133" s="48">
        <v>0</v>
      </c>
      <c r="AS133" s="101" t="str">
        <f t="shared" ref="AS133:AT133" si="329">HYPERLINK("https://www.seattletimes.com/seattle-news/federal-way-gunman-charged-at-17-in-bb-gun-attack-on-an-ex/","1")</f>
        <v>1</v>
      </c>
      <c r="AT133" s="105" t="str">
        <f t="shared" si="329"/>
        <v>1</v>
      </c>
      <c r="AU133" s="105">
        <v>1</v>
      </c>
      <c r="AV133" s="126">
        <v>3</v>
      </c>
      <c r="AW133" s="105">
        <v>2</v>
      </c>
      <c r="AX133" s="133" t="str">
        <f>HYPERLINK("https://www.seattletimes.com/seattle-news/federal-way-gunman-charged-at-17-in-bb-gun-attack-on-an-ex/","1")</f>
        <v>1</v>
      </c>
      <c r="AY133" s="48">
        <v>0</v>
      </c>
      <c r="AZ133" s="48">
        <v>0</v>
      </c>
      <c r="BA133" s="48">
        <v>0</v>
      </c>
      <c r="BB133" s="107">
        <v>0</v>
      </c>
      <c r="BC133" s="105">
        <v>0</v>
      </c>
      <c r="BD133" s="48">
        <v>0</v>
      </c>
      <c r="BE133" s="105">
        <v>1</v>
      </c>
      <c r="BF133" s="51">
        <v>0</v>
      </c>
      <c r="BG133" s="51"/>
      <c r="BH133" s="51"/>
      <c r="BI133" s="48">
        <v>0</v>
      </c>
      <c r="BJ133" s="105" t="str">
        <f>HYPERLINK("https://www.kiro7.com/news/five-dead-bloody-shootout-federal-way-apartments/246369986","0")</f>
        <v>0</v>
      </c>
      <c r="BK133" s="51"/>
      <c r="BL133" s="109">
        <v>1</v>
      </c>
      <c r="BM133" s="109">
        <v>3</v>
      </c>
      <c r="BN133" s="110" t="s">
        <v>3088</v>
      </c>
      <c r="BO133" s="108">
        <v>0</v>
      </c>
      <c r="BP133" s="108">
        <v>0</v>
      </c>
      <c r="BQ133" s="108">
        <v>0</v>
      </c>
      <c r="BR133" s="108">
        <v>0</v>
      </c>
      <c r="BS133" s="108">
        <v>1</v>
      </c>
      <c r="BT133" s="108">
        <v>0</v>
      </c>
      <c r="BU133" s="108">
        <v>1</v>
      </c>
      <c r="BV133" s="108">
        <v>0</v>
      </c>
      <c r="BW133" s="108">
        <v>0</v>
      </c>
      <c r="BX133" s="108">
        <v>0</v>
      </c>
      <c r="BY133" s="48">
        <v>0</v>
      </c>
      <c r="BZ133" s="51">
        <v>0</v>
      </c>
      <c r="CA133" s="51">
        <v>0</v>
      </c>
      <c r="CB133" s="48" t="s">
        <v>100</v>
      </c>
      <c r="CC133" s="48">
        <v>0</v>
      </c>
      <c r="CD133" s="48" t="s">
        <v>100</v>
      </c>
      <c r="CE133" s="48">
        <v>0</v>
      </c>
      <c r="CF133" s="48">
        <v>0</v>
      </c>
      <c r="CG133" s="48">
        <v>0</v>
      </c>
      <c r="CH133" s="48">
        <v>0</v>
      </c>
      <c r="CI133" s="48">
        <v>0</v>
      </c>
      <c r="CJ133" s="51" t="s">
        <v>100</v>
      </c>
      <c r="CK133" s="113">
        <v>0</v>
      </c>
      <c r="CL133" s="113"/>
      <c r="CM133" s="113"/>
      <c r="CN133" s="110">
        <v>0</v>
      </c>
      <c r="CO133" s="110">
        <v>0</v>
      </c>
      <c r="CP133" s="110">
        <v>0</v>
      </c>
      <c r="CQ133" s="110">
        <v>0</v>
      </c>
      <c r="CR133" s="110">
        <v>0</v>
      </c>
      <c r="CS133" s="110">
        <v>0</v>
      </c>
      <c r="CT133" s="110">
        <v>0</v>
      </c>
      <c r="CU133" s="109">
        <v>1</v>
      </c>
      <c r="CV133" s="110">
        <v>0</v>
      </c>
      <c r="CW133" s="116">
        <v>0</v>
      </c>
      <c r="CX133" s="127">
        <v>0</v>
      </c>
      <c r="CY133" s="116">
        <v>0</v>
      </c>
      <c r="CZ133" s="108" t="str">
        <f>HYPERLINK("https://www.seattletimes.com/seattle-news/witnesses-among-5-dead-in-federal-way/","1")</f>
        <v>1</v>
      </c>
      <c r="DA133" s="48">
        <v>0</v>
      </c>
      <c r="DB133" s="48">
        <v>0</v>
      </c>
      <c r="DC133" s="51">
        <v>0</v>
      </c>
      <c r="DD133" s="48"/>
      <c r="DE133" s="48"/>
      <c r="DF133" s="48"/>
      <c r="DG133" s="48"/>
      <c r="DH133" s="48"/>
      <c r="DI133" s="48"/>
      <c r="DJ133" s="48">
        <v>0</v>
      </c>
      <c r="DK133" s="48">
        <v>0</v>
      </c>
      <c r="DL133" s="48" t="s">
        <v>100</v>
      </c>
      <c r="DM133" s="105" t="str">
        <f>HYPERLINK("https://www.kiro7.com/news/five-dead-bloody-shootout-federal-way-apartments/246369986","0")</f>
        <v>0</v>
      </c>
      <c r="DN133" s="51">
        <v>0</v>
      </c>
      <c r="DO133" s="51" t="s">
        <v>100</v>
      </c>
      <c r="DP133" s="101">
        <v>0</v>
      </c>
      <c r="DQ133" s="101" t="str">
        <f>HYPERLINK("https://www.seattletimes.com/seattle-news/witnesses-among-5-dead-in-federal-way/","0")</f>
        <v>0</v>
      </c>
      <c r="DR133" s="48">
        <v>0</v>
      </c>
      <c r="DS133" s="101" t="str">
        <f t="shared" si="328"/>
        <v>1</v>
      </c>
      <c r="DT133" s="105" t="str">
        <f>HYPERLINK("http://www.federalwaymirror.com/news/names-of-victims-emerge-after-deadly-federal-way-shooting/","2")</f>
        <v>2</v>
      </c>
      <c r="DU133" s="105" t="str">
        <f>HYPERLINK("http://www.federalwaymirror.com/news/names-of-victims-emerge-after-deadly-federal-way-shooting/","0")</f>
        <v>0</v>
      </c>
      <c r="DV133" s="48" t="s">
        <v>100</v>
      </c>
      <c r="DW133" s="105" t="str">
        <f>HYPERLINK("https://www.seattletimes.com/seattle-news/witnesses-among-5-dead-in-federal-way/","1")</f>
        <v>1</v>
      </c>
      <c r="DX133" s="105" t="str">
        <f>HYPERLINK("https://www.kiro7.com/news/five-dead-bloody-shootout-federal-way-apartments/246369986","1")</f>
        <v>1</v>
      </c>
      <c r="DY133" s="48">
        <v>2</v>
      </c>
      <c r="DZ133" s="48">
        <v>0</v>
      </c>
    </row>
    <row r="134" spans="1:130" ht="50.25" customHeight="1">
      <c r="A134" s="96">
        <v>132</v>
      </c>
      <c r="B134" s="97" t="s">
        <v>604</v>
      </c>
      <c r="C134" s="97" t="s">
        <v>190</v>
      </c>
      <c r="D134" s="98">
        <v>41432</v>
      </c>
      <c r="E134" s="48" t="s">
        <v>157</v>
      </c>
      <c r="F134" s="119">
        <v>7</v>
      </c>
      <c r="G134" s="102">
        <v>6</v>
      </c>
      <c r="H134" s="101">
        <v>2013</v>
      </c>
      <c r="I134" s="48" t="s">
        <v>605</v>
      </c>
      <c r="J134" s="101" t="s">
        <v>606</v>
      </c>
      <c r="K134" s="102" t="str">
        <f>HYPERLINK("https://www.nydailynews.com/news/national/short-article-1.1372515","5")</f>
        <v>5</v>
      </c>
      <c r="L134" s="102" t="str">
        <f>HYPERLINK("https://www.nydailynews.com/news/national/short-article-1.1372515","3")</f>
        <v>3</v>
      </c>
      <c r="M134" s="102">
        <v>0</v>
      </c>
      <c r="N134" s="102" t="str">
        <f>HYPERLINK("https://www.nydailynews.com/news/national/short-article-1.1372515","1")</f>
        <v>1</v>
      </c>
      <c r="O134" s="102" t="str">
        <f>HYPERLINK("https://www.nbclosangeles.com/news/local/Santa-Monica-Shooting-Police-News-Conference-Watch-Live-211492801.html","1")</f>
        <v>1</v>
      </c>
      <c r="P134" s="102" t="str">
        <f>HYPERLINK("https://www.nydailynews.com/news/national/short-article-1.1372515","7")</f>
        <v>7</v>
      </c>
      <c r="Q134" s="103">
        <v>0</v>
      </c>
      <c r="R134" s="103">
        <v>0</v>
      </c>
      <c r="S134" s="102" t="str">
        <f>HYPERLINK("https://www.cnn.com/2013/06/09/justice/california-college-gunman/index.html","5")</f>
        <v>5</v>
      </c>
      <c r="T134" s="102" t="str">
        <f>HYPERLINK("https://www.nbclosangeles.com/news/local/Santa-Monica-Shooting-Police-News-Conference-Watch-Live-211492801.html","3")</f>
        <v>3</v>
      </c>
      <c r="U134" s="101" t="str">
        <f>HYPERLINK("https://www.smgov.net/uploadedFiles/Departments/OEM/Video_Archive/Santa%20Monica%20Shooting%20Experience%20verFeb%202014.pdf","1")</f>
        <v>1</v>
      </c>
      <c r="V134" s="101">
        <v>23</v>
      </c>
      <c r="W134" s="101">
        <v>0</v>
      </c>
      <c r="X134" s="101" t="str">
        <f>HYPERLINK("https://www.nydailynews.com/news/national/short-article-1.1372515","4")</f>
        <v>4</v>
      </c>
      <c r="Y134" s="105" t="str">
        <f>HYPERLINK("https://www.denverpost.com/2013/06/09/police-gunman-planned-to-kill-hundreds-in-santa-monica-shooting-spree/","1")</f>
        <v>1</v>
      </c>
      <c r="Z134" s="101">
        <v>0</v>
      </c>
      <c r="AA134" s="51"/>
      <c r="AB134" s="101">
        <v>2</v>
      </c>
      <c r="AC134" s="101" t="str">
        <f>HYPERLINK("https://www.scpr.org/news/2013/06/11/37679/santa-monica-gunman-was-held-for-mental-evaluation/","0")</f>
        <v>0</v>
      </c>
      <c r="AD134" s="101" t="str">
        <f>HYPERLINK("https://www.scpr.org/news/2013/06/11/37679/santa-monica-gunman-was-held-for-mental-evaluation/","low grades")</f>
        <v>low grades</v>
      </c>
      <c r="AE134" s="101" t="str">
        <f>HYPERLINK("https://casetext.com/case/estate-of-zawahri-v-fayad","3")</f>
        <v>3</v>
      </c>
      <c r="AF134" s="101" t="str">
        <f t="shared" ref="AF134:AG134" si="330">HYPERLINK("https://casetext.com/case/estate-of-zawahri-v-fayad","1")</f>
        <v>1</v>
      </c>
      <c r="AG134" s="101" t="str">
        <f t="shared" si="330"/>
        <v>1</v>
      </c>
      <c r="AH134" s="101" t="str">
        <f>HYPERLINK("https://casetext.com/case/estate-of-zawahri-v-fayad","0")</f>
        <v>0</v>
      </c>
      <c r="AI134" s="51">
        <v>0</v>
      </c>
      <c r="AJ134" s="51">
        <v>0</v>
      </c>
      <c r="AK134" s="101">
        <v>0</v>
      </c>
      <c r="AL134" s="51"/>
      <c r="AM134" s="51">
        <v>0</v>
      </c>
      <c r="AN134" s="48" t="s">
        <v>100</v>
      </c>
      <c r="AO134" s="101" t="str">
        <f>HYPERLINK("https://www.latimes.com/local/la-xpm-2013-jun-10-la-me-0611-santa-monica-shooting-20130611-story.html","0")</f>
        <v>0</v>
      </c>
      <c r="AP134" s="54"/>
      <c r="AQ134" s="101" t="str">
        <f t="shared" ref="AQ134:DS134" si="331">HYPERLINK("https://www.nydailynews.com/news/national/short-article-1.1372515","1")</f>
        <v>1</v>
      </c>
      <c r="AR134" s="51">
        <v>0</v>
      </c>
      <c r="AS134" s="101" t="str">
        <f>HYPERLINK("https://casetext.com/case/estate-of-zawahri-v-fayad","1")</f>
        <v>1</v>
      </c>
      <c r="AT134" s="133" t="str">
        <f>HYPERLINK("https://casetext.com/case/estate-of-zawahri-v-fayad","2")</f>
        <v>2</v>
      </c>
      <c r="AU134" s="133">
        <v>1</v>
      </c>
      <c r="AV134" s="133">
        <v>4</v>
      </c>
      <c r="AW134" s="52"/>
      <c r="AX134" s="48">
        <v>0</v>
      </c>
      <c r="AY134" s="51">
        <v>0</v>
      </c>
      <c r="AZ134" s="101" t="str">
        <f>HYPERLINK("https://www.cnn.com/2013/06/09/justice/california-college-gunman/index.html","0")</f>
        <v>0</v>
      </c>
      <c r="BA134" s="51">
        <v>0</v>
      </c>
      <c r="BB134" s="101" t="str">
        <f>HYPERLINK("https://www.latimes.com/local/la-xpm-2013-jun-10-la-me-0611-santa-monica-shooting-20130611-story.html","2")</f>
        <v>2</v>
      </c>
      <c r="BC134" s="51">
        <v>0</v>
      </c>
      <c r="BD134" s="51">
        <v>0</v>
      </c>
      <c r="BE134" s="101" t="str">
        <f>HYPERLINK("https://casetext.com/case/estate-of-zawahri-v-fayad","0")</f>
        <v>0</v>
      </c>
      <c r="BF134" s="101" t="str">
        <f>HYPERLINK("https://www.nydailynews.com/news/national/short-article-1.1372515","0")</f>
        <v>0</v>
      </c>
      <c r="BG134" s="101" t="str">
        <f>HYPERLINK("https://www.nydailynews.com/news/national/santa-monica-killer-family-dark-article-1.1368498","1")</f>
        <v>1</v>
      </c>
      <c r="BH134" s="51">
        <v>2</v>
      </c>
      <c r="BI134" s="51">
        <v>0</v>
      </c>
      <c r="BJ134" s="51">
        <v>0</v>
      </c>
      <c r="BK134" s="51">
        <v>0</v>
      </c>
      <c r="BL134" s="108" t="str">
        <f>HYPERLINK("https://www.businessinsider.com/john-zawahri-had-a-troubled-past-2013-6","1")</f>
        <v>1</v>
      </c>
      <c r="BM134" s="109">
        <v>3</v>
      </c>
      <c r="BN134" s="115" t="s">
        <v>3089</v>
      </c>
      <c r="BO134" s="115">
        <v>1</v>
      </c>
      <c r="BP134" s="111">
        <v>0</v>
      </c>
      <c r="BQ134" s="111">
        <v>0</v>
      </c>
      <c r="BR134" s="111">
        <v>0</v>
      </c>
      <c r="BS134" s="111">
        <v>1</v>
      </c>
      <c r="BT134" s="111">
        <v>1</v>
      </c>
      <c r="BU134" s="111">
        <v>1</v>
      </c>
      <c r="BV134" s="111">
        <v>1</v>
      </c>
      <c r="BW134" s="111">
        <v>0</v>
      </c>
      <c r="BX134" s="111">
        <v>0</v>
      </c>
      <c r="BY134" s="101" t="str">
        <f>HYPERLINK("https://schoolshooters.info/sites/default/files/John_Zawahri_Narrative.pdf","2")</f>
        <v>2</v>
      </c>
      <c r="BZ134" s="101" t="str">
        <f>HYPERLINK("https://casetext.com/case/estate-of-zawahri-v-fayad","1")</f>
        <v>1</v>
      </c>
      <c r="CA134" s="51">
        <v>0</v>
      </c>
      <c r="CB134" s="51" t="s">
        <v>100</v>
      </c>
      <c r="CC134" s="101">
        <v>0</v>
      </c>
      <c r="CD134" s="101" t="str">
        <f>HYPERLINK("https://www.cnn.com/2013/06/08/us/california-college-gunman/index.html","0")</f>
        <v>0</v>
      </c>
      <c r="CE134" s="101" t="str">
        <f>HYPERLINK("https://www.cnn.com/2013/06/09/justice/california-college-gunman/index.html","5")</f>
        <v>5</v>
      </c>
      <c r="CF134" s="141" t="str">
        <f>HYPERLINK("https://casetext.com/case/estate-of-zawahri-v-fayad","1")</f>
        <v>1</v>
      </c>
      <c r="CG134" s="101">
        <v>0</v>
      </c>
      <c r="CH134" s="51">
        <v>0</v>
      </c>
      <c r="CI134" s="51">
        <v>0</v>
      </c>
      <c r="CJ134" s="51" t="s">
        <v>100</v>
      </c>
      <c r="CK134" s="113">
        <v>0</v>
      </c>
      <c r="CL134" s="113"/>
      <c r="CM134" s="113"/>
      <c r="CN134" s="110">
        <v>0</v>
      </c>
      <c r="CO134" s="110">
        <v>0</v>
      </c>
      <c r="CP134" s="110">
        <v>0</v>
      </c>
      <c r="CQ134" s="110">
        <v>0</v>
      </c>
      <c r="CR134" s="110">
        <v>0</v>
      </c>
      <c r="CS134" s="110">
        <v>0</v>
      </c>
      <c r="CT134" s="110">
        <v>0</v>
      </c>
      <c r="CU134" s="110">
        <v>0</v>
      </c>
      <c r="CV134" s="110">
        <v>0</v>
      </c>
      <c r="CW134" s="110">
        <v>0</v>
      </c>
      <c r="CX134" s="110">
        <v>0</v>
      </c>
      <c r="CY134" s="109">
        <v>1</v>
      </c>
      <c r="CZ134" s="108" t="str">
        <f>HYPERLINK("https://www.nydailynews.com/news/national/short-article-1.1372515","0")</f>
        <v>0</v>
      </c>
      <c r="DA134" s="51">
        <v>0</v>
      </c>
      <c r="DB134" s="51">
        <v>0</v>
      </c>
      <c r="DC134" s="101" t="str">
        <f>HYPERLINK("https://www.nydailynews.com/news/national/short-article-1.1372515","0")</f>
        <v>0</v>
      </c>
      <c r="DD134" s="51"/>
      <c r="DE134" s="51"/>
      <c r="DF134" s="51"/>
      <c r="DG134" s="51"/>
      <c r="DH134" s="51"/>
      <c r="DI134" s="51"/>
      <c r="DJ134" s="51">
        <v>0</v>
      </c>
      <c r="DK134" s="51">
        <v>0</v>
      </c>
      <c r="DL134" s="48" t="s">
        <v>100</v>
      </c>
      <c r="DM134" s="101" t="str">
        <f>HYPERLINK("https://www.nydailynews.com/news/national/short-article-1.1372515","1")</f>
        <v>1</v>
      </c>
      <c r="DN134" s="51">
        <v>0</v>
      </c>
      <c r="DO134" s="51" t="s">
        <v>100</v>
      </c>
      <c r="DP134" s="101" t="str">
        <f>HYPERLINK("https://www.nydailynews.com/news/national/short-article-1.1372515","0")</f>
        <v>0</v>
      </c>
      <c r="DQ134" s="101" t="str">
        <f>HYPERLINK("https://www.nbclosangeles.com/news/local/Santa-Monica-Shooting-Police-News-Conference-Watch-Live-211492801.html","0")</f>
        <v>0</v>
      </c>
      <c r="DR134" s="105" t="str">
        <f>HYPERLINK("https://www.nydailynews.com/news/national/short-article-1.1372515","1")</f>
        <v>1</v>
      </c>
      <c r="DS134" s="101" t="str">
        <f t="shared" si="331"/>
        <v>1</v>
      </c>
      <c r="DT134" s="101">
        <v>2</v>
      </c>
      <c r="DU134" s="51">
        <v>1</v>
      </c>
      <c r="DV134" s="101" t="str">
        <f>HYPERLINK("https://schoolshooters.info/sites/default/files/John_Zawahri_Narrative.pdf","bulletproof vest without ballistic panels")</f>
        <v>bulletproof vest without ballistic panels</v>
      </c>
      <c r="DW134" s="101">
        <v>1</v>
      </c>
      <c r="DX134" s="101" t="str">
        <f>HYPERLINK("https://www.nbclosangeles.com/news/local/Santa-Monica-Shooting-Police-News-Conference-Watch-Live-211492801.html","0")</f>
        <v>0</v>
      </c>
      <c r="DY134" s="48">
        <v>2</v>
      </c>
      <c r="DZ134" s="48">
        <v>0</v>
      </c>
    </row>
    <row r="135" spans="1:130" ht="50.25" customHeight="1">
      <c r="A135" s="96">
        <v>133</v>
      </c>
      <c r="B135" s="97" t="s">
        <v>608</v>
      </c>
      <c r="C135" s="97" t="s">
        <v>609</v>
      </c>
      <c r="D135" s="98">
        <v>41481</v>
      </c>
      <c r="E135" s="48" t="s">
        <v>157</v>
      </c>
      <c r="F135" s="119">
        <v>26</v>
      </c>
      <c r="G135" s="102" t="str">
        <f>HYPERLINK("https://www.miamiherald.com/news/special-reports/hialeah-mass-shooting/article1953794.html","7")</f>
        <v>7</v>
      </c>
      <c r="H135" s="101" t="str">
        <f>HYPERLINK("https://www.miamiherald.com/news/special-reports/hialeah-mass-shooting/article1953794.html","2013")</f>
        <v>2013</v>
      </c>
      <c r="I135" s="48" t="s">
        <v>610</v>
      </c>
      <c r="J135" s="101" t="str">
        <f>HYPERLINK("https://www.cbsnews.com/news/pedro-vargas-idd-as-gunman-behind-deadly-rampage-in-hialeah-florida/","Hialeah")</f>
        <v>Hialeah</v>
      </c>
      <c r="K135" s="102" t="str">
        <f>HYPERLINK("https://www.cbsnews.com/news/pedro-vargas-idd-as-gunman-behind-deadly-rampage-in-hialeah-florida/","9")</f>
        <v>9</v>
      </c>
      <c r="L135" s="102" t="str">
        <f t="shared" ref="L135:M135" si="332">HYPERLINK("https://www.miamiherald.com/news/special-reports/hialeah-mass-shooting/article1953653.html","0")</f>
        <v>0</v>
      </c>
      <c r="M135" s="102" t="str">
        <f t="shared" si="332"/>
        <v>0</v>
      </c>
      <c r="N135" s="102" t="str">
        <f>HYPERLINK("https://www.miamiherald.com/news/special-reports/hialeah-mass-shooting/article1953794.html","7")</f>
        <v>7</v>
      </c>
      <c r="O135" s="102">
        <v>0</v>
      </c>
      <c r="P135" s="99" t="s">
        <v>100</v>
      </c>
      <c r="Q135" s="103">
        <v>0</v>
      </c>
      <c r="R135" s="103">
        <v>0</v>
      </c>
      <c r="S135" s="102" t="str">
        <f>HYPERLINK("https://www.cbsnews.com/news/pedro-vargas-idd-as-gunman-behind-deadly-rampage-in-hialeah-florida/","6")</f>
        <v>6</v>
      </c>
      <c r="T135" s="102" t="str">
        <f>HYPERLINK("https://www.cbsnews.com/news/pedro-vargas-idd-as-gunman-behind-deadly-rampage-in-hialeah-florida/","0")</f>
        <v>0</v>
      </c>
      <c r="U135" s="101" t="str">
        <f>HYPERLINK("https://www.miamiherald.com/news/special-reports/hialeah-mass-shooting/article1953794.html","1")</f>
        <v>1</v>
      </c>
      <c r="V135" s="101" t="str">
        <f>HYPERLINK("https://www.miamiherald.com/news/special-reports/hialeah-mass-shooting/article1953794.html","42")</f>
        <v>42</v>
      </c>
      <c r="W135" s="101" t="str">
        <f>HYPERLINK("https://www.miamiherald.com/news/special-reports/hialeah-mass-shooting/article1953794.html","0")</f>
        <v>0</v>
      </c>
      <c r="X135" s="101" t="str">
        <f>HYPERLINK("https://www.miamiherald.com/news/special-reports/hialeah-mass-shooting/article1953794.html","2")</f>
        <v>2</v>
      </c>
      <c r="Y135" s="105" t="str">
        <f>HYPERLINK("https://www.miamiherald.com/news/special-reports/hialeah-mass-shooting/article1953794.html","1")</f>
        <v>1</v>
      </c>
      <c r="Z135" s="101" t="str">
        <f>HYPERLINK("https://www.cbsnews.com/news/pedro-vargas-idd-as-gunman-behind-deadly-rampage-in-hialeah-florida/","0")</f>
        <v>0</v>
      </c>
      <c r="AA135" s="51"/>
      <c r="AB135" s="101" t="str">
        <f>HYPERLINK("https://www.miamiherald.com/news/special-reports/hialeah-mass-shooting/article1953794.html","3")</f>
        <v>3</v>
      </c>
      <c r="AC135" s="101" t="str">
        <f>HYPERLINK("https://www.miamiherald.com/news/special-reports/hialeah-mass-shooting/article1953794.html","2")</f>
        <v>2</v>
      </c>
      <c r="AD135" s="101" t="str">
        <f>HYPERLINK("https://www.miamiherald.com/news/special-reports/hialeah-mass-shooting/article1953794.html","3.5 gpa")</f>
        <v>3.5 gpa</v>
      </c>
      <c r="AE135" s="101" t="str">
        <f t="shared" ref="AE135:AH135" si="333">HYPERLINK("https://www.miamiherald.com/news/special-reports/hialeah-mass-shooting/article1953794.html","0")</f>
        <v>0</v>
      </c>
      <c r="AF135" s="101" t="str">
        <f t="shared" si="333"/>
        <v>0</v>
      </c>
      <c r="AG135" s="101" t="str">
        <f t="shared" si="333"/>
        <v>0</v>
      </c>
      <c r="AH135" s="101" t="str">
        <f t="shared" si="333"/>
        <v>0</v>
      </c>
      <c r="AI135" s="101" t="str">
        <f>HYPERLINK("https://www.cbsnews.com/news/pedro-vargas-idd-as-gunman-behind-deadly-rampage-in-hialeah-florida/","1")</f>
        <v>1</v>
      </c>
      <c r="AJ135" s="101">
        <v>0</v>
      </c>
      <c r="AK135" s="101" t="str">
        <f>HYPERLINK("https://www.miamiherald.com/news/special-reports/hialeah-mass-shooting/article1953794.html","0")</f>
        <v>0</v>
      </c>
      <c r="AL135" s="101" t="str">
        <f>HYPERLINK("https://www.huffpost.com/entry/pedro-vargas-hialeah_n_3677570","2")</f>
        <v>2</v>
      </c>
      <c r="AM135" s="101">
        <v>0</v>
      </c>
      <c r="AN135" s="48" t="s">
        <v>100</v>
      </c>
      <c r="AO135" s="101" t="str">
        <f>HYPERLINK("https://www.miamiherald.com/news/special-reports/hialeah-mass-shooting/article1953794.html","0")</f>
        <v>0</v>
      </c>
      <c r="AP135" s="146"/>
      <c r="AQ135" s="101" t="str">
        <f>HYPERLINK("https://www.cbsnews.com/news/pedro-vargas-idd-as-gunman-behind-deadly-rampage-in-hialeah-florida/","0")</f>
        <v>0</v>
      </c>
      <c r="AR135" s="51">
        <v>0</v>
      </c>
      <c r="AS135" s="101" t="str">
        <f>HYPERLINK("https://www.cbsnews.com/news/pedro-vargas-idd-as-gunman-behind-deadly-rampage-in-hialeah-florida/","1")</f>
        <v>1</v>
      </c>
      <c r="AT135" s="101" t="str">
        <f>HYPERLINK("https://www.cbsnews.com/news/pedro-vargas-idd-as-gunman-behind-deadly-rampage-in-hialeah-florida/","2")</f>
        <v>2</v>
      </c>
      <c r="AU135" s="101">
        <v>3</v>
      </c>
      <c r="AV135" s="51"/>
      <c r="AW135" s="51"/>
      <c r="AX135" s="51">
        <v>0</v>
      </c>
      <c r="AY135" s="101">
        <v>0</v>
      </c>
      <c r="AZ135" s="101">
        <v>0</v>
      </c>
      <c r="BA135" s="51">
        <v>0</v>
      </c>
      <c r="BB135" s="107">
        <v>0</v>
      </c>
      <c r="BC135" s="101" t="str">
        <f>HYPERLINK("https://www.cbsnews.com/news/pedro-vargas-idd-as-gunman-behind-deadly-rampage-in-hialeah-florida/","1")</f>
        <v>1</v>
      </c>
      <c r="BD135" s="101">
        <v>0</v>
      </c>
      <c r="BE135" s="101" t="str">
        <f t="shared" ref="BE135:BF135" si="334">HYPERLINK("https://www.miamiherald.com/news/special-reports/hialeah-mass-shooting/article1953794.html","0")</f>
        <v>0</v>
      </c>
      <c r="BF135" s="101" t="str">
        <f t="shared" si="334"/>
        <v>0</v>
      </c>
      <c r="BG135" s="51"/>
      <c r="BH135" s="51">
        <v>1</v>
      </c>
      <c r="BI135" s="51">
        <v>0</v>
      </c>
      <c r="BJ135" s="101">
        <v>0</v>
      </c>
      <c r="BK135" s="101" t="str">
        <f>HYPERLINK("https://www.nbcmiami.com/news/Gunman-Called-911-Hours-Before-Shooting-Rampage-in-Hialeah-Apartment-Complex-217794021.html","1")</f>
        <v>1</v>
      </c>
      <c r="BL135" s="108" t="str">
        <f>HYPERLINK("https://www.local10.com/news/police-may-have-motive-in-hialeah-massacre","1")</f>
        <v>1</v>
      </c>
      <c r="BM135" s="109">
        <v>0</v>
      </c>
      <c r="BN135" s="115" t="s">
        <v>2974</v>
      </c>
      <c r="BO135" s="111">
        <v>1</v>
      </c>
      <c r="BP135" s="111">
        <v>0</v>
      </c>
      <c r="BQ135" s="111">
        <v>0</v>
      </c>
      <c r="BR135" s="111">
        <v>0</v>
      </c>
      <c r="BS135" s="111">
        <v>0</v>
      </c>
      <c r="BT135" s="111">
        <v>1</v>
      </c>
      <c r="BU135" s="111">
        <v>1</v>
      </c>
      <c r="BV135" s="147" t="str">
        <f>HYPERLINK("https://www.miamiherald.com/news/special-reports/hialeah-mass-shooting/article1953653.html","1")</f>
        <v>1</v>
      </c>
      <c r="BW135" s="111">
        <v>1</v>
      </c>
      <c r="BX135" s="111">
        <v>1</v>
      </c>
      <c r="BY135" s="101">
        <v>0</v>
      </c>
      <c r="BZ135" s="51">
        <v>0</v>
      </c>
      <c r="CA135" s="51">
        <v>0</v>
      </c>
      <c r="CB135" s="51" t="s">
        <v>100</v>
      </c>
      <c r="CC135" s="51">
        <v>0</v>
      </c>
      <c r="CD135" s="51" t="s">
        <v>100</v>
      </c>
      <c r="CE135" s="101" t="str">
        <f>HYPERLINK("https://www.miamiherald.com/news/special-reports/hialeah-mass-shooting/article1953794.html","5")</f>
        <v>5</v>
      </c>
      <c r="CF135" s="51">
        <v>0</v>
      </c>
      <c r="CG135" s="51">
        <v>0</v>
      </c>
      <c r="CH135" s="101">
        <v>3</v>
      </c>
      <c r="CI135" s="51">
        <v>0</v>
      </c>
      <c r="CJ135" s="51" t="s">
        <v>100</v>
      </c>
      <c r="CK135" s="113">
        <v>0</v>
      </c>
      <c r="CL135" s="113"/>
      <c r="CM135" s="113"/>
      <c r="CN135" s="110">
        <v>0</v>
      </c>
      <c r="CO135" s="110">
        <v>0</v>
      </c>
      <c r="CP135" s="110">
        <v>0</v>
      </c>
      <c r="CQ135" s="110">
        <v>0</v>
      </c>
      <c r="CR135" s="108">
        <v>0</v>
      </c>
      <c r="CS135" s="110">
        <v>0</v>
      </c>
      <c r="CT135" s="108" t="str">
        <f>HYPERLINK("https://www.local10.com/news/police-may-have-motive-in-hialeah-massacre","1")</f>
        <v>1</v>
      </c>
      <c r="CU135" s="110">
        <v>0</v>
      </c>
      <c r="CV135" s="108">
        <v>0</v>
      </c>
      <c r="CW135" s="110">
        <v>0</v>
      </c>
      <c r="CX135" s="109">
        <v>1</v>
      </c>
      <c r="CY135" s="110">
        <v>0</v>
      </c>
      <c r="CZ135" s="108" t="str">
        <f>HYPERLINK("https://www.miamiherald.com/news/special-reports/hialeah-mass-shooting/article1953794.html","0")</f>
        <v>0</v>
      </c>
      <c r="DA135" s="101">
        <v>3</v>
      </c>
      <c r="DB135" s="51">
        <v>0</v>
      </c>
      <c r="DC135" s="101" t="str">
        <f>HYPERLINK("https://www.miamiherald.com/news/special-reports/hialeah-mass-shooting/article1953794.html","0")</f>
        <v>0</v>
      </c>
      <c r="DD135" s="51"/>
      <c r="DE135" s="51"/>
      <c r="DF135" s="51"/>
      <c r="DG135" s="51"/>
      <c r="DH135" s="51"/>
      <c r="DI135" s="51"/>
      <c r="DJ135" s="51">
        <v>0</v>
      </c>
      <c r="DK135" s="101">
        <v>0</v>
      </c>
      <c r="DL135" s="48" t="s">
        <v>100</v>
      </c>
      <c r="DM135" s="101" t="str">
        <f>HYPERLINK("https://www.cnn.com/2013/07/27/us/florida-shooting/index.html","0")</f>
        <v>0</v>
      </c>
      <c r="DN135" s="51">
        <v>0</v>
      </c>
      <c r="DO135" s="51" t="s">
        <v>100</v>
      </c>
      <c r="DP135" s="101" t="str">
        <f t="shared" ref="DP135:DQ135" si="335">HYPERLINK("https://www.miamiherald.com/news/special-reports/hialeah-mass-shooting/article1953794.html","0")</f>
        <v>0</v>
      </c>
      <c r="DQ135" s="101" t="str">
        <f t="shared" si="335"/>
        <v>0</v>
      </c>
      <c r="DR135" s="51">
        <v>0</v>
      </c>
      <c r="DS135" s="101" t="str">
        <f>HYPERLINK("https://www.miamiherald.com/news/special-reports/hialeah-mass-shooting/article1953653.html","2")</f>
        <v>2</v>
      </c>
      <c r="DT135" s="101" t="str">
        <f t="shared" ref="DT135" si="336">HYPERLINK("https://www.nytimes.com/2013/07/28/us/6-shot-dead-by-neighbor-at-building-near-miami.html","1")</f>
        <v>1</v>
      </c>
      <c r="DU135" s="101" t="str">
        <f>HYPERLINK("https://www.miamiherald.com/news/special-reports/hialeah-mass-shooting/article1953794.html","1")</f>
        <v>1</v>
      </c>
      <c r="DV135" s="101" t="str">
        <f>HYPERLINK("https://www.miamiherald.com/news/special-reports/hialeah-mass-shooting/article1953794.html","gasoline")</f>
        <v>gasoline</v>
      </c>
      <c r="DW135" s="101" t="str">
        <f>HYPERLINK("https://www.miamiherald.com/news/special-reports/hialeah-mass-shooting/article1953653.html","1")</f>
        <v>1</v>
      </c>
      <c r="DX135" s="101" t="str">
        <f>HYPERLINK("https://www.cnn.com/2013/07/27/us/florida-shooting/index.html","0")</f>
        <v>0</v>
      </c>
      <c r="DY135" s="51">
        <v>2</v>
      </c>
      <c r="DZ135" s="48">
        <v>0</v>
      </c>
    </row>
    <row r="136" spans="1:130" ht="50.25" customHeight="1">
      <c r="A136" s="96">
        <v>134</v>
      </c>
      <c r="B136" s="97" t="s">
        <v>612</v>
      </c>
      <c r="C136" s="97" t="s">
        <v>613</v>
      </c>
      <c r="D136" s="98">
        <v>41533</v>
      </c>
      <c r="E136" s="48" t="s">
        <v>95</v>
      </c>
      <c r="F136" s="119">
        <v>16</v>
      </c>
      <c r="G136" s="102" t="str">
        <f>HYPERLINK("https://www.theguardian.com/world/2013/sep/16/aaron-alexis-washington-navy-yard-shooting","9")</f>
        <v>9</v>
      </c>
      <c r="H136" s="101" t="str">
        <f>HYPERLINK("https://www.theguardian.com/world/2013/sep/16/aaron-alexis-washington-navy-yard-shooting","2013")</f>
        <v>2013</v>
      </c>
      <c r="I136" s="48" t="s">
        <v>614</v>
      </c>
      <c r="J136" s="101" t="str">
        <f>HYPERLINK("https://www.nytimes.com/2013/09/17/us/shooting-reported-at-washington-navy-yard.html?pagewanted=all&amp;mcubz=0","Washington D.C.
")</f>
        <v xml:space="preserve">Washington D.C.
</v>
      </c>
      <c r="K136" s="102">
        <v>51</v>
      </c>
      <c r="L136" s="119">
        <v>0</v>
      </c>
      <c r="M136" s="102">
        <v>0</v>
      </c>
      <c r="N136" s="102" t="str">
        <f>HYPERLINK("http://www.cnn.com/2013/09/16/us/navy-yard-suspects/index.html","6")</f>
        <v>6</v>
      </c>
      <c r="O136" s="102" t="str">
        <f>HYPERLINK("https://www.nytimes.com/2013/09/17/us/shooting-reported-at-washington-navy-yard.html?pagewanted=all&amp;mcubz=0","0")</f>
        <v>0</v>
      </c>
      <c r="P136" s="99" t="s">
        <v>100</v>
      </c>
      <c r="Q136" s="103">
        <v>1</v>
      </c>
      <c r="R136" s="103">
        <v>1</v>
      </c>
      <c r="S136" s="102" t="str">
        <f>HYPERLINK("http://www.cnn.com/2013/09/16/us/navy-yard-suspects/index.html","12")</f>
        <v>12</v>
      </c>
      <c r="T136" s="102">
        <v>8</v>
      </c>
      <c r="U136" s="101" t="str">
        <f>HYPERLINK("https://www.washingtonpost.com/local/crime/fbi-police-detail-shooting-navy-yard-shooting/2013/09/25/ee321abe-2600-11e3-b3e9-d97fb087acd6_story.html?utm_term=.adef8ff86e0b","0")</f>
        <v>0</v>
      </c>
      <c r="V136" s="101" t="str">
        <f>HYPERLINK("https://www.theguardian.com/world/2013/sep/16/aaron-alexis-washington-navy-yard-shooting","34")</f>
        <v>34</v>
      </c>
      <c r="W136" s="101">
        <v>0</v>
      </c>
      <c r="X136" s="101" t="str">
        <f>HYPERLINK("https://www.theguardian.com/world/2013/sep/16/aaron-alexis-washington-navy-yard-shooting","1")</f>
        <v>1</v>
      </c>
      <c r="Y136" s="105" t="str">
        <f>HYPERLINK("https://www.cnn.com/2013/09/16/us/navy-yard-suspects/index.html","0")</f>
        <v>0</v>
      </c>
      <c r="Z136" s="101" t="str">
        <f>HYPERLINK("http://www.telegraph.co.uk/news/worldnews/northamerica/usa/10317234/Aaron-Alexis-Washington-Navy-yard-gunman-had-string-of-failed-relationships-with-Asian-women.html","0")</f>
        <v>0</v>
      </c>
      <c r="AA136" s="101" t="str">
        <f>HYPERLINK("https://www.usatoday.com/story/news/nation/2013/09/16/aaron-alexis-navy-yard-shooter/2822731/","3")</f>
        <v>3</v>
      </c>
      <c r="AB136" s="101">
        <v>2</v>
      </c>
      <c r="AC136" s="101" t="str">
        <f>HYPERLINK("https://www.usatoday.com/story/news/nation/2013/09/16/aaron-alexis-navy-yard-shooter/2822731/","2")</f>
        <v>2</v>
      </c>
      <c r="AD136" s="101" t="str">
        <f>HYPERLINK("https://www.usatoday.com/story/news/nation/2013/09/16/aaron-alexis-navy-yard-shooter/2822731/","Embry-Riddle Aeronautical University ")</f>
        <v xml:space="preserve">Embry-Riddle Aeronautical University </v>
      </c>
      <c r="AE136" s="101" t="str">
        <f>HYPERLINK("https://www.nbcwashington.com/news/local/aaron-alexis-navy-yard-gunman-washington-dc-fort-worth-texas/1925148/","1")</f>
        <v>1</v>
      </c>
      <c r="AF136" s="101" t="str">
        <f>HYPERLINK("https://www.latimes.com/nation/la-xpm-2013-sep-18-la-na-nn-cathleen-alexis-mother-navy-yard-shooter-20130918-story.html","2")</f>
        <v>2</v>
      </c>
      <c r="AG136" s="101" t="str">
        <f>HYPERLINK("https://www.nbcwashington.com/news/local/aaron-alexis-navy-yard-gunman-washington-dc-fort-worth-texas/1925148/","0")</f>
        <v>0</v>
      </c>
      <c r="AH136" s="101" t="str">
        <f>HYPERLINK("https://www.nbcwashington.com/news/local/aaron-alexis-navy-yard-gunman-washington-dc-fort-worth-texas/1925148/","2")</f>
        <v>2</v>
      </c>
      <c r="AI136" s="101" t="str">
        <f>HYPERLINK("http://www.telegraph.co.uk/news/worldnews/northamerica/usa/10317234/Aaron-Alexis-Washington-Navy-yard-gunman-had-string-of-failed-relationships-with-Asian-women.html","0")</f>
        <v>0</v>
      </c>
      <c r="AJ136" s="51">
        <v>0</v>
      </c>
      <c r="AK136" s="101" t="str">
        <f>HYPERLINK("https://www.theguardian.com/world/2013/sep/16/aaron-alexis-washington-navy-yard-shooting","1")</f>
        <v>1</v>
      </c>
      <c r="AL136" s="101" t="str">
        <f>HYPERLINK("https://www.theguardian.com/world/2013/sep/16/aaron-alexis-washington-navy-yard-shooting","2")</f>
        <v>2</v>
      </c>
      <c r="AM136" s="101" t="str">
        <f t="shared" ref="AM136:AN136" si="337">HYPERLINK("https://www.cnn.com/2013/09/16/us/navy-yard-suspects/index.html","1")</f>
        <v>1</v>
      </c>
      <c r="AN136" s="101" t="str">
        <f t="shared" si="337"/>
        <v>1</v>
      </c>
      <c r="AO136" s="101" t="str">
        <f>HYPERLINK("https://www.cnn.com/2013/09/16/us/navy-yard-suspects/index.html","2")</f>
        <v>2</v>
      </c>
      <c r="AP136" s="101" t="str">
        <f>HYPERLINK("https://www.cnn.com/2013/09/16/us/navy-yard-suspects/index.html","Buddhist temple, helped at friend's restaurant")</f>
        <v>Buddhist temple, helped at friend's restaurant</v>
      </c>
      <c r="AQ136" s="101" t="str">
        <f>HYPERLINK("https://www.theguardian.com/world/2013/sep/20/aaron-alexis-washington-navy-yard-shooter","1")</f>
        <v>1</v>
      </c>
      <c r="AR136" s="51">
        <v>0</v>
      </c>
      <c r="AS136" s="101">
        <v>1</v>
      </c>
      <c r="AT136" s="48">
        <v>0</v>
      </c>
      <c r="AU136" s="48" t="s">
        <v>100</v>
      </c>
      <c r="AV136" s="48" t="s">
        <v>100</v>
      </c>
      <c r="AW136" s="48" t="s">
        <v>100</v>
      </c>
      <c r="AX136" s="48">
        <v>0</v>
      </c>
      <c r="AY136" s="51">
        <v>0</v>
      </c>
      <c r="AZ136" s="101" t="str">
        <f>HYPERLINK("https://www.washingtonpost.com/local/crime/fbi-police-detail-shooting-navy-yard-shooting/2013/09/25/ee321abe-2600-11e3-b3e9-d97fb087acd6_story.html?utm_term=.2b1701368105","0")</f>
        <v>0</v>
      </c>
      <c r="BA136" s="51">
        <v>0</v>
      </c>
      <c r="BB136" s="141" t="str">
        <f>HYPERLINK("https://www.telegraph.co.uk/news/worldnews/northamerica/usa/10314585/Aaron-Alexis-Washington-navy-yard-gunman-obsessed-with-violent-video-games.html","1")</f>
        <v>1</v>
      </c>
      <c r="BC136" s="101">
        <v>0</v>
      </c>
      <c r="BD136" s="101" t="str">
        <f>HYPERLINK("https://www.usatoday.com/story/news/nation/2013/09/16/aaron-alexis-navy-yard-shooter/2822731/","0")</f>
        <v>0</v>
      </c>
      <c r="BE136" s="101">
        <v>0</v>
      </c>
      <c r="BF136" s="101" t="str">
        <f>HYPERLINK("https://www.theguardian.com/world/2013/sep/20/aaron-alexis-washington-navy-yard-shooter","0")</f>
        <v>0</v>
      </c>
      <c r="BG136" s="51"/>
      <c r="BH136" s="51"/>
      <c r="BI136" s="101">
        <v>1</v>
      </c>
      <c r="BJ136" s="101" t="str">
        <f>HYPERLINK("http://www.telegraph.co.uk/news/worldnews/northamerica/usa/10317234/Aaron-Alexis-Washington-Navy-yard-gunman-had-string-of-failed-relationships-with-Asian-women.html","0")</f>
        <v>0</v>
      </c>
      <c r="BK136" s="101" t="str">
        <f>HYPERLINK("https://www.cnn.com/2013/09/16/us/navy-yard-suspects/index.html","1")</f>
        <v>1</v>
      </c>
      <c r="BL136" s="127">
        <v>1</v>
      </c>
      <c r="BM136" s="127">
        <v>2</v>
      </c>
      <c r="BN136" s="110" t="s">
        <v>2973</v>
      </c>
      <c r="BO136" s="111">
        <v>1</v>
      </c>
      <c r="BP136" s="111">
        <v>0</v>
      </c>
      <c r="BQ136" s="111">
        <v>1</v>
      </c>
      <c r="BR136" s="111">
        <v>0</v>
      </c>
      <c r="BS136" s="111">
        <v>0</v>
      </c>
      <c r="BT136" s="111">
        <v>1</v>
      </c>
      <c r="BU136" s="111">
        <v>1</v>
      </c>
      <c r="BV136" s="111">
        <v>1</v>
      </c>
      <c r="BW136" s="111">
        <v>1</v>
      </c>
      <c r="BX136" s="111">
        <v>1</v>
      </c>
      <c r="BY136" s="101" t="str">
        <f>HYPERLINK("https://www.washingtonpost.com/local/crime/fbi-police-detail-shooting-navy-yard-shooting/2013/09/25/ee321abe-2600-11e3-b3e9-d97fb087acd6_story.html?utm_term=.2b1701368105","2")</f>
        <v>2</v>
      </c>
      <c r="BZ136" s="101" t="str">
        <f>HYPERLINK("https://www.washingtonpost.com/politics/2013/09/18/aee01b22-20a6-11e3-b73c-aab60bf735d0_story.html?utm_term=.71f8c5a91469","0")</f>
        <v>0</v>
      </c>
      <c r="CA136" s="101" t="str">
        <f>HYPERLINK("https://www.washingtonpost.com/local/before-navy-yard-shooting-alleged-gunman-heard-voices-and-sought-help/2013/09/17/874970d8-1fd2-11e3-94a2-6c66b668ea55_story.html?utm_term=.ea960a9934f6","1")</f>
        <v>1</v>
      </c>
      <c r="CB136" s="101" t="str">
        <f>HYPERLINK("https://www.washingtonpost.com/local/before-navy-yard-shooting-alleged-gunman-heard-voices-and-sought-help/2013/09/17/874970d8-1fd2-11e3-94a2-6c66b668ea55_story.html","0")</f>
        <v>0</v>
      </c>
      <c r="CC136" s="101" t="str">
        <f t="shared" ref="CC136:CD136" si="338">HYPERLINK("https://www.washingtonpost.com/politics/2013/09/18/aee01b22-20a6-11e3-b73c-aab60bf735d0_story.html","1")</f>
        <v>1</v>
      </c>
      <c r="CD136" s="101" t="str">
        <f t="shared" si="338"/>
        <v>1</v>
      </c>
      <c r="CE136" s="101" t="str">
        <f>HYPERLINK("https://www.nbcnews.com/health/va-aaron-alexis-never-sought-mental-health-treatment-4B11199522","2")</f>
        <v>2</v>
      </c>
      <c r="CF136" s="101" t="str">
        <f>HYPERLINK("https://www.cnn.com/2013/09/17/us/navy-yard-shooting-main/index.html","0")</f>
        <v>0</v>
      </c>
      <c r="CG136" s="51">
        <v>0</v>
      </c>
      <c r="CH136" s="101" t="str">
        <f>HYPERLINK("https://www.theguardian.com/world/2013/sep/20/aaron-alexis-washington-navy-yard-shooter","5")</f>
        <v>5</v>
      </c>
      <c r="CI136" s="101">
        <v>0</v>
      </c>
      <c r="CJ136" s="51" t="s">
        <v>100</v>
      </c>
      <c r="CK136" s="113">
        <v>0</v>
      </c>
      <c r="CL136" s="113"/>
      <c r="CM136" s="113"/>
      <c r="CN136" s="110">
        <v>0</v>
      </c>
      <c r="CO136" s="110">
        <v>0</v>
      </c>
      <c r="CP136" s="110">
        <v>0</v>
      </c>
      <c r="CQ136" s="110">
        <v>0</v>
      </c>
      <c r="CR136" s="110">
        <v>0</v>
      </c>
      <c r="CS136" s="110">
        <v>0</v>
      </c>
      <c r="CT136" s="110">
        <v>0</v>
      </c>
      <c r="CU136" s="110">
        <v>0</v>
      </c>
      <c r="CV136" s="110">
        <v>0</v>
      </c>
      <c r="CW136" s="110">
        <v>0</v>
      </c>
      <c r="CX136" s="109">
        <v>1</v>
      </c>
      <c r="CY136" s="110">
        <v>0</v>
      </c>
      <c r="CZ136" s="108" t="str">
        <f>HYPERLINK("https://www.washingtonpost.com/local/crime/fbi-police-detail-shooting-navy-yard-shooting/2013/09/25/ee321abe-2600-11e3-b3e9-d97fb087acd6_story.html?utm_term=.adef8ff86e0b","0")</f>
        <v>0</v>
      </c>
      <c r="DA136" s="101" t="str">
        <f>HYPERLINK("https://www.washingtonpost.com/local/crime/fbi-police-detail-shooting-navy-yard-shooting/2013/09/25/ee321abe-2600-11e3-b3e9-d97fb087acd6_story.html?utm_term=.2b1701368105","3")</f>
        <v>3</v>
      </c>
      <c r="DB136" s="101" t="str">
        <f>HYPERLINK("https://www.usatoday.com/story/news/nation/2013/09/16/aaron-alexis-navy-yard-shooter/2822731/","1")</f>
        <v>1</v>
      </c>
      <c r="DC136" s="101" t="str">
        <f>HYPERLINK("https://www.cnn.com/2013/09/16/us/navy-yard-suspects/index.html","0")</f>
        <v>0</v>
      </c>
      <c r="DD136" s="51"/>
      <c r="DE136" s="51"/>
      <c r="DF136" s="51"/>
      <c r="DG136" s="51"/>
      <c r="DH136" s="51"/>
      <c r="DI136" s="51"/>
      <c r="DJ136" s="51">
        <v>0</v>
      </c>
      <c r="DK136" s="51">
        <v>0</v>
      </c>
      <c r="DL136" s="48" t="s">
        <v>100</v>
      </c>
      <c r="DM136" s="51">
        <v>0</v>
      </c>
      <c r="DN136" s="51">
        <v>0</v>
      </c>
      <c r="DO136" s="51" t="s">
        <v>100</v>
      </c>
      <c r="DP136" s="51">
        <v>0</v>
      </c>
      <c r="DQ136" s="101" t="str">
        <f>HYPERLINK("https://www.washingtonpost.com/local/crime/fbi-police-detail-shooting-navy-yard-shooting/2013/09/25/ee321abe-2600-11e3-b3e9-d97fb087acd6_story.html?utm_term=.adef8ff86e0b","0")</f>
        <v>0</v>
      </c>
      <c r="DR136" s="105" t="str">
        <f>HYPERLINK("https://www.theguardian.com/world/2013/sep/20/aaron-alexis-washington-navy-yard-shooter","1")</f>
        <v>1</v>
      </c>
      <c r="DS136" s="101" t="str">
        <f>HYPERLINK("https://www.cnn.com/2013/09/16/us/navy-yard-suspects/index.html","3")</f>
        <v>3</v>
      </c>
      <c r="DT136" s="101" t="str">
        <f>HYPERLINK("https://www.washingtonpost.com/local/crime/fbi-police-detail-shooting-navy-yard-shooting/2013/09/25/ee321abe-2600-11e3-b3e9-d97fb087acd6_story.html?utm_term=.6c9a57d3576b","1")</f>
        <v>1</v>
      </c>
      <c r="DU136" s="101" t="str">
        <f>HYPERLINK("https://www.washingtonpost.com/local/crime/fbi-police-detail-shooting-navy-yard-shooting/2013/09/25/ee321abe-2600-11e3-b3e9-d97fb087acd6_story.html?utm_term=.adef8ff86e0b","0")</f>
        <v>0</v>
      </c>
      <c r="DV136" s="48" t="s">
        <v>100</v>
      </c>
      <c r="DW136" s="101">
        <v>1</v>
      </c>
      <c r="DX136" s="101" t="str">
        <f>HYPERLINK("https://www.washingtonpost.com/local/crime/fbi-police-detail-shooting-navy-yard-shooting/2013/09/25/ee321abe-2600-11e3-b3e9-d97fb087acd6_story.html?utm_term=.adef8ff86e0b","0")</f>
        <v>0</v>
      </c>
      <c r="DY136" s="48">
        <v>2</v>
      </c>
      <c r="DZ136" s="48">
        <v>0</v>
      </c>
    </row>
    <row r="137" spans="1:130" ht="50.25" customHeight="1">
      <c r="A137" s="96">
        <v>135</v>
      </c>
      <c r="B137" s="153" t="s">
        <v>615</v>
      </c>
      <c r="C137" s="153" t="s">
        <v>616</v>
      </c>
      <c r="D137" s="98">
        <v>41690</v>
      </c>
      <c r="E137" s="154" t="s">
        <v>178</v>
      </c>
      <c r="F137" s="119">
        <v>20</v>
      </c>
      <c r="G137" s="102" t="str">
        <f>HYPERLINK("https://indiancountrymedianetwork.com/news/native-news/shooting-at-cedarville-rancheria-tribal-office-leaves-4-dead-2-critically-injured/","2")</f>
        <v>2</v>
      </c>
      <c r="H137" s="104" t="str">
        <f>HYPERLINK("https://indiancountrymedianetwork.com/news/native-news/shooting-at-cedarville-rancheria-tribal-office-leaves-4-dead-2-critically-injured/","2014")</f>
        <v>2014</v>
      </c>
      <c r="I137" s="154" t="s">
        <v>617</v>
      </c>
      <c r="J137" s="104" t="str">
        <f>HYPERLINK("https://www.latimes.com/local/la-xpm-2014-feb-21-la-me-tribal-slayings-20140222-story.html","Alturas")</f>
        <v>Alturas</v>
      </c>
      <c r="K137" s="102" t="str">
        <f>HYPERLINK("https://indiancountrymedianetwork.com/news/native-news/shooting-at-cedarville-rancheria-tribal-office-leaves-4-dead-2-critically-injured/","5")</f>
        <v>5</v>
      </c>
      <c r="L137" s="119">
        <v>3</v>
      </c>
      <c r="M137" s="102" t="str">
        <f>HYPERLINK("https://www.latimes.com/local/la-xpm-2014-feb-21-la-me-tribal-slayings-20140222-story.html","2")</f>
        <v>2</v>
      </c>
      <c r="N137" s="102">
        <v>2</v>
      </c>
      <c r="O137" s="102" t="str">
        <f>HYPERLINK("https://www.sacbee.com/news/local/crime/article143794574.html","0")</f>
        <v>0</v>
      </c>
      <c r="P137" s="99" t="s">
        <v>100</v>
      </c>
      <c r="Q137" s="103">
        <v>0</v>
      </c>
      <c r="R137" s="103">
        <v>0</v>
      </c>
      <c r="S137" s="102" t="str">
        <f>HYPERLINK("https://indiancountrymedianetwork.com/news/native-news/shooting-at-cedarville-rancheria-tribal-office-leaves-4-dead-2-critically-injured/","4")</f>
        <v>4</v>
      </c>
      <c r="T137" s="102">
        <v>2</v>
      </c>
      <c r="U137" s="104" t="str">
        <f>HYPERLINK("https://www.latimes.com/local/la-xpm-2014-feb-21-la-me-tribal-slayings-20140222-story.html","0")</f>
        <v>0</v>
      </c>
      <c r="V137" s="101" t="str">
        <f>HYPERLINK("https://indiancountrymedianetwork.com/news/native-news/shooting-at-cedarville-rancheria-tribal-office-leaves-4-dead-2-critically-injured/","44")</f>
        <v>44</v>
      </c>
      <c r="W137" s="104" t="str">
        <f>HYPERLINK("https://indiancountrymedianetwork.com/news/native-news/shooting-at-cedarville-rancheria-tribal-office-leaves-4-dead-2-critically-injured/","1")</f>
        <v>1</v>
      </c>
      <c r="X137" s="104" t="str">
        <f>HYPERLINK("https://www.cbsnews.com/news/cherie-lash-rhoades-woman-arrested-for-tribal-shooting-known-as-bully/","5")</f>
        <v>5</v>
      </c>
      <c r="Y137" s="105" t="str">
        <f>HYPERLINK("https://www.cbsnews.com/news/cherie-lash-rhoades-woman-arrested-for-tribal-shooting-known-as-bully/","0")</f>
        <v>0</v>
      </c>
      <c r="Z137" s="106">
        <v>0</v>
      </c>
      <c r="AA137" s="106"/>
      <c r="AB137" s="106"/>
      <c r="AC137" s="51"/>
      <c r="AD137" s="51"/>
      <c r="AE137" s="106"/>
      <c r="AF137" s="166" t="s">
        <v>807</v>
      </c>
      <c r="AG137" s="106"/>
      <c r="AH137" s="106"/>
      <c r="AI137" s="104" t="str">
        <f>HYPERLINK("https://www.cbsnews.com/news/cherie-lash-rhoades-woman-arrested-for-tribal-shooting-known-as-bully/","0")</f>
        <v>0</v>
      </c>
      <c r="AJ137" s="104" t="str">
        <f t="shared" ref="AJ137:AK137" si="339">HYPERLINK("https://www.cbsnews.com/news/cherie-lash-rhoades-woman-arrested-for-tribal-shooting-known-as-bully/","1")</f>
        <v>1</v>
      </c>
      <c r="AK137" s="104" t="str">
        <f t="shared" si="339"/>
        <v>1</v>
      </c>
      <c r="AL137" s="101" t="str">
        <f>HYPERLINK("https://www.cbsnews.com/news/cherie-lash-rhoades-woman-arrested-for-tribal-shooting-known-as-bully/","0")</f>
        <v>0</v>
      </c>
      <c r="AM137" s="106" t="s">
        <v>809</v>
      </c>
      <c r="AN137" s="48" t="s">
        <v>100</v>
      </c>
      <c r="AO137" s="101" t="str">
        <f>HYPERLINK("https://www.latimes.com/local/lanow/la-me-ln-tribal-leader-death-sentence-20170410-story.html","2")</f>
        <v>2</v>
      </c>
      <c r="AP137" s="101" t="str">
        <f>HYPERLINK("https://www.latimes.com/local/lanow/la-me-ln-tribal-leader-death-sentence-20170410-story.html","tribal chairwoman")</f>
        <v>tribal chairwoman</v>
      </c>
      <c r="AQ137" s="104" t="str">
        <f>HYPERLINK("https://www.latimes.com/local/la-xpm-2014-feb-21-la-me-tribal-slayings-20140222-story.html","1")</f>
        <v>1</v>
      </c>
      <c r="AR137" s="106" t="s">
        <v>809</v>
      </c>
      <c r="AS137" s="106" t="s">
        <v>809</v>
      </c>
      <c r="AT137" s="48">
        <v>0</v>
      </c>
      <c r="AU137" s="48" t="s">
        <v>100</v>
      </c>
      <c r="AV137" s="48" t="s">
        <v>100</v>
      </c>
      <c r="AW137" s="48" t="s">
        <v>100</v>
      </c>
      <c r="AX137" s="48">
        <v>0</v>
      </c>
      <c r="AY137" s="106" t="s">
        <v>809</v>
      </c>
      <c r="AZ137" s="106" t="s">
        <v>809</v>
      </c>
      <c r="BA137" s="106" t="s">
        <v>809</v>
      </c>
      <c r="BB137" s="107">
        <v>0</v>
      </c>
      <c r="BC137" s="104" t="str">
        <f>HYPERLINK("https://www.cbsnews.com/news/cherie-lash-rhoades-woman-arrested-for-tribal-shooting-known-as-bully/","1")</f>
        <v>1</v>
      </c>
      <c r="BD137" s="106" t="s">
        <v>809</v>
      </c>
      <c r="BE137" s="101" t="str">
        <f>HYPERLINK("https://www.cbsnews.com/news/cherie-lash-rhoades-woman-arrested-for-tribal-shooting-known-as-bully/","0")</f>
        <v>0</v>
      </c>
      <c r="BF137" s="106" t="s">
        <v>809</v>
      </c>
      <c r="BG137" s="106"/>
      <c r="BH137" s="106" t="s">
        <v>809</v>
      </c>
      <c r="BI137" s="51">
        <v>0</v>
      </c>
      <c r="BJ137" s="106" t="s">
        <v>809</v>
      </c>
      <c r="BK137" s="104" t="s">
        <v>806</v>
      </c>
      <c r="BL137" s="138" t="str">
        <f>HYPERLINK("https://www.cbsnews.com/news/cherie-lash-rhoades-woman-arrested-for-tribal-shooting-known-as-bully/","1")</f>
        <v>1</v>
      </c>
      <c r="BM137" s="137" t="s">
        <v>807</v>
      </c>
      <c r="BN137" s="115" t="s">
        <v>3090</v>
      </c>
      <c r="BO137" s="156" t="s">
        <v>806</v>
      </c>
      <c r="BP137" s="155" t="s">
        <v>809</v>
      </c>
      <c r="BQ137" s="155" t="s">
        <v>809</v>
      </c>
      <c r="BR137" s="155" t="s">
        <v>809</v>
      </c>
      <c r="BS137" s="155" t="s">
        <v>809</v>
      </c>
      <c r="BT137" s="155" t="s">
        <v>806</v>
      </c>
      <c r="BU137" s="155" t="s">
        <v>809</v>
      </c>
      <c r="BV137" s="155" t="s">
        <v>806</v>
      </c>
      <c r="BW137" s="155" t="s">
        <v>809</v>
      </c>
      <c r="BX137" s="155" t="s">
        <v>809</v>
      </c>
      <c r="BY137" s="106" t="s">
        <v>809</v>
      </c>
      <c r="BZ137" s="106" t="s">
        <v>809</v>
      </c>
      <c r="CA137" s="106" t="s">
        <v>809</v>
      </c>
      <c r="CB137" s="106" t="s">
        <v>100</v>
      </c>
      <c r="CC137" s="106" t="s">
        <v>809</v>
      </c>
      <c r="CD137" s="106" t="s">
        <v>100</v>
      </c>
      <c r="CE137" s="106" t="s">
        <v>809</v>
      </c>
      <c r="CF137" s="106" t="s">
        <v>809</v>
      </c>
      <c r="CG137" s="106" t="s">
        <v>809</v>
      </c>
      <c r="CH137" s="106" t="s">
        <v>809</v>
      </c>
      <c r="CI137" s="106" t="s">
        <v>809</v>
      </c>
      <c r="CJ137" s="51" t="s">
        <v>100</v>
      </c>
      <c r="CK137" s="158" t="s">
        <v>809</v>
      </c>
      <c r="CL137" s="158"/>
      <c r="CM137" s="158"/>
      <c r="CN137" s="121" t="s">
        <v>809</v>
      </c>
      <c r="CO137" s="121" t="s">
        <v>809</v>
      </c>
      <c r="CP137" s="121" t="s">
        <v>809</v>
      </c>
      <c r="CQ137" s="121" t="s">
        <v>809</v>
      </c>
      <c r="CR137" s="121" t="s">
        <v>809</v>
      </c>
      <c r="CS137" s="137" t="s">
        <v>806</v>
      </c>
      <c r="CT137" s="137" t="s">
        <v>806</v>
      </c>
      <c r="CU137" s="121" t="s">
        <v>809</v>
      </c>
      <c r="CV137" s="138" t="s">
        <v>809</v>
      </c>
      <c r="CW137" s="110">
        <v>0</v>
      </c>
      <c r="CX137" s="110">
        <v>0</v>
      </c>
      <c r="CY137" s="110">
        <v>0</v>
      </c>
      <c r="CZ137" s="138" t="s">
        <v>809</v>
      </c>
      <c r="DA137" s="51">
        <v>0</v>
      </c>
      <c r="DB137" s="51">
        <v>0</v>
      </c>
      <c r="DC137" s="104" t="str">
        <f>HYPERLINK("https://www.latimes.com/local/la-xpm-2014-feb-21-la-me-tribal-slayings-20140222-story.html","0")</f>
        <v>0</v>
      </c>
      <c r="DD137" s="106"/>
      <c r="DE137" s="106"/>
      <c r="DF137" s="106"/>
      <c r="DG137" s="106"/>
      <c r="DH137" s="106"/>
      <c r="DI137" s="106"/>
      <c r="DJ137" s="106" t="s">
        <v>809</v>
      </c>
      <c r="DK137" s="106" t="s">
        <v>809</v>
      </c>
      <c r="DL137" s="48" t="s">
        <v>100</v>
      </c>
      <c r="DM137" s="104" t="str">
        <f>HYPERLINK("https://www.latimes.com/local/la-xpm-2014-feb-21-la-me-tribal-slayings-20140222-story.html","0")</f>
        <v>0</v>
      </c>
      <c r="DN137" s="106" t="s">
        <v>809</v>
      </c>
      <c r="DO137" s="106" t="s">
        <v>100</v>
      </c>
      <c r="DP137" s="104" t="s">
        <v>809</v>
      </c>
      <c r="DQ137" s="104" t="str">
        <f>HYPERLINK("https://www.sacbee.com/news/local/crime/article143794574.html","0")</f>
        <v>0</v>
      </c>
      <c r="DR137" s="48">
        <v>0</v>
      </c>
      <c r="DS137" s="51"/>
      <c r="DT137" s="101" t="str">
        <f t="shared" ref="DT137" si="340">HYPERLINK("https://www.latimes.com/local/la-xpm-2014-feb-21-la-me-tribal-slayings-20140222-story.html","2")</f>
        <v>2</v>
      </c>
      <c r="DU137" s="104" t="str">
        <f>HYPERLINK("https://www.latimes.com/local/la-xpm-2014-feb-21-la-me-tribal-slayings-20140222-story.html","0")</f>
        <v>0</v>
      </c>
      <c r="DV137" s="48" t="s">
        <v>100</v>
      </c>
      <c r="DW137" s="104" t="s">
        <v>807</v>
      </c>
      <c r="DX137" s="104" t="str">
        <f>HYPERLINK("https://www.latimes.com/local/la-xpm-2014-feb-21-la-me-tribal-slayings-20140222-story.html","0")</f>
        <v>0</v>
      </c>
      <c r="DY137" s="105" t="str">
        <f>HYPERLINK("https://www.usatoday.com/story/news/nation/2014/03/03/tribal-leader-california-not-guilty/5992261/","0")</f>
        <v>0</v>
      </c>
      <c r="DZ137" s="133" t="str">
        <f>HYPERLINK("https://www.indianz.com/News/2017/01/11/exleader-of-cedarville-rancheria-sentenc.asp","1")</f>
        <v>1</v>
      </c>
    </row>
    <row r="138" spans="1:130" ht="50.25" customHeight="1">
      <c r="A138" s="96">
        <v>136</v>
      </c>
      <c r="B138" s="97" t="s">
        <v>619</v>
      </c>
      <c r="C138" s="97" t="s">
        <v>620</v>
      </c>
      <c r="D138" s="98">
        <v>41782</v>
      </c>
      <c r="E138" s="48" t="s">
        <v>157</v>
      </c>
      <c r="F138" s="119">
        <v>23</v>
      </c>
      <c r="G138" s="102" t="str">
        <f>HYPERLINK("https://www.theguardian.com/us-news/2015/feb/20/mass-shooter-elliot-rodger-isla-vista-killings-report","5")</f>
        <v>5</v>
      </c>
      <c r="H138" s="101" t="str">
        <f>HYPERLINK("https://www.theguardian.com/us-news/2015/feb/20/mass-shooter-elliot-rodger-isla-vista-killings-report","2014")</f>
        <v>2014</v>
      </c>
      <c r="I138" s="48" t="s">
        <v>621</v>
      </c>
      <c r="J138" s="101" t="str">
        <f>HYPERLINK("https://www.nytimes.com/2014/06/02/us/elliot-rodger-killings-in-california-followed-years-of-withdrawal.html","Isla Vista ")</f>
        <v xml:space="preserve">Isla Vista </v>
      </c>
      <c r="K138" s="102" t="str">
        <f>HYPERLINK("https://www.nytimes.com/2014/06/02/us/elliot-rodger-killings-in-california-followed-years-of-withdrawal.html","5")</f>
        <v>5</v>
      </c>
      <c r="L138" s="119">
        <v>3</v>
      </c>
      <c r="M138" s="102" t="str">
        <f>HYPERLINK("https://www.chicagotribune.com/la-isla-vista-shooting-near-ucsb-stories-storygallery.html?page=3","1")</f>
        <v>1</v>
      </c>
      <c r="N138" s="102" t="str">
        <f>HYPERLINK("https://www.theguardian.com/world/2014/may/25/elliot-rodger-suspect-california-mass-murder-shooting-stabbing","1")</f>
        <v>1</v>
      </c>
      <c r="O138" s="102" t="str">
        <f>HYPERLINK("https://www.theguardian.com/us-news/2015/feb/20/mass-shooter-elliot-rodger-isla-vista-killings-report","1")</f>
        <v>1</v>
      </c>
      <c r="P138" s="102" t="str">
        <f>HYPERLINK("https://www.theguardian.com/world/2014/may/25/elliot-rodger-suspect-california-mass-murder-shooting-stabbing","7")</f>
        <v>7</v>
      </c>
      <c r="Q138" s="103">
        <v>0</v>
      </c>
      <c r="R138" s="103">
        <v>0</v>
      </c>
      <c r="S138" s="102" t="str">
        <f>HYPERLINK("https://www.theguardian.com/world/2014/may/25/elliot-rodger-suspect-california-mass-murder-shooting-stabbing","6")</f>
        <v>6</v>
      </c>
      <c r="T138" s="102" t="str">
        <f>HYPERLINK("https://www.theguardian.com/us-news/2015/feb/20/mass-shooter-elliot-rodger-isla-vista-killings-report","14")</f>
        <v>14</v>
      </c>
      <c r="U138" s="101" t="str">
        <f>HYPERLINK("https://www.theguardian.com/us-news/2015/feb/20/mass-shooter-elliot-rodger-isla-vista-killings-report","0")</f>
        <v>0</v>
      </c>
      <c r="V138" s="101" t="str">
        <f>HYPERLINK("https://www.nytimes.com/2014/06/02/us/elliot-rodger-killings-in-california-followed-years-of-withdrawal.html","22")</f>
        <v>22</v>
      </c>
      <c r="W138" s="101" t="str">
        <f>HYPERLINK("https://www.theguardian.com/us-news/2015/feb/20/mass-shooter-elliot-rodger-isla-vista-killings-report","0")</f>
        <v>0</v>
      </c>
      <c r="X138" s="101" t="str">
        <f>HYPERLINK("https://www.psychologytoday.com/us/blog/minority-report/201406/elliot-rodgers-asian-self-hatred","3")</f>
        <v>3</v>
      </c>
      <c r="Y138" s="101" t="str">
        <f>HYPERLINK("https://www.independent.co.uk/news/world/americas/california-killings-elliot-rodgers-parents-heard-about-massacre-on-radio-as-they-raced-to-stop-their-9435197.html","1")</f>
        <v>1</v>
      </c>
      <c r="Z138" s="101" t="str">
        <f>HYPERLINK("https://www.latimes.com/local/lanow/la-me-ln-santa-barbara-isla-vista-rampage-investigation-20150219-story.html","0")</f>
        <v>0</v>
      </c>
      <c r="AA138" s="101">
        <v>0</v>
      </c>
      <c r="AB138" s="101" t="str">
        <f>HYPERLINK("https://www.nytimes.com/2014/06/02/us/elliot-rodger-killings-in-california-followed-years-of-withdrawal.html","2")</f>
        <v>2</v>
      </c>
      <c r="AC138" s="101" t="str">
        <f>HYPERLINK("https://www.wtsglobal.com/public_html/wp-content/uploads/2018/04/Isla-Vista-JTAM-SGWhite-2017.pdf","2")</f>
        <v>2</v>
      </c>
      <c r="AD138" s="101" t="str">
        <f>HYPERLINK("https://www.wtsglobal.com/public_html/wp-content/uploads/2018/04/Isla-Vista-JTAM-SGWhite-2017.pdf","good grades in high school")</f>
        <v>good grades in high school</v>
      </c>
      <c r="AE138" s="101" t="str">
        <f>HYPERLINK("https://abcnews.go.com/US/agony-peter-rodger-dad-son-mass-killer/story?id=24317702","1")</f>
        <v>1</v>
      </c>
      <c r="AF138" s="101" t="str">
        <f>HYPERLINK("https://nypost.com/2014/05/25/virgin-gunman-vowed-sorority-sluts-must-die-before-rampage/","2")</f>
        <v>2</v>
      </c>
      <c r="AG138" s="101" t="str">
        <f>HYPERLINK("https://abcnews.go.com/US/agony-peter-rodger-dad-son-mass-killer/story?id=24317702","0")</f>
        <v>0</v>
      </c>
      <c r="AH138" s="101" t="str">
        <f>HYPERLINK("https://nypost.com/2014/05/25/virgin-gunman-vowed-sorority-sluts-must-die-before-rampage/","2")</f>
        <v>2</v>
      </c>
      <c r="AI138" s="101" t="str">
        <f t="shared" ref="AI138:AJ138" si="341">HYPERLINK("https://us.cnn.com/2014/05/25/justice/california-shooting-revelations/index.html","0")</f>
        <v>0</v>
      </c>
      <c r="AJ138" s="101" t="str">
        <f t="shared" si="341"/>
        <v>0</v>
      </c>
      <c r="AK138" s="51">
        <v>0</v>
      </c>
      <c r="AL138" s="51"/>
      <c r="AM138" s="51">
        <v>0</v>
      </c>
      <c r="AN138" s="48" t="s">
        <v>100</v>
      </c>
      <c r="AO138" s="101" t="str">
        <f>HYPERLINK("https://www.nytimes.com/2014/06/02/us/elliot-rodger-killings-in-california-followed-years-of-withdrawal.html","0")</f>
        <v>0</v>
      </c>
      <c r="AP138" s="54"/>
      <c r="AQ138" s="101" t="str">
        <f>HYPERLINK("https://www.washingtonpost.com/national/sheriff-calif-shooter-rodger-flew-under-the-radar-when-deputies-visited-him-in-april/2014/05/25/88123026-e3b4-11e3-8dcc-d6b7fede081a_story.html?utm_term=.946adadc49b7","1")</f>
        <v>1</v>
      </c>
      <c r="AR138" s="51">
        <v>0</v>
      </c>
      <c r="AS138" s="101">
        <v>1</v>
      </c>
      <c r="AT138" s="51">
        <v>0</v>
      </c>
      <c r="AU138" s="51" t="s">
        <v>100</v>
      </c>
      <c r="AV138" s="51" t="s">
        <v>100</v>
      </c>
      <c r="AW138" s="51" t="s">
        <v>100</v>
      </c>
      <c r="AX138" s="51">
        <v>0</v>
      </c>
      <c r="AY138" s="51">
        <v>0</v>
      </c>
      <c r="AZ138" s="51">
        <v>0</v>
      </c>
      <c r="BA138" s="101" t="str">
        <f>HYPERLINK("https://www.theguardian.com/world/2014/may/30/elliot-rodger-puahate-forever-alone-reddit-forums","4")</f>
        <v>4</v>
      </c>
      <c r="BB138" s="141" t="str">
        <f>HYPERLINK("https://documents.latimes.com/isla-vista-investigative-summary/","1")</f>
        <v>1</v>
      </c>
      <c r="BC138" s="51">
        <v>0</v>
      </c>
      <c r="BD138" s="101" t="str">
        <f>HYPERLINK("https://www.cnn.com/2014/05/24/us/california-shooting-suspect/index.html","1")</f>
        <v>1</v>
      </c>
      <c r="BE138" s="101" t="str">
        <f t="shared" ref="BE138:BF138" si="342">HYPERLINK("https://www.nytimes.com/2014/06/02/us/elliot-rodger-killings-in-california-followed-years-of-withdrawal.html?login=email&amp;auth=login-email","0")</f>
        <v>0</v>
      </c>
      <c r="BF138" s="101" t="str">
        <f t="shared" si="342"/>
        <v>0</v>
      </c>
      <c r="BG138" s="101" t="str">
        <f>HYPERLINK("https://www.cnn.com/2014/05/24/us/california-shooting-suspect/index.html","3")</f>
        <v>3</v>
      </c>
      <c r="BH138" s="51">
        <v>2</v>
      </c>
      <c r="BI138" s="51">
        <v>0</v>
      </c>
      <c r="BJ138" s="101" t="str">
        <f>HYPERLINK("https://us.cnn.com/2014/05/25/justice/california-shooting-revelations/index.html","0")</f>
        <v>0</v>
      </c>
      <c r="BK138" s="51">
        <v>0</v>
      </c>
      <c r="BL138" s="109" t="str">
        <f>HYPERLINK("https://www.washingtonpost.com/national/sheriff-calif-shooter-rodger-flew-under-the-radar-when-deputies-visited-him-in-april/2014/05/25/88123026-e3b4-11e3-8dcc-d6b7fede081a_story.html?noredirect=on&amp;utm_term=.91ecbf6a9a20","1")</f>
        <v>1</v>
      </c>
      <c r="BM138" s="109">
        <v>3</v>
      </c>
      <c r="BN138" s="110" t="s">
        <v>2972</v>
      </c>
      <c r="BO138" s="111">
        <v>1</v>
      </c>
      <c r="BP138" s="111">
        <v>0</v>
      </c>
      <c r="BQ138" s="111">
        <v>1</v>
      </c>
      <c r="BR138" s="111">
        <v>0</v>
      </c>
      <c r="BS138" s="115">
        <v>1</v>
      </c>
      <c r="BT138" s="111">
        <v>1</v>
      </c>
      <c r="BU138" s="111">
        <v>1</v>
      </c>
      <c r="BV138" s="111">
        <v>1</v>
      </c>
      <c r="BW138" s="167" t="str">
        <f>HYPERLINK("https://www.psychologytoday.com/us/blog/keeping-kids-safe/201405/elliot-rodger-psychotic-psychopath","1")</f>
        <v>1</v>
      </c>
      <c r="BX138" s="111">
        <v>1</v>
      </c>
      <c r="BY138" s="101" t="str">
        <f>HYPERLINK("https://www.nytimes.com/2014/06/02/us/elliot-rodger-killings-in-california-followed-years-of-withdrawal.html","1")</f>
        <v>1</v>
      </c>
      <c r="BZ138" s="101" t="str">
        <f>HYPERLINK("https://www.independent.com/news/2015/feb/20/elliot-rodger-report-details-long-struggle-mental-/","0")</f>
        <v>0</v>
      </c>
      <c r="CA138" s="101" t="str">
        <f>HYPERLINK("https://www.latimes.com/local/lanow/la-me-ln-frantic-parents-isla-vista-shootings-20140525-story.html","1")</f>
        <v>1</v>
      </c>
      <c r="CB138" s="101" t="str">
        <f>HYPERLINK("https://www.latimes.com/local/lanow/la-me-ln-frantic-parents-isla-vista-shootings-20140525-story.html","0")</f>
        <v>0</v>
      </c>
      <c r="CC138" s="101" t="str">
        <f>HYPERLINK("https://www.independent.com/news/2015/feb/20/elliot-rodger-report-details-long-struggle-mental-/","1")</f>
        <v>1</v>
      </c>
      <c r="CD138" s="101" t="str">
        <f t="shared" ref="CD138:CE138" si="343">HYPERLINK("https://www.independent.com/2015/02/20/elliot-rodger-report-details-long-struggle-mental-illness/","1")</f>
        <v>1</v>
      </c>
      <c r="CE138" s="101" t="str">
        <f t="shared" si="343"/>
        <v>1</v>
      </c>
      <c r="CF138" s="101" t="str">
        <f>HYPERLINK("https://mashable.com/2015/02/20/isla-vista-sheriffs-report/","0")</f>
        <v>0</v>
      </c>
      <c r="CG138" s="101" t="str">
        <f>HYPERLINK("https://www.latimes.com/local/lanow/la-me-ln-isla-vista-suspect-bought-guns-despite-mental-health-problems-20140526-story.html","1")</f>
        <v>1</v>
      </c>
      <c r="CH138" s="101" t="str">
        <f>HYPERLINK("http://www.latimes.com/local/lanow/la-me-ln-isla-vista-signs-hindsight-20140530-story.html","5
")</f>
        <v xml:space="preserve">5
</v>
      </c>
      <c r="CI138" s="51">
        <v>0</v>
      </c>
      <c r="CJ138" s="51" t="s">
        <v>100</v>
      </c>
      <c r="CK138" s="117">
        <v>1</v>
      </c>
      <c r="CL138" s="117">
        <v>2</v>
      </c>
      <c r="CM138" s="113"/>
      <c r="CN138" s="108">
        <v>0</v>
      </c>
      <c r="CO138" s="110">
        <v>0</v>
      </c>
      <c r="CP138" s="109" t="str">
        <f>HYPERLINK("https://www.latimes.com/local/lanow/la-me-ln-santa-barbara-isla-vista-rampage-investigation-20150219-story.html","1")</f>
        <v>1</v>
      </c>
      <c r="CQ138" s="110">
        <v>0</v>
      </c>
      <c r="CR138" s="110">
        <v>0</v>
      </c>
      <c r="CS138" s="110">
        <v>0</v>
      </c>
      <c r="CT138" s="110">
        <v>0</v>
      </c>
      <c r="CU138" s="108">
        <v>0</v>
      </c>
      <c r="CV138" s="110">
        <v>0</v>
      </c>
      <c r="CW138" s="108" t="str">
        <f>HYPERLINK("https://www.documentcloud.org/documents/1173808-elliot-rodger-manifesto.html","1")</f>
        <v>1</v>
      </c>
      <c r="CX138" s="108" t="str">
        <f>HYPERLINK("https://www.documentcloud.org/documents/1173808-elliot-rodger-manifesto.html","2")</f>
        <v>2</v>
      </c>
      <c r="CY138" s="110">
        <v>0</v>
      </c>
      <c r="CZ138" s="108" t="str">
        <f>HYPERLINK("https://www.chicagotribune.com/la-me-ln-isla-vista-shooting-suspect-felt-alienated-called-himself-magnificent-20140524-story.html","0")</f>
        <v>0</v>
      </c>
      <c r="DA138" s="51">
        <v>0</v>
      </c>
      <c r="DB138" s="101" t="str">
        <f>HYPERLINK("https://www.nytimes.com/2014/06/02/us/elliot-rodger-killings-in-california-followed-years-of-withdrawal.html","1")</f>
        <v>1</v>
      </c>
      <c r="DC138" s="101" t="str">
        <f>HYPERLINK("https://www.latimes.com/local/lanow/la-me-ln-frantic-parents-isla-vista-shootings-20140525-story.html","1")</f>
        <v>1</v>
      </c>
      <c r="DD138" s="107">
        <v>2</v>
      </c>
      <c r="DE138" s="107">
        <v>0</v>
      </c>
      <c r="DF138" s="107">
        <v>1</v>
      </c>
      <c r="DG138" s="107">
        <v>2</v>
      </c>
      <c r="DH138" s="107">
        <v>1</v>
      </c>
      <c r="DI138" s="107">
        <v>1</v>
      </c>
      <c r="DJ138" s="101" t="str">
        <f>HYPERLINK("https://www.latimes.com/local/lanow/la-me-ln-santa-barbara-isla-vista-rampage-investigation-20150219-story.html","1")</f>
        <v>1</v>
      </c>
      <c r="DK138" s="51">
        <v>0</v>
      </c>
      <c r="DL138" s="48" t="s">
        <v>100</v>
      </c>
      <c r="DM138" s="101" t="str">
        <f>HYPERLINK("https://www.latimes.com/local/lanow/la-me-ln-santa-barbara-isla-vista-rampage-investigation-20150219-story.html","1")</f>
        <v>1</v>
      </c>
      <c r="DN138" s="51">
        <v>0</v>
      </c>
      <c r="DO138" s="51" t="s">
        <v>100</v>
      </c>
      <c r="DP138" s="101" t="str">
        <f>HYPERLINK("https://www.independent.com/2015/02/20/elliot-rodger-report-details-long-struggle-mental-illness/","1")</f>
        <v>1</v>
      </c>
      <c r="DQ138" s="101" t="str">
        <f>HYPERLINK("https://www.chicagotribune.com/la-me-ln-isla-vista-shooting-suspect-felt-alienated-called-himself-magnificent-20140524-story.html","1")</f>
        <v>1</v>
      </c>
      <c r="DR138" s="101" t="str">
        <f>HYPERLINK("https://www.independent.co.uk/news/world/americas/california-killings-elliot-rodgers-parents-heard-about-massacre-on-radio-as-they-raced-to-stop-their-9435197.html","0")</f>
        <v>0</v>
      </c>
      <c r="DS138" s="101" t="str">
        <f>HYPERLINK("https://www.latimes.com/local/lanow/la-me-ln-santa-barbara-isla-vista-rampage-investigation-20150219-story.html","1")</f>
        <v>1</v>
      </c>
      <c r="DT138" s="101" t="str">
        <f t="shared" ref="DT138" si="344">HYPERLINK("https://www.theguardian.com/world/2014/may/25/elliot-rodger-suspect-california-mass-murder-shooting-stabbing","3")</f>
        <v>3</v>
      </c>
      <c r="DU138" s="101" t="str">
        <f>HYPERLINK("https://www.theguardian.com/us-news/2015/feb/20/mass-shooter-elliot-rodger-isla-vista-killings-report","1")</f>
        <v>1</v>
      </c>
      <c r="DV138" s="101" t="str">
        <f>HYPERLINK("https://www.theguardian.com/us-news/2015/feb/20/mass-shooter-elliot-rodger-isla-vista-killings-report","knives")</f>
        <v>knives</v>
      </c>
      <c r="DW138" s="101" t="str">
        <f t="shared" ref="DW138:DX138" si="345">HYPERLINK("https://www.theguardian.com/us-news/2015/feb/20/mass-shooter-elliot-rodger-isla-vista-killings-report","0")</f>
        <v>0</v>
      </c>
      <c r="DX138" s="101" t="str">
        <f t="shared" si="345"/>
        <v>0</v>
      </c>
      <c r="DY138" s="51">
        <v>2</v>
      </c>
      <c r="DZ138" s="48">
        <v>0</v>
      </c>
    </row>
    <row r="139" spans="1:130" ht="50.25" customHeight="1">
      <c r="A139" s="96">
        <v>137</v>
      </c>
      <c r="B139" s="97" t="s">
        <v>623</v>
      </c>
      <c r="C139" s="97" t="s">
        <v>624</v>
      </c>
      <c r="D139" s="98">
        <v>41936</v>
      </c>
      <c r="E139" s="48" t="s">
        <v>157</v>
      </c>
      <c r="F139" s="119">
        <v>24</v>
      </c>
      <c r="G139" s="102">
        <v>10</v>
      </c>
      <c r="H139" s="101">
        <v>2014</v>
      </c>
      <c r="I139" s="48" t="s">
        <v>625</v>
      </c>
      <c r="J139" s="101" t="s">
        <v>880</v>
      </c>
      <c r="K139" s="102">
        <v>47</v>
      </c>
      <c r="L139" s="119">
        <v>3</v>
      </c>
      <c r="M139" s="102">
        <v>0</v>
      </c>
      <c r="N139" s="102">
        <v>0</v>
      </c>
      <c r="O139" s="102" t="str">
        <f>HYPERLINK("https://www.nbcnews.com/storyline/marysville-school-shooting/two=dead-including-gunman-school-schooting-near-seattle-n233371","0")</f>
        <v>0</v>
      </c>
      <c r="P139" s="99" t="s">
        <v>100</v>
      </c>
      <c r="Q139" s="103">
        <v>0</v>
      </c>
      <c r="R139" s="103">
        <v>0</v>
      </c>
      <c r="S139" s="102" t="str">
        <f>HYPERLINK("https://www.kiro7.com/news/survivor-marysville-school-shooting-told-police-gi/27079664","4")</f>
        <v>4</v>
      </c>
      <c r="T139" s="102" t="str">
        <f>HYPERLINK("https://www.kiro7.com/news/survivor-marysville-school-shooting-told-police-gi/27079664","1")</f>
        <v>1</v>
      </c>
      <c r="U139" s="101" t="str">
        <f>HYPERLINK("https://www.nbcnews.com/storyline/marysville-school-shooting/two=dead-including-gunman-school-schooting-near-seattle-n233371","0")</f>
        <v>0</v>
      </c>
      <c r="V139" s="101" t="str">
        <f>HYPERLINK("https://www.kiro7.com/news/survivor-marysville-school-shooting-told-police-gi/27079664","15")</f>
        <v>15</v>
      </c>
      <c r="W139" s="101">
        <v>0</v>
      </c>
      <c r="X139" s="101" t="str">
        <f>HYPERLINK("https://www.cnn.com/2014/10/24/us/washington-school-shooter/index.html","5")</f>
        <v>5</v>
      </c>
      <c r="Y139" s="101" t="str">
        <f>HYPERLINK("https://www.newsweek.com/2015/09/25/jaylen-ray-fryberg-marysville-pilchuck-high-school-shooting-372669.html","0")</f>
        <v>0</v>
      </c>
      <c r="Z139" s="101" t="str">
        <f>HYPERLINK("https://www.kiro7.com/news/survivor-marysville-school-shooting-told-police-gi/27079664","0")</f>
        <v>0</v>
      </c>
      <c r="AA139" s="101">
        <v>5</v>
      </c>
      <c r="AB139" s="101">
        <v>0</v>
      </c>
      <c r="AC139" s="101" t="str">
        <f>HYPERLINK("https://news.yahoo.com/father-most-wanted-aftermath-sons-111111941.html","2")</f>
        <v>2</v>
      </c>
      <c r="AD139" s="101" t="str">
        <f>HYPERLINK("https://news.yahoo.com/father-most-wanted-aftermath-sons-111111941.html","good grades, though slipping")</f>
        <v>good grades, though slipping</v>
      </c>
      <c r="AE139" s="51"/>
      <c r="AF139" s="101" t="str">
        <f>HYPERLINK("https://www.heraldnet.com/news/school-shooter-raised-in-tulalip-traditions-his-actions-defy-explanation/","4")</f>
        <v>4</v>
      </c>
      <c r="AG139" s="51"/>
      <c r="AH139" s="51"/>
      <c r="AI139" s="101">
        <v>1</v>
      </c>
      <c r="AJ139" s="51">
        <v>0</v>
      </c>
      <c r="AK139" s="51">
        <v>0</v>
      </c>
      <c r="AL139" s="51"/>
      <c r="AM139" s="51">
        <v>0</v>
      </c>
      <c r="AN139" s="48" t="s">
        <v>100</v>
      </c>
      <c r="AO139" s="101" t="str">
        <f>HYPERLINK("https://www.newsweek.com/2015/09/25/jaylen-ray-fryberg-marysville-pilchuck-high-school-shooting-372669.html","2")</f>
        <v>2</v>
      </c>
      <c r="AP139" s="101" t="str">
        <f>HYPERLINK("https://www.newsweek.com/2015/09/25/jaylen-ray-fryberg-marysville-pilchuck-high-school-shooting-372669.html","cultural involvement, football team, wrestling, homecoming prince")</f>
        <v>cultural involvement, football team, wrestling, homecoming prince</v>
      </c>
      <c r="AQ139" s="101" t="str">
        <f>HYPERLINK("https://www.kiro7.com/amp/news/parents-marysville-pilchuck-victims-say-district-d/27124340","1")</f>
        <v>1</v>
      </c>
      <c r="AR139" s="51">
        <v>0</v>
      </c>
      <c r="AS139" s="101" t="str">
        <f t="shared" ref="AS139:AT139" si="346">HYPERLINK("https://www.newsweek.com/2015/09/25/jaylen-ray-fryberg-marysville-pilchuck-high-school-shooting-372669.html","1")</f>
        <v>1</v>
      </c>
      <c r="AT139" s="101" t="str">
        <f t="shared" si="346"/>
        <v>1</v>
      </c>
      <c r="AU139" s="101">
        <v>1</v>
      </c>
      <c r="AV139" s="51"/>
      <c r="AW139" s="51"/>
      <c r="AX139" s="51">
        <v>0</v>
      </c>
      <c r="AY139" s="51">
        <v>0</v>
      </c>
      <c r="AZ139" s="51">
        <v>0</v>
      </c>
      <c r="BA139" s="51">
        <v>0</v>
      </c>
      <c r="BB139" s="141" t="str">
        <f>HYPERLINK("https://abcnews.go.com/US/washington-state-high-school-shooting-suspect-identified/story?id=26435141","2")</f>
        <v>2</v>
      </c>
      <c r="BC139" s="101">
        <v>0</v>
      </c>
      <c r="BD139" s="101">
        <v>0</v>
      </c>
      <c r="BE139" s="101" t="str">
        <f t="shared" ref="BE139:BF139" si="347">HYPERLINK("https://www.heraldnet.com/news/report-on-marysville-shootings-i-needed-to-do-this/","0")</f>
        <v>0</v>
      </c>
      <c r="BF139" s="101" t="str">
        <f t="shared" si="347"/>
        <v>0</v>
      </c>
      <c r="BG139" s="101">
        <v>1</v>
      </c>
      <c r="BH139" s="51">
        <v>0</v>
      </c>
      <c r="BI139" s="51"/>
      <c r="BJ139" s="101" t="str">
        <f>HYPERLINK("https://www.kiro7.com/news/survivor-marysville-school-shooting-told-police-gi/27079664","1")</f>
        <v>1</v>
      </c>
      <c r="BK139" s="51">
        <v>0</v>
      </c>
      <c r="BL139" s="108">
        <v>1</v>
      </c>
      <c r="BM139" s="109">
        <v>1</v>
      </c>
      <c r="BN139" s="110" t="s">
        <v>2971</v>
      </c>
      <c r="BO139" s="115">
        <v>1</v>
      </c>
      <c r="BP139" s="111">
        <v>1</v>
      </c>
      <c r="BQ139" s="111">
        <v>1</v>
      </c>
      <c r="BR139" s="111">
        <v>0</v>
      </c>
      <c r="BS139" s="115">
        <v>1</v>
      </c>
      <c r="BT139" s="111">
        <v>1</v>
      </c>
      <c r="BU139" s="111">
        <v>1</v>
      </c>
      <c r="BV139" s="111">
        <v>0</v>
      </c>
      <c r="BW139" s="111">
        <v>0</v>
      </c>
      <c r="BX139" s="111">
        <v>0</v>
      </c>
      <c r="BY139" s="101">
        <v>1</v>
      </c>
      <c r="BZ139" s="51">
        <v>0</v>
      </c>
      <c r="CA139" s="51">
        <v>0</v>
      </c>
      <c r="CB139" s="51" t="s">
        <v>100</v>
      </c>
      <c r="CC139" s="51">
        <v>0</v>
      </c>
      <c r="CD139" s="51" t="s">
        <v>100</v>
      </c>
      <c r="CE139" s="51">
        <v>0</v>
      </c>
      <c r="CF139" s="51">
        <v>0</v>
      </c>
      <c r="CG139" s="51">
        <v>0</v>
      </c>
      <c r="CH139" s="51">
        <v>0</v>
      </c>
      <c r="CI139" s="101">
        <v>1</v>
      </c>
      <c r="CJ139" s="101" t="s">
        <v>626</v>
      </c>
      <c r="CK139" s="113">
        <v>0</v>
      </c>
      <c r="CL139" s="113"/>
      <c r="CM139" s="113"/>
      <c r="CN139" s="110">
        <v>0</v>
      </c>
      <c r="CO139" s="110">
        <v>0</v>
      </c>
      <c r="CP139" s="110">
        <v>0</v>
      </c>
      <c r="CQ139" s="110">
        <v>0</v>
      </c>
      <c r="CR139" s="110">
        <v>0</v>
      </c>
      <c r="CS139" s="110">
        <v>0</v>
      </c>
      <c r="CT139" s="110">
        <v>0</v>
      </c>
      <c r="CU139" s="110">
        <v>0</v>
      </c>
      <c r="CV139" s="110">
        <v>0</v>
      </c>
      <c r="CW139" s="110">
        <v>0</v>
      </c>
      <c r="CX139" s="108" t="str">
        <f>HYPERLINK("https://www.newsweek.com/2015/09/25/jaylen-ray-fryberg-marysville-pilchuck-high-school-shooting-372669.html","1")</f>
        <v>1</v>
      </c>
      <c r="CY139" s="110">
        <v>0</v>
      </c>
      <c r="CZ139" s="108" t="str">
        <f>HYPERLINK("https://www.heraldnet.com/news/report-on-marysville-shootings-i-needed-to-do-this/","0")</f>
        <v>0</v>
      </c>
      <c r="DA139" s="51">
        <v>0</v>
      </c>
      <c r="DB139" s="101">
        <v>1</v>
      </c>
      <c r="DC139" s="101" t="str">
        <f>HYPERLINK("https://www.newsweek.com/2015/09/25/jaylen-ray-fryberg-marysville-pilchuck-high-school-shooting-372669.html","1")</f>
        <v>1</v>
      </c>
      <c r="DD139" s="51">
        <v>4</v>
      </c>
      <c r="DE139" s="51">
        <v>2</v>
      </c>
      <c r="DF139" s="51">
        <v>1</v>
      </c>
      <c r="DG139" s="51"/>
      <c r="DH139" s="51"/>
      <c r="DI139" s="51"/>
      <c r="DJ139" s="51">
        <v>0</v>
      </c>
      <c r="DK139" s="51">
        <v>0</v>
      </c>
      <c r="DL139" s="48" t="s">
        <v>100</v>
      </c>
      <c r="DM139" s="101" t="str">
        <f>HYPERLINK("https://www.newsweek.com/2015/09/25/jaylen-ray-fryberg-marysville-pilchuck-high-school-shooting-372669.html","1")</f>
        <v>1</v>
      </c>
      <c r="DN139" s="51">
        <v>0</v>
      </c>
      <c r="DO139" s="51" t="s">
        <v>100</v>
      </c>
      <c r="DP139" s="101" t="str">
        <f>HYPERLINK("https://www.newsweek.com/2015/09/25/jaylen-ray-fryberg-marysville-pilchuck-high-school-shooting-372669.html","1")</f>
        <v>1</v>
      </c>
      <c r="DQ139" s="101" t="str">
        <f>HYPERLINK("https://www.heraldnet.com/news/report-on-marysville-shootings-i-needed-to-do-this/","0")</f>
        <v>0</v>
      </c>
      <c r="DR139" s="101" t="str">
        <f>HYPERLINK("https://www.newsweek.com/2015/09/25/jaylen-ray-fryberg-marysville-pilchuck-high-school-shooting-372669.html","1")</f>
        <v>1</v>
      </c>
      <c r="DS139" s="101" t="str">
        <f>HYPERLINK("https://www.newsweek.com/2015/09/25/jaylen-ray-fryberg-marysville-pilchuck-high-school-shooting-372669.html","3")</f>
        <v>3</v>
      </c>
      <c r="DT139" s="101">
        <v>1</v>
      </c>
      <c r="DU139" s="101" t="str">
        <f>HYPERLINK("https://www.nbcnews.com/storyline/marysville-school-shooting/two=dead-including-gunman-school-schooting-near-seattle-n233371","0")</f>
        <v>0</v>
      </c>
      <c r="DV139" s="48" t="s">
        <v>100</v>
      </c>
      <c r="DW139" s="101">
        <v>0</v>
      </c>
      <c r="DX139" s="101" t="str">
        <f>HYPERLINK("https://www.nbcnews.com/storyline/marysville-school-shooting/two=dead-including-gunman-school-schooting-near-seattle-n233371","0")</f>
        <v>0</v>
      </c>
      <c r="DY139" s="51">
        <v>2</v>
      </c>
      <c r="DZ139" s="48">
        <v>0</v>
      </c>
    </row>
    <row r="140" spans="1:130" ht="50.25" customHeight="1">
      <c r="A140" s="96">
        <v>138</v>
      </c>
      <c r="B140" s="97" t="s">
        <v>627</v>
      </c>
      <c r="C140" s="97" t="s">
        <v>628</v>
      </c>
      <c r="D140" s="98">
        <v>42172</v>
      </c>
      <c r="E140" s="48" t="s">
        <v>123</v>
      </c>
      <c r="F140" s="119">
        <v>17</v>
      </c>
      <c r="G140" s="102" t="str">
        <f>HYPERLINK("https://www.npr.org/sections/thetwo-way/2017/01/10/509166866/jury-sentences-dylann-roof-to-die","6")</f>
        <v>6</v>
      </c>
      <c r="H140" s="101" t="str">
        <f>HYPERLINK("https://www.npr.org/sections/thetwo-way/2017/01/10/509166866/jury-sentences-dylann-roof-to-die","2015")</f>
        <v>2015</v>
      </c>
      <c r="I140" s="48" t="s">
        <v>629</v>
      </c>
      <c r="J140" s="101" t="str">
        <f>HYPERLINK("https://www.npr.org/sections/thetwo-way/2017/01/10/509166866/jury-sentences-dylann-roof-to-die","Charleston  ")</f>
        <v xml:space="preserve">Charleston  </v>
      </c>
      <c r="K140" s="102" t="str">
        <f>HYPERLINK("https://www.nytimes.com/2015/06/19/us/charleston-church-shooting.html","40")</f>
        <v>40</v>
      </c>
      <c r="L140" s="119">
        <v>0</v>
      </c>
      <c r="M140" s="102">
        <v>0</v>
      </c>
      <c r="N140" s="102" t="str">
        <f>HYPERLINK("https://www.npr.org/sections/thetwo-way/2017/01/10/509166866/jury-sentences-dylann-roof-to-die","3")</f>
        <v>3</v>
      </c>
      <c r="O140" s="102" t="str">
        <f>HYPERLINK("https://www.nytimes.com/2017/01/10/us/dylann-roof-trial-charleston.html","0")</f>
        <v>0</v>
      </c>
      <c r="P140" s="99" t="s">
        <v>100</v>
      </c>
      <c r="Q140" s="103">
        <v>0</v>
      </c>
      <c r="R140" s="103">
        <v>0</v>
      </c>
      <c r="S140" s="102" t="str">
        <f>HYPERLINK("https://www.npr.org/sections/thetwo-way/2017/01/10/509166866/jury-sentences-dylann-roof-to-die","9")</f>
        <v>9</v>
      </c>
      <c r="T140" s="102" t="str">
        <f>HYPERLINK("https://www.nytimes.com/2015/06/19/us/charleston-church-shooting.html","0")</f>
        <v>0</v>
      </c>
      <c r="U140" s="101" t="str">
        <f>HYPERLINK("https://www.nytimes.com/2016/12/14/us/dylann-roof-trial-charleston.html?module=inline","0")</f>
        <v>0</v>
      </c>
      <c r="V140" s="101" t="str">
        <f>HYPERLINK("https://www.nytimes.com/2015/06/19/us/charleston-church-shooting.html","21")</f>
        <v>21</v>
      </c>
      <c r="W140" s="101" t="str">
        <f>HYPERLINK("https://www.npr.org/sections/thetwo-way/2017/01/10/509166866/jury-sentences-dylann-roof-to-die","0")</f>
        <v>0</v>
      </c>
      <c r="X140" s="101" t="str">
        <f>HYPERLINK("https://www.nytimes.com/2015/06/19/us/charleston-church-shooting.html","0")</f>
        <v>0</v>
      </c>
      <c r="Y140" s="105" t="str">
        <f>HYPERLINK("https://www.gq.com/story/dylann-roof-making-of-an-american-terrorist","0")</f>
        <v>0</v>
      </c>
      <c r="Z140" s="101" t="str">
        <f>HYPERLINK("https://www.postandcourier.com/church_shooting/friend-says-dylann-roof-desired-black-women-wanted-face-tattoo/article_3b3618da-0828-11e7-aba3-c3099a862f1e.html","0")</f>
        <v>0</v>
      </c>
      <c r="AA140" s="101" t="str">
        <f>HYPERLINK("https://www.huffingtonpost.com/2015/06/19/dylann-roof-religion-church-lutheran_n_7623990.html","1")</f>
        <v>1</v>
      </c>
      <c r="AB140" s="101" t="str">
        <f>HYPERLINK("https://www.newyorker.com/magazine/2017/02/06/inside-the-trial-of-dylann-roof","1")</f>
        <v>1</v>
      </c>
      <c r="AC140" s="101" t="str">
        <f>HYPERLINK("https://www.newyorker.com/magazine/2017/02/06/inside-the-trial-of-dylann-roof","0")</f>
        <v>0</v>
      </c>
      <c r="AD140" s="101" t="str">
        <f>HYPERLINK("https://www.newyorker.com/magazine/2017/02/06/inside-the-trial-of-dylann-roof","repeated 9th grade")</f>
        <v>repeated 9th grade</v>
      </c>
      <c r="AE140" s="101" t="str">
        <f t="shared" ref="AE140:AF140" si="348">HYPERLINK("https://www.postandcourier.com/church_shooting/videos-of-dylann-roof-jail-visits-show-him-angering-mother/article_8374ec44-3a31-11e7-84ee-eb6a34b7df0c.html","2")</f>
        <v>2</v>
      </c>
      <c r="AF140" s="101" t="str">
        <f t="shared" si="348"/>
        <v>2</v>
      </c>
      <c r="AG140" s="101" t="str">
        <f>HYPERLINK("https://www.washingtonpost.com/news/post-nation/wp/2015/07/02/dylann-roofs-sister-is-apparently-raising-money-for-her-wedding-and-honeymoon/","1")</f>
        <v>1</v>
      </c>
      <c r="AH140" s="101" t="str">
        <f>HYPERLINK("https://www.nbcnews.com/storyline/charleston-church-shooting/sister-charleston-shooter-dylann-roof-arrested-weapons-drug-charges-n856851","1")</f>
        <v>1</v>
      </c>
      <c r="AI140" s="101">
        <v>0</v>
      </c>
      <c r="AJ140" s="51">
        <v>0</v>
      </c>
      <c r="AK140" s="101" t="str">
        <f t="shared" ref="AK140:AL140" si="349">HYPERLINK("https://www.nytimes.com/2015/07/17/us/charleston-shooting-dylann-roof-troubled-past.html","0")</f>
        <v>0</v>
      </c>
      <c r="AL140" s="101" t="str">
        <f t="shared" si="349"/>
        <v>0</v>
      </c>
      <c r="AM140" s="51">
        <v>0</v>
      </c>
      <c r="AN140" s="48" t="s">
        <v>100</v>
      </c>
      <c r="AO140" s="101" t="str">
        <f>HYPERLINK("https://www.smh.com.au/world/south-carolina-massacre-suspect-dylann-roof-had-apparent-interest-in-white-supremacy-20150619-ghrtrg.html","0")</f>
        <v>0</v>
      </c>
      <c r="AP140" s="54"/>
      <c r="AQ140" s="101" t="str">
        <f>HYPERLINK("https://www.cnn.com/2015/06/19/us/charleston-church-shooting-suspect/index.html","1")</f>
        <v>1</v>
      </c>
      <c r="AR140" s="51">
        <v>0</v>
      </c>
      <c r="AS140" s="101">
        <v>0</v>
      </c>
      <c r="AT140" s="48">
        <v>0</v>
      </c>
      <c r="AU140" s="48" t="s">
        <v>100</v>
      </c>
      <c r="AV140" s="48" t="s">
        <v>100</v>
      </c>
      <c r="AW140" s="48" t="s">
        <v>100</v>
      </c>
      <c r="AX140" s="48">
        <v>0</v>
      </c>
      <c r="AY140" s="51">
        <v>0</v>
      </c>
      <c r="AZ140" s="101" t="str">
        <f>HYPERLINK("https://www.gq.com/story/dylann-roof-making-of-an-american-terrorist","1")</f>
        <v>1</v>
      </c>
      <c r="BA140" s="101" t="str">
        <f>HYPERLINK("https://www.gq.com/story/dylann-roof-making-of-an-american-terrorist","4")</f>
        <v>4</v>
      </c>
      <c r="BB140" s="141" t="str">
        <f>HYPERLINK("http://www.washingtonpost.com/sf/national/2015/09/12/an-american-void/","2")</f>
        <v>2</v>
      </c>
      <c r="BC140" s="101" t="str">
        <f>HYPERLINK("https://www.cnn.com/2015/06/19/us/charleston-church-shooting-suspect/index.html","0")</f>
        <v>0</v>
      </c>
      <c r="BD140" s="51">
        <v>0</v>
      </c>
      <c r="BE140" s="101" t="str">
        <f>HYPERLINK("https://www.courthousenews.com/wp-content/uploads/2017/05/ROOF-MENTAL-HEALTH-RECORDS.pdf","0")</f>
        <v>0</v>
      </c>
      <c r="BF140" s="101" t="str">
        <f>HYPERLINK("https://www.gq.com/story/dylann-roof-making-of-an-american-terrorist","0")</f>
        <v>0</v>
      </c>
      <c r="BG140" s="101" t="str">
        <f>HYPERLINK("https://www.nytimes.com/2015/07/17/us/charleston-shooting-dylann-roof-troubled-past.html","3")</f>
        <v>3</v>
      </c>
      <c r="BH140" s="107">
        <v>2</v>
      </c>
      <c r="BI140" s="51">
        <v>0</v>
      </c>
      <c r="BJ140" s="51">
        <v>0</v>
      </c>
      <c r="BK140" s="101">
        <v>1</v>
      </c>
      <c r="BL140" s="108" t="str">
        <f>HYPERLINK("https://www.cnn.com/2015/06/19/us/charleston-church-shooting-suspect/index.html","1")</f>
        <v>1</v>
      </c>
      <c r="BM140" s="109">
        <v>2</v>
      </c>
      <c r="BN140" s="110" t="s">
        <v>3012</v>
      </c>
      <c r="BO140" s="111">
        <v>1</v>
      </c>
      <c r="BP140" s="111">
        <v>0</v>
      </c>
      <c r="BQ140" s="111">
        <v>0</v>
      </c>
      <c r="BR140" s="111">
        <v>0</v>
      </c>
      <c r="BS140" s="111">
        <v>0</v>
      </c>
      <c r="BT140" s="111">
        <v>1</v>
      </c>
      <c r="BU140" s="111">
        <v>0</v>
      </c>
      <c r="BV140" s="111">
        <v>1</v>
      </c>
      <c r="BW140" s="111">
        <v>1</v>
      </c>
      <c r="BX140" s="111">
        <v>1</v>
      </c>
      <c r="BY140" s="101">
        <v>1</v>
      </c>
      <c r="BZ140" s="51">
        <v>0</v>
      </c>
      <c r="CA140" s="101" t="str">
        <f>HYPERLINK("https://www.courthousenews.com/wp-content/uploads/2017/05/ROOF-MENTAL-HEALTH-RECORDS.pdf","1")</f>
        <v>1</v>
      </c>
      <c r="CB140" s="101" t="str">
        <f>HYPERLINK("https://www.courthousenews.com/wp-content/uploads/2017/05/ROOF-MENTAL-HEALTH-RECORDS.pdf","0")</f>
        <v>0</v>
      </c>
      <c r="CC140" s="101" t="str">
        <f>HYPERLINK("https://www.courthousenews.com/wp-content/uploads/2017/05/ROOF-MENTAL-HEALTH-RECORDS.pdf","1")</f>
        <v>1</v>
      </c>
      <c r="CD140" s="141" t="str">
        <f>HYPERLINK("https://www.nytimes.com/2017/02/02/us/dylann-roof-charleston-killing-mental.html","0")</f>
        <v>0</v>
      </c>
      <c r="CE140" s="101" t="str">
        <f>HYPERLINK("https://www.nytimes.com/2017/02/02/us/dylann-roof-charleston-killing-mental.html","4")</f>
        <v>4</v>
      </c>
      <c r="CF140" s="51">
        <v>0</v>
      </c>
      <c r="CG140" s="101" t="str">
        <f>HYPERLINK("https://www.nytimes.com/2017/02/02/us/dylann-roof-charleston-killing-mental.html","1")</f>
        <v>1</v>
      </c>
      <c r="CH140" s="101" t="str">
        <f>HYPERLINK("https://www.postandcourier.com/church_shooting/friend-says-dylann-roof-desired-black-women-wanted-face-tattoo/article_3b3618da-0828-11e7-aba3-c3099a862f1e.html","4")</f>
        <v>4</v>
      </c>
      <c r="CI140" s="51">
        <v>0</v>
      </c>
      <c r="CJ140" s="51" t="s">
        <v>100</v>
      </c>
      <c r="CK140" s="117">
        <v>1</v>
      </c>
      <c r="CL140" s="117">
        <v>3</v>
      </c>
      <c r="CM140" s="117">
        <v>4</v>
      </c>
      <c r="CN140" s="109">
        <v>1</v>
      </c>
      <c r="CO140" s="108">
        <v>0</v>
      </c>
      <c r="CP140" s="110">
        <v>0</v>
      </c>
      <c r="CQ140" s="108">
        <v>0</v>
      </c>
      <c r="CR140" s="110">
        <v>0</v>
      </c>
      <c r="CS140" s="110">
        <v>0</v>
      </c>
      <c r="CT140" s="110">
        <v>0</v>
      </c>
      <c r="CU140" s="110">
        <v>0</v>
      </c>
      <c r="CV140" s="110">
        <v>0</v>
      </c>
      <c r="CW140" s="110">
        <v>0</v>
      </c>
      <c r="CX140" s="110">
        <v>0</v>
      </c>
      <c r="CY140" s="110">
        <v>0</v>
      </c>
      <c r="CZ140" s="108" t="str">
        <f>HYPERLINK("https://www.nytimes.com/2017/01/10/us/dylann-roof-trial-charleston.html","0")</f>
        <v>0</v>
      </c>
      <c r="DA140" s="51">
        <v>0</v>
      </c>
      <c r="DB140" s="101" t="str">
        <f>HYPERLINK("https://www.nytimes.com/2015/06/19/us/charleston-church-shooting.html","1")</f>
        <v>1</v>
      </c>
      <c r="DC140" s="101" t="str">
        <f>HYPERLINK("https://www.cnn.com/2015/06/19/us/charleston-church-shooting-suspect/index.html","1")</f>
        <v>1</v>
      </c>
      <c r="DD140" s="51">
        <v>0</v>
      </c>
      <c r="DE140" s="51">
        <v>5</v>
      </c>
      <c r="DF140" s="51">
        <v>0</v>
      </c>
      <c r="DG140" s="51"/>
      <c r="DH140" s="51"/>
      <c r="DI140" s="51"/>
      <c r="DJ140" s="101" t="str">
        <f>HYPERLINK("https://www.nytimes.com/2015/07/17/us/charleston-shooting-dylann-roof-troubled-past.html","1")</f>
        <v>1</v>
      </c>
      <c r="DK140" s="51">
        <v>0</v>
      </c>
      <c r="DL140" s="48" t="s">
        <v>100</v>
      </c>
      <c r="DM140" s="101" t="str">
        <f>HYPERLINK("https://gawker.com/here-is-what-appears-to-be-dylann-roofs-racist-manifest-1712767241","1")</f>
        <v>1</v>
      </c>
      <c r="DN140" s="51">
        <v>0</v>
      </c>
      <c r="DO140" s="51" t="s">
        <v>100</v>
      </c>
      <c r="DP140" s="101" t="str">
        <f>HYPERLINK("https://www.nytimes.com/2016/12/14/us/dylann-roof-trial-charleston.html?module=inline","1")</f>
        <v>1</v>
      </c>
      <c r="DQ140" s="101" t="str">
        <f>HYPERLINK("https://www.newyorker.com/magazine/2017/02/06/inside-the-trial-of-dylann-roof","1")</f>
        <v>1</v>
      </c>
      <c r="DR140" s="48">
        <v>0</v>
      </c>
      <c r="DS140" s="51">
        <v>0</v>
      </c>
      <c r="DT140" s="101" t="str">
        <f>HYPERLINK("https://www.cnn.com/2015/07/10/politics/dylann-roof-fbi-gun-south-carolina/index.html","1")</f>
        <v>1</v>
      </c>
      <c r="DU140" s="101" t="str">
        <f>HYPERLINK("https://www.nytimes.com/2017/01/10/us/dylann-roof-trial-charleston.html","0")</f>
        <v>0</v>
      </c>
      <c r="DV140" s="48" t="s">
        <v>100</v>
      </c>
      <c r="DW140" s="101" t="str">
        <f>HYPERLINK("https://www.npr.org/sections/thetwo-way/2017/01/10/509166866/jury-sentences-dylann-roof-to-die","2")</f>
        <v>2</v>
      </c>
      <c r="DX140" s="101" t="str">
        <f>HYPERLINK("https://www.nytimes.com/2016/12/14/us/dylann-roof-trial-charleston.html?module=inline","1")</f>
        <v>1</v>
      </c>
      <c r="DY140" s="105" t="str">
        <f>HYPERLINK("https://www.cnn.com/2017/01/10/us/dylann-roof-trial/index.html","0")</f>
        <v>0</v>
      </c>
      <c r="DZ140" s="133" t="str">
        <f>HYPERLINK("https://www.npr.org/sections/thetwo-way/2017/01/10/509166866/jury-sentences-dylann-roof-to-die","1")</f>
        <v>1</v>
      </c>
    </row>
    <row r="141" spans="1:130" ht="50.25" customHeight="1">
      <c r="A141" s="96">
        <v>139</v>
      </c>
      <c r="B141" s="97" t="s">
        <v>630</v>
      </c>
      <c r="C141" s="97" t="s">
        <v>631</v>
      </c>
      <c r="D141" s="98">
        <v>42201</v>
      </c>
      <c r="E141" s="48" t="s">
        <v>178</v>
      </c>
      <c r="F141" s="99">
        <v>16</v>
      </c>
      <c r="G141" s="100" t="str">
        <f>HYPERLINK("https://www.cnn.com/2015/07/17/us/tennessee-shooter-mohammad-youssuf-abdulazeez/index.html","7")</f>
        <v>7</v>
      </c>
      <c r="H141" s="101">
        <v>2015</v>
      </c>
      <c r="I141" s="48" t="s">
        <v>632</v>
      </c>
      <c r="J141" s="101" t="str">
        <f>HYPERLINK(" http://www.cnn.com/2015/07/17/us/tennessee-shooter-mohammad-youssuf-abdulazeez/index.html","Chattanooga")</f>
        <v>Chattanooga</v>
      </c>
      <c r="K141" s="168" t="str">
        <f>HYPERLINK("http://time.com/3962344/chattanooga-muhammad-youssef-abdulazeez/","42")</f>
        <v>42</v>
      </c>
      <c r="L141" s="100" t="str">
        <f>HYPERLINK("http://time.com/3962344/chattanooga-muhammad-youssef-abdulazeez/","0")</f>
        <v>0</v>
      </c>
      <c r="M141" s="102">
        <v>0</v>
      </c>
      <c r="N141" s="100" t="str">
        <f>HYPERLINK("https://www.nbcnews.com/storyline/chattanooga-shooting/chattanooga-shootings-four-marines-gunman-dead-rampage-tennessee-military-facilities-n393266","2")</f>
        <v>2</v>
      </c>
      <c r="O141" s="100" t="str">
        <f>HYPERLINK("https://www.nbcnews.com/storyline/chattanooga-shooting/chattanooga-shootings-four-marines-gunman-dead-rampage-tennessee-military-facilities-n393266","1")</f>
        <v>1</v>
      </c>
      <c r="P141" s="100" t="str">
        <f>HYPERLINK("https://www.nbcnews.com/storyline/chattanooga-shooting/chattanooga-shootings-four-marines-gunman-dead-rampage-tennessee-military-facilities-n393266","2")</f>
        <v>2</v>
      </c>
      <c r="Q141" s="103">
        <v>1</v>
      </c>
      <c r="R141" s="103">
        <v>1</v>
      </c>
      <c r="S141" s="100" t="str">
        <f>HYPERLINK("https://www.cnn.com/2015/07/18/us/tennessee-naval-reserve-shooting/index.html","5")</f>
        <v>5</v>
      </c>
      <c r="T141" s="100">
        <v>2</v>
      </c>
      <c r="U141" s="105" t="str">
        <f>HYPERLINK("https://www.nytimes.com/2015/07/17/us/chattanooga-tennessee-shooting.html","0")</f>
        <v>0</v>
      </c>
      <c r="V141" s="100" t="str">
        <f>HYPERLINK("http://time.com/3962344/chattanooga-muhammad-youssef-abdulazeez/","24")</f>
        <v>24</v>
      </c>
      <c r="W141" s="105" t="str">
        <f>HYPERLINK("https://www.cnn.com/2015/07/17/us/tennessee-shooter-mohammad-youssuf-abdulazeez/index.html","0")</f>
        <v>0</v>
      </c>
      <c r="X141" s="105" t="str">
        <f>HYPERLINK("http://time.com/3962344/chattanooga-muhammad-youssef-abdulazeez/","4")</f>
        <v>4</v>
      </c>
      <c r="Y141" s="105">
        <v>1</v>
      </c>
      <c r="Z141" s="48">
        <v>0</v>
      </c>
      <c r="AA141" s="105" t="str">
        <f>HYPERLINK("https://www.washingtonpost.com/politics/chattanooga-shooter-an-aimless-young-man-who-smoked-dope-and-shot-guns/2015/07/18/c213f6a6-2d7d-11e5-a5ea-cf74396e59ec_story.html?utm_term=.7ccb0f0d289c","2")</f>
        <v>2</v>
      </c>
      <c r="AB141" s="105" t="str">
        <f>HYPERLINK("https://www.washingtonpost.com/world/national-security/chattanooga-shooter-came-from-middle-class-muslim-family/2015/07/16/815c39c2-2c04-11e5-bd33-395c05608059_story.html?utm_term=.9873e36ffc4c","3")</f>
        <v>3</v>
      </c>
      <c r="AC141" s="101" t="str">
        <f>HYPERLINK("https://fox6now.com/2015/07/16/active-shooter-incident-reported-at-tennessee-naval-center/","2")</f>
        <v>2</v>
      </c>
      <c r="AD141" s="101" t="str">
        <f>HYPERLINK("https://fox6now.com/2015/07/16/active-shooter-incident-reported-at-tennessee-naval-center/","high grades and awards ")</f>
        <v xml:space="preserve">high grades and awards </v>
      </c>
      <c r="AE141" s="105" t="str">
        <f>HYPERLINK("https://www.buzzfeednews.com/article/mikehayes/chattanooga-shooters-family-masked-internal-struggles","2")</f>
        <v>2</v>
      </c>
      <c r="AF141" s="105" t="str">
        <f>HYPERLINK("https://www.buzzfeednews.com/article/mikehayes/chattanooga-shooters-family-masked-internal-struggles","4")</f>
        <v>4</v>
      </c>
      <c r="AG141" s="105" t="str">
        <f>HYPERLINK("https://www.buzzfeednews.com/article/mikehayes/chattanooga-shooters-family-masked-internal-struggles","3")</f>
        <v>3</v>
      </c>
      <c r="AH141" s="105" t="str">
        <f>HYPERLINK("https://www.buzzfeednews.com/article/mikehayes/chattanooga-shooters-family-masked-internal-struggles","1")</f>
        <v>1</v>
      </c>
      <c r="AI141" s="105" t="str">
        <f t="shared" ref="AI141:AJ141" si="350">HYPERLINK("https://www.washingtonpost.com/politics/chattanooga-shooter-an-aimless-young-man-who-smoked-dope-and-shot-guns/2015/07/18/c213f6a6-2d7d-11e5-a5ea-cf74396e59ec_story.html","0")</f>
        <v>0</v>
      </c>
      <c r="AJ141" s="105" t="str">
        <f t="shared" si="350"/>
        <v>0</v>
      </c>
      <c r="AK141" s="105" t="str">
        <f>HYPERLINK("http://www.cnn.com/2015/07/17/us/tennessee-shooter-mohammad-youssuf-abdulazeez/index.html","1")</f>
        <v>1</v>
      </c>
      <c r="AL141" s="105" t="str">
        <f>HYPERLINK("http://www.cnn.com/2015/07/17/us/tennessee-shooter-mohammad-youssuf-abdulazeez/index.html","0")</f>
        <v>0</v>
      </c>
      <c r="AM141" s="48">
        <v>0</v>
      </c>
      <c r="AN141" s="48" t="s">
        <v>100</v>
      </c>
      <c r="AO141" s="101" t="str">
        <f>HYPERLINK("https://www.washingtonpost.com/politics/chattanooga-shooter-an-aimless-young-man-who-smoked-dope-and-shot-guns/2015/07/18/c213f6a6-2d7d-11e5-a5ea-cf74396e59ec_story.html","3")</f>
        <v>3</v>
      </c>
      <c r="AP141" s="101" t="str">
        <f>HYPERLINK("https://www.washingtonpost.com/politics/chattanooga-shooter-an-aimless-young-man-who-smoked-dope-and-shot-guns/2015/07/18/c213f6a6-2d7d-11e5-a5ea-cf74396e59ec_story.html","former MMA fighter, occasional mosque")</f>
        <v>former MMA fighter, occasional mosque</v>
      </c>
      <c r="AQ141" s="105" t="str">
        <f>HYPERLINK("https://www.washingtonpost.com/politics/chattanooga-shooter-an-aimless-young-man-who-smoked-dope-and-shot-guns/2015/07/18/c213f6a6-2d7d-11e5-a5ea-cf74396e59ec_story.html?utm_term=.c01f951c30eb","1")</f>
        <v>1</v>
      </c>
      <c r="AR141" s="48">
        <v>0</v>
      </c>
      <c r="AS141" s="101">
        <v>0</v>
      </c>
      <c r="AT141" s="48">
        <v>0</v>
      </c>
      <c r="AU141" s="48" t="s">
        <v>100</v>
      </c>
      <c r="AV141" s="48" t="s">
        <v>100</v>
      </c>
      <c r="AW141" s="48" t="s">
        <v>100</v>
      </c>
      <c r="AX141" s="48">
        <v>0</v>
      </c>
      <c r="AY141" s="105">
        <v>0</v>
      </c>
      <c r="AZ141" s="105">
        <v>1</v>
      </c>
      <c r="BA141" s="105" t="str">
        <f>HYPERLINK("https://politicalscience.osu.edu/faculty/jmueller/72CHAT7.pdf","3")</f>
        <v>3</v>
      </c>
      <c r="BB141" s="107">
        <v>0</v>
      </c>
      <c r="BC141" s="105">
        <v>0</v>
      </c>
      <c r="BD141" s="105">
        <v>0</v>
      </c>
      <c r="BE141" s="105">
        <v>0</v>
      </c>
      <c r="BF141" s="101" t="str">
        <f>HYPERLINK("https://www.washingtonpost.com/politics/chattanooga-shooter-an-aimless-young-man-who-smoked-dope-and-shot-guns/2015/07/18/c213f6a6-2d7d-11e5-a5ea-cf74396e59ec_story.html","0")</f>
        <v>0</v>
      </c>
      <c r="BG141" s="101" t="str">
        <f>HYPERLINK("https://www.nbcnews.com/storyline/chattanooga-shooting/chattanooga-tennessee-shooter-mohammad-abdulazeez-history-drug-abuse-n394841","1")</f>
        <v>1</v>
      </c>
      <c r="BH141" s="51">
        <v>1</v>
      </c>
      <c r="BI141" s="105">
        <v>0</v>
      </c>
      <c r="BJ141" s="105" t="str">
        <f>HYPERLINK("https://www.washingtonpost.com/politics/chattanooga-shooter-an-aimless-young-man-who-smoked-dope-and-shot-guns/2015/07/18/c213f6a6-2d7d-11e5-a5ea-cf74396e59ec_story.html","0")</f>
        <v>0</v>
      </c>
      <c r="BK141" s="101" t="str">
        <f>HYPERLINK("https://www.cnn.com/2015/07/17/us/tennessee-shooter-mohammad-youssuf-abdulazeez/index.html","1")</f>
        <v>1</v>
      </c>
      <c r="BL141" s="109" t="str">
        <f>HYPERLINK("https://www.nbcnews.com/storyline/chattanooga-shooting/chattanooga-shooting-gunman-muhammad-abdulazeez-was-downward-spiral-family-rep-n395036","1")</f>
        <v>1</v>
      </c>
      <c r="BM141" s="109">
        <v>0</v>
      </c>
      <c r="BN141" s="115" t="s">
        <v>2970</v>
      </c>
      <c r="BO141" s="115">
        <v>1</v>
      </c>
      <c r="BP141" s="111">
        <v>0</v>
      </c>
      <c r="BQ141" s="111">
        <v>1</v>
      </c>
      <c r="BR141" s="111">
        <v>0</v>
      </c>
      <c r="BS141" s="111">
        <v>0</v>
      </c>
      <c r="BT141" s="111">
        <v>1</v>
      </c>
      <c r="BU141" s="111">
        <v>0</v>
      </c>
      <c r="BV141" s="111">
        <v>0</v>
      </c>
      <c r="BW141" s="111">
        <v>0</v>
      </c>
      <c r="BX141" s="111">
        <v>0</v>
      </c>
      <c r="BY141" s="105" t="str">
        <f>HYPERLINK("https://www.nbcnews.com/storyline/chattanooga-shooting/chattanooga-shooting-gunman-muhammad-abdulazeez-was-downward-spiral-family-rep-n395036","1")</f>
        <v>1</v>
      </c>
      <c r="BZ141" s="48">
        <v>0</v>
      </c>
      <c r="CA141" s="101" t="str">
        <f>HYPERLINK("https://www.washingtonpost.com/politics/chattanooga-shooter-an-aimless-young-man-who-smoked-dope-and-shot-guns/2015/07/18/c213f6a6-2d7d-11e5-a5ea-cf74396e59ec_story.html","1")</f>
        <v>1</v>
      </c>
      <c r="CB141" s="105" t="str">
        <f>HYPERLINK("https://news.yahoo.com/u-navy-petty-officer-dies-wounding-tennessee-attack-130542080.html","0")</f>
        <v>0</v>
      </c>
      <c r="CC141" s="105" t="str">
        <f>HYPERLINK("https://www.washingtonpost.com/politics/chattanooga-shooter-an-aimless-young-man-who-smoked-dope-and-shot-guns/2015/07/18/c213f6a6-2d7d-11e5-a5ea-cf74396e59ec_story.html","1")</f>
        <v>1</v>
      </c>
      <c r="CD141" s="105" t="str">
        <f>HYPERLINK("https://www.npr.org/sections/thetwo-way/2015/07/21/424975751/family-describes-chattanooga-shooter-as-being-on-a-downward-spiral","1")</f>
        <v>1</v>
      </c>
      <c r="CE141" s="105" t="str">
        <f>HYPERLINK("https://www.washingtonpost.com/politics/chattanooga-shooter-an-aimless-young-man-who-smoked-dope-and-shot-guns/2015/07/18/c213f6a6-2d7d-11e5-a5ea-cf74396e59ec_story.html?utm_term=.045ed5c9dce6","1")</f>
        <v>1</v>
      </c>
      <c r="CF141" s="48">
        <v>0</v>
      </c>
      <c r="CG141" s="48">
        <v>0</v>
      </c>
      <c r="CH141" s="105">
        <v>4</v>
      </c>
      <c r="CI141" s="105">
        <v>0</v>
      </c>
      <c r="CJ141" s="51" t="s">
        <v>100</v>
      </c>
      <c r="CK141" s="113">
        <v>0</v>
      </c>
      <c r="CL141" s="113"/>
      <c r="CM141" s="113"/>
      <c r="CN141" s="108">
        <v>0</v>
      </c>
      <c r="CO141" s="110">
        <v>0</v>
      </c>
      <c r="CP141" s="110">
        <v>0</v>
      </c>
      <c r="CQ141" s="110">
        <v>0</v>
      </c>
      <c r="CR141" s="110">
        <v>0</v>
      </c>
      <c r="CS141" s="110">
        <v>0</v>
      </c>
      <c r="CT141" s="110">
        <v>0</v>
      </c>
      <c r="CU141" s="110">
        <v>0</v>
      </c>
      <c r="CV141" s="110">
        <v>0</v>
      </c>
      <c r="CW141" s="116">
        <v>0</v>
      </c>
      <c r="CX141" s="118" t="str">
        <f>HYPERLINK("https://www.timesfreepress.com/news/local/story/2016/jul/01/fbi-people-knew-july-16-shooter-wradicalized/373894/","1")</f>
        <v>1</v>
      </c>
      <c r="CY141" s="116">
        <v>0</v>
      </c>
      <c r="CZ141" s="108" t="str">
        <f>HYPERLINK("https://www.nytimes.com/2015/07/17/us/chattanooga-tennessee-shooting.html","0")</f>
        <v>0</v>
      </c>
      <c r="DA141" s="48">
        <v>0</v>
      </c>
      <c r="DB141" s="105" t="str">
        <f>HYPERLINK("https://time.com/3962344/chattanooga-muhammad-youssef-abdulazeez/","1")</f>
        <v>1</v>
      </c>
      <c r="DC141" s="101" t="str">
        <f>HYPERLINK("https://www.timesfreepress.com/news/local/story/2016/jul/01/fbi-people-knew-july-16-shooter-wradicalized/373894/","1")</f>
        <v>1</v>
      </c>
      <c r="DD141" s="51">
        <v>0</v>
      </c>
      <c r="DE141" s="51"/>
      <c r="DF141" s="51">
        <v>0</v>
      </c>
      <c r="DG141" s="51"/>
      <c r="DH141" s="51"/>
      <c r="DI141" s="51"/>
      <c r="DJ141" s="48">
        <v>0</v>
      </c>
      <c r="DK141" s="48">
        <v>0</v>
      </c>
      <c r="DL141" s="48" t="s">
        <v>100</v>
      </c>
      <c r="DM141" s="105" t="str">
        <f>HYPERLINK("https://www.nbcnews.com/storyline/chattanooga-shooting/chattanooga-gunman-mohammad-abdulazeez-was-passive-mma-trainer-says-n393771","0")</f>
        <v>0</v>
      </c>
      <c r="DN141" s="51">
        <v>0</v>
      </c>
      <c r="DO141" s="51" t="s">
        <v>100</v>
      </c>
      <c r="DP141" s="101" t="str">
        <f>HYPERLINK("https://www.timesfreepress.com/news/local/story/2016/jul/01/fbi-people-knew-july-16-shooter-wradicalized/373894/","1")</f>
        <v>1</v>
      </c>
      <c r="DQ141" s="101" t="str">
        <f>HYPERLINK("https://www.nytimes.com/2015/07/17/us/chattanooga-tennessee-shooting.html","0")</f>
        <v>0</v>
      </c>
      <c r="DR141" s="105">
        <v>1</v>
      </c>
      <c r="DS141" s="101" t="str">
        <f>HYPERLINK("https://www.washingtonpost.com/politics/chattanooga-shooter-an-aimless-young-man-who-smoked-dope-and-shot-guns/2015/07/18/c213f6a6-2d7d-11e5-a5ea-cf74396e59ec_story.html","2")</f>
        <v>2</v>
      </c>
      <c r="DT141" s="105">
        <v>3</v>
      </c>
      <c r="DU141" s="105" t="str">
        <f>HYPERLINK("https://www.cnn.com/2015/07/18/us/tennessee-naval-reserve-shooting/index.html","1")</f>
        <v>1</v>
      </c>
      <c r="DV141" s="105" t="str">
        <f>HYPERLINK("https://www.cnn.com/2015/07/18/us/tennessee-naval-reserve-shooting/index.html","load-bearing vest")</f>
        <v>load-bearing vest</v>
      </c>
      <c r="DW141" s="105" t="str">
        <f>HYPERLINK(" http://www.cnn.com/2015/07/17/us/tennessee-shooter-mohammad-youssuf-abdulazeez/index.html","1")</f>
        <v>1</v>
      </c>
      <c r="DX141" s="105" t="str">
        <f>HYPERLINK("https://www.timesfreepress.com/news/local/story/2016/jul/01/fbi-people-knew-july-16-shooter-wradicalized/373894/","0")</f>
        <v>0</v>
      </c>
      <c r="DY141" s="48">
        <v>2</v>
      </c>
      <c r="DZ141" s="48">
        <v>0</v>
      </c>
    </row>
    <row r="142" spans="1:130" ht="50.25" customHeight="1">
      <c r="A142" s="96">
        <v>140</v>
      </c>
      <c r="B142" s="97" t="s">
        <v>635</v>
      </c>
      <c r="C142" s="97" t="s">
        <v>636</v>
      </c>
      <c r="D142" s="98">
        <v>42278</v>
      </c>
      <c r="E142" s="48" t="s">
        <v>178</v>
      </c>
      <c r="F142" s="119">
        <v>1</v>
      </c>
      <c r="G142" s="102" t="str">
        <f>HYPERLINK("https://www.latimes.com/nation/la-na-school-shootings-2017-story.html","10")</f>
        <v>10</v>
      </c>
      <c r="H142" s="101" t="str">
        <f>HYPERLINK("https://www.nytimes.com/2015/10/10/us/roseburg-oregon-shooting-christopher-harper-mercer.html","2015")</f>
        <v>2015</v>
      </c>
      <c r="I142" s="48" t="s">
        <v>637</v>
      </c>
      <c r="J142" s="101" t="str">
        <f>HYPERLINK("https://www.nytimes.com/2015/10/10/us/roseburg-oregon-shooting-christopher-harper-mercer.html","Roseburg  ")</f>
        <v xml:space="preserve">Roseburg  </v>
      </c>
      <c r="K142" s="102" t="str">
        <f>HYPERLINK("https://www.nytimes.com/2015/10/10/us/roseburg-oregon-shooting-christopher-harper-mercer.html","37")</f>
        <v>37</v>
      </c>
      <c r="L142" s="119">
        <v>3</v>
      </c>
      <c r="M142" s="102" t="str">
        <f>HYPERLINK("https://www.ohsu.edu/xd/outreach/oregon-rural-health/data/rural-definitions/upload/List-of-Towns-and-Cities-in-Oregon-by-ORH-Urban.pdf","2")</f>
        <v>2</v>
      </c>
      <c r="N142" s="102" t="str">
        <f>HYPERLINK("https://www.nytimes.com/2015/10/10/us/roseburg-oregon-shooting-christopher-harper-mercer.html","1")</f>
        <v>1</v>
      </c>
      <c r="O142" s="102" t="str">
        <f>HYPERLINK("https://www.nytimes.com/2015/10/10/us/roseburg-oregon-shooting-christopher-harper-mercer.html","0")</f>
        <v>0</v>
      </c>
      <c r="P142" s="99" t="s">
        <v>100</v>
      </c>
      <c r="Q142" s="103">
        <v>0</v>
      </c>
      <c r="R142" s="103">
        <v>0</v>
      </c>
      <c r="S142" s="102" t="str">
        <f>HYPERLINK("https://www.nytimes.com/2015/10/10/us/roseburg-oregon-shooting-christopher-harper-mercer.html","9")</f>
        <v>9</v>
      </c>
      <c r="T142" s="102">
        <v>7</v>
      </c>
      <c r="U142" s="101" t="str">
        <f>HYPERLINK("https://www.nytimes.com/2015/10/10/us/roseburg-oregon-shooting-christopher-harper-mercer.html","0")</f>
        <v>0</v>
      </c>
      <c r="V142" s="101" t="str">
        <f>HYPERLINK("https://www.nytimes.com/2015/10/03/us/chris-harper-mercer-umpqua-community-college-shooting.html","26")</f>
        <v>26</v>
      </c>
      <c r="W142" s="101" t="str">
        <f>HYPERLINK("https://www.nytimes.com/2015/10/03/us/chris-harper-mercer-umpqua-community-college-shooting.html","0")</f>
        <v>0</v>
      </c>
      <c r="X142" s="101" t="str">
        <f>HYPERLINK("https://www.latimes.com/nation/nationnow/la-na-nn-chris-harper-mercer-oregon-shooting-20151002-htmlstory.html","1")</f>
        <v>1</v>
      </c>
      <c r="Y142" s="48">
        <v>0</v>
      </c>
      <c r="Z142" s="101" t="str">
        <f>HYPERLINK("https://www.latimes.com/nation/la-na-school-shootings-2017-story.html","0")</f>
        <v>0</v>
      </c>
      <c r="AA142" s="101" t="str">
        <f>HYPERLINK("https://www.nytimes.com/2015/10/03/us/chris-harper-mercer-umpqua-community-college-shooting.html","0")</f>
        <v>0</v>
      </c>
      <c r="AB142" s="101" t="str">
        <f>HYPERLINK("https://www.latimes.com/nation/nationnow/la-na-nn-chris-harper-mercer-oregon-shooting-20151002-htmlstory.html","2")</f>
        <v>2</v>
      </c>
      <c r="AC142" s="101" t="str">
        <f>HYPERLINK("https://www.oregonlive.com/pacific-northwest-news/2015/10/oregon_school_shooting_umpqua.html","0")</f>
        <v>0</v>
      </c>
      <c r="AD142" s="101" t="str">
        <f>HYPERLINK("https://www.oregonlive.com/pacific-northwest-news/2015/10/oregon_school_shooting_umpqua.html","1.75 gpa, academic probation")</f>
        <v>1.75 gpa, academic probation</v>
      </c>
      <c r="AE142" s="101" t="str">
        <f>HYPERLINK("https://www.oregonlive.com/roseburg-oregon-school-shooting/2016/03/umpqua_community_college_gunman_chris_harper_mercer_profile.html","3")</f>
        <v>3</v>
      </c>
      <c r="AF142" s="101" t="str">
        <f t="shared" ref="AF142:AG142" si="351">HYPERLINK("https://www.oregonlive.com/roseburg-oregon-school-shooting/2016/03/umpqua_community_college_gunman_chris_harper_mercer_profile.html","1")</f>
        <v>1</v>
      </c>
      <c r="AG142" s="101" t="str">
        <f t="shared" si="351"/>
        <v>1</v>
      </c>
      <c r="AH142" s="101" t="str">
        <f>HYPERLINK("https://www.oregonlive.com/roseburg-oregon-school-shooting/2016/03/umpqua_community_college_gunman_chris_harper_mercer_profile.html","0")</f>
        <v>0</v>
      </c>
      <c r="AI142" s="101" t="str">
        <f>HYPERLINK("https://www.latimes.com/nation/la-na-school-shootings-2017-story.html","0")</f>
        <v>0</v>
      </c>
      <c r="AJ142" s="101">
        <v>0</v>
      </c>
      <c r="AK142" s="101" t="str">
        <f>HYPERLINK("http://nypost.com/2015/10/05/laughing-killer-told-victims-hed-been-looking-forward-to-massacre/","0")</f>
        <v>0</v>
      </c>
      <c r="AL142" s="51"/>
      <c r="AM142" s="101" t="str">
        <f>HYPERLINK("https://www.nytimes.com/2015/10/03/us/chris-harper-mercer-umpqua-community-college-shooting.html","2")</f>
        <v>2</v>
      </c>
      <c r="AN142" s="101">
        <v>0</v>
      </c>
      <c r="AO142" s="101" t="str">
        <f>HYPERLINK("https://www.nytimes.com/2015/10/03/us/chris-harper-mercer-umpqua-community-college-shooting.html","0")</f>
        <v>0</v>
      </c>
      <c r="AP142" s="51"/>
      <c r="AQ142" s="101">
        <v>1</v>
      </c>
      <c r="AR142" s="51">
        <v>0</v>
      </c>
      <c r="AS142" s="101">
        <v>1</v>
      </c>
      <c r="AT142" s="105" t="str">
        <f>HYPERLINK("https://www.latimes.com/nation/la-na-school-shootings-2017-story.html","2")</f>
        <v>2</v>
      </c>
      <c r="AU142" s="105">
        <v>4</v>
      </c>
      <c r="AV142" s="48"/>
      <c r="AW142" s="48"/>
      <c r="AX142" s="48">
        <v>0</v>
      </c>
      <c r="AY142" s="51">
        <v>0</v>
      </c>
      <c r="AZ142" s="101">
        <v>0</v>
      </c>
      <c r="BA142" s="101" t="str">
        <f>HYPERLINK("https://web.archive.org/web/20200304133814/https://www.nytimes.com/live/shooting-at-umpqua-community-college/social-media-scrutinized/","4")</f>
        <v>4</v>
      </c>
      <c r="BB142" s="101" t="str">
        <f>HYPERLINK("https://www.oregonlive.com/pacific-northwest-news/2015/10/oregon_school_shooting_shooter.html","2")</f>
        <v>2</v>
      </c>
      <c r="BC142" s="51">
        <v>0</v>
      </c>
      <c r="BD142" s="101">
        <v>0</v>
      </c>
      <c r="BE142" s="101">
        <v>1</v>
      </c>
      <c r="BF142" s="101" t="str">
        <f>HYPERLINK("https://www.latimes.com/nation/nationnow/la-na-nn-chris-harper-mercer-oregon-shooting-20151002-htmlstory.html","0")</f>
        <v>0</v>
      </c>
      <c r="BG142" s="101">
        <v>5</v>
      </c>
      <c r="BH142" s="51">
        <v>0</v>
      </c>
      <c r="BI142" s="51">
        <v>0</v>
      </c>
      <c r="BJ142" s="101" t="str">
        <f>HYPERLINK("https://www.nytimes.com/2015/10/03/us/chris-harper-mercer-umpqua-community-college-shooting.html","0")</f>
        <v>0</v>
      </c>
      <c r="BK142" s="110">
        <v>0</v>
      </c>
      <c r="BL142" s="108">
        <v>1</v>
      </c>
      <c r="BM142" s="109">
        <v>3</v>
      </c>
      <c r="BN142" s="115" t="s">
        <v>3091</v>
      </c>
      <c r="BO142" s="110">
        <v>1</v>
      </c>
      <c r="BP142" s="110">
        <v>0</v>
      </c>
      <c r="BQ142" s="110">
        <v>0</v>
      </c>
      <c r="BR142" s="110">
        <v>0</v>
      </c>
      <c r="BS142" s="110">
        <v>1</v>
      </c>
      <c r="BT142" s="110">
        <v>1</v>
      </c>
      <c r="BU142" s="110">
        <v>1</v>
      </c>
      <c r="BV142" s="110">
        <v>1</v>
      </c>
      <c r="BW142" s="110">
        <v>1</v>
      </c>
      <c r="BX142" s="110">
        <v>0</v>
      </c>
      <c r="BY142" s="101" t="str">
        <f>HYPERLINK("https://nypost.com/2015/10/05/laughing-killer-told-victims-hed-been-looking-forward-to-massacre/","2")</f>
        <v>2</v>
      </c>
      <c r="BZ142" s="101" t="str">
        <f>HYPERLINK("https://www.nytimes.com/2015/10/06/us/mother-of-oregon-gunman-wrote-of-keeping-firearms.html","1")</f>
        <v>1</v>
      </c>
      <c r="CA142" s="51">
        <v>0</v>
      </c>
      <c r="CB142" s="51" t="s">
        <v>100</v>
      </c>
      <c r="CC142" s="101" t="str">
        <f>HYPERLINK("https://www.latimes.com/nation/la-na-school-shootings-2017-story.html","1")</f>
        <v>1</v>
      </c>
      <c r="CD142" s="101" t="str">
        <f>HYPERLINK("https://www.latimes.com/nation/la-na-school-shootings-2017-story.html","0")</f>
        <v>0</v>
      </c>
      <c r="CE142" s="101" t="str">
        <f>HYPERLINK("https://www.latimes.com/nation/la-na-school-shootings-2017-story.html","3")</f>
        <v>3</v>
      </c>
      <c r="CF142" s="51">
        <v>0</v>
      </c>
      <c r="CG142" s="101" t="str">
        <f>HYPERLINK("https://www.tandfonline.com/doi/pdf/10.1080/00223980.2016.1175998","1")</f>
        <v>1</v>
      </c>
      <c r="CH142" s="101" t="str">
        <f>HYPERLINK("https://www.bbc.com/news/world-us-canada-34423534","0")</f>
        <v>0</v>
      </c>
      <c r="CI142" s="51">
        <v>0</v>
      </c>
      <c r="CJ142" s="51" t="s">
        <v>100</v>
      </c>
      <c r="CK142" s="117">
        <v>1</v>
      </c>
      <c r="CL142" s="117">
        <v>2</v>
      </c>
      <c r="CM142" s="117">
        <v>4</v>
      </c>
      <c r="CN142" s="108">
        <v>0</v>
      </c>
      <c r="CO142" s="108">
        <v>0</v>
      </c>
      <c r="CP142" s="110">
        <v>0</v>
      </c>
      <c r="CQ142" s="110">
        <v>0</v>
      </c>
      <c r="CR142" s="110">
        <v>0</v>
      </c>
      <c r="CS142" s="110">
        <v>0</v>
      </c>
      <c r="CT142" s="110">
        <v>0</v>
      </c>
      <c r="CU142" s="110">
        <v>0</v>
      </c>
      <c r="CV142" s="110">
        <v>0</v>
      </c>
      <c r="CW142" s="109">
        <v>1</v>
      </c>
      <c r="CX142" s="109">
        <v>2</v>
      </c>
      <c r="CY142" s="108">
        <v>0</v>
      </c>
      <c r="CZ142" s="108" t="str">
        <f>HYPERLINK("https://www.nytimes.com/2015/10/10/us/roseburg-oregon-shooting-christopher-harper-mercer.html","0")</f>
        <v>0</v>
      </c>
      <c r="DA142" s="51">
        <v>0</v>
      </c>
      <c r="DB142" s="101" t="str">
        <f>HYPERLINK("https://www.nytimes.com/2015/10/03/us/chris-harper-mercer-umpqua-community-college-shooting.html","1")</f>
        <v>1</v>
      </c>
      <c r="DC142" s="101" t="str">
        <f>HYPERLINK("https://www.latimes.com/nation/la-na-school-shootings-2017-story.html","0")</f>
        <v>0</v>
      </c>
      <c r="DD142" s="51"/>
      <c r="DE142" s="51"/>
      <c r="DF142" s="51"/>
      <c r="DG142" s="51"/>
      <c r="DH142" s="51"/>
      <c r="DI142" s="51"/>
      <c r="DJ142" s="101" t="str">
        <f>HYPERLINK("https://www.latimes.com/nation/la-na-school-shootings-2017-story.html","1")</f>
        <v>1</v>
      </c>
      <c r="DK142" s="101">
        <v>1</v>
      </c>
      <c r="DL142" s="101" t="str">
        <f>HYPERLINK("https://www.latimes.com/nation/la-na-school-shootings-2017-story.html","His manifesto referenced the mass shooters Elliot Rodger, Adam Lanza, Eric Harris and Dylan Klebold, and Seung-Hui Cho. He also mentions Vester Flanagan, who killed 2 people in response to Dylann Roof's mass shooting.")</f>
        <v>His manifesto referenced the mass shooters Elliot Rodger, Adam Lanza, Eric Harris and Dylan Klebold, and Seung-Hui Cho. He also mentions Vester Flanagan, who killed 2 people in response to Dylann Roof's mass shooting.</v>
      </c>
      <c r="DM142" s="101" t="str">
        <f>HYPERLINK("https://www.latimes.com/nation/la-na-school-shootings-2017-story.html","1")</f>
        <v>1</v>
      </c>
      <c r="DN142" s="51">
        <v>0</v>
      </c>
      <c r="DO142" s="51" t="s">
        <v>100</v>
      </c>
      <c r="DP142" s="101">
        <v>1</v>
      </c>
      <c r="DQ142" s="101" t="str">
        <f>HYPERLINK("https://www.latimes.com/nation/la-na-school-shootings-2017-story.html","1")</f>
        <v>1</v>
      </c>
      <c r="DR142" s="105">
        <v>1</v>
      </c>
      <c r="DS142" s="101" t="str">
        <f>HYPERLINK("https://www.nytimes.com/2015/10/03/us/chris-harper-mercer-umpqua-community-college-shooting.html","3")</f>
        <v>3</v>
      </c>
      <c r="DT142" s="101" t="str">
        <f>HYPERLINK("https://www.nytimes.com/2015/10/03/us/chris-harper-mercer-umpqua-community-college-shooting.html","6")</f>
        <v>6</v>
      </c>
      <c r="DU142" s="101" t="str">
        <f>HYPERLINK("https://www.nytimes.com/2015/10/10/us/roseburg-oregon-shooting-christopher-harper-mercer.html","1")</f>
        <v>1</v>
      </c>
      <c r="DV142" s="101" t="str">
        <f>HYPERLINK("https://www.nytimes.com/2015/10/10/us/roseburg-oregon-shooting-christopher-harper-mercer.html","bulletproof vest")</f>
        <v>bulletproof vest</v>
      </c>
      <c r="DW142" s="101" t="str">
        <f>HYPERLINK("https://www.nytimes.com/2015/10/10/us/roseburg-oregon-shooting-christopher-harper-mercer.html","0")</f>
        <v>0</v>
      </c>
      <c r="DX142" s="101" t="str">
        <f>HYPERLINK("https://nypost.com/2015/10/05/laughing-killer-told-victims-hed-been-looking-forward-to-massacre","0")</f>
        <v>0</v>
      </c>
      <c r="DY142" s="48">
        <v>2</v>
      </c>
      <c r="DZ142" s="48">
        <v>0</v>
      </c>
    </row>
    <row r="143" spans="1:130" ht="50.25" customHeight="1">
      <c r="A143" s="96">
        <v>141</v>
      </c>
      <c r="B143" s="96" t="s">
        <v>638</v>
      </c>
      <c r="C143" s="97" t="s">
        <v>182</v>
      </c>
      <c r="D143" s="98">
        <v>42322</v>
      </c>
      <c r="E143" s="48" t="s">
        <v>103</v>
      </c>
      <c r="F143" s="119">
        <v>14</v>
      </c>
      <c r="G143" s="102">
        <v>11</v>
      </c>
      <c r="H143" s="101">
        <v>2015</v>
      </c>
      <c r="I143" s="133" t="str">
        <f>HYPERLINK("https://www.theeagle.com/news/local/a-night-of-terror-lawyer-describes-killings-to-brazos-county/article_adda0cbb-e386-5bea-9806-cf4b2b2e80a5.html","Tennesse Colony, Anderson County, TX")</f>
        <v>Tennesse Colony, Anderson County, TX</v>
      </c>
      <c r="J143" s="141" t="str">
        <f>HYPERLINK("https://www.theeagle.com/news/local/a-night-of-terror-lawyer-describes-killings-to-brazos-county/article_adda0cbb-e386-5bea-9806-cf4b2b2e80a5.html","Tennessee Colony")</f>
        <v>Tennessee Colony</v>
      </c>
      <c r="K143" s="102">
        <v>43</v>
      </c>
      <c r="L143" s="102">
        <v>0</v>
      </c>
      <c r="M143" s="102" t="str">
        <f>HYPERLINK("https://www.theeagle.com/news/local/crime-scene-photos-shown-in-second-day-of-hudson-capital/article_9868e9bf-1308-569a-b9ac-214e64797d53.html","2")</f>
        <v>2</v>
      </c>
      <c r="N143" s="122" t="str">
        <f>HYPERLINK("https://www.theeagle.com/news/local/crime-scene-photos-shown-in-second-day-of-hudson-capital/article_9868e9bf-1308-569a-b9ac-214e64797d53.html","8")</f>
        <v>8</v>
      </c>
      <c r="O143" s="102" t="str">
        <f>HYPERLINK("https://www.theeagle.com/news/local/a-night-of-terror-lawyer-describes-killings-to-brazos-county/article_adda0cbb-e386-5bea-9806-cf4b2b2e80a5.html","1")</f>
        <v>1</v>
      </c>
      <c r="P143" s="122" t="str">
        <f>HYPERLINK("https://www.theeagle.com/news/local/crime-scene-photos-shown-in-second-day-of-hudson-capital/article_9868e9bf-1308-569a-b9ac-214e64797d53.html","8")</f>
        <v>8</v>
      </c>
      <c r="Q143" s="103">
        <v>0</v>
      </c>
      <c r="R143" s="103">
        <v>0</v>
      </c>
      <c r="S143" s="102">
        <v>6</v>
      </c>
      <c r="T143" s="102" t="str">
        <f>HYPERLINK("https://www.theeagle.com/news/local/a-night-of-terror-lawyer-describes-killings-to-brazos-county/article_adda0cbb-e386-5bea-9806-cf4b2b2e80a5.html","0")</f>
        <v>0</v>
      </c>
      <c r="U143" s="101" t="str">
        <f>HYPERLINK("https://www.theeagle.com/news/local/a-night-of-terror-lawyer-describes-killings-to-brazos-county/article_adda0cbb-e386-5bea-9806-cf4b2b2e80a5.html","0")</f>
        <v>0</v>
      </c>
      <c r="V143" s="101">
        <v>33</v>
      </c>
      <c r="W143" s="101">
        <v>0</v>
      </c>
      <c r="X143" s="101">
        <v>0</v>
      </c>
      <c r="Y143" s="105" t="str">
        <f>HYPERLINK("https://www.theeagle.com/news/local/after-given-death-sentence-hudson-transferred-to-state-prison/article_56704c30-bfc0-5835-b3e1-0d8ef30aedf5.html","0")</f>
        <v>0</v>
      </c>
      <c r="Z143" s="101" t="str">
        <f>HYPERLINK("https://www.palestineherald.com/news/downward-spiral-accused-killer-s-life-took-a-dark-turn/article_0455413c-9b24-11e5-a3aa-0f6de444bad7.html","0")</f>
        <v>0</v>
      </c>
      <c r="AA143" s="101" t="str">
        <f t="shared" ref="AA143:AB143" si="352">HYPERLINK("https://www.palestineherald.com/news/downward-spiral-accused-killer-s-life-took-a-dark-turn/article_0455413c-9b24-11e5-a3aa-0f6de444bad7.html","1")</f>
        <v>1</v>
      </c>
      <c r="AB143" s="101" t="str">
        <f t="shared" si="352"/>
        <v>1</v>
      </c>
      <c r="AC143" s="101" t="str">
        <f>HYPERLINK("https://www.palestineherald.com/news/downward-spiral-accused-killer-s-life-took-a-dark-turn/article_0455413c-9b24-11e5-a3aa-0f6de444bad7.html","0")</f>
        <v>0</v>
      </c>
      <c r="AD143" s="101" t="str">
        <f>HYPERLINK("https://www.palestineherald.com/news/downward-spiral-accused-killer-s-life-took-a-dark-turn/article_0455413c-9b24-11e5-a3aa-0f6de444bad7.html","high school dropout")</f>
        <v>high school dropout</v>
      </c>
      <c r="AE143" s="51"/>
      <c r="AF143" s="101" t="str">
        <f>HYPERLINK("https://www.palestineherald.com/news/downward-spiral-accused-killer-s-life-took-a-dark-turn/article_0455413c-9b24-11e5-a3aa-0f6de444bad7.html","1")</f>
        <v>1</v>
      </c>
      <c r="AG143" s="51"/>
      <c r="AH143" s="51"/>
      <c r="AI143" s="101">
        <v>3</v>
      </c>
      <c r="AJ143" s="101" t="str">
        <f>HYPERLINK("https://www.palestineherald.com/news/downward-spiral-accused-killer-s-life-took-a-dark-turn/article_0455413c-9b24-11e5-a3aa-0f6de444bad7.html","1")</f>
        <v>1</v>
      </c>
      <c r="AK143" s="101" t="str">
        <f>HYPERLINK("https://www.theeagle.com/news/local/a-night-of-terror-lawyer-describes-killings-to-brazos-county/article_adda0cbb-e386-5bea-9806-cf4b2b2e80a5.html","0")</f>
        <v>0</v>
      </c>
      <c r="AL143" s="101" t="str">
        <f>HYPERLINK("https://www.palestineherald.com/news/downward-spiral-accused-killer-s-life-took-a-dark-turn/article_0455413c-9b24-11e5-a3aa-0f6de444bad7.html","0")</f>
        <v>0</v>
      </c>
      <c r="AM143" s="51">
        <v>0</v>
      </c>
      <c r="AN143" s="48" t="s">
        <v>100</v>
      </c>
      <c r="AO143" s="101" t="str">
        <f>HYPERLINK("https://www.palestineherald.com/news/downward-spiral-accused-killer-s-life-took-a-dark-turn/article_0455413c-9b24-11e5-a3aa-0f6de444bad7.html","0")</f>
        <v>0</v>
      </c>
      <c r="AP143" s="54"/>
      <c r="AQ143" s="101" t="str">
        <f>HYPERLINK("https://www.dailymail.co.uk/news/article-3325766/How-Texas-campground-massacre-unfolded-drunken-wife-beating-local-obsessed-idea-outdoors-loving-family-stolen-land-family-squatted-years.html","1")</f>
        <v>1</v>
      </c>
      <c r="AR143" s="51">
        <v>0</v>
      </c>
      <c r="AS143" s="101" t="str">
        <f>HYPERLINK("https://www.dailymail.co.uk/news/article-3325766/How-Texas-campground-massacre-unfolded-drunken-wife-beating-local-obsessed-idea-outdoors-loving-family-stolen-land-family-squatted-years.html","1")</f>
        <v>1</v>
      </c>
      <c r="AT143" s="105">
        <v>3</v>
      </c>
      <c r="AU143" s="105">
        <v>4</v>
      </c>
      <c r="AV143" s="105">
        <v>1</v>
      </c>
      <c r="AW143" s="48"/>
      <c r="AX143" s="48">
        <v>0</v>
      </c>
      <c r="AY143" s="51">
        <v>0</v>
      </c>
      <c r="AZ143" s="51">
        <v>0</v>
      </c>
      <c r="BA143" s="51">
        <v>0</v>
      </c>
      <c r="BB143" s="107">
        <v>0</v>
      </c>
      <c r="BC143" s="101" t="str">
        <f>HYPERLINK("https://www.palestineherald.com/news/downward-spiral-accused-killer-s-life-took-a-dark-turn/article_0455413c-9b24-11e5-a3aa-0f6de444bad7.html","1")</f>
        <v>1</v>
      </c>
      <c r="BD143" s="101" t="str">
        <f>HYPERLINK("https://www.dailymail.co.uk/news/article-3325766/How-Texas-campground-massacre-unfolded-drunken-wife-beating-local-obsessed-idea-outdoors-loving-family-stolen-land-family-squatted-years.html","0")</f>
        <v>0</v>
      </c>
      <c r="BE143" s="105" t="str">
        <f t="shared" ref="BE143:BF143" si="353">HYPERLINK("https://www.palestineherald.com/news/downward-spiral-accused-killer-s-life-took-a-dark-turn/article_0455413c-9b24-11e5-a3aa-0f6de444bad7.html","0")</f>
        <v>0</v>
      </c>
      <c r="BF143" s="101" t="str">
        <f t="shared" si="353"/>
        <v>0</v>
      </c>
      <c r="BG143" s="101" t="str">
        <f>HYPERLINK("https://www.theeagle.com/news/local/after-given-death-sentence-hudson-transferred-to-state-prison/article_56704c30-bfc0-5835-b3e1-0d8ef30aedf5.html","1")</f>
        <v>1</v>
      </c>
      <c r="BH143" s="51">
        <v>1</v>
      </c>
      <c r="BI143" s="105">
        <v>1</v>
      </c>
      <c r="BJ143" s="101" t="str">
        <f>HYPERLINK("https://www.dailymail.co.uk/news/article-3325766/How-Texas-campground-massacre-unfolded-drunken-wife-beating-local-obsessed-idea-outdoors-loving-family-stolen-land-family-squatted-years.html","0")</f>
        <v>0</v>
      </c>
      <c r="BK143" s="101" t="str">
        <f>HYPERLINK("https://www.palestineherald.com/news/downward-spiral-accused-killer-s-life-took-a-dark-turn/article_0455413c-9b24-11e5-a3aa-0f6de444bad7.html","0")</f>
        <v>0</v>
      </c>
      <c r="BL143" s="108" t="str">
        <f>HYPERLINK("https://www.palestineherald.com/news/downward-spiral-accused-killer-s-life-took-a-dark-turn/article_0455413c-9b24-11e5-a3aa-0f6de444bad7.html","1")</f>
        <v>1</v>
      </c>
      <c r="BM143" s="108">
        <v>2</v>
      </c>
      <c r="BN143" s="115" t="s">
        <v>3006</v>
      </c>
      <c r="BO143" s="111">
        <v>1</v>
      </c>
      <c r="BP143" s="111">
        <v>0</v>
      </c>
      <c r="BQ143" s="111">
        <v>0</v>
      </c>
      <c r="BR143" s="111">
        <v>0</v>
      </c>
      <c r="BS143" s="111">
        <v>1</v>
      </c>
      <c r="BT143" s="111">
        <v>1</v>
      </c>
      <c r="BU143" s="111">
        <v>1</v>
      </c>
      <c r="BV143" s="111">
        <v>1</v>
      </c>
      <c r="BW143" s="111">
        <v>0</v>
      </c>
      <c r="BX143" s="111">
        <v>0</v>
      </c>
      <c r="BY143" s="101" t="str">
        <f>HYPERLINK("https://www.theeagle.com/townnews/crime/trial-update-psychiatrist-testifies-that-east-texas-man-who-killed/article_ce6124e0-c8b4-11e7-a603-87b213d2a2d2.html","1")</f>
        <v>1</v>
      </c>
      <c r="BZ143" s="101">
        <v>1</v>
      </c>
      <c r="CA143" s="51">
        <v>0</v>
      </c>
      <c r="CB143" s="51" t="s">
        <v>100</v>
      </c>
      <c r="CC143" s="101">
        <v>1</v>
      </c>
      <c r="CD143" s="101">
        <v>0</v>
      </c>
      <c r="CE143" s="101">
        <v>4</v>
      </c>
      <c r="CF143" s="51">
        <v>0</v>
      </c>
      <c r="CG143" s="51">
        <v>0</v>
      </c>
      <c r="CH143" s="101" t="str">
        <f>HYPERLINK("https://www.palestineherald.com/news/downward-spiral-accused-killer-s-life-took-a-dark-turn/article_0455413c-9b24-11e5-a3aa-0f6de444bad7.html","5")</f>
        <v>5</v>
      </c>
      <c r="CI143" s="101" t="str">
        <f>HYPERLINK("https://www.theeagle.com/news/local/after-given-death-sentence-hudson-transferred-to-state-prison/article_56704c30-bfc0-5835-b3e1-0d8ef30aedf5.html","1")</f>
        <v>1</v>
      </c>
      <c r="CJ143" s="101" t="str">
        <f>HYPERLINK("https://www.theeagle.com/news/local/after-given-death-sentence-hudson-transferred-to-state-prison/article_56704c30-bfc0-5835-b3e1-0d8ef30aedf5.html","brain damage")</f>
        <v>brain damage</v>
      </c>
      <c r="CK143" s="113">
        <v>0</v>
      </c>
      <c r="CL143" s="113"/>
      <c r="CM143" s="113"/>
      <c r="CN143" s="110">
        <v>0</v>
      </c>
      <c r="CO143" s="110">
        <v>0</v>
      </c>
      <c r="CP143" s="110">
        <v>0</v>
      </c>
      <c r="CQ143" s="110">
        <v>0</v>
      </c>
      <c r="CR143" s="110">
        <v>0</v>
      </c>
      <c r="CS143" s="110">
        <v>0</v>
      </c>
      <c r="CT143" s="110">
        <v>0</v>
      </c>
      <c r="CU143" s="110">
        <v>0</v>
      </c>
      <c r="CV143" s="110">
        <v>0</v>
      </c>
      <c r="CW143" s="110">
        <v>0</v>
      </c>
      <c r="CX143" s="108" t="str">
        <f>HYPERLINK("https://www.theeagle.com/news/local/crime-scene-photos-shown-in-second-day-of-hudson-capital/article_9868e9bf-1308-569a-b9ac-214e64797d53.html","1")</f>
        <v>1</v>
      </c>
      <c r="CY143" s="110">
        <v>0</v>
      </c>
      <c r="CZ143" s="108" t="str">
        <f>HYPERLINK("https://www.theeagle.com/news/local/a-night-of-terror-lawyer-describes-killings-to-brazos-county/article_adda0cbb-e386-5bea-9806-cf4b2b2e80a5.html","0")</f>
        <v>0</v>
      </c>
      <c r="DA143" s="101">
        <v>1</v>
      </c>
      <c r="DB143" s="51">
        <v>0</v>
      </c>
      <c r="DC143" s="101" t="str">
        <f>HYPERLINK("https://www.theeagle.com/news/local/a-night-of-terror-lawyer-describes-killings-to-brazos-county/article_adda0cbb-e386-5bea-9806-cf4b2b2e80a5.html","0")</f>
        <v>0</v>
      </c>
      <c r="DD143" s="51"/>
      <c r="DE143" s="51"/>
      <c r="DF143" s="51"/>
      <c r="DG143" s="51"/>
      <c r="DH143" s="51"/>
      <c r="DI143" s="51"/>
      <c r="DJ143" s="51">
        <v>0</v>
      </c>
      <c r="DK143" s="51">
        <v>0</v>
      </c>
      <c r="DL143" s="48" t="s">
        <v>100</v>
      </c>
      <c r="DM143" s="101" t="str">
        <f>HYPERLINK("https://www.theeagle.com/news/local/a-night-of-terror-lawyer-describes-killings-to-brazos-county/article_adda0cbb-e386-5bea-9806-cf4b2b2e80a5.html","0")</f>
        <v>0</v>
      </c>
      <c r="DN143" s="51">
        <v>0</v>
      </c>
      <c r="DO143" s="51" t="s">
        <v>100</v>
      </c>
      <c r="DP143" s="101" t="str">
        <f t="shared" ref="DP143:DQ143" si="354">HYPERLINK("https://www.theeagle.com/news/local/a-night-of-terror-lawyer-describes-killings-to-brazos-county/article_adda0cbb-e386-5bea-9806-cf4b2b2e80a5.html","0")</f>
        <v>0</v>
      </c>
      <c r="DQ143" s="101" t="str">
        <f t="shared" si="354"/>
        <v>0</v>
      </c>
      <c r="DR143" s="105" t="str">
        <f>HYPERLINK("https://www.dailymail.co.uk/news/article-3325766/How-Texas-campground-massacre-unfolded-drunken-wife-beating-local-obsessed-idea-outdoors-loving-family-stolen-land-family-squatted-years.html","1")</f>
        <v>1</v>
      </c>
      <c r="DS143" s="101" t="str">
        <f>HYPERLINK("https://www.dailymail.co.uk/news/article-3325766/How-Texas-campground-massacre-unfolded-drunken-wife-beating-local-obsessed-idea-outdoors-loving-family-stolen-land-family-squatted-years.html","2")</f>
        <v>2</v>
      </c>
      <c r="DT143" s="101" t="str">
        <f>HYPERLINK("https://www.palestineherald.com/news/sole-survivor-recounts-night-of-terror/article_e263783c-c34e-11e7-867e-7703aa20f961.html","3")</f>
        <v>3</v>
      </c>
      <c r="DU143" s="101" t="str">
        <f>HYPERLINK("https://www.palestineherald.com/news/sole-survivor-recounts-night-of-terror/article_e263783c-c34e-11e7-867e-7703aa20f961.html","0")</f>
        <v>0</v>
      </c>
      <c r="DV143" s="48" t="s">
        <v>100</v>
      </c>
      <c r="DW143" s="101">
        <v>2</v>
      </c>
      <c r="DX143" s="101" t="str">
        <f>HYPERLINK("https://www.theeagle.com/news/local/crime-scene-photos-shown-in-second-day-of-hudson-capital/article_9868e9bf-1308-569a-b9ac-214e64797d53.html","0")</f>
        <v>0</v>
      </c>
      <c r="DY143" s="105" t="str">
        <f>HYPERLINK("https://www.palestineherald.com/news/hudson-withdraws-insanity-plea-jurors-see-graphic-photos-of-crime/article_7644a6fc-c02a-11e7-8f0e-fb17880001d8.html","1")</f>
        <v>1</v>
      </c>
      <c r="DZ143" s="133" t="str">
        <f>HYPERLINK("https://www.npr.org/sections/thetwo-way/2017/01/10/509166866/jury-sentences-dylann-roof-to-die","1")</f>
        <v>1</v>
      </c>
    </row>
    <row r="144" spans="1:130" ht="50.25" customHeight="1">
      <c r="A144" s="96">
        <v>142</v>
      </c>
      <c r="B144" s="97" t="s">
        <v>641</v>
      </c>
      <c r="C144" s="97" t="s">
        <v>642</v>
      </c>
      <c r="D144" s="98">
        <v>42340</v>
      </c>
      <c r="E144" s="48" t="s">
        <v>123</v>
      </c>
      <c r="F144" s="119">
        <v>2</v>
      </c>
      <c r="G144" s="102" t="str">
        <f t="shared" ref="G144:G145" si="355">HYPERLINK("https://www.washingtonpost.com/news/post-nation/wp/2016/12/02/one-year-after-san-bernardino-police-offer-a-possible-motive-as-questions-still-linger/?utm_term=.c85cb6ddaeb7","12")</f>
        <v>12</v>
      </c>
      <c r="H144" s="101" t="str">
        <f t="shared" ref="H144:H145" si="356">HYPERLINK("https://www.washingtonpost.com/news/post-nation/wp/2016/12/02/one-year-after-san-bernardino-police-offer-a-possible-motive-as-questions-still-linger/?utm_term=.c85cb6ddaeb7","2015")</f>
        <v>2015</v>
      </c>
      <c r="I144" s="48" t="s">
        <v>643</v>
      </c>
      <c r="J144" s="101" t="str">
        <f t="shared" ref="J144:J145" si="357">HYPERLINK("https://www.cnn.com/2015/12/03/us/san-bernardino-shooting/","San Bernardino")</f>
        <v>San Bernardino</v>
      </c>
      <c r="K144" s="102" t="str">
        <f t="shared" ref="K144:K145" si="358">HYPERLINK("https://www.cnn.com/2015/12/03/us/san-bernardino-shooting/","5")</f>
        <v>5</v>
      </c>
      <c r="L144" s="102">
        <v>3</v>
      </c>
      <c r="M144" s="102" t="str">
        <f t="shared" ref="M144:M145" si="359">HYPERLINK("https://www.nytimes.com/2015/12/03/us/san-bernardino-shooting.html","0")</f>
        <v>0</v>
      </c>
      <c r="N144" s="102" t="str">
        <f t="shared" ref="N144:N145" si="360">HYPERLINK("https://www.cnn.com/2015/12/03/us/syed-farook-tashfeen-malik-mass-shooting-profile/index.html","6")</f>
        <v>6</v>
      </c>
      <c r="O144" s="102" t="str">
        <f t="shared" ref="O144:O145" si="361">HYPERLINK("https://www.nytimes.com/2015/12/03/us/san-bernardino-shooting.html","1")</f>
        <v>1</v>
      </c>
      <c r="P144" s="122" t="str">
        <f>HYPERLINK("https://www.cnn.com/2015/12/03/us/syed-farook-tashfeen-malik-mass-shooting-profile/index.html","8")</f>
        <v>8</v>
      </c>
      <c r="Q144" s="103">
        <v>0</v>
      </c>
      <c r="R144" s="103">
        <v>0</v>
      </c>
      <c r="S144" s="102" t="str">
        <f t="shared" ref="S144:S145" si="362">HYPERLINK("https://www.washingtonpost.com/news/post-nation/wp/2016/12/02/one-year-after-san-bernardino-police-offer-a-possible-motive-as-questions-still-linger/","14")</f>
        <v>14</v>
      </c>
      <c r="T144" s="102" t="str">
        <f t="shared" ref="T144:T145" si="363">HYPERLINK("https://www.washingtonpost.com/news/post-nation/wp/2016/12/02/one-year-after-san-bernardino-police-offer-a-possible-motive-as-questions-still-linger/","22")</f>
        <v>22</v>
      </c>
      <c r="U144" s="101" t="str">
        <f t="shared" ref="U144:U145" si="364">HYPERLINK("https://www.nytimes.com/2015/12/03/us/san-bernardino-shooting.html","0")</f>
        <v>0</v>
      </c>
      <c r="V144" s="101" t="str">
        <f>HYPERLINK("https://www.telegraph.co.uk/news/worldnews/northamerica/usa/12030481/Syed-Farook-what-we-know-about-the-San-Bernardino-gunman.html","28")</f>
        <v>28</v>
      </c>
      <c r="W144" s="101" t="str">
        <f>HYPERLINK("https://www.telegraph.co.uk/news/worldnews/northamerica/usa/12030481/Syed-Farook-what-we-know-about-the-San-Bernardino-gunman.html","0")</f>
        <v>0</v>
      </c>
      <c r="X144" s="101" t="str">
        <f t="shared" ref="X144:X145" si="365">HYPERLINK("https://www.telegraph.co.uk/news/worldnews/northamerica/usa/12030481/Syed-Farook-what-we-know-about-the-San-Bernardino-gunman.html","4")</f>
        <v>4</v>
      </c>
      <c r="Y144" s="105">
        <v>0</v>
      </c>
      <c r="Z144" s="101" t="str">
        <f t="shared" ref="Z144:Z145" si="366">HYPERLINK("https://www.cnn.com/2015/12/03/us/syed-farook-tashfeen-malik-mass-shooting-profile/index.html","0")</f>
        <v>0</v>
      </c>
      <c r="AA144" s="101" t="str">
        <f>HYPERLINK("https://www.telegraph.co.uk/news/worldnews/northamerica/usa/12030481/Syed-Farook-what-we-know-about-the-San-Bernardino-gunman.html","2")</f>
        <v>2</v>
      </c>
      <c r="AB144" s="101" t="str">
        <f>HYPERLINK("https://www.cnn.com/2015/12/03/us/syed-farook-tashfeen-malik-mass-shooting-profile/index.html","4")</f>
        <v>4</v>
      </c>
      <c r="AC144" s="101" t="str">
        <f>HYPERLINK("https://www.cnn.com/2015/12/03/us/syed-farook-tashfeen-malik-mass-shooting-profile/index.html","1")</f>
        <v>1</v>
      </c>
      <c r="AD144" s="101" t="str">
        <f>HYPERLINK("https://www.cnn.com/2015/12/03/us/syed-farook-tashfeen-malik-mass-shooting-profile/index.html","grad school")</f>
        <v>grad school</v>
      </c>
      <c r="AE144" s="101" t="str">
        <f>HYPERLINK("https://www.reuters.com/article/us-california-shooting-brothers-insight-idUSKBN0TR0H420151208","2")</f>
        <v>2</v>
      </c>
      <c r="AF144" s="101" t="str">
        <f>HYPERLINK("https://www.ocregister.com/2015/12/12/where-they-lived-their-siblings-problems-at-home-a-look-at-the-families-of-the-san-bernardino-shooters/","3")</f>
        <v>3</v>
      </c>
      <c r="AG144" s="101" t="str">
        <f>HYPERLINK("https://www.ocregister.com/2015/12/12/where-they-lived-their-siblings-problems-at-home-a-look-at-the-families-of-the-san-bernardino-shooters/","2")</f>
        <v>2</v>
      </c>
      <c r="AH144" s="101" t="str">
        <f>HYPERLINK("https://www.indiawest.com/news/global_indian/sisters-of-shooting-suspect-syed-rizwan-farook-say-they-saw/article_cf1dde08-9dd4-11e5-b3fd-43fce8a3a35b.html","1")</f>
        <v>1</v>
      </c>
      <c r="AI144" s="101" t="str">
        <f t="shared" ref="AI144:AI145" si="367">HYPERLINK("https://www.telegraph.co.uk/news/worldnews/northamerica/usa/12030481/Syed-Farook-what-we-know-about-the-San-Bernardino-gunman.html","2")</f>
        <v>2</v>
      </c>
      <c r="AJ144" s="101" t="str">
        <f t="shared" ref="AJ144:AK144" si="368">HYPERLINK("https://www.telegraph.co.uk/news/worldnews/northamerica/usa/12030481/Syed-Farook-what-we-know-about-the-San-Bernardino-gunman.html","1")</f>
        <v>1</v>
      </c>
      <c r="AK144" s="101" t="str">
        <f t="shared" si="368"/>
        <v>1</v>
      </c>
      <c r="AL144" s="101" t="str">
        <f>HYPERLINK("https://www.telegraph.co.uk/news/worldnews/northamerica/usa/12030481/Syed-Farook-what-we-know-about-the-San-Bernardino-gunman.html","2")</f>
        <v>2</v>
      </c>
      <c r="AM144" s="51">
        <v>0</v>
      </c>
      <c r="AN144" s="48" t="s">
        <v>100</v>
      </c>
      <c r="AO144" s="101" t="str">
        <f>HYPERLINK("https://www.latimes.com/local/lanow/la-me-ln-san-bernardino-shooting-suspect-serious-about-studying-the-koran-20151203-story.html","0")</f>
        <v>0</v>
      </c>
      <c r="AP144" s="54"/>
      <c r="AQ144" s="101" t="str">
        <f t="shared" ref="AQ144:AQ145" si="369">HYPERLINK("https://www.cnn.com/2015/12/04/us/san-bernardino-shooting/index.html","0")</f>
        <v>0</v>
      </c>
      <c r="AR144" s="51">
        <v>0</v>
      </c>
      <c r="AS144" s="51">
        <v>0</v>
      </c>
      <c r="AT144" s="48">
        <v>0</v>
      </c>
      <c r="AU144" s="48" t="s">
        <v>100</v>
      </c>
      <c r="AV144" s="48" t="s">
        <v>100</v>
      </c>
      <c r="AW144" s="48" t="s">
        <v>100</v>
      </c>
      <c r="AX144" s="48">
        <v>0</v>
      </c>
      <c r="AY144" s="51">
        <v>0</v>
      </c>
      <c r="AZ144" s="101" t="str">
        <f>HYPERLINK("https://www.washingtonpost.com/news/post-nation/wp/2016/12/02/one-year-after-san-bernardino-police-offer-a-possible-motive-as-questions-still-linger/?utm_term=.c85cb6ddaeb7","1")</f>
        <v>1</v>
      </c>
      <c r="BA144" s="101" t="str">
        <f>HYPERLINK("https://www.washingtonpost.com/news/post-nation/wp/2015/12/18/san-bernardino-shooter-spent-years-steeped-in-extremism-before-attack/","3")</f>
        <v>3</v>
      </c>
      <c r="BB144" s="107">
        <v>0</v>
      </c>
      <c r="BC144" s="101" t="str">
        <f t="shared" ref="BC144:BD144" si="370">HYPERLINK("https://www.washingtonpost.com/world/national-security/2015/12/03/a0c7861e-99ef-11e5-b499-76cbec161973_story.html","0")</f>
        <v>0</v>
      </c>
      <c r="BD144" s="101" t="str">
        <f t="shared" si="370"/>
        <v>0</v>
      </c>
      <c r="BE144" s="101" t="str">
        <f t="shared" ref="BE144:BF144" si="371">HYPERLINK("https://www.nytimes.com/2015/12/04/us/san-bernardino-shooting-syed-rizwan-farook.html?module=inline","0")</f>
        <v>0</v>
      </c>
      <c r="BF144" s="101" t="str">
        <f t="shared" si="371"/>
        <v>0</v>
      </c>
      <c r="BG144" s="101" t="str">
        <f>HYPERLINK("https://www.nytimes.com/2015/12/04/us/san-bernardino-shooting-syed-rizwan-farook.html?module=inline","1")</f>
        <v>1</v>
      </c>
      <c r="BH144" s="51">
        <v>0</v>
      </c>
      <c r="BI144" s="51">
        <v>0</v>
      </c>
      <c r="BJ144" s="101" t="str">
        <f t="shared" ref="BJ144:BJ145" si="372">HYPERLINK("https://www.telegraph.co.uk/news/worldnews/northamerica/usa/12030481/Syed-Farook-what-we-know-about-the-San-Bernardino-gunman.html","0")</f>
        <v>0</v>
      </c>
      <c r="BK144" s="101" t="str">
        <f>HYPERLINK("https://www.nytimes.com/2015/12/03/us/san-bernardino-shooting.html","0")</f>
        <v>0</v>
      </c>
      <c r="BL144" s="108" t="str">
        <f>HYPERLINK("https://www.washingtonpost.com/world/national-security/2015/12/03/a0c7861e-99ef-11e5-b499-76cbec161973_story.html?utm_term=.4a077214221c","0")</f>
        <v>0</v>
      </c>
      <c r="BM144" s="108" t="s">
        <v>100</v>
      </c>
      <c r="BN144" s="110"/>
      <c r="BO144" s="110">
        <v>0</v>
      </c>
      <c r="BP144" s="110">
        <v>0</v>
      </c>
      <c r="BQ144" s="110">
        <v>0</v>
      </c>
      <c r="BR144" s="110">
        <v>0</v>
      </c>
      <c r="BS144" s="110">
        <v>0</v>
      </c>
      <c r="BT144" s="110">
        <v>0</v>
      </c>
      <c r="BU144" s="110">
        <v>0</v>
      </c>
      <c r="BV144" s="110">
        <v>0</v>
      </c>
      <c r="BW144" s="110">
        <v>0</v>
      </c>
      <c r="BX144" s="110">
        <v>0</v>
      </c>
      <c r="BY144" s="101" t="str">
        <f>HYPERLINK("https://www.washingtonpost.com/news/post-nation/wp/2016/12/02/one-year-after-san-bernardino-police-offer-a-possible-motive-as-questions-still-linger/","2")</f>
        <v>2</v>
      </c>
      <c r="BZ144" s="51">
        <v>0</v>
      </c>
      <c r="CA144" s="51">
        <v>0</v>
      </c>
      <c r="CB144" s="51" t="s">
        <v>100</v>
      </c>
      <c r="CC144" s="51">
        <v>0</v>
      </c>
      <c r="CD144" s="51" t="s">
        <v>100</v>
      </c>
      <c r="CE144" s="51">
        <v>0</v>
      </c>
      <c r="CF144" s="101" t="str">
        <f>HYPERLINK("https://www.nytimes.com/2015/12/04/us/san-bernardino-shooting-syed-rizwan-farook.html?module=inline","1")</f>
        <v>1</v>
      </c>
      <c r="CG144" s="51">
        <v>0</v>
      </c>
      <c r="CH144" s="101" t="str">
        <f>HYPERLINK("https://www.nytimes.com/2015/12/04/us/san-bernardino-shooting-syed-rizwan-farook.html?module=inline","0")</f>
        <v>0</v>
      </c>
      <c r="CI144" s="51">
        <v>0</v>
      </c>
      <c r="CJ144" s="51" t="s">
        <v>100</v>
      </c>
      <c r="CK144" s="113">
        <v>0</v>
      </c>
      <c r="CL144" s="113"/>
      <c r="CM144" s="113"/>
      <c r="CN144" s="110">
        <v>0</v>
      </c>
      <c r="CO144" s="110">
        <v>0</v>
      </c>
      <c r="CP144" s="110">
        <v>0</v>
      </c>
      <c r="CQ144" s="110">
        <v>0</v>
      </c>
      <c r="CR144" s="110">
        <v>0</v>
      </c>
      <c r="CS144" s="110">
        <v>0</v>
      </c>
      <c r="CT144" s="110">
        <v>0</v>
      </c>
      <c r="CU144" s="110">
        <v>0</v>
      </c>
      <c r="CV144" s="110">
        <v>0</v>
      </c>
      <c r="CW144" s="110">
        <v>0</v>
      </c>
      <c r="CX144" s="108" t="str">
        <f t="shared" ref="CX144:CX145" si="373">HYPERLINK("https://www.washingtonpost.com/news/post-nation/wp/2016/12/02/one-year-after-san-bernardino-police-offer-a-possible-motive-as-questions-still-linger/","1")</f>
        <v>1</v>
      </c>
      <c r="CY144" s="110">
        <v>0</v>
      </c>
      <c r="CZ144" s="108" t="str">
        <f t="shared" ref="CZ144:CZ145" si="374">HYPERLINK("https://www.nytimes.com/2015/12/03/us/san-bernardino-shooting.html","0")</f>
        <v>0</v>
      </c>
      <c r="DA144" s="51">
        <v>0</v>
      </c>
      <c r="DB144" s="101" t="str">
        <f>HYPERLINK("https://www.washingtonpost.com/news/post-nation/wp/2015/12/05/fbi-investigating-san-bernardino-shooting-as-an-act-of-terrorism/?utm_term=.e9f44541cbd2","1")</f>
        <v>1</v>
      </c>
      <c r="DC144" s="101" t="str">
        <f t="shared" ref="DC144:DC145" si="375">HYPERLINK("https://www.nytimes.com/2015/12/04/us/san-bernardino-shooting-syed-rizwan-farook.html?module=inline","0")</f>
        <v>0</v>
      </c>
      <c r="DD144" s="51"/>
      <c r="DE144" s="51"/>
      <c r="DF144" s="51"/>
      <c r="DG144" s="51"/>
      <c r="DH144" s="51"/>
      <c r="DI144" s="51"/>
      <c r="DJ144" s="101" t="str">
        <f>HYPERLINK("https://www.washingtonpost.com/news/post-nation/wp/2015/12/17/friend-of-san-bernardino-gunman-expected-to-be-charged/","1")</f>
        <v>1</v>
      </c>
      <c r="DK144" s="51">
        <v>0</v>
      </c>
      <c r="DL144" s="48" t="s">
        <v>100</v>
      </c>
      <c r="DM144" s="101" t="str">
        <f t="shared" ref="DM144:DM145" si="376">HYPERLINK("https://www.washingtonpost.com/news/post-nation/wp/2016/12/02/one-year-after-san-bernardino-police-offer-a-possible-motive-as-questions-still-linger/","1")</f>
        <v>1</v>
      </c>
      <c r="DN144" s="51">
        <v>0</v>
      </c>
      <c r="DO144" s="51" t="s">
        <v>100</v>
      </c>
      <c r="DP144" s="101" t="str">
        <f t="shared" ref="DP144:DP145" si="377">HYPERLINK("https://www.cnn.com/2015/12/04/us/san-bernardino-shooting/index.html","1")</f>
        <v>1</v>
      </c>
      <c r="DQ144" s="101" t="str">
        <f t="shared" ref="DQ144:DQ145" si="378">HYPERLINK("https://www.nytimes.com/2015/12/04/us/san-bernardino-shooting.html?module=inline","0")</f>
        <v>0</v>
      </c>
      <c r="DR144" s="48">
        <v>0</v>
      </c>
      <c r="DS144" s="101" t="str">
        <f>HYPERLINK("https://www.cnn.com/2015/12/03/us/syed-farook-tashfeen-malik-mass-shooting-profile/index.html","2")</f>
        <v>2</v>
      </c>
      <c r="DT144" s="101" t="str">
        <f t="shared" ref="DT144:DT145" si="379">HYPERLINK("https://www.nytimes.com/2015/12/04/us/san-bernardino-shooting.html?module=inline","4")</f>
        <v>4</v>
      </c>
      <c r="DU144" s="101" t="str">
        <f t="shared" ref="DU144:DU145" si="380">HYPERLINK("https://www.nytimes.com/2015/12/03/us/san-bernardino-shooting.html","1")</f>
        <v>1</v>
      </c>
      <c r="DV144" s="101" t="str">
        <f t="shared" ref="DV144:DV145" si="381">HYPERLINK("https://www.nytimes.com/2015/12/03/us/san-bernardino-shooting.html","body armor, bombs")</f>
        <v>body armor, bombs</v>
      </c>
      <c r="DW144" s="101" t="str">
        <f>HYPERLINK("https://www.washingtonpost.com/news/post-nation/wp/2016/12/02/one-year-after-san-bernardino-police-offer-a-possible-motive-as-questions-still-linger/?utm_term=.4fd19f4a37b1","1")</f>
        <v>1</v>
      </c>
      <c r="DX144" s="101" t="str">
        <f t="shared" ref="DX144:DX145" si="382">HYPERLINK("https://www.washingtonpost.com/news/post-nation/wp/2016/12/02/one-year-after-san-bernardino-police-offer-a-possible-motive-as-questions-still-linger/","0")</f>
        <v>0</v>
      </c>
      <c r="DY144" s="48">
        <v>2</v>
      </c>
      <c r="DZ144" s="48">
        <v>0</v>
      </c>
    </row>
    <row r="145" spans="1:130" ht="50.25" customHeight="1">
      <c r="A145" s="96">
        <v>143</v>
      </c>
      <c r="B145" s="97" t="s">
        <v>645</v>
      </c>
      <c r="C145" s="97" t="s">
        <v>646</v>
      </c>
      <c r="D145" s="98">
        <v>42340</v>
      </c>
      <c r="E145" s="48" t="s">
        <v>123</v>
      </c>
      <c r="F145" s="119">
        <v>2</v>
      </c>
      <c r="G145" s="102" t="str">
        <f t="shared" si="355"/>
        <v>12</v>
      </c>
      <c r="H145" s="101" t="str">
        <f t="shared" si="356"/>
        <v>2015</v>
      </c>
      <c r="I145" s="48" t="s">
        <v>643</v>
      </c>
      <c r="J145" s="105" t="str">
        <f t="shared" si="357"/>
        <v>San Bernardino</v>
      </c>
      <c r="K145" s="100" t="str">
        <f t="shared" si="358"/>
        <v>5</v>
      </c>
      <c r="L145" s="119">
        <v>3</v>
      </c>
      <c r="M145" s="102" t="str">
        <f t="shared" si="359"/>
        <v>0</v>
      </c>
      <c r="N145" s="102" t="str">
        <f t="shared" si="360"/>
        <v>6</v>
      </c>
      <c r="O145" s="100" t="str">
        <f t="shared" si="361"/>
        <v>1</v>
      </c>
      <c r="P145" s="122" t="str">
        <f>HYPERLINK("https://www.cnn.com/2015/12/03/us/syed-farook-tashfeen-malik-mass-shooting-profile/index.html","8")</f>
        <v>8</v>
      </c>
      <c r="Q145" s="103">
        <v>0</v>
      </c>
      <c r="R145" s="103">
        <v>0</v>
      </c>
      <c r="S145" s="100" t="str">
        <f t="shared" si="362"/>
        <v>14</v>
      </c>
      <c r="T145" s="100" t="str">
        <f t="shared" si="363"/>
        <v>22</v>
      </c>
      <c r="U145" s="101" t="str">
        <f t="shared" si="364"/>
        <v>0</v>
      </c>
      <c r="V145" s="105">
        <v>29</v>
      </c>
      <c r="W145" s="101">
        <v>1</v>
      </c>
      <c r="X145" s="101" t="str">
        <f t="shared" si="365"/>
        <v>4</v>
      </c>
      <c r="Y145" s="105" t="str">
        <f>HYPERLINK("https://www.cnn.com/2015/12/03/us/syed-farook-tashfeen-malik-mass-shooting-profile/index.html","1")</f>
        <v>1</v>
      </c>
      <c r="Z145" s="101" t="str">
        <f t="shared" si="366"/>
        <v>0</v>
      </c>
      <c r="AA145" s="101" t="str">
        <f>HYPERLINK("https://www.cnn.com/2015/12/04/us/tashfeen-malik-san-bernardino-shooting-what-we-know/index.html","2")</f>
        <v>2</v>
      </c>
      <c r="AB145" s="101">
        <v>3</v>
      </c>
      <c r="AC145" s="101" t="str">
        <f>HYPERLINK("https://www.latimes.com/local/california/la-me-terrorist-profile-20160322-story.html","2")</f>
        <v>2</v>
      </c>
      <c r="AD145" s="101" t="str">
        <f>HYPERLINK("https://www.latimes.com/local/california/la-me-terrorist-profile-20160322-story.html","top grades")</f>
        <v>top grades</v>
      </c>
      <c r="AE145" s="48"/>
      <c r="AF145" s="133" t="str">
        <f>HYPERLINK("https://www.latimes.com/world/afghanistan-pakistan/la-fg-malik-profile-20151217-story.html","5")</f>
        <v>5</v>
      </c>
      <c r="AG145" s="48"/>
      <c r="AH145" s="48"/>
      <c r="AI145" s="105" t="str">
        <f t="shared" si="367"/>
        <v>2</v>
      </c>
      <c r="AJ145" s="101" t="str">
        <f>HYPERLINK("https://www.telegraph.co.uk/news/worldnews/northamerica/usa/12030481/Syed-Farook-what-we-know-about-the-San-Bernardino-gunman.html","1")</f>
        <v>1</v>
      </c>
      <c r="AK145" s="101">
        <v>0</v>
      </c>
      <c r="AL145" s="51"/>
      <c r="AM145" s="51">
        <v>0</v>
      </c>
      <c r="AN145" s="48" t="s">
        <v>100</v>
      </c>
      <c r="AO145" s="101" t="str">
        <f>HYPERLINK("https://www.cnn.com/2015/12/06/us/san-bernardino-shooter-tashfeen-malik/index.html","0")</f>
        <v>0</v>
      </c>
      <c r="AP145" s="54"/>
      <c r="AQ145" s="101" t="str">
        <f t="shared" si="369"/>
        <v>0</v>
      </c>
      <c r="AR145" s="51">
        <v>0</v>
      </c>
      <c r="AS145" s="51">
        <v>0</v>
      </c>
      <c r="AT145" s="48">
        <v>0</v>
      </c>
      <c r="AU145" s="48" t="s">
        <v>100</v>
      </c>
      <c r="AV145" s="48" t="s">
        <v>100</v>
      </c>
      <c r="AW145" s="48" t="s">
        <v>100</v>
      </c>
      <c r="AX145" s="48">
        <v>0</v>
      </c>
      <c r="AY145" s="51">
        <v>0</v>
      </c>
      <c r="AZ145" s="101">
        <v>1</v>
      </c>
      <c r="BA145" s="101" t="str">
        <f>HYPERLINK("https://www.washingtonpost.com/news/post-nation/wp/2016/12/02/one-year-after-san-bernardino-police-offer-a-possible-motive-as-questions-still-linger/","3")</f>
        <v>3</v>
      </c>
      <c r="BB145" s="107">
        <v>0</v>
      </c>
      <c r="BC145" s="101" t="str">
        <f t="shared" ref="BC145:BD145" si="383">HYPERLINK("https://www.washingtonpost.com/world/national-security/2015/12/03/a0c7861e-99ef-11e5-b499-76cbec161973_story.html","0")</f>
        <v>0</v>
      </c>
      <c r="BD145" s="101" t="str">
        <f t="shared" si="383"/>
        <v>0</v>
      </c>
      <c r="BE145" s="105">
        <v>0</v>
      </c>
      <c r="BF145" s="101" t="str">
        <f>HYPERLINK("https://www.washingtonpost.com/news/post-nation/wp/2015/12/05/fbi-investigating-san-bernardino-shooting-as-an-act-of-terrorism/","0")</f>
        <v>0</v>
      </c>
      <c r="BG145" s="51"/>
      <c r="BH145" s="51">
        <v>2</v>
      </c>
      <c r="BI145" s="48">
        <v>0</v>
      </c>
      <c r="BJ145" s="105" t="str">
        <f t="shared" si="372"/>
        <v>0</v>
      </c>
      <c r="BK145" s="51">
        <v>0</v>
      </c>
      <c r="BL145" s="108" t="str">
        <f>HYPERLINK("https://www.washingtonpost.com/world/national-security/2015/12/03/a0c7861e-99ef-11e5-b499-76cbec161973_story.html","0")</f>
        <v>0</v>
      </c>
      <c r="BM145" s="108" t="s">
        <v>100</v>
      </c>
      <c r="BN145" s="110"/>
      <c r="BO145" s="110">
        <v>0</v>
      </c>
      <c r="BP145" s="110">
        <v>0</v>
      </c>
      <c r="BQ145" s="110">
        <v>0</v>
      </c>
      <c r="BR145" s="110">
        <v>0</v>
      </c>
      <c r="BS145" s="110">
        <v>0</v>
      </c>
      <c r="BT145" s="110">
        <v>0</v>
      </c>
      <c r="BU145" s="110">
        <v>0</v>
      </c>
      <c r="BV145" s="110">
        <v>0</v>
      </c>
      <c r="BW145" s="110">
        <v>0</v>
      </c>
      <c r="BX145" s="110">
        <v>0</v>
      </c>
      <c r="BY145" s="101" t="str">
        <f>HYPERLINK("https://www.washingtonpost.com/world/national-security/2015/12/03/a0c7861e-99ef-11e5-b499-76cbec161973_story.html","2")</f>
        <v>2</v>
      </c>
      <c r="BZ145" s="51">
        <v>0</v>
      </c>
      <c r="CA145" s="51">
        <v>0</v>
      </c>
      <c r="CB145" s="51" t="s">
        <v>100</v>
      </c>
      <c r="CC145" s="51">
        <v>0</v>
      </c>
      <c r="CD145" s="51" t="s">
        <v>100</v>
      </c>
      <c r="CE145" s="51">
        <v>0</v>
      </c>
      <c r="CF145" s="51">
        <v>0</v>
      </c>
      <c r="CG145" s="51">
        <v>0</v>
      </c>
      <c r="CH145" s="51">
        <v>0</v>
      </c>
      <c r="CI145" s="51">
        <v>0</v>
      </c>
      <c r="CJ145" s="51" t="s">
        <v>100</v>
      </c>
      <c r="CK145" s="117">
        <v>4</v>
      </c>
      <c r="CL145" s="113"/>
      <c r="CM145" s="113"/>
      <c r="CN145" s="110">
        <v>0</v>
      </c>
      <c r="CO145" s="110">
        <v>0</v>
      </c>
      <c r="CP145" s="110">
        <v>0</v>
      </c>
      <c r="CQ145" s="110">
        <v>0</v>
      </c>
      <c r="CR145" s="110">
        <v>0</v>
      </c>
      <c r="CS145" s="110">
        <v>0</v>
      </c>
      <c r="CT145" s="110">
        <v>0</v>
      </c>
      <c r="CU145" s="110">
        <v>0</v>
      </c>
      <c r="CV145" s="110">
        <v>0</v>
      </c>
      <c r="CW145" s="110">
        <v>0</v>
      </c>
      <c r="CX145" s="108" t="str">
        <f t="shared" si="373"/>
        <v>1</v>
      </c>
      <c r="CY145" s="110">
        <v>0</v>
      </c>
      <c r="CZ145" s="108" t="str">
        <f t="shared" si="374"/>
        <v>0</v>
      </c>
      <c r="DA145" s="51">
        <v>0</v>
      </c>
      <c r="DB145" s="101" t="str">
        <f>HYPERLINK("https://www.latimes.com/local/lanow/la-me-ln-tashfeen-malik-facebook-extremist-messages-20151205-story.html","1")</f>
        <v>1</v>
      </c>
      <c r="DC145" s="101" t="str">
        <f t="shared" si="375"/>
        <v>0</v>
      </c>
      <c r="DD145" s="51"/>
      <c r="DE145" s="51"/>
      <c r="DF145" s="51"/>
      <c r="DG145" s="51"/>
      <c r="DH145" s="51"/>
      <c r="DI145" s="51"/>
      <c r="DJ145" s="101" t="str">
        <f>HYPERLINK("https://www.washingtonpost.com/news/post-nation/wp/2015/12/16/fbi-san-bernardino-attackers-didnt-show-public-support-for-jihad-on-social-media/","1")</f>
        <v>1</v>
      </c>
      <c r="DK145" s="51">
        <v>0</v>
      </c>
      <c r="DL145" s="48" t="s">
        <v>100</v>
      </c>
      <c r="DM145" s="101" t="str">
        <f t="shared" si="376"/>
        <v>1</v>
      </c>
      <c r="DN145" s="51">
        <v>0</v>
      </c>
      <c r="DO145" s="51" t="s">
        <v>100</v>
      </c>
      <c r="DP145" s="101" t="str">
        <f t="shared" si="377"/>
        <v>1</v>
      </c>
      <c r="DQ145" s="101" t="str">
        <f t="shared" si="378"/>
        <v>0</v>
      </c>
      <c r="DR145" s="48">
        <v>0</v>
      </c>
      <c r="DS145" s="101" t="str">
        <f>HYPERLINK("https://www.nytimes.com/2015/12/08/us/fbi-says-san-bernardino-assailants-were-radicalized.html","1")</f>
        <v>1</v>
      </c>
      <c r="DT145" s="101" t="str">
        <f t="shared" si="379"/>
        <v>4</v>
      </c>
      <c r="DU145" s="101" t="str">
        <f t="shared" si="380"/>
        <v>1</v>
      </c>
      <c r="DV145" s="101" t="str">
        <f t="shared" si="381"/>
        <v>body armor, bombs</v>
      </c>
      <c r="DW145" s="101">
        <v>1</v>
      </c>
      <c r="DX145" s="101" t="str">
        <f t="shared" si="382"/>
        <v>0</v>
      </c>
      <c r="DY145" s="48">
        <v>2</v>
      </c>
      <c r="DZ145" s="48">
        <v>0</v>
      </c>
    </row>
    <row r="146" spans="1:130" ht="50.25" customHeight="1">
      <c r="A146" s="96">
        <v>144</v>
      </c>
      <c r="B146" s="97" t="s">
        <v>647</v>
      </c>
      <c r="C146" s="97" t="s">
        <v>648</v>
      </c>
      <c r="D146" s="98">
        <v>42420</v>
      </c>
      <c r="E146" s="105" t="s">
        <v>103</v>
      </c>
      <c r="F146" s="119">
        <v>20</v>
      </c>
      <c r="G146" s="102" t="str">
        <f>HYPERLINK("https://www.al.com/news/2016/02/who_is_jason_dalton_man_accuse.html","2")</f>
        <v>2</v>
      </c>
      <c r="H146" s="101" t="str">
        <f>HYPERLINK("https://www.al.com/news/2016/02/who_is_jason_dalton_man_accuse.html","2016")</f>
        <v>2016</v>
      </c>
      <c r="I146" s="105" t="s">
        <v>649</v>
      </c>
      <c r="J146" s="105" t="s">
        <v>650</v>
      </c>
      <c r="K146" s="100">
        <v>22</v>
      </c>
      <c r="L146" s="119">
        <v>1</v>
      </c>
      <c r="M146" s="102" t="str">
        <f>HYPERLINK("https://heavy.com/news/2016/02/jason-dalton-kalamazoo-shooting-spree-suspect-gunman-shooter-name-photos-pictures-facebook-motive-age/","0")</f>
        <v>0</v>
      </c>
      <c r="N146" s="102" t="str">
        <f>HYPERLINK("https://heavy.com/news/2016/02/jason-dalton-kalamazoo-shooting-spree-suspect-gunman-shooter-name-photos-pictures-facebook-motive-age/","5")</f>
        <v>5</v>
      </c>
      <c r="O146" s="100" t="str">
        <f>HYPERLINK("https://heavy.com/news/2016/02/jason-dalton-kalamazoo-shooting-spree-suspect-gunman-shooter-name-photos-pictures-facebook-motive-age/","1")</f>
        <v>1</v>
      </c>
      <c r="P146" s="102" t="str">
        <f>HYPERLINK("https://heavy.com/news/2016/02/jason-dalton-kalamazoo-shooting-spree-suspect-gunman-shooter-name-photos-pictures-facebook-motive-age/","4")</f>
        <v>4</v>
      </c>
      <c r="Q146" s="103">
        <v>0</v>
      </c>
      <c r="R146" s="103">
        <v>0</v>
      </c>
      <c r="S146" s="100">
        <v>6</v>
      </c>
      <c r="T146" s="100" t="str">
        <f>HYPERLINK("https://www.dailymail.co.uk/news/article-3463851/Uber-gunman-Jason-Dalton-tired-depressed-days-leading-deadly-shooting-rampage-wife-s-attorney-reveals.html","2")</f>
        <v>2</v>
      </c>
      <c r="U146" s="101" t="str">
        <f>HYPERLINK("https://www.gq.com/story/the-uber-killer","0")</f>
        <v>0</v>
      </c>
      <c r="V146" s="105">
        <v>45</v>
      </c>
      <c r="W146" s="101">
        <v>0</v>
      </c>
      <c r="X146" s="101">
        <v>0</v>
      </c>
      <c r="Y146" s="106">
        <v>0</v>
      </c>
      <c r="Z146" s="101" t="str">
        <f>HYPERLINK("https://www.nydailynews.com/news/crime/jason-dalton-wife-not-signs-trouble-lawyer-article-1.2548613","0")</f>
        <v>0</v>
      </c>
      <c r="AA146" s="106"/>
      <c r="AB146" s="101">
        <v>2</v>
      </c>
      <c r="AC146" s="101" t="str">
        <f>HYPERLINK("https://www.mlive.com/news/kalamazoo/2016/02/jason_daltons_best_man_said_th.html","1")</f>
        <v>1</v>
      </c>
      <c r="AD146" s="101" t="str">
        <f>HYPERLINK("https://www.mlive.com/news/kalamazoo/2016/02/jason_daltons_best_man_said_th.html","average student")</f>
        <v>average student</v>
      </c>
      <c r="AE146" s="105" t="str">
        <f t="shared" ref="AE146:AH146" si="384">HYPERLINK("https://www.mlive.com/news/kalamazoo/2016/02/jason_daltons_best_man_said_th.html","0")</f>
        <v>0</v>
      </c>
      <c r="AF146" s="105" t="str">
        <f t="shared" si="384"/>
        <v>0</v>
      </c>
      <c r="AG146" s="105" t="str">
        <f t="shared" si="384"/>
        <v>0</v>
      </c>
      <c r="AH146" s="105" t="str">
        <f t="shared" si="384"/>
        <v>0</v>
      </c>
      <c r="AI146" s="105" t="str">
        <f>HYPERLINK("https://www.nydailynews.com/news/crime/jason-dalton-wife-not-signs-trouble-lawyer-article-1.2548613","2")</f>
        <v>2</v>
      </c>
      <c r="AJ146" s="101" t="str">
        <f>HYPERLINK("https://www.freep.com/story/news/local/michigan/2016/02/21/neighbors-kalamazoo-suspect-good-family-man-liked-guns/80702198/","1")</f>
        <v>1</v>
      </c>
      <c r="AK146" s="101">
        <v>1</v>
      </c>
      <c r="AL146" s="101" t="str">
        <f>HYPERLINK("https://www.freep.com/story/news/local/michigan/2016/02/21/neighbors-kalamazoo-suspect-good-family-man-liked-guns/80702198/","2")</f>
        <v>2</v>
      </c>
      <c r="AM146" s="51">
        <v>0</v>
      </c>
      <c r="AN146" s="48" t="s">
        <v>100</v>
      </c>
      <c r="AO146" s="101" t="str">
        <f>HYPERLINK("https://www.freep.com/story/news/local/michigan/2016/02/24/alleged-mass-killer-had-arsenal-guns-home/80848040/","0")</f>
        <v>0</v>
      </c>
      <c r="AP146" s="54"/>
      <c r="AQ146" s="101">
        <v>0</v>
      </c>
      <c r="AR146" s="101" t="str">
        <f>HYPERLINK("https://www.gq.com/story/the-uber-killer","0")</f>
        <v>0</v>
      </c>
      <c r="AS146" s="104" t="str">
        <f>HYPERLINK("https://www.gq.com/story/the-uber-killer","1")</f>
        <v>1</v>
      </c>
      <c r="AT146" s="106" t="s">
        <v>809</v>
      </c>
      <c r="AU146" s="106" t="s">
        <v>100</v>
      </c>
      <c r="AV146" s="106" t="s">
        <v>100</v>
      </c>
      <c r="AW146" s="106" t="s">
        <v>100</v>
      </c>
      <c r="AX146" s="106" t="s">
        <v>809</v>
      </c>
      <c r="AY146" s="51">
        <v>0</v>
      </c>
      <c r="AZ146" s="51">
        <v>0</v>
      </c>
      <c r="BA146" s="106" t="s">
        <v>809</v>
      </c>
      <c r="BB146" s="107">
        <v>0</v>
      </c>
      <c r="BC146" s="104" t="s">
        <v>809</v>
      </c>
      <c r="BD146" s="106" t="s">
        <v>809</v>
      </c>
      <c r="BE146" s="105" t="str">
        <f t="shared" ref="BE146:BF146" si="385">HYPERLINK("https://www.mlive.com/news/kalamazoo/2016/02/jason_daltons_best_man_said_th.html","0")</f>
        <v>0</v>
      </c>
      <c r="BF146" s="104" t="str">
        <f t="shared" si="385"/>
        <v>0</v>
      </c>
      <c r="BG146" s="106"/>
      <c r="BH146" s="106" t="s">
        <v>806</v>
      </c>
      <c r="BI146" s="48">
        <v>0</v>
      </c>
      <c r="BJ146" s="101" t="str">
        <f>HYPERLINK("https://www.nydailynews.com/news/crime/jason-dalton-wife-not-signs-trouble-lawyer-article-1.2548613","0")</f>
        <v>0</v>
      </c>
      <c r="BK146" s="101" t="str">
        <f>HYPERLINK("https://www.mlive.com/news/kalamazoo/2016/02/jason_daltons_best_man_said_th.html","0")</f>
        <v>0</v>
      </c>
      <c r="BL146" s="109">
        <v>1</v>
      </c>
      <c r="BM146" s="109">
        <v>0</v>
      </c>
      <c r="BN146" s="110" t="s">
        <v>3005</v>
      </c>
      <c r="BO146" s="111">
        <v>0</v>
      </c>
      <c r="BP146" s="111">
        <v>0</v>
      </c>
      <c r="BQ146" s="111">
        <v>1</v>
      </c>
      <c r="BR146" s="111">
        <v>0</v>
      </c>
      <c r="BS146" s="111">
        <v>0</v>
      </c>
      <c r="BT146" s="111">
        <v>1</v>
      </c>
      <c r="BU146" s="111">
        <v>0</v>
      </c>
      <c r="BV146" s="111">
        <v>0</v>
      </c>
      <c r="BW146" s="111">
        <v>0</v>
      </c>
      <c r="BX146" s="111">
        <v>0</v>
      </c>
      <c r="BY146" s="104" t="str">
        <f>HYPERLINK("https://www.nydailynews.com/news/crime/jason-dalton-wife-not-signs-trouble-lawyer-article-1.2548613","0")</f>
        <v>0</v>
      </c>
      <c r="BZ146" s="51">
        <v>0</v>
      </c>
      <c r="CA146" s="101" t="str">
        <f>HYPERLINK("https://www.gq.com/story/the-uber-killer","0")</f>
        <v>0</v>
      </c>
      <c r="CB146" s="51" t="s">
        <v>100</v>
      </c>
      <c r="CC146" s="101" t="str">
        <f>HYPERLINK("https://www.gq.com/story/the-uber-killer","0")</f>
        <v>0</v>
      </c>
      <c r="CD146" s="51" t="s">
        <v>100</v>
      </c>
      <c r="CE146" s="101" t="str">
        <f>HYPERLINK("https://www.gq.com/story/the-uber-killer","5")</f>
        <v>5</v>
      </c>
      <c r="CF146" s="51">
        <v>0</v>
      </c>
      <c r="CG146" s="101">
        <v>0</v>
      </c>
      <c r="CH146" s="51">
        <v>0</v>
      </c>
      <c r="CI146" s="51">
        <v>0</v>
      </c>
      <c r="CJ146" s="51" t="s">
        <v>100</v>
      </c>
      <c r="CK146" s="113">
        <v>0</v>
      </c>
      <c r="CL146" s="113"/>
      <c r="CM146" s="113"/>
      <c r="CN146" s="110">
        <v>0</v>
      </c>
      <c r="CO146" s="110">
        <v>0</v>
      </c>
      <c r="CP146" s="110">
        <v>0</v>
      </c>
      <c r="CQ146" s="110">
        <v>0</v>
      </c>
      <c r="CR146" s="110">
        <v>0</v>
      </c>
      <c r="CS146" s="110">
        <v>0</v>
      </c>
      <c r="CT146" s="110">
        <v>0</v>
      </c>
      <c r="CU146" s="110">
        <v>0</v>
      </c>
      <c r="CV146" s="110">
        <v>0</v>
      </c>
      <c r="CW146" s="110">
        <v>0</v>
      </c>
      <c r="CX146" s="109">
        <v>1</v>
      </c>
      <c r="CY146" s="110">
        <v>0</v>
      </c>
      <c r="CZ146" s="108" t="str">
        <f>HYPERLINK("https://www.gq.com/story/the-uber-killer","0")</f>
        <v>0</v>
      </c>
      <c r="DA146" s="101" t="str">
        <f>HYPERLINK("https://www.gq.com/story/the-uber-killer","3")</f>
        <v>3</v>
      </c>
      <c r="DB146" s="51">
        <v>0</v>
      </c>
      <c r="DC146" s="101">
        <v>0</v>
      </c>
      <c r="DD146" s="51"/>
      <c r="DE146" s="51"/>
      <c r="DF146" s="51"/>
      <c r="DG146" s="51"/>
      <c r="DH146" s="51"/>
      <c r="DI146" s="51"/>
      <c r="DJ146" s="51">
        <v>0</v>
      </c>
      <c r="DK146" s="51">
        <v>0</v>
      </c>
      <c r="DL146" s="48" t="s">
        <v>100</v>
      </c>
      <c r="DM146" s="101" t="str">
        <f>HYPERLINK("https://www.gq.com/story/the-uber-killer","0")</f>
        <v>0</v>
      </c>
      <c r="DN146" s="51">
        <v>0</v>
      </c>
      <c r="DO146" s="51" t="s">
        <v>100</v>
      </c>
      <c r="DP146" s="101" t="str">
        <f t="shared" ref="DP146:DQ146" si="386">HYPERLINK("https://www.gq.com/story/the-uber-killer","0")</f>
        <v>0</v>
      </c>
      <c r="DQ146" s="101" t="str">
        <f t="shared" si="386"/>
        <v>0</v>
      </c>
      <c r="DR146" s="104" t="str">
        <f>HYPERLINK("https://www.freep.com/story/news/local/michigan/2016/02/24/alleged-mass-killer-had-arsenal-guns-home/80848040/","1")</f>
        <v>1</v>
      </c>
      <c r="DS146" s="101" t="str">
        <f>HYPERLINK("https://www.freep.com/story/news/local/michigan/2016/02/24/alleged-mass-killer-had-arsenal-guns-home/80848040/","3")</f>
        <v>3</v>
      </c>
      <c r="DT146" s="101" t="str">
        <f t="shared" ref="DT146" si="387">HYPERLINK("https://www.mlive.com/news/kalamazoo/2016/03/police_believe_jason_dalton_us.html","2")</f>
        <v>2</v>
      </c>
      <c r="DU146" s="101" t="str">
        <f>HYPERLINK("https://www.mlive.com/news/kalamazoo/2016/03/police_believe_jason_dalton_us.html","1")</f>
        <v>1</v>
      </c>
      <c r="DV146" s="101" t="str">
        <f>HYPERLINK("https://www.mlive.com/news/kalamazoo/2016/03/police_believe_jason_dalton_us.html","bulletproof vest")</f>
        <v>bulletproof vest</v>
      </c>
      <c r="DW146" s="101">
        <v>2</v>
      </c>
      <c r="DX146" s="101" t="str">
        <f>HYPERLINK("https://www.gq.com/story/the-uber-killer","0")</f>
        <v>0</v>
      </c>
      <c r="DY146" s="104" t="str">
        <f>HYPERLINK("https://www.npr.org/2019/01/07/683019959/former-uber-driver-pleads-guilty-to-2016-killing-rampage-in-michigan","0")</f>
        <v>0</v>
      </c>
      <c r="DZ146" s="164" t="str">
        <f>HYPERLINK("https://www.mlive.com/news/kalamazoo/2019/02/jason-dalton-sentenced-to-life-in-prison-for-2016-kalamazoo-killings.html","2")</f>
        <v>2</v>
      </c>
    </row>
    <row r="147" spans="1:130" ht="56" customHeight="1">
      <c r="A147" s="169" t="s">
        <v>2149</v>
      </c>
      <c r="B147" s="170"/>
      <c r="C147" s="170"/>
      <c r="D147" s="171">
        <v>42438</v>
      </c>
      <c r="E147" s="144" t="s">
        <v>123</v>
      </c>
      <c r="F147" s="172">
        <v>9</v>
      </c>
      <c r="G147" s="173">
        <v>3</v>
      </c>
      <c r="H147" s="174" t="str">
        <f t="shared" ref="H147" si="388">HYPERLINK("https://www.post-gazette.com/local/city/2018/12/17/Wilkinsburg-mass-shooting-death-penalty-Shelton-Thomas/stories/201812170130","2016")</f>
        <v>2016</v>
      </c>
      <c r="I147" s="144" t="s">
        <v>651</v>
      </c>
      <c r="J147" s="174" t="s">
        <v>652</v>
      </c>
      <c r="K147" s="173">
        <v>38</v>
      </c>
      <c r="L147" s="173">
        <v>2</v>
      </c>
      <c r="M147" s="173" t="str">
        <f t="shared" ref="M147" si="389">HYPERLINK("https://www.usnews.com/news/best-states/pennsylvania/articles/2018-12-18/judge-considers-motion-to-bar-execution-in-cookout-slayings","1")</f>
        <v>1</v>
      </c>
      <c r="N147" s="173" t="str">
        <f t="shared" ref="N147" si="390">HYPERLINK("https://www.wtae.com/article/paralyzed-wilkinsburg-ambush-survivor-talks-about-attack-1/7479437","7")</f>
        <v>7</v>
      </c>
      <c r="O147" s="173" t="str">
        <f t="shared" ref="O147" si="391">HYPERLINK("https://www.wtae.com/article/two-men-charged-with-homicide-in-connection-with-wilkinsburg-backyard-ambush/7480821","0")</f>
        <v>0</v>
      </c>
      <c r="P147" s="175" t="s">
        <v>100</v>
      </c>
      <c r="Q147" s="174">
        <v>0</v>
      </c>
      <c r="R147" s="174"/>
      <c r="S147" s="173" t="str">
        <f t="shared" ref="S147" si="392">HYPERLINK("https://www.post-gazette.com/news/crime-courts/2018/12/10/cheron-Shelton-Wilkinsburg-robert-Thomas-cookout-mass-shooting-allegheny-county-patrick-miller/stories/201812100138","5")</f>
        <v>5</v>
      </c>
      <c r="T147" s="173" t="str">
        <f t="shared" ref="T147" si="393">HYPERLINK("https://www.post-gazette.com/news/crime-courts/2018/05/15/Wilkinsburg-mass-slaying-2016-Judge-David-Cashman-recuse-Cheron-Shelton-Robert-Thomas/stories/201805150085","3")</f>
        <v>3</v>
      </c>
      <c r="U147" s="174" t="str">
        <f t="shared" ref="U147" si="394">HYPERLINK("https://www.wtae.com/article/two-men-charged-with-homicide-in-connection-with-wilkinsburg-backyard-ambush/7480821","0")</f>
        <v>0</v>
      </c>
      <c r="AC147" s="53"/>
      <c r="AD147" s="53"/>
      <c r="AO147" s="53"/>
      <c r="AP147" s="53"/>
      <c r="BB147" s="53"/>
      <c r="BN147" s="95"/>
      <c r="BO147" s="95"/>
      <c r="BP147" s="95"/>
      <c r="BQ147" s="95"/>
      <c r="BR147" s="95"/>
      <c r="BS147" s="95"/>
      <c r="BT147" s="95"/>
      <c r="BU147" s="95"/>
      <c r="BV147" s="95"/>
      <c r="BW147" s="95"/>
      <c r="BX147" s="95"/>
      <c r="CB147" s="54"/>
    </row>
    <row r="148" spans="1:130" ht="50.25" customHeight="1">
      <c r="A148" s="96">
        <v>147</v>
      </c>
      <c r="B148" s="97" t="s">
        <v>653</v>
      </c>
      <c r="C148" s="97" t="s">
        <v>551</v>
      </c>
      <c r="D148" s="98">
        <v>42533</v>
      </c>
      <c r="E148" s="48" t="s">
        <v>137</v>
      </c>
      <c r="F148" s="99">
        <v>12</v>
      </c>
      <c r="G148" s="100" t="str">
        <f>HYPERLINK("http://www.cnn.com/2016/09/23/us/orlando-shooter-hostage-negotiator-call/index.html","6")</f>
        <v>6</v>
      </c>
      <c r="H148" s="101" t="str">
        <f>HYPERLINK("http://www.miamiherald.com/news/nation-world/national/article84370692.html","2016")</f>
        <v>2016</v>
      </c>
      <c r="I148" s="48" t="s">
        <v>654</v>
      </c>
      <c r="J148" s="101" t="str">
        <f>HYPERLINK(" http://www.cnn.com/2016/06/12/us/orlando-nightclub-shooting/index.html","Orlando ")</f>
        <v xml:space="preserve">Orlando </v>
      </c>
      <c r="K148" s="100" t="str">
        <f>HYPERLINK(" http://www.cnn.com/2016/06/12/us/orlando-nightclub-shooting/index.html","9")</f>
        <v>9</v>
      </c>
      <c r="L148" s="100" t="str">
        <f>HYPERLINK("https://www.cnn.com/2016/06/12/us/orlando-nightclub-shooting/index.html","0")</f>
        <v>0</v>
      </c>
      <c r="M148" s="102" t="str">
        <f>HYPERLINK("http://www.cnn.com/2016/06/12/us/orlando-nightclub-shooting/index.html","0")</f>
        <v>0</v>
      </c>
      <c r="N148" s="100" t="str">
        <f>HYPERLINK("https://www.cnn.com/2018/03/06/us/pulse-shooting-mateen-scouted-other-sites/index.html","5")</f>
        <v>5</v>
      </c>
      <c r="O148" s="100" t="str">
        <f>HYPERLINK("https://www.cnn.com/2016/06/12/us/orlando-nightclub-shooting/index.html","0")</f>
        <v>0</v>
      </c>
      <c r="P148" s="99" t="s">
        <v>100</v>
      </c>
      <c r="Q148" s="103">
        <v>0</v>
      </c>
      <c r="R148" s="103">
        <v>0</v>
      </c>
      <c r="S148" s="100" t="str">
        <f>HYPERLINK(" http://www.cnn.com/2016/09/23/us/orlando-shooter-hostage-negotiator-call/index.html","49")</f>
        <v>49</v>
      </c>
      <c r="T148" s="100" t="str">
        <f>HYPERLINK("https://www.cnn.com/2016/06/12/us/orlando-nightclub-shooting/index.html","53")</f>
        <v>53</v>
      </c>
      <c r="U148" s="105" t="str">
        <f>HYPERLINK("https://www.orlandoweekly.com/Blogs/archives/2018/04/03/noor-salmans-trial-gave-us-the-best-glimpse-of-what-actually-led-to-the-pulse-shooting","1")</f>
        <v>1</v>
      </c>
      <c r="V148" s="105" t="str">
        <f>HYPERLINK("https://www.nytimes.com/2016/06/14/us/politics/orlando-shooting-omar-mateen.html","29")</f>
        <v>29</v>
      </c>
      <c r="W148" s="105" t="str">
        <f>HYPERLINK("http://www.cnn.com/2016/09/23/us/orlando-shooter-hostage-negotiator-call/index.html","0")</f>
        <v>0</v>
      </c>
      <c r="X148" s="105" t="str">
        <f>HYPERLINK("https://www.nytimes.com/2016/06/14/us/politics/orlando-shooting-omar-mateen.html","4")</f>
        <v>4</v>
      </c>
      <c r="Y148" s="105" t="str">
        <f>HYPERLINK("https://www.cnn.com/2016/06/12/us/orlando-nightclub-shooting/index.html","0")</f>
        <v>0</v>
      </c>
      <c r="Z148" s="105" t="str">
        <f>HYPERLINK("https://time.com/4369577/orlando-shooting-sitora-yusufiy-omar-mateen-gay/","1")</f>
        <v>1</v>
      </c>
      <c r="AA148" s="105" t="str">
        <f>HYPERLINK("https://www.washingtonpost.com/national/troubled-quiet-macho-angry-the-volatile-life-of-omar-mateen/2016/06/17/15229250-34a6-11e6-8758-d58e76e11b12_story.html","2")</f>
        <v>2</v>
      </c>
      <c r="AB148" s="105" t="str">
        <f>HYPERLINK("https://www.nytimes.com/2016/06/14/us/politics/orlando-shooting-omar-mateen.html","2")</f>
        <v>2</v>
      </c>
      <c r="AC148" s="101" t="str">
        <f>HYPERLINK("https://www.nytimes.com/2016/06/19/us/omar-mateen-gunman-orlando-shooting.html","1")</f>
        <v>1</v>
      </c>
      <c r="AD148" s="101" t="str">
        <f>HYPERLINK("https://www.nytimes.com/2016/06/19/us/omar-mateen-gunman-orlando-shooting.html","top half of class, though formerly a very poor student")</f>
        <v>top half of class, though formerly a very poor student</v>
      </c>
      <c r="AE148" s="105" t="str">
        <f>HYPERLINK("https://www.sun-sentinel.com/news/fl-omar-mateen-family-details-20160619-story.html","2")</f>
        <v>2</v>
      </c>
      <c r="AF148" s="105" t="str">
        <f>HYPERLINK("https://www.sun-sentinel.com/news/fl-omar-mateen-family-details-20160619-story.html","3")</f>
        <v>3</v>
      </c>
      <c r="AG148" s="105" t="str">
        <f>HYPERLINK("https://www.sun-sentinel.com/news/fl-omar-mateen-family-details-20160619-story.html","1")</f>
        <v>1</v>
      </c>
      <c r="AH148" s="105" t="str">
        <f>HYPERLINK("https://www.sun-sentinel.com/news/fl-omar-mateen-family-details-20160619-story.html","2")</f>
        <v>2</v>
      </c>
      <c r="AI148" s="105" t="str">
        <f>HYPERLINK("http://www.cnn.com/2017/01/16/us/omar-mateen-wife-arrested/index.html","2")</f>
        <v>2</v>
      </c>
      <c r="AJ148" s="105" t="str">
        <f>HYPERLINK("http://www.orlandosentinel.com/news/pulse-orlando-nightclub-shooting/os-omar-mateen-son-20161215-story.html","1")</f>
        <v>1</v>
      </c>
      <c r="AK148" s="105" t="str">
        <f>HYPERLINK("https://www.newyorker.com/news/news-desk/the-security-firm-that-employed-the-orlando-shooter-protects-american-nuclear-facilities","1")</f>
        <v>1</v>
      </c>
      <c r="AL148" s="105" t="str">
        <f>HYPERLINK("https://www.newyorker.com/news/news-desk/the-security-firm-that-employed-the-orlando-shooter-protects-american-nuclear-facilities","0")</f>
        <v>0</v>
      </c>
      <c r="AM148" s="105" t="str">
        <f>HYPERLINK("http://www.independent.co.uk/news/world/americas/omar-mateen-orlando-gay-lgbt-nightclub-shooting-shooter-gunman-what-we-know-florida-a7090301.html","0")</f>
        <v>0</v>
      </c>
      <c r="AN148" s="48" t="s">
        <v>100</v>
      </c>
      <c r="AO148" s="101" t="str">
        <f>HYPERLINK("https://www.nytimes.com/2016/06/19/us/omar-mateen-gunman-orlando-shooting.html","1")</f>
        <v>1</v>
      </c>
      <c r="AP148" s="101" t="str">
        <f>HYPERLINK("https://www.nytimes.com/2016/06/19/us/omar-mateen-gunman-orlando-shooting.html","mosque")</f>
        <v>mosque</v>
      </c>
      <c r="AQ148" s="105" t="str">
        <f>HYPERLINK("https://www.cnn.com/2016/06/12/us/orlando-nightclub-shooting/index.html","1")</f>
        <v>1</v>
      </c>
      <c r="AR148" s="48">
        <v>0</v>
      </c>
      <c r="AS148" s="101" t="str">
        <f t="shared" ref="AS148:AT148" si="395">HYPERLINK("https://www.nytimes.com/2016/06/14/us/politics/orlando-shooting-omar-mateen.html","1")</f>
        <v>1</v>
      </c>
      <c r="AT148" s="101" t="str">
        <f t="shared" si="395"/>
        <v>1</v>
      </c>
      <c r="AU148" s="101">
        <v>1</v>
      </c>
      <c r="AV148" s="101">
        <v>3</v>
      </c>
      <c r="AW148" s="51"/>
      <c r="AX148" s="51">
        <v>0</v>
      </c>
      <c r="AY148" s="48">
        <v>0</v>
      </c>
      <c r="AZ148" s="105" t="str">
        <f>HYPERLINK("https://www.nytimes.com/2016/06/14/us/politics/orlando-shooting-omar-mateen.html","1")</f>
        <v>1</v>
      </c>
      <c r="BA148" s="105" t="str">
        <f>HYPERLINK("https://www.nytimes.com/2016/06/14/us/politics/orlando-shooting-omar-mateen.html","3")</f>
        <v>3</v>
      </c>
      <c r="BB148" s="141" t="str">
        <f>HYPERLINK("https://www.nytimes.com/2016/06/14/us/politics/orlando-shooting-omar-mateen.html","2")</f>
        <v>2</v>
      </c>
      <c r="BC148" s="105" t="str">
        <f t="shared" ref="BC148:BD148" si="396">HYPERLINK("https://www.washingtonpost.com/national/troubled-quiet-macho-angry-the-volatile-life-of-omar-mateen/2016/06/17/15229250-34a6-11e6-8758-d58e76e11b12_story.html","1")</f>
        <v>1</v>
      </c>
      <c r="BD148" s="105" t="str">
        <f t="shared" si="396"/>
        <v>1</v>
      </c>
      <c r="BE148" s="105" t="str">
        <f t="shared" ref="BE148:BF148" si="397">HYPERLINK("https://www.miamiherald.com/news/nation-world/national/article84370692.html","0")</f>
        <v>0</v>
      </c>
      <c r="BF148" s="101" t="str">
        <f t="shared" si="397"/>
        <v>0</v>
      </c>
      <c r="BG148" s="101" t="str">
        <f>HYPERLINK("https://www.miamiherald.com/news/nation-world/national/article84370692.html","1")</f>
        <v>1</v>
      </c>
      <c r="BH148" s="51">
        <v>2</v>
      </c>
      <c r="BI148" s="48">
        <v>0</v>
      </c>
      <c r="BJ148" s="105" t="str">
        <f>HYPERLINK("https://www.cnn.com/2017/01/16/us/omar-mateen-wife-arrested/index.html","0")</f>
        <v>0</v>
      </c>
      <c r="BK148" s="101" t="str">
        <f>HYPERLINK("https://www.newyorker.com/news/news-desk/the-security-firm-that-employed-the-orlando-shooter-protects-american-nuclear-facilities","0")</f>
        <v>0</v>
      </c>
      <c r="BL148" s="108" t="str">
        <f>HYPERLINK("http://www.cnn.com/2017/01/16/us/omar-mateen-wife-arrested/index.html","1")</f>
        <v>1</v>
      </c>
      <c r="BM148" s="109">
        <v>1</v>
      </c>
      <c r="BN148" s="110" t="s">
        <v>2969</v>
      </c>
      <c r="BO148" s="111">
        <v>0</v>
      </c>
      <c r="BP148" s="111">
        <v>0</v>
      </c>
      <c r="BQ148" s="111">
        <v>0</v>
      </c>
      <c r="BR148" s="111">
        <v>0</v>
      </c>
      <c r="BS148" s="111">
        <v>1</v>
      </c>
      <c r="BT148" s="111">
        <v>1</v>
      </c>
      <c r="BU148" s="111">
        <v>1</v>
      </c>
      <c r="BV148" s="111">
        <v>0</v>
      </c>
      <c r="BW148" s="111">
        <v>0</v>
      </c>
      <c r="BX148" s="111">
        <v>0</v>
      </c>
      <c r="BY148" s="105" t="str">
        <f>HYPERLINK("https://www.cnn.com/2017/01/16/us/omar-mateen-wife-arrested/index.html","2")</f>
        <v>2</v>
      </c>
      <c r="BZ148" s="51">
        <v>0</v>
      </c>
      <c r="CA148" s="51">
        <v>0</v>
      </c>
      <c r="CB148" s="48" t="s">
        <v>100</v>
      </c>
      <c r="CC148" s="48">
        <v>0</v>
      </c>
      <c r="CD148" s="48" t="s">
        <v>100</v>
      </c>
      <c r="CE148" s="105" t="str">
        <f>HYPERLINK("https://www.theguardian.com/us-news/2016/jun/13/orlando-massacre-omar-mateens-ex-wife-says-he-beat-her-and-held-her-hostage","5")</f>
        <v>5</v>
      </c>
      <c r="CF148" s="105" t="str">
        <f>HYPERLINK("https://time.com/4368982/orlando-shooting-siddique-mateen-videos/","1")</f>
        <v>1</v>
      </c>
      <c r="CG148" s="48">
        <v>0</v>
      </c>
      <c r="CH148" s="105">
        <v>4</v>
      </c>
      <c r="CI148" s="48">
        <v>0</v>
      </c>
      <c r="CJ148" s="51" t="s">
        <v>100</v>
      </c>
      <c r="CK148" s="117">
        <v>1</v>
      </c>
      <c r="CL148" s="117">
        <v>2</v>
      </c>
      <c r="CM148" s="117">
        <v>3</v>
      </c>
      <c r="CN148" s="110">
        <v>0</v>
      </c>
      <c r="CO148" s="110">
        <v>0</v>
      </c>
      <c r="CP148" s="108">
        <v>0</v>
      </c>
      <c r="CQ148" s="109">
        <v>0</v>
      </c>
      <c r="CR148" s="110">
        <v>0</v>
      </c>
      <c r="CS148" s="110">
        <v>0</v>
      </c>
      <c r="CT148" s="110">
        <v>0</v>
      </c>
      <c r="CU148" s="110">
        <v>0</v>
      </c>
      <c r="CV148" s="110">
        <v>0</v>
      </c>
      <c r="CW148" s="118" t="str">
        <f>HYPERLINK("https://time.com/4371910/orlando-shooting-omar-mateen-facebook/","1")</f>
        <v>1</v>
      </c>
      <c r="CX148" s="127">
        <v>1</v>
      </c>
      <c r="CY148" s="116">
        <v>0</v>
      </c>
      <c r="CZ148" s="108" t="str">
        <f>HYPERLINK("https://www.cnn.com/2016/06/12/us/orlando-nightclub-shooting/index.html","0")</f>
        <v>0</v>
      </c>
      <c r="DA148" s="48">
        <v>0</v>
      </c>
      <c r="DB148" s="105" t="str">
        <f>HYPERLINK("https://nypost.com/2016/06/16/orlando-gunman-checked-to-see-if-massacre-was-trending-on-facebook/","1")</f>
        <v>1</v>
      </c>
      <c r="DC148" s="141" t="str">
        <f>HYPERLINK("http://www.cnn.com/2017/01/16/us/omar-mateen-wife-arrested/index.html","1")</f>
        <v>1</v>
      </c>
      <c r="DD148" s="107">
        <v>0</v>
      </c>
      <c r="DE148" s="51">
        <v>2</v>
      </c>
      <c r="DF148" s="51">
        <v>1</v>
      </c>
      <c r="DG148" s="51"/>
      <c r="DH148" s="51"/>
      <c r="DI148" s="51"/>
      <c r="DJ148" s="105" t="str">
        <f>HYPERLINK("https://www.cnn.com/2016/06/12/us/orlando-nightclub-shooting/index.html","1")</f>
        <v>1</v>
      </c>
      <c r="DK148" s="48">
        <v>0</v>
      </c>
      <c r="DL148" s="48" t="s">
        <v>100</v>
      </c>
      <c r="DM148" s="105" t="str">
        <f>HYPERLINK("https://www.nytimes.com/2016/06/14/us/politics/orlando-shooting-omar-mateen.html","0")</f>
        <v>0</v>
      </c>
      <c r="DN148" s="51">
        <v>0</v>
      </c>
      <c r="DO148" s="51" t="s">
        <v>100</v>
      </c>
      <c r="DP148" s="101" t="str">
        <f>HYPERLINK("https://www.orlandoweekly.com/Blogs/archives/2018/04/03/noor-salmans-trial-gave-us-the-best-glimpse-of-what-actually-led-to-the-pulse-shooting","1")</f>
        <v>1</v>
      </c>
      <c r="DQ148" s="101" t="str">
        <f>HYPERLINK("https://nypost.com/2016/06/16/orlando-gunman-checked-to-see-if-massacre-was-trending-on-facebook/","1")</f>
        <v>1</v>
      </c>
      <c r="DR148" s="101">
        <v>1</v>
      </c>
      <c r="DS148" s="101" t="str">
        <f>HYPERLINK("https://www.nbcnews.com/storyline/orlando-nightclub-massacre/orlando-shooter-omar-mateen-talked-about-bringing-gun-training-class-n594786","2")</f>
        <v>2</v>
      </c>
      <c r="DT148" s="105" t="str">
        <f>HYPERLINK("http://time.com/4367592/orlando-shooting-gun-store-owner/","2")</f>
        <v>2</v>
      </c>
      <c r="DU148" s="105" t="str">
        <f>HYPERLINK("https://www.cnn.com/2016/06/12/us/orlando-nightclub-shooting/index.html","0")</f>
        <v>0</v>
      </c>
      <c r="DV148" s="48" t="s">
        <v>100</v>
      </c>
      <c r="DW148" s="105" t="str">
        <f>HYPERLINK("https://www.npr.org/sections/thetwo-way/2016/08/06/488995522/orlando-nightclub-killer-was-shot-8-times-by-law-enforcement-autopsy-says","1")</f>
        <v>1</v>
      </c>
      <c r="DX148" s="105" t="str">
        <f>HYPERLINK("https://www.npr.org/sections/thetwo-way/2016/08/06/488995522/orlando-nightclub-killer-was-shot-8-times-by-law-enforcement-autopsy-says","0")</f>
        <v>0</v>
      </c>
      <c r="DY148" s="51">
        <v>2</v>
      </c>
      <c r="DZ148" s="48">
        <v>0</v>
      </c>
    </row>
    <row r="149" spans="1:130" ht="50.25" customHeight="1">
      <c r="A149" s="96">
        <v>148</v>
      </c>
      <c r="B149" s="97" t="s">
        <v>371</v>
      </c>
      <c r="C149" s="97" t="s">
        <v>655</v>
      </c>
      <c r="D149" s="98">
        <v>42558</v>
      </c>
      <c r="E149" s="48" t="s">
        <v>178</v>
      </c>
      <c r="F149" s="119">
        <v>7</v>
      </c>
      <c r="G149" s="102">
        <v>7</v>
      </c>
      <c r="H149" s="101">
        <v>2016</v>
      </c>
      <c r="I149" s="48" t="s">
        <v>656</v>
      </c>
      <c r="J149" s="101" t="s">
        <v>218</v>
      </c>
      <c r="K149" s="102">
        <v>43</v>
      </c>
      <c r="L149" s="102">
        <v>0</v>
      </c>
      <c r="M149" s="102">
        <v>0</v>
      </c>
      <c r="N149" s="122" t="str">
        <f>HYPERLINK("https://www.washingtonpost.com/news/morning-mix/wp/2016/07/08/like-a-little-war-snipers-shoot-11-police-officers-during-dallas-protest-march-killing-five/","8")</f>
        <v>8</v>
      </c>
      <c r="O149" s="102">
        <v>0</v>
      </c>
      <c r="P149" s="99" t="s">
        <v>100</v>
      </c>
      <c r="Q149" s="103">
        <v>1</v>
      </c>
      <c r="R149" s="103">
        <v>1</v>
      </c>
      <c r="S149" s="102">
        <v>5</v>
      </c>
      <c r="T149" s="102">
        <v>7</v>
      </c>
      <c r="U149" s="101" t="str">
        <f>HYPERLINK("https://www.cnn.com/2016/07/08/us/philando-castile-alton-sterling-protests/index.html","0")</f>
        <v>0</v>
      </c>
      <c r="V149" s="101">
        <v>25</v>
      </c>
      <c r="W149" s="101">
        <v>0</v>
      </c>
      <c r="X149" s="101" t="str">
        <f>HYPERLINK("https://www.nbcnews.com/storyline/dallas-police-ambush/dallas-gunman-micah-johnson-used-saiga-ak-74-assault-style-n608311","1")</f>
        <v>1</v>
      </c>
      <c r="Y149" s="105">
        <v>0</v>
      </c>
      <c r="Z149" s="51">
        <v>0</v>
      </c>
      <c r="AA149" s="101">
        <v>1</v>
      </c>
      <c r="AB149" s="101">
        <v>1</v>
      </c>
      <c r="AC149" s="101" t="str">
        <f>HYPERLINK("https://www.chicagotribune.com/nation-world/ct-dallas-gunman-micah-johnson-army-discharge-20160715-story.html","0")</f>
        <v>0</v>
      </c>
      <c r="AD149" s="101" t="str">
        <f>HYPERLINK("https://www.chicagotribune.com/nation-world/ct-dallas-gunman-micah-johnson-army-discharge-20160715-story.html","1.98 GPA")</f>
        <v>1.98 GPA</v>
      </c>
      <c r="AE149" s="101" t="str">
        <f>HYPERLINK("https://www.smh.com.au/world/dallas-shooting-who-was-micah-xavier-johnson-20160710-gq2j3l.html","1")</f>
        <v>1</v>
      </c>
      <c r="AF149" s="101" t="str">
        <f>HYPERLINK("https://www.smh.com.au/world/dallas-shooting-who-was-micah-xavier-johnson-20160710-gq2j3l.html","2")</f>
        <v>2</v>
      </c>
      <c r="AG149" s="101" t="str">
        <f>HYPERLINK("https://www.smh.com.au/world/dallas-shooting-who-was-micah-xavier-johnson-20160710-gq2j3l.html","0")</f>
        <v>0</v>
      </c>
      <c r="AH149" s="101" t="str">
        <f>HYPERLINK("https://www.smh.com.au/world/dallas-shooting-who-was-micah-xavier-johnson-20160710-gq2j3l.html","2")</f>
        <v>2</v>
      </c>
      <c r="AI149" s="101">
        <v>0</v>
      </c>
      <c r="AJ149" s="51">
        <v>0</v>
      </c>
      <c r="AK149" s="101">
        <v>1</v>
      </c>
      <c r="AL149" s="101">
        <v>0</v>
      </c>
      <c r="AM149" s="101">
        <v>1</v>
      </c>
      <c r="AN149" s="101" t="str">
        <f>HYPERLINK("https://www.cnn.com/2016/07/08/us/philando-castile-alton-sterling-protests/index.html","0")</f>
        <v>0</v>
      </c>
      <c r="AO149" s="101" t="str">
        <f>HYPERLINK("https://www.chicagotribune.com/nation-world/ct-dallas-gunman-micah-johnson-army-discharge-20160715-story.html","1")</f>
        <v>1</v>
      </c>
      <c r="AP149" s="150" t="str">
        <f>HYPERLINK("https://www.chicagotribune.com/nation-world/ct-dallas-gunman-micah-johnson-army-discharge-20160715-story.html","attended protests and events, went to self-defense classes")</f>
        <v>attended protests and events, went to self-defense classes</v>
      </c>
      <c r="AQ149" s="101" t="str">
        <f>HYPERLINK("https://abcnews.go.com/US/dallas-shooting-suspect-wanted-kill-white-people-white/story?id=40431306","0")</f>
        <v>0</v>
      </c>
      <c r="AR149" s="51">
        <v>0</v>
      </c>
      <c r="AS149" s="101">
        <v>1</v>
      </c>
      <c r="AT149" s="48">
        <v>0</v>
      </c>
      <c r="AU149" s="48" t="s">
        <v>100</v>
      </c>
      <c r="AV149" s="48" t="s">
        <v>100</v>
      </c>
      <c r="AW149" s="48" t="s">
        <v>100</v>
      </c>
      <c r="AX149" s="105" t="str">
        <f>HYPERLINK("https://www.npr.org/sections/thetwo-way/2016/07/30/488027623/hidden-panties-and-explosives-army-releases-bizarre-details-about-dallas-shooter","1")</f>
        <v>1</v>
      </c>
      <c r="AY149" s="51">
        <v>0</v>
      </c>
      <c r="AZ149" s="104" t="s">
        <v>809</v>
      </c>
      <c r="BA149" s="141" t="str">
        <f>HYPERLINK("https://www.cnn.com/2016/07/10/us/micah-johnson-dallas-radicalized-online/index.html","1")</f>
        <v>1</v>
      </c>
      <c r="BB149" s="141" t="str">
        <f>HYPERLINK("https://www.dallasnews.com/news/2016/08/24/dallas-shooter-showed-signs-of-ptsd-when-he-returned-from-afghanistan-va-records-show/","1")</f>
        <v>1</v>
      </c>
      <c r="BC149" s="101">
        <v>0</v>
      </c>
      <c r="BD149" s="101">
        <v>0</v>
      </c>
      <c r="BE149" s="101">
        <v>1</v>
      </c>
      <c r="BF149" s="101" t="str">
        <f>HYPERLINK("https://www.telegraph.co.uk/news/2016/07/08/dallas-shooting-who-is-micah-johnson/","0")</f>
        <v>0</v>
      </c>
      <c r="BG149" s="51"/>
      <c r="BH149" s="51">
        <v>1</v>
      </c>
      <c r="BI149" s="101">
        <v>0</v>
      </c>
      <c r="BJ149" s="51">
        <v>0</v>
      </c>
      <c r="BK149" s="101" t="str">
        <f>HYPERLINK("https://www.nbcnews.com/storyline/dallas-police-ambush/dallas-shooter-micah-xavier-johnson-was-army-veteran-n606101","0")</f>
        <v>0</v>
      </c>
      <c r="BL149" s="109">
        <v>1</v>
      </c>
      <c r="BM149" s="109">
        <v>0</v>
      </c>
      <c r="BN149" s="110" t="s">
        <v>3155</v>
      </c>
      <c r="BO149" s="110">
        <v>1</v>
      </c>
      <c r="BP149" s="110">
        <v>0</v>
      </c>
      <c r="BQ149" s="110">
        <v>0</v>
      </c>
      <c r="BR149" s="110">
        <v>0</v>
      </c>
      <c r="BS149" s="110">
        <v>0</v>
      </c>
      <c r="BT149" s="110">
        <v>1</v>
      </c>
      <c r="BU149" s="110">
        <v>0</v>
      </c>
      <c r="BV149" s="110">
        <v>0</v>
      </c>
      <c r="BW149" s="110">
        <v>0</v>
      </c>
      <c r="BX149" s="110">
        <v>0</v>
      </c>
      <c r="BY149" s="51">
        <v>0</v>
      </c>
      <c r="BZ149" s="51">
        <v>0</v>
      </c>
      <c r="CA149" s="51">
        <v>0</v>
      </c>
      <c r="CB149" s="51" t="s">
        <v>100</v>
      </c>
      <c r="CC149" s="101" t="str">
        <f>HYPERLINK("https://apnews.com/db67234bb9a24041ab447858ffc2e1f4/soldier-who-killed-5-dallas-officers-showed-ptsd-symptoms","1")</f>
        <v>1</v>
      </c>
      <c r="CD149" s="141" t="str">
        <f>HYPERLINK("https://apnews.com/db67234bb9a24041ab447858ffc2e1f4/soldier-who-killed-5-dallas-officers-showed-ptsd-symptoms","0")</f>
        <v>0</v>
      </c>
      <c r="CE149" s="101" t="str">
        <f>HYPERLINK("https://apnews.com/db67234bb9a24041ab447858ffc2e1f4/soldier-who-killed-5-dallas-officers-showed-ptsd-symptoms","3")</f>
        <v>3</v>
      </c>
      <c r="CF149" s="51">
        <v>0</v>
      </c>
      <c r="CG149" s="51">
        <v>0</v>
      </c>
      <c r="CH149" s="101" t="str">
        <f>HYPERLINK("https://apnews.com/db67234bb9a24041ab447858ffc2e1f4/soldier-who-killed-5-dallas-officers-showed-ptsd-symptoms","1")</f>
        <v>1</v>
      </c>
      <c r="CI149" s="51">
        <v>0</v>
      </c>
      <c r="CJ149" s="51" t="s">
        <v>100</v>
      </c>
      <c r="CK149" s="117">
        <v>1</v>
      </c>
      <c r="CL149" s="117">
        <v>4</v>
      </c>
      <c r="CM149" s="117"/>
      <c r="CN149" s="109">
        <v>2</v>
      </c>
      <c r="CO149" s="110">
        <v>0</v>
      </c>
      <c r="CP149" s="110">
        <v>0</v>
      </c>
      <c r="CQ149" s="110">
        <v>0</v>
      </c>
      <c r="CR149" s="110">
        <v>0</v>
      </c>
      <c r="CS149" s="110">
        <v>0</v>
      </c>
      <c r="CT149" s="110">
        <v>0</v>
      </c>
      <c r="CU149" s="110">
        <v>0</v>
      </c>
      <c r="CV149" s="110">
        <v>0</v>
      </c>
      <c r="CW149" s="110">
        <v>0</v>
      </c>
      <c r="CX149" s="108" t="str">
        <f>HYPERLINK("https://www.cnn.com/2016/07/08/us/philando-castile-alton-sterling-protests/index.html","1")</f>
        <v>1</v>
      </c>
      <c r="CY149" s="110">
        <v>0</v>
      </c>
      <c r="CZ149" s="108" t="str">
        <f>HYPERLINK("https://www.washingtonpost.com/news/morning-mix/wp/2016/07/08/like-a-little-war-snipers-shoot-11-police-officers-during-dallas-protest-march-killing-five/","0")</f>
        <v>0</v>
      </c>
      <c r="DA149" s="51">
        <v>0</v>
      </c>
      <c r="DB149" s="101">
        <v>1</v>
      </c>
      <c r="DC149" s="141" t="str">
        <f>HYPERLINK("https://www.telegraph.co.uk/news/2016/07/08/dallas-shooting-who-is-micah-johnson/","1")</f>
        <v>1</v>
      </c>
      <c r="DD149" s="107">
        <v>4</v>
      </c>
      <c r="DE149" s="107">
        <v>9</v>
      </c>
      <c r="DF149" s="107">
        <v>0</v>
      </c>
      <c r="DG149" s="107"/>
      <c r="DH149" s="107"/>
      <c r="DI149" s="107"/>
      <c r="DJ149" s="101">
        <v>1</v>
      </c>
      <c r="DK149" s="51">
        <v>0</v>
      </c>
      <c r="DL149" s="48" t="s">
        <v>100</v>
      </c>
      <c r="DM149" s="101" t="str">
        <f>HYPERLINK("https://www.washingtonpost.com/news/morning-mix/wp/2016/07/08/like-a-little-war-snipers-shoot-11-police-officers-during-dallas-protest-march-killing-five/","0")</f>
        <v>0</v>
      </c>
      <c r="DN149" s="101" t="str">
        <f>HYPERLINK("https://www.washingtonpost.com/news/morning-mix/wp/2016/07/08/like-a-little-war-snipers-shoot-11-police-officers-during-dallas-protest-march-killing-five/","2")</f>
        <v>2</v>
      </c>
      <c r="DO149" s="101" t="str">
        <f>HYPERLINK("https://www.washingtonpost.com/news/morning-mix/wp/2016/07/08/like-a-little-war-snipers-shoot-11-police-officers-during-dallas-protest-march-killing-five/","His Facebook had a photo with a member of the music group Public Enemy, which features radically pro-black messages and violent imagery.")</f>
        <v>His Facebook had a photo with a member of the music group Public Enemy, which features radically pro-black messages and violent imagery.</v>
      </c>
      <c r="DP149" s="101" t="str">
        <f>HYPERLINK("https://www.washingtonpost.com/news/morning-mix/wp/2016/07/08/like-a-little-war-snipers-shoot-11-police-officers-during-dallas-protest-march-killing-five/","1")</f>
        <v>1</v>
      </c>
      <c r="DQ149" s="101" t="str">
        <f>HYPERLINK("https://www.washingtonpost.com/news/morning-mix/wp/2016/07/08/like-a-little-war-snipers-shoot-11-police-officers-during-dallas-protest-march-killing-five/","0")</f>
        <v>0</v>
      </c>
      <c r="DR149" s="105">
        <v>1</v>
      </c>
      <c r="DS149" s="101" t="str">
        <f>HYPERLINK("https://www.cnn.com/2016/07/08/us/micah-xavier-johnson-dallas-shooter/index.html","3")</f>
        <v>3</v>
      </c>
      <c r="DT149" s="101">
        <v>3</v>
      </c>
      <c r="DU149" s="101" t="str">
        <f>HYPERLINK("https://abcnews.go.com/US/dallas-shooting-suspect-wanted-kill-white-people-white/story?id=40431306","1")</f>
        <v>1</v>
      </c>
      <c r="DV149" s="101" t="str">
        <f>HYPERLINK("https://abcnews.go.com/US/dallas-shooting-suspect-wanted-kill-white-people-white/story?id=40431306","bombs, bulletproof vests at home")</f>
        <v>bombs, bulletproof vests at home</v>
      </c>
      <c r="DW149" s="101">
        <v>1</v>
      </c>
      <c r="DX149" s="101" t="str">
        <f>HYPERLINK("https://www.cnn.com/2016/07/08/us/philando-castile-alton-sterling-protests/index.html","0")</f>
        <v>0</v>
      </c>
      <c r="DY149" s="48">
        <v>2</v>
      </c>
      <c r="DZ149" s="48">
        <v>0</v>
      </c>
    </row>
    <row r="150" spans="1:130" ht="50.25" customHeight="1">
      <c r="A150" s="96">
        <v>149</v>
      </c>
      <c r="B150" s="97" t="s">
        <v>658</v>
      </c>
      <c r="C150" s="97" t="s">
        <v>659</v>
      </c>
      <c r="D150" s="98">
        <v>42636</v>
      </c>
      <c r="E150" s="48" t="s">
        <v>157</v>
      </c>
      <c r="F150" s="119">
        <v>23</v>
      </c>
      <c r="G150" s="102" t="str">
        <f>HYPERLINK("http://www.seattleweekly.com/news/the-bitter-life-and-sudden-death-of-arcan-cetin/","9")</f>
        <v>9</v>
      </c>
      <c r="H150" s="101" t="str">
        <f>HYPERLINK("https://www.washingtonpost.com/news/post-nation/wp/2016/09/25/after-day-long-manhunt-police-arrest-20-year-old-in-washington-state-mall-killings/?utm_term=.335996c4ae24","2016")</f>
        <v>2016</v>
      </c>
      <c r="I150" s="48" t="s">
        <v>660</v>
      </c>
      <c r="J150" s="101" t="str">
        <f>HYPERLINK("https://www.washingtonpost.com/news/post-nation/wp/2016/09/25/after-day-long-manhunt-police-arrest-20-year-old-in-washington-state-mall-killings/?utm_term=.33dfa04b609b","Burlington")</f>
        <v>Burlington</v>
      </c>
      <c r="K150" s="102" t="str">
        <f>HYPERLINK("https://www.washingtonpost.com/news/post-nation/wp/2016/09/25/after-day-long-manhunt-police-arrest-20-year-old-in-washington-state-mall-killings/?utm_term=.5ec6b5d17dde","47")</f>
        <v>47</v>
      </c>
      <c r="L150" s="119">
        <v>3</v>
      </c>
      <c r="M150" s="102" t="str">
        <f>HYPERLINK("https://www.washingtonpost.com/news/post-nation/wp/2016/09/25/after-day-long-manhunt-police-arrest-20-year-old-in-washington-state-mall-killings/?utm_term=.5ec6b5d17dde","1")</f>
        <v>1</v>
      </c>
      <c r="N150" s="102" t="str">
        <f>HYPERLINK("https://www.washingtonpost.com/news/post-nation/wp/2016/09/25/after-day-long-manhunt-police-arrest-20-year-old-in-washington-state-mall-killings/?utm_term=.33dfa04b609b","4")</f>
        <v>4</v>
      </c>
      <c r="O150" s="102">
        <v>0</v>
      </c>
      <c r="P150" s="99" t="s">
        <v>100</v>
      </c>
      <c r="Q150" s="103">
        <v>0</v>
      </c>
      <c r="R150" s="103">
        <v>0</v>
      </c>
      <c r="S150" s="102" t="str">
        <f>HYPERLINK("https://www.washingtonpost.com/news/post-nation/wp/2016/09/25/after-day-long-manhunt-police-arrest-20-year-old-in-washington-state-mall-killings/?utm_term=.33dfa04b609b","5")</f>
        <v>5</v>
      </c>
      <c r="T150" s="102" t="str">
        <f>HYPERLINK("https://www.washingtonpost.com/news/post-nation/wp/2016/09/25/after-day-long-manhunt-police-arrest-20-year-old-in-washington-state-mall-killings/?utm_term=.5ec6b5d17dde","0")</f>
        <v>0</v>
      </c>
      <c r="U150" s="101" t="str">
        <f>HYPERLINK("https://www.washingtonpost.com/news/post-nation/wp/2016/09/25/after-day-long-manhunt-police-arrest-20-year-old-in-washington-state-mall-killings/?utm_term=.335996c4ae24","0")</f>
        <v>0</v>
      </c>
      <c r="V150" s="101" t="str">
        <f>HYPERLINK("http://www.seattleweekly.com/news/the-bitter-life-and-sudden-death-of-arcan-cetin/","20")</f>
        <v>20</v>
      </c>
      <c r="W150" s="101" t="str">
        <f>HYPERLINK(" https://www.washingtonpost.com/news/post-nation/wp/2016/09/25/after-day-long-manhunt-police-arrest-20-year-old-in-washington-state-mall-killings/?utm_term=.33dfa04b609b ","0")</f>
        <v>0</v>
      </c>
      <c r="X150" s="101" t="str">
        <f>HYPERLINK("http://www.seattleweekly.com/news/the-bitter-life-and-sudden-death-of-arcan-cetin/","4")</f>
        <v>4</v>
      </c>
      <c r="Y150" s="105">
        <v>1</v>
      </c>
      <c r="Z150" s="101" t="str">
        <f>HYPERLINK("https://www.seattleweekly.com/news/the-bitter-life-and-sudden-death-of-arcan-cetin/","0")</f>
        <v>0</v>
      </c>
      <c r="AA150" s="101" t="str">
        <f>HYPERLINK("http://www.seattleweekly.com/news/the-bitter-life-and-sudden-death-of-arcan-cetin/ ","2")</f>
        <v>2</v>
      </c>
      <c r="AB150" s="101" t="str">
        <f>HYPERLINK("https://www.seattletimes.com/seattle-news/crime/suspected-cascade-mall-gunman-charged-with-5-counts-of-premeditated-murder/","1")</f>
        <v>1</v>
      </c>
      <c r="AC150" s="51"/>
      <c r="AD150" s="51"/>
      <c r="AE150" s="101" t="str">
        <f t="shared" ref="AE150:AH150" si="398">HYPERLINK("https://www.latimes.com/nation/la-na-washington-mall-shooting-2016-story.html","0")</f>
        <v>0</v>
      </c>
      <c r="AF150" s="101" t="str">
        <f t="shared" si="398"/>
        <v>0</v>
      </c>
      <c r="AG150" s="101" t="str">
        <f t="shared" si="398"/>
        <v>0</v>
      </c>
      <c r="AH150" s="101" t="str">
        <f t="shared" si="398"/>
        <v>0</v>
      </c>
      <c r="AI150" s="101">
        <v>0</v>
      </c>
      <c r="AJ150" s="101" t="str">
        <f>HYPERLINK("https://www.seattleweekly.com/news/the-bitter-life-and-sudden-death-of-arcan-cetin/","0")</f>
        <v>0</v>
      </c>
      <c r="AK150" s="101" t="str">
        <f>HYPERLINK("http://www.seattleweekly.com/news/the-bitter-life-and-sudden-death-of-arcan-cetin/","1")</f>
        <v>1</v>
      </c>
      <c r="AL150" s="101">
        <v>0</v>
      </c>
      <c r="AM150" s="101" t="str">
        <f>HYPERLINK("https://www.washingtonpost.com/news/post-nation/wp/2016/09/25/after-day-long-manhunt-police-arrest-20-year-old-in-washington-state-mall-killings/?utm_term=.33dfa04b609b","0")</f>
        <v>0</v>
      </c>
      <c r="AN150" s="48" t="s">
        <v>100</v>
      </c>
      <c r="AO150" s="101" t="str">
        <f>HYPERLINK("https://www.latimes.com/nation/la-na-washington-mall-shooting-2016-story.html","0")</f>
        <v>0</v>
      </c>
      <c r="AP150" s="54"/>
      <c r="AQ150" s="101" t="str">
        <f>HYPERLINK("https://www.washingtonpost.com/news/post-nation/wp/2016/09/25/after-day-long-manhunt-police-arrest-20-year-old-in-washington-state-mall-killings/?utm_term=.e4413e7a073d","1")</f>
        <v>1</v>
      </c>
      <c r="AR150" s="51">
        <v>0</v>
      </c>
      <c r="AS150" s="101">
        <v>1</v>
      </c>
      <c r="AT150" s="105" t="str">
        <f>HYPERLINK("https://www.king5.com/article/news/local/ex-girlfriend-describes-macys-shooting-suspects-rage-and-abuse/281-353593808","3")</f>
        <v>3</v>
      </c>
      <c r="AU150" s="105">
        <v>1</v>
      </c>
      <c r="AV150" s="105">
        <v>2</v>
      </c>
      <c r="AW150" s="105">
        <v>3</v>
      </c>
      <c r="AX150" s="105" t="str">
        <f>HYPERLINK("https://www.king5.com/article/news/local/ex-girlfriend-describes-macys-shooting-suspects-rage-and-abuse/281-353593808","1")</f>
        <v>1</v>
      </c>
      <c r="AY150" s="101">
        <v>0</v>
      </c>
      <c r="AZ150" s="101" t="str">
        <f>HYPERLINK("https://www.seattleweekly.com/news/the-bitter-life-and-sudden-death-of-arcan-cetin/","1")</f>
        <v>1</v>
      </c>
      <c r="BA150" s="101" t="str">
        <f>HYPERLINK("https://www.seattleweekly.com/news/the-bitter-life-and-sudden-death-of-arcan-cetin/","3")</f>
        <v>3</v>
      </c>
      <c r="BB150" s="101" t="str">
        <f>HYPERLINK("https://www.seattleweekly.com/news/the-bitter-life-and-sudden-death-of-arcan-cetin/","1")</f>
        <v>1</v>
      </c>
      <c r="BC150" s="101" t="str">
        <f>HYPERLINK("https://www.cbsnews.com/news/cascade-mall-shooting-suspect-arcan-cetin-troubled-young-man/","1")</f>
        <v>1</v>
      </c>
      <c r="BD150" s="101" t="str">
        <f>HYPERLINK("https://www.seattleweekly.com/news/the-bitter-life-and-sudden-death-of-arcan-cetin/","0")</f>
        <v>0</v>
      </c>
      <c r="BE150" s="101">
        <v>0</v>
      </c>
      <c r="BF150" s="101" t="str">
        <f>HYPERLINK("https://www.seattletimes.com/seattle-news/crime/suspected-cascade-mall-gunman-charged-with-5-counts-of-premeditated-murder/","0")</f>
        <v>0</v>
      </c>
      <c r="BG150" s="101" t="str">
        <f>HYPERLINK("https://www.seattleweekly.com/news/the-bitter-life-and-sudden-death-of-arcan-cetin/","4")</f>
        <v>4</v>
      </c>
      <c r="BH150" s="51">
        <v>0</v>
      </c>
      <c r="BI150" s="51">
        <v>0</v>
      </c>
      <c r="BJ150" s="101">
        <v>0</v>
      </c>
      <c r="BK150" s="101" t="str">
        <f t="shared" ref="BK150" si="399">HYPERLINK("https://www.seattletimes.com/seattle-news/crime/suspected-cascade-mall-gunman-charged-with-5-counts-of-premeditated-murder/","1")</f>
        <v>1</v>
      </c>
      <c r="BL150" s="109" t="str">
        <f>HYPERLINK("https://www.seattletimes.com/seattle-news/crime/suspected-cascade-mall-gunman-charged-with-5-counts-of-premeditated-murder/","1")</f>
        <v>1</v>
      </c>
      <c r="BM150" s="109">
        <v>3</v>
      </c>
      <c r="BN150" s="115" t="s">
        <v>3093</v>
      </c>
      <c r="BO150" s="110">
        <v>1</v>
      </c>
      <c r="BP150" s="116">
        <v>1</v>
      </c>
      <c r="BQ150" s="116">
        <v>0</v>
      </c>
      <c r="BR150" s="116">
        <v>0</v>
      </c>
      <c r="BS150" s="116">
        <v>1</v>
      </c>
      <c r="BT150" s="110">
        <v>1</v>
      </c>
      <c r="BU150" s="110">
        <v>1</v>
      </c>
      <c r="BV150" s="110">
        <v>1</v>
      </c>
      <c r="BW150" s="116">
        <v>0</v>
      </c>
      <c r="BX150" s="116">
        <v>0</v>
      </c>
      <c r="BY150" s="101" t="str">
        <f t="shared" ref="BY150:CA150" si="400">HYPERLINK("https://www.seattletimes.com/seattle-news/crime/suspected-cascade-mall-gunman-charged-with-5-counts-of-premeditated-murder/","1")</f>
        <v>1</v>
      </c>
      <c r="BZ150" s="101" t="str">
        <f t="shared" si="400"/>
        <v>1</v>
      </c>
      <c r="CA150" s="101" t="str">
        <f t="shared" si="400"/>
        <v>1</v>
      </c>
      <c r="CB150" s="101" t="str">
        <f>HYPERLINK("https://www.bellinghamherald.com/news/local/crime/article104537591.html","1")</f>
        <v>1</v>
      </c>
      <c r="CC150" s="101">
        <v>1</v>
      </c>
      <c r="CD150" s="101" t="str">
        <f>HYPERLINK("https://www.bellinghamherald.com/news/local/crime/article104537591.html","1")</f>
        <v>1</v>
      </c>
      <c r="CE150" s="101" t="str">
        <f>HYPERLINK("https://www.seattletimes.com/seattle-news/crime/suspected-cascade-mall-gunman-charged-with-5-counts-of-premeditated-murder/","1")</f>
        <v>1</v>
      </c>
      <c r="CF150" s="51">
        <v>0</v>
      </c>
      <c r="CG150" s="101" t="str">
        <f>HYPERLINK("https://www.southwhidbeyrecord.com/news/arcan-cetin-had-troubled-past-records-show/","1")</f>
        <v>1</v>
      </c>
      <c r="CH150" s="101" t="str">
        <f>HYPERLINK("https://www.latimes.com/nation/la-na-washington-mall-shooting-2016-story.html","4")</f>
        <v>4</v>
      </c>
      <c r="CI150" s="101" t="str">
        <f>HYPERLINK("https://www.southwhidbeyrecord.com/news/arcan-cetin-had-troubled-past-records-show/","1")</f>
        <v>1</v>
      </c>
      <c r="CJ150" s="101" t="str">
        <f>HYPERLINK("https://www.southwhidbeyrecord.com/news/arcan-cetin-had-troubled-past-records-show/","injury at birth, kidney failure")</f>
        <v>injury at birth, kidney failure</v>
      </c>
      <c r="CK150" s="117">
        <v>2</v>
      </c>
      <c r="CL150" s="113"/>
      <c r="CM150" s="113"/>
      <c r="CN150" s="108">
        <v>0</v>
      </c>
      <c r="CO150" s="110">
        <v>0</v>
      </c>
      <c r="CP150" s="108">
        <v>0</v>
      </c>
      <c r="CQ150" s="110">
        <v>0</v>
      </c>
      <c r="CR150" s="110">
        <v>0</v>
      </c>
      <c r="CS150" s="110">
        <v>0</v>
      </c>
      <c r="CT150" s="110">
        <v>0</v>
      </c>
      <c r="CU150" s="110">
        <v>0</v>
      </c>
      <c r="CV150" s="110">
        <v>0</v>
      </c>
      <c r="CW150" s="110">
        <v>0</v>
      </c>
      <c r="CX150" s="110">
        <v>0</v>
      </c>
      <c r="CY150" s="109" t="str">
        <f>HYPERLINK("https://www.seattletimes.com/seattle-news/crime/suspected-cascade-mall-gunman-charged-with-5-counts-of-premeditated-murder/","1")</f>
        <v>1</v>
      </c>
      <c r="CZ150" s="108" t="str">
        <f>HYPERLINK("https://www.washingtonpost.com/news/post-nation/wp/2016/09/25/after-day-long-manhunt-police-arrest-20-year-old-in-washington-state-mall-killings/?utm_term=.335996c4ae24","0")</f>
        <v>0</v>
      </c>
      <c r="DA150" s="51">
        <v>0</v>
      </c>
      <c r="DB150" s="101">
        <v>1</v>
      </c>
      <c r="DC150" s="101" t="str">
        <f>HYPERLINK("https://www.seattleweekly.com/news/the-bitter-life-and-sudden-death-of-arcan-cetin/","0")</f>
        <v>0</v>
      </c>
      <c r="DD150" s="51"/>
      <c r="DE150" s="51"/>
      <c r="DF150" s="51"/>
      <c r="DG150" s="51"/>
      <c r="DH150" s="51"/>
      <c r="DI150" s="51"/>
      <c r="DJ150" s="101" t="str">
        <f>HYPERLINK("https://www.seattleweekly.com/news/the-bitter-life-and-sudden-death-of-arcan-cetin/","1")</f>
        <v>1</v>
      </c>
      <c r="DK150" s="101" t="str">
        <f>HYPERLINK("https://www.latimes.com/nation/la-na-washington-mall-shooting-2016-story.html","1")</f>
        <v>1</v>
      </c>
      <c r="DL150" s="101" t="str">
        <f>HYPERLINK("https://www.latimes.com/nation/la-na-washington-mall-shooting-2016-story.html","Initially tried to emulate James Holmes by shooting at a movie theater.")</f>
        <v>Initially tried to emulate James Holmes by shooting at a movie theater.</v>
      </c>
      <c r="DM150" s="101" t="str">
        <f>HYPERLINK("https://www.washingtonpost.com/news/post-nation/wp/2016/09/25/after-day-long-manhunt-police-arrest-20-year-old-in-washington-state-mall-killings/?utm_term=.335996c4ae24","0")</f>
        <v>0</v>
      </c>
      <c r="DN150" s="51">
        <v>0</v>
      </c>
      <c r="DO150" s="51" t="s">
        <v>100</v>
      </c>
      <c r="DP150" s="101" t="str">
        <f>HYPERLINK("https://www.latimes.com/nation/la-na-washington-mall-shooting-2016-story.html","0")</f>
        <v>0</v>
      </c>
      <c r="DQ150" s="101" t="str">
        <f>HYPERLINK("https://www.washingtonpost.com/news/post-nation/wp/2016/09/25/after-day-long-manhunt-police-arrest-20-year-old-in-washington-state-mall-killings/?utm_term=.335996c4ae24","0")</f>
        <v>0</v>
      </c>
      <c r="DR150" s="105">
        <v>1</v>
      </c>
      <c r="DS150" s="101" t="str">
        <f>HYPERLINK("https://www.seattleweekly.com/news/the-bitter-life-and-sudden-death-of-arcan-cetin/","1")</f>
        <v>1</v>
      </c>
      <c r="DT150" s="101">
        <v>1</v>
      </c>
      <c r="DU150" s="101" t="str">
        <f>HYPERLINK("https://www.latimes.com/nation/la-na-washington-mall-shooting-2016-story.html","0")</f>
        <v>0</v>
      </c>
      <c r="DV150" s="48" t="s">
        <v>100</v>
      </c>
      <c r="DW150" s="101" t="str">
        <f>HYPERLINK("http://www.seattleweekly.com/news/the-bitter-life-and-sudden-death-of-arcan-cetin/","3")</f>
        <v>3</v>
      </c>
      <c r="DX150" s="101" t="str">
        <f>HYPERLINK("https://www.seattleweekly.com/news/the-bitter-life-and-sudden-death-of-arcan-cetin/","0")</f>
        <v>0</v>
      </c>
      <c r="DY150" s="105" t="str">
        <f>HYPERLINK("https://www.seattleweekly.com/news/the-bitter-life-and-sudden-death-of-arcan-cetin/","2")</f>
        <v>2</v>
      </c>
      <c r="DZ150" s="48">
        <v>0</v>
      </c>
    </row>
    <row r="151" spans="1:130" ht="50.25" customHeight="1">
      <c r="A151" s="96">
        <v>150</v>
      </c>
      <c r="B151" s="97" t="s">
        <v>663</v>
      </c>
      <c r="C151" s="97" t="s">
        <v>664</v>
      </c>
      <c r="D151" s="98">
        <v>42741</v>
      </c>
      <c r="E151" s="48" t="s">
        <v>157</v>
      </c>
      <c r="F151" s="119">
        <v>6</v>
      </c>
      <c r="G151" s="102">
        <v>1</v>
      </c>
      <c r="H151" s="101">
        <v>2017</v>
      </c>
      <c r="I151" s="48" t="s">
        <v>665</v>
      </c>
      <c r="J151" s="101" t="s">
        <v>666</v>
      </c>
      <c r="K151" s="102" t="str">
        <f>HYPERLINK("https://www.usatoday.com/story/news/2017/01/26/esteban-santiago-charged-florida-airport-killings/97099234/","9")</f>
        <v>9</v>
      </c>
      <c r="L151" s="119">
        <v>0</v>
      </c>
      <c r="M151" s="102">
        <v>0</v>
      </c>
      <c r="N151" s="177" t="str">
        <f>HYPERLINK("http://www.sun-sentinel.com/news/fort-lauderdale-hollywood-airport-shooting/fl-esteban-santiago-arraignment-airport-shootings-20170130-story.html","4")</f>
        <v>4</v>
      </c>
      <c r="O151" s="102" t="str">
        <f>HYPERLINK("https://www.miamiherald.com/news/local/article211654694.html","0")</f>
        <v>0</v>
      </c>
      <c r="P151" s="99" t="s">
        <v>100</v>
      </c>
      <c r="Q151" s="103">
        <v>1</v>
      </c>
      <c r="R151" s="103">
        <v>1</v>
      </c>
      <c r="S151" s="102" t="str">
        <f>HYPERLINK("https://www.miamiherald.com/news/local/article211654694.html","5")</f>
        <v>5</v>
      </c>
      <c r="T151" s="102" t="str">
        <f>HYPERLINK("https://heavy.com/news/2017/01/esteban-santiago-fort-lauderdale-airport-shooter-shooting-active-gunman-suspect-photo-citizen-isis-florida-facebook-new-jersey-victims-military/","43")</f>
        <v>43</v>
      </c>
      <c r="U151" s="101" t="str">
        <f>HYPERLINK("https://www.miamiherald.com/news/local/article211654694.html","0")</f>
        <v>0</v>
      </c>
      <c r="V151" s="101">
        <v>26</v>
      </c>
      <c r="W151" s="101">
        <v>0</v>
      </c>
      <c r="X151" s="101" t="str">
        <f>HYPERLINK("https://www.miamiherald.com/news/local/article211654694.html","2")</f>
        <v>2</v>
      </c>
      <c r="Y151" s="101" t="str">
        <f t="shared" ref="Y151:Z151" si="401">HYPERLINK("https://www.miamiherald.com/news/nation-world/article126025249.html","0")</f>
        <v>0</v>
      </c>
      <c r="Z151" s="101" t="str">
        <f t="shared" si="401"/>
        <v>0</v>
      </c>
      <c r="AA151" s="101" t="str">
        <f>HYPERLINK("https://www.sun-sentinel.com/local/broward/fl-esteban-santiago-brother-talks-20170109-story.html","1")</f>
        <v>1</v>
      </c>
      <c r="AB151" s="101">
        <v>2</v>
      </c>
      <c r="AC151" s="51"/>
      <c r="AD151" s="51"/>
      <c r="AE151" s="101" t="str">
        <f>HYPERLINK("https://www.nbcnewyork.com/news/local/nj-shooter-esteban-santiago-who-was-fort-lauderdale/401961/","3")</f>
        <v>3</v>
      </c>
      <c r="AF151" s="101" t="str">
        <f t="shared" ref="AF151:AG151" si="402">HYPERLINK("https://www.nbcnewyork.com/news/local/nj-shooter-esteban-santiago-who-was-fort-lauderdale/401961/","5")</f>
        <v>5</v>
      </c>
      <c r="AG151" s="101" t="str">
        <f t="shared" si="402"/>
        <v>5</v>
      </c>
      <c r="AH151" s="101" t="str">
        <f>HYPERLINK("https://www.nbcnewyork.com/news/local/nj-shooter-esteban-santiago-who-was-fort-lauderdale/401961/","0")</f>
        <v>0</v>
      </c>
      <c r="AI151" s="101" t="str">
        <f>HYPERLINK("https://www.miamiherald.com/news/nation-world/article126025249.html","1")</f>
        <v>1</v>
      </c>
      <c r="AJ151" s="101">
        <v>1</v>
      </c>
      <c r="AK151" s="101" t="str">
        <f t="shared" ref="AK151:AL151" si="403">HYPERLINK("https://www.sun-sentinel.com/local/broward/fl-esteban-santiago-brother-talks-20170109-story.html","0")</f>
        <v>0</v>
      </c>
      <c r="AL151" s="101" t="str">
        <f t="shared" si="403"/>
        <v>0</v>
      </c>
      <c r="AM151" s="101" t="str">
        <f>HYPERLINK("https://www.miamiherald.com/news/nation-world/article126025249.html","1")</f>
        <v>1</v>
      </c>
      <c r="AN151" s="101" t="str">
        <f>HYPERLINK("https://www.sun-sentinel.com/local/broward/fl-santiago-guns-puerto-rico-20170113-story.html","5")</f>
        <v>5</v>
      </c>
      <c r="AO151" s="101" t="str">
        <f>HYPERLINK("https://www.miamiherald.com/news/nation-world/article126025249.html","0")</f>
        <v>0</v>
      </c>
      <c r="AP151" s="54"/>
      <c r="AQ151" s="101" t="str">
        <f>HYPERLINK("https://www.miamiherald.com/news/nation-world/article126025249.html","1")</f>
        <v>1</v>
      </c>
      <c r="AR151" s="51">
        <v>0</v>
      </c>
      <c r="AS151" s="101" t="str">
        <f t="shared" ref="AS151:AT151" si="404">HYPERLINK("https://www.miamiherald.com/news/nation-world/article126025249.html","1")</f>
        <v>1</v>
      </c>
      <c r="AT151" s="101" t="str">
        <f t="shared" si="404"/>
        <v>1</v>
      </c>
      <c r="AU151" s="101">
        <v>1</v>
      </c>
      <c r="AV151" s="51"/>
      <c r="AW151" s="51"/>
      <c r="AX151" s="101" t="str">
        <f>HYPERLINK("https://www.dailymail.co.uk/news/article-4099252/Florida-airport-shooter-accused-strangling-hitting-girlfriend-year.html","1")</f>
        <v>1</v>
      </c>
      <c r="AY151" s="101">
        <v>0</v>
      </c>
      <c r="AZ151" s="101">
        <v>0</v>
      </c>
      <c r="BA151" s="51">
        <v>0</v>
      </c>
      <c r="BB151" s="141" t="str">
        <f>HYPERLINK("https://www.latimes.com/nation/fl-lauderdale-airport-shooting-iraq-20170110-story.html","1")</f>
        <v>1</v>
      </c>
      <c r="BC151" s="51">
        <v>0</v>
      </c>
      <c r="BD151" s="51">
        <v>0</v>
      </c>
      <c r="BE151" s="101" t="str">
        <f>HYPERLINK("https://www.nbcnewyork.com/news/local/nj-shooter-esteban-santiago-who-was-fort-lauderdale/401961/","0")</f>
        <v>0</v>
      </c>
      <c r="BF151" s="51">
        <v>0</v>
      </c>
      <c r="BG151" s="51"/>
      <c r="BH151" s="51">
        <v>0</v>
      </c>
      <c r="BI151" s="101" t="str">
        <f>HYPERLINK("https://www.miamiherald.com/news/nation-world/article126025249.html","1")</f>
        <v>1</v>
      </c>
      <c r="BJ151" s="101" t="str">
        <f>HYPERLINK("https://www.miamiherald.com/news/nation-world/article126025249.html","0")</f>
        <v>0</v>
      </c>
      <c r="BK151" s="101" t="str">
        <f>HYPERLINK("https://www.sun-sentinel.com/local/broward/fl-esteban-santiago-brother-talks-20170109-story.html","1")</f>
        <v>1</v>
      </c>
      <c r="BL151" s="108" t="str">
        <f>HYPERLINK("https://www.usatoday.com/story/news/nation/2017/01/07/family-fla-shooting-suspect-says-he-dealt-mental-health-problems/96287294/","1")</f>
        <v>1</v>
      </c>
      <c r="BM151" s="109">
        <v>2</v>
      </c>
      <c r="BN151" s="115" t="s">
        <v>2981</v>
      </c>
      <c r="BO151" s="111">
        <v>1</v>
      </c>
      <c r="BP151" s="111">
        <v>0</v>
      </c>
      <c r="BQ151" s="111">
        <v>0</v>
      </c>
      <c r="BR151" s="111">
        <v>0</v>
      </c>
      <c r="BS151" s="111">
        <v>0</v>
      </c>
      <c r="BT151" s="111">
        <v>0</v>
      </c>
      <c r="BU151" s="111">
        <v>0</v>
      </c>
      <c r="BV151" s="111">
        <v>0</v>
      </c>
      <c r="BW151" s="111">
        <v>1</v>
      </c>
      <c r="BX151" s="111">
        <v>1</v>
      </c>
      <c r="BY151" s="101">
        <v>0</v>
      </c>
      <c r="BZ151" s="101" t="str">
        <f>HYPERLINK("https://www.sun-sentinel.com/local/broward/fl-esteban-santiago-brother-talks-20170109-story.html","1")</f>
        <v>1</v>
      </c>
      <c r="CA151" s="101">
        <v>1</v>
      </c>
      <c r="CB151" s="101" t="str">
        <f>HYPERLINK("https://www.theguardian.com/us-news/2017/jan/07/florida-shooting-suspect-esteban-santiago-mental-health-fbi","0")</f>
        <v>0</v>
      </c>
      <c r="CC151" s="101" t="str">
        <f>HYPERLINK("https://www.miamiherald.com/news/local/article211654694.html","0")</f>
        <v>0</v>
      </c>
      <c r="CD151" s="101" t="str">
        <f>HYPERLINK("https://www.theguardian.com/us-news/2017/jan/07/florida-shooting-suspect-esteban-santiago-mental-health-fbi","1")</f>
        <v>1</v>
      </c>
      <c r="CE151" s="101" t="str">
        <f>HYPERLINK("https://www.miamiherald.com/news/local/article211654694.html","2")</f>
        <v>2</v>
      </c>
      <c r="CF151" s="51">
        <v>0</v>
      </c>
      <c r="CG151" s="51">
        <v>0</v>
      </c>
      <c r="CH151" s="51">
        <v>0</v>
      </c>
      <c r="CI151" s="48">
        <v>0</v>
      </c>
      <c r="CJ151" s="51" t="s">
        <v>100</v>
      </c>
      <c r="CK151" s="113">
        <v>0</v>
      </c>
      <c r="CL151" s="113"/>
      <c r="CM151" s="113"/>
      <c r="CN151" s="110">
        <v>0</v>
      </c>
      <c r="CO151" s="110">
        <v>0</v>
      </c>
      <c r="CP151" s="110">
        <v>0</v>
      </c>
      <c r="CQ151" s="110">
        <v>0</v>
      </c>
      <c r="CR151" s="110">
        <v>0</v>
      </c>
      <c r="CS151" s="110">
        <v>0</v>
      </c>
      <c r="CT151" s="110">
        <v>0</v>
      </c>
      <c r="CU151" s="110">
        <v>0</v>
      </c>
      <c r="CV151" s="110">
        <v>0</v>
      </c>
      <c r="CW151" s="110">
        <v>0</v>
      </c>
      <c r="CX151" s="110">
        <v>0</v>
      </c>
      <c r="CY151" s="108" t="str">
        <f>HYPERLINK("https://www.miamiherald.com/news/local/article211654694.html","1")</f>
        <v>1</v>
      </c>
      <c r="CZ151" s="108" t="str">
        <f>HYPERLINK("https://www.miamiherald.com/news/local/article211654694.html","0")</f>
        <v>0</v>
      </c>
      <c r="DA151" s="101">
        <v>3</v>
      </c>
      <c r="DB151" s="101" t="str">
        <f>HYPERLINK("https://www.miamiherald.com/news/nation-world/article126025249.html","1")</f>
        <v>1</v>
      </c>
      <c r="DC151" s="101" t="str">
        <f>HYPERLINK("https://www.sun-sentinel.com/local/broward/fl-esteban-santiago-brother-talks-20170109-story.html","0")</f>
        <v>0</v>
      </c>
      <c r="DD151" s="51"/>
      <c r="DE151" s="51"/>
      <c r="DF151" s="51"/>
      <c r="DG151" s="51"/>
      <c r="DH151" s="51"/>
      <c r="DI151" s="51"/>
      <c r="DJ151" s="51">
        <v>0</v>
      </c>
      <c r="DK151" s="101">
        <v>0</v>
      </c>
      <c r="DL151" s="48" t="s">
        <v>100</v>
      </c>
      <c r="DM151" s="101" t="str">
        <f>HYPERLINK("https://www.miamiherald.com/news/local/article211654694.html","0")</f>
        <v>0</v>
      </c>
      <c r="DN151" s="51">
        <v>0</v>
      </c>
      <c r="DO151" s="51" t="s">
        <v>100</v>
      </c>
      <c r="DP151" s="101" t="str">
        <f>HYPERLINK("https://www.sun-sentinel.com/local/broward/fl-esteban-santiago-arraignment-airport-shootings-20170130-story.html","1")</f>
        <v>1</v>
      </c>
      <c r="DQ151" s="101" t="str">
        <f>HYPERLINK("https://www.usatoday.com/story/news/2017/01/26/esteban-santiago-charged-florida-airport-killings/97099234/","0")</f>
        <v>0</v>
      </c>
      <c r="DR151" s="51">
        <v>0</v>
      </c>
      <c r="DS151" s="101" t="str">
        <f>HYPERLINK("https://www.miamiherald.com/news/nation-world/article126025249.html","3")</f>
        <v>3</v>
      </c>
      <c r="DT151" s="101" t="str">
        <f>HYPERLINK("https://www.nbcnews.com/news/us-news/gun-used-airport-shooting-suspect-was-once-taken-away-him-n704501","1")</f>
        <v>1</v>
      </c>
      <c r="DU151" s="101" t="str">
        <f>HYPERLINK("https://www.nbcnews.com/news/us-news/gun-used-airport-shooting-suspect-was-once-taken-away-him-n704501","0")</f>
        <v>0</v>
      </c>
      <c r="DV151" s="48" t="s">
        <v>100</v>
      </c>
      <c r="DW151" s="101" t="str">
        <f>HYPERLINK("https://www.nbcnewyork.com/news/local/NJ-Shooter-Esteban-Santiago-who-was-fort-lauderdale-409914655.html","2")</f>
        <v>2</v>
      </c>
      <c r="DX151" s="101" t="str">
        <f>HYPERLINK("https://www.usatoday.com/story/news/2017/01/26/esteban-santiago-charged-florida-airport-killings/97099234/","0")</f>
        <v>0</v>
      </c>
      <c r="DY151" s="101" t="str">
        <f>HYPERLINK("https://www.miamiherald.com/news/local/article211654694.html","0")</f>
        <v>0</v>
      </c>
      <c r="DZ151" s="133" t="str">
        <f>HYPERLINK("https://www.sun-sentinel.com/local/broward/fl-reg-airport-shooter-esteban-santiago-sentenced-20180817-story.html","3")</f>
        <v>3</v>
      </c>
    </row>
    <row r="152" spans="1:130" ht="50.25" customHeight="1">
      <c r="A152" s="96">
        <v>151</v>
      </c>
      <c r="B152" s="97" t="s">
        <v>667</v>
      </c>
      <c r="C152" s="97" t="s">
        <v>668</v>
      </c>
      <c r="D152" s="98">
        <v>42772</v>
      </c>
      <c r="E152" s="48" t="s">
        <v>95</v>
      </c>
      <c r="F152" s="99">
        <v>6</v>
      </c>
      <c r="G152" s="100" t="str">
        <f>HYPERLINK("https://www.wapt.com/article/4-killed-in-shooting-in-yazoo-city/8680452","2")</f>
        <v>2</v>
      </c>
      <c r="H152" s="105" t="str">
        <f>HYPERLINK("https://www.wapt.com/article/briddell-barber-admits-to-killings-yazoo-city-chief-says/8693406","2017")</f>
        <v>2017</v>
      </c>
      <c r="I152" s="48" t="s">
        <v>669</v>
      </c>
      <c r="J152" s="105" t="str">
        <f>HYPERLINK("https://www.wapt.com/article/briddell-barber-admits-to-killings-yazoo-city-chief-says/8693406","Yazoo City")</f>
        <v>Yazoo City</v>
      </c>
      <c r="K152" s="100" t="str">
        <f>HYPERLINK("https://www.wapt.com/article/briddell-barber-admits-to-killings-yazoo-city-chief-says/8693406","24")</f>
        <v>24</v>
      </c>
      <c r="L152" s="99">
        <v>0</v>
      </c>
      <c r="M152" s="100" t="str">
        <f>HYPERLINK("https://www.dailymail.co.uk/news/article-4195910/4-men-killed-shooting-Yazoo-City.html","2")</f>
        <v>2</v>
      </c>
      <c r="N152" s="100" t="str">
        <f>HYPERLINK("https://www.clarionledger.com/story/news/local/2017/02/06/4-killed-yazoo-city-nightclub-shooting/97541814/","5")</f>
        <v>5</v>
      </c>
      <c r="O152" s="100" t="str">
        <f>HYPERLINK("https://www.wapt.com/article/briddell-barber-admits-to-killings-yazoo-city-chief-says/8693406","0")</f>
        <v>0</v>
      </c>
      <c r="P152" s="99" t="s">
        <v>100</v>
      </c>
      <c r="Q152" s="140">
        <v>0</v>
      </c>
      <c r="R152" s="140">
        <v>0</v>
      </c>
      <c r="S152" s="100" t="str">
        <f>HYPERLINK("https://www.clarionledger.com/story/news/local/2017/02/06/4-killed-yazoo-city-nightclub-shooting/97541814/","4")</f>
        <v>4</v>
      </c>
      <c r="T152" s="100" t="str">
        <f>HYPERLINK("https://www.wlbt.com/story/34450224/family-believes-yazoo-city-quadruple-shooting-is-not-a-coincidence/","0")</f>
        <v>0</v>
      </c>
      <c r="U152" s="105" t="str">
        <f>HYPERLINK("https://www.dailymail.co.uk/news/article-4195910/4-men-killed-shooting-Yazoo-City.html","0")</f>
        <v>0</v>
      </c>
      <c r="V152" s="105" t="str">
        <f>HYPERLINK("https://www.clarionledger.com/story/news/local/2017/02/08/yazoo-city-alleged-shooter-mass-murderer/97587198/","27")</f>
        <v>27</v>
      </c>
      <c r="W152" s="105" t="str">
        <f>HYPERLINK("https://www.clarionledger.com/story/news/local/2017/02/06/4-killed-yazoo-city-nightclub-shooting/97541814/","0")</f>
        <v>0</v>
      </c>
      <c r="X152" s="105" t="str">
        <f>HYPERLINK("https://www.wapt.com/article/briddell-barber-admits-to-killings-yazoo-city-chief-says/8693406","1")</f>
        <v>1</v>
      </c>
      <c r="Y152" s="48">
        <v>0</v>
      </c>
      <c r="Z152" s="105" t="str">
        <f>HYPERLINK("https://www.wapt.com/article/briddell-barber-admits-to-killings-yazoo-city-chief-says/8693406#","0")</f>
        <v>0</v>
      </c>
      <c r="AA152" s="48"/>
      <c r="AB152" s="48"/>
      <c r="AC152" s="51"/>
      <c r="AD152" s="51"/>
      <c r="AE152" s="48"/>
      <c r="AF152" s="48"/>
      <c r="AG152" s="48"/>
      <c r="AH152" s="48"/>
      <c r="AI152" s="105" t="str">
        <f>HYPERLINK("https://www.wapt.com/article/briddell-barber-admits-to-killings-yazoo-city-chief-says/8693406","1")</f>
        <v>1</v>
      </c>
      <c r="AJ152" s="48"/>
      <c r="AK152" s="48"/>
      <c r="AL152" s="48"/>
      <c r="AM152" s="48">
        <v>0</v>
      </c>
      <c r="AN152" s="48" t="s">
        <v>100</v>
      </c>
      <c r="AO152" s="51"/>
      <c r="AP152" s="51"/>
      <c r="AQ152" s="105" t="str">
        <f t="shared" ref="AQ152:DS152" si="405">HYPERLINK("https://www.dailymail.co.uk/news/article-4195910/4-men-killed-shooting-Yazoo-City.html","1")</f>
        <v>1</v>
      </c>
      <c r="AR152" s="105" t="str">
        <f t="shared" si="405"/>
        <v>1</v>
      </c>
      <c r="AS152" s="105" t="str">
        <f t="shared" si="405"/>
        <v>1</v>
      </c>
      <c r="AT152" s="52">
        <v>0</v>
      </c>
      <c r="AU152" s="52" t="s">
        <v>100</v>
      </c>
      <c r="AV152" s="52" t="s">
        <v>100</v>
      </c>
      <c r="AW152" s="52" t="s">
        <v>100</v>
      </c>
      <c r="AX152" s="48">
        <v>0</v>
      </c>
      <c r="AY152" s="48">
        <v>0</v>
      </c>
      <c r="AZ152" s="48">
        <v>0</v>
      </c>
      <c r="BA152" s="48">
        <v>0</v>
      </c>
      <c r="BB152" s="107">
        <v>0</v>
      </c>
      <c r="BC152" s="48"/>
      <c r="BD152" s="48"/>
      <c r="BE152" s="48"/>
      <c r="BF152" s="48"/>
      <c r="BG152" s="48"/>
      <c r="BH152" s="48"/>
      <c r="BI152" s="48"/>
      <c r="BJ152" s="105">
        <v>0</v>
      </c>
      <c r="BK152" s="48"/>
      <c r="BL152" s="116"/>
      <c r="BM152" s="116"/>
      <c r="BN152" s="110"/>
      <c r="BO152" s="116">
        <v>0</v>
      </c>
      <c r="BP152" s="116">
        <v>0</v>
      </c>
      <c r="BQ152" s="116">
        <v>0</v>
      </c>
      <c r="BR152" s="116">
        <v>0</v>
      </c>
      <c r="BS152" s="116">
        <v>0</v>
      </c>
      <c r="BT152" s="116">
        <v>0</v>
      </c>
      <c r="BU152" s="116">
        <v>0</v>
      </c>
      <c r="BV152" s="116">
        <v>0</v>
      </c>
      <c r="BW152" s="116">
        <v>0</v>
      </c>
      <c r="BX152" s="116">
        <v>0</v>
      </c>
      <c r="BY152" s="48">
        <v>0</v>
      </c>
      <c r="BZ152" s="48">
        <v>0</v>
      </c>
      <c r="CA152" s="48">
        <v>0</v>
      </c>
      <c r="CB152" s="48" t="s">
        <v>100</v>
      </c>
      <c r="CC152" s="48">
        <v>0</v>
      </c>
      <c r="CD152" s="52" t="s">
        <v>100</v>
      </c>
      <c r="CE152" s="48">
        <v>0</v>
      </c>
      <c r="CF152" s="48">
        <v>0</v>
      </c>
      <c r="CG152" s="48">
        <v>0</v>
      </c>
      <c r="CH152" s="48"/>
      <c r="CI152" s="48">
        <v>0</v>
      </c>
      <c r="CJ152" s="51" t="s">
        <v>100</v>
      </c>
      <c r="CK152" s="129">
        <v>0</v>
      </c>
      <c r="CL152" s="129"/>
      <c r="CM152" s="129"/>
      <c r="CN152" s="116">
        <v>0</v>
      </c>
      <c r="CO152" s="116">
        <v>0</v>
      </c>
      <c r="CP152" s="116">
        <v>0</v>
      </c>
      <c r="CQ152" s="116">
        <v>0</v>
      </c>
      <c r="CR152" s="116">
        <v>0</v>
      </c>
      <c r="CS152" s="116">
        <v>0</v>
      </c>
      <c r="CT152" s="116">
        <v>0</v>
      </c>
      <c r="CU152" s="116">
        <v>0</v>
      </c>
      <c r="CV152" s="118" t="str">
        <f>HYPERLINK("https://www.dailymail.co.uk/news/article-4195910/4-men-killed-shooting-Yazoo-City.html","1")</f>
        <v>1</v>
      </c>
      <c r="CW152" s="116">
        <v>0</v>
      </c>
      <c r="CX152" s="116">
        <v>0</v>
      </c>
      <c r="CY152" s="116">
        <v>0</v>
      </c>
      <c r="CZ152" s="118" t="str">
        <f>HYPERLINK("https://www.dailymail.co.uk/news/article-4195910/4-men-killed-shooting-Yazoo-City.html","0")</f>
        <v>0</v>
      </c>
      <c r="DA152" s="48">
        <v>0</v>
      </c>
      <c r="DB152" s="48"/>
      <c r="DC152" s="105" t="str">
        <f>HYPERLINK("https://www.clarionledger.com/story/news/local/2017/02/06/4-killed-yazoo-city-nightclub-shooting/97541814/","0")</f>
        <v>0</v>
      </c>
      <c r="DD152" s="48"/>
      <c r="DE152" s="48"/>
      <c r="DF152" s="48"/>
      <c r="DG152" s="48"/>
      <c r="DH152" s="48"/>
      <c r="DI152" s="48"/>
      <c r="DJ152" s="48">
        <v>0</v>
      </c>
      <c r="DK152" s="105" t="str">
        <f>HYPERLINK("https://deltadailynews.com/father-retaliates-for-sons-murder-and-shoots-two/","1")</f>
        <v>1</v>
      </c>
      <c r="DL152" s="101" t="str">
        <f>HYPERLINK("https://deltadailynews.com/father-retaliates-for-sons-murder-and-shoots-two/","In 2016 he killed Justin Porter at a nightclub. In 2017 Porter's father shot two men he believed to be connected to his son's death.")</f>
        <v>In 2016 he killed Justin Porter at a nightclub. In 2017 Porter's father shot two men he believed to be connected to his son's death.</v>
      </c>
      <c r="DM152" s="105" t="str">
        <f>HYPERLINK("https://www.dailymail.co.uk/news/article-4195910/4-men-killed-shooting-Yazoo-City.html","0")</f>
        <v>0</v>
      </c>
      <c r="DN152" s="48">
        <v>0</v>
      </c>
      <c r="DO152" s="48" t="s">
        <v>100</v>
      </c>
      <c r="DP152" s="105" t="str">
        <f>HYPERLINK("https://www.clarionledger.com/story/news/local/2017/02/06/4-killed-yazoo-city-nightclub-shooting/97541814/","0")</f>
        <v>0</v>
      </c>
      <c r="DQ152" s="105" t="str">
        <f>HYPERLINK("https://www.dailymail.co.uk/news/article-4195910/4-men-killed-shooting-Yazoo-City.html","0")</f>
        <v>0</v>
      </c>
      <c r="DR152" s="48"/>
      <c r="DS152" s="101" t="str">
        <f t="shared" si="405"/>
        <v>1</v>
      </c>
      <c r="DT152" s="48">
        <v>1</v>
      </c>
      <c r="DU152" s="48">
        <v>0</v>
      </c>
      <c r="DV152" s="48" t="s">
        <v>100</v>
      </c>
      <c r="DW152" s="105" t="str">
        <f>HYPERLINK("https://www.wapt.com/article/briddell-barber-admits-to-killings-yazoo-city-chief-says/8693406","2")</f>
        <v>2</v>
      </c>
      <c r="DX152" s="105" t="str">
        <f>HYPERLINK("https://www.dailymail.co.uk/news/article-4195910/4-men-killed-shooting-Yazoo-City.html","1")</f>
        <v>1</v>
      </c>
      <c r="DY152" s="48">
        <v>3</v>
      </c>
      <c r="DZ152" s="48">
        <v>0</v>
      </c>
    </row>
    <row r="153" spans="1:130" ht="50.25" customHeight="1">
      <c r="A153" s="96">
        <v>152</v>
      </c>
      <c r="B153" s="97" t="s">
        <v>450</v>
      </c>
      <c r="C153" s="97" t="s">
        <v>672</v>
      </c>
      <c r="D153" s="98">
        <v>42816</v>
      </c>
      <c r="E153" s="105" t="s">
        <v>123</v>
      </c>
      <c r="F153" s="99">
        <v>22</v>
      </c>
      <c r="G153" s="100" t="str">
        <f>HYPERLINK("https://www.wausaudailyherald.com/story/news/2017/05/08/wife-details-troubles-before-her-husband-gunned-down-4-people/100164526/","3")</f>
        <v>3</v>
      </c>
      <c r="H153" s="105" t="str">
        <f>HYPERLINK("https://www.wausaudailyherald.com/story/news/2017/05/08/wife-details-troubles-before-her-husband-gunned-down-4-people/100164526/","2017")</f>
        <v>2017</v>
      </c>
      <c r="I153" s="105" t="s">
        <v>673</v>
      </c>
      <c r="J153" s="105" t="str">
        <f>HYPERLINK("https://www.wausaudailyherald.com/story/news/2017/05/08/wife-details-troubles-before-her-husband-gunned-down-4-people/100164526/","Rothschild")</f>
        <v>Rothschild</v>
      </c>
      <c r="K153" s="100" t="str">
        <f>HYPERLINK("https://www.tmj4.com/news/local-news/nengmy-vang-suspected-of-killing-4-in-wausau-dies-of-wounds","49")</f>
        <v>49</v>
      </c>
      <c r="L153" s="100" t="str">
        <f>HYPERLINK("https://www.wausaudailyherald.com/story/news/2017/03/23/detective-attorney-among-shooting-victims/99535014/","1")</f>
        <v>1</v>
      </c>
      <c r="M153" s="100" t="str">
        <f>HYPERLINK("https://www.chicagotribune.com/nation-world/ct-wisconsin-shooting-20170325-story.html","1")</f>
        <v>1</v>
      </c>
      <c r="N153" s="100" t="str">
        <f>HYPERLINK("https://www.wausaudailyherald.com/story/news/2017/05/08/wife-details-troubles-before-her-husband-gunned-down-4-people/100164526/","4")</f>
        <v>4</v>
      </c>
      <c r="O153" s="100" t="str">
        <f>HYPERLINK("https://www.wausaudailyherald.com/story/news/2017/08/29/report-mass-shooter-nengmy-vang-admitted-killings-demanded-tell-his-side/611830001/","1")</f>
        <v>1</v>
      </c>
      <c r="P153" s="100" t="str">
        <f>HYPERLINK("https://www.wausaudailyherald.com/story/news/2017/05/08/wife-details-troubles-before-her-husband-gunned-down-4-people/100164526/","7")</f>
        <v>7</v>
      </c>
      <c r="Q153" s="103">
        <v>0</v>
      </c>
      <c r="R153" s="103">
        <v>0</v>
      </c>
      <c r="S153" s="100" t="str">
        <f>HYPERLINK("https://www.wausaudailyherald.com/story/news/2017/05/08/wife-details-troubles-before-her-husband-gunned-down-4-people/100164526/","4")</f>
        <v>4</v>
      </c>
      <c r="T153" s="100" t="str">
        <f>HYPERLINK("https://www.wausaudailyherald.com/story/news/2017/05/08/wife-details-troubles-before-her-husband-gunned-down-4-people/100164526/","0")</f>
        <v>0</v>
      </c>
      <c r="U153" s="105" t="str">
        <f>HYPERLINK("https://www.wausaudailyherald.com/story/news/2017/08/29/report-mass-shooter-nengmy-vang-admitted-killings-demanded-tell-his-side/611830001/","1")</f>
        <v>1</v>
      </c>
      <c r="V153" s="105" t="str">
        <f>HYPERLINK("https://www.wausaudailyherald.com/story/news/2017/03/23/detective-attorney-among-shooting-victims/99535014/","45")</f>
        <v>45</v>
      </c>
      <c r="W153" s="105" t="str">
        <f>HYPERLINK("https://www.wausaudailyherald.com/story/news/2017/05/08/wife-details-troubles-before-her-husband-gunned-down-4-people/100164526/","0")</f>
        <v>0</v>
      </c>
      <c r="X153" s="105" t="str">
        <f>HYPERLINK("https://www.wausaudailyherald.com/story/news/2017/05/08/wife-details-troubles-before-her-husband-gunned-down-4-people/100164526/","3")</f>
        <v>3</v>
      </c>
      <c r="Y153" s="105" t="str">
        <f>HYPERLINK("https://heavy.com/news/2017/03/nengmy-vang-wisconsin-shooting-spree-suspect-wausau-bank-jason-weiland-photos-naly-facebook-divorce-wife-sara-quirt-sann/","1")</f>
        <v>1</v>
      </c>
      <c r="Z153" s="105" t="str">
        <f>HYPERLINK("https://www.wausaudailyherald.com/story/news/2017/05/08/wife-details-troubles-before-her-husband-gunned-down-4-people/100164526/","0")</f>
        <v>0</v>
      </c>
      <c r="AA153" s="105" t="str">
        <f>HYPERLINK("https://www.wausaudailyherald.com/story/news/2017/05/08/wife-details-troubles-before-her-husband-gunned-down-4-people/100164526/","5")</f>
        <v>5</v>
      </c>
      <c r="AB153" s="48"/>
      <c r="AC153" s="51"/>
      <c r="AD153" s="51"/>
      <c r="AE153" s="105" t="str">
        <f>HYPERLINK("https://www.wausaudailyherald.com/story/news/2017/03/24/brother-vang-had-been-acting-crazy/99602624/","3")</f>
        <v>3</v>
      </c>
      <c r="AF153" s="105" t="str">
        <f t="shared" ref="AF153:AG153" si="406">HYPERLINK("https://www.wausaudailyherald.com/story/news/2017/03/24/brother-vang-had-been-acting-crazy/99602624/","1")</f>
        <v>1</v>
      </c>
      <c r="AG153" s="105" t="str">
        <f t="shared" si="406"/>
        <v>1</v>
      </c>
      <c r="AH153" s="105" t="str">
        <f>HYPERLINK("https://www.wausaudailyherald.com/story/news/2017/03/24/brother-vang-had-been-acting-crazy/99602624/","0")</f>
        <v>0</v>
      </c>
      <c r="AI153" s="105" t="str">
        <f>HYPERLINK("https://www.wausaudailyherald.com/story/news/2017/03/23/detective-attorney-among-shooting-victims/99535014/","3")</f>
        <v>3</v>
      </c>
      <c r="AJ153" s="105" t="str">
        <f t="shared" ref="AJ153:AK153" si="407">HYPERLINK("https://www.wausaudailyherald.com/story/news/2017/05/08/wife-details-troubles-before-her-husband-gunned-down-4-people/100164526/","1")</f>
        <v>1</v>
      </c>
      <c r="AK153" s="105" t="str">
        <f t="shared" si="407"/>
        <v>1</v>
      </c>
      <c r="AL153" s="105" t="str">
        <f>HYPERLINK("https://heavy.com/news/2017/03/nengmy-vang-wisconsin-shooting-spree-suspect-wausau-bank-jason-weiland-photos-naly-facebook-divorce-wife-sara-quirt-sann/","0")</f>
        <v>0</v>
      </c>
      <c r="AM153" s="48">
        <v>0</v>
      </c>
      <c r="AN153" s="48" t="s">
        <v>100</v>
      </c>
      <c r="AO153" s="101" t="str">
        <f>HYPERLINK("https://www.wausaudailyherald.com/story/news/2017/05/08/wife-details-troubles-before-her-husband-gunned-down-4-people/100164526/","1")</f>
        <v>1</v>
      </c>
      <c r="AP153" s="101" t="str">
        <f>HYPERLINK("https://www.wausaudailyherald.com/story/news/2017/05/08/wife-details-troubles-before-her-husband-gunned-down-4-people/100164526/","Hmong cultural community")</f>
        <v>Hmong cultural community</v>
      </c>
      <c r="AQ153" s="105" t="str">
        <f>HYPERLINK("https://www.wausaudailyherald.com/story/news/2017/05/08/wife-details-troubles-before-her-husband-gunned-down-4-people/100164526/","1")</f>
        <v>1</v>
      </c>
      <c r="AR153" s="48">
        <v>0</v>
      </c>
      <c r="AS153" s="101" t="str">
        <f>HYPERLINK("https://www.wausaudailyherald.com/story/news/2017/05/08/wife-details-troubles-before-her-husband-gunned-down-4-people/100164526/","1")</f>
        <v>1</v>
      </c>
      <c r="AT153" s="105" t="str">
        <f>HYPERLINK("https://www.wausaudailyherald.com/story/news/2017/05/08/wife-details-troubles-before-her-husband-gunned-down-4-people/100164526/","3")</f>
        <v>3</v>
      </c>
      <c r="AU153" s="105">
        <v>1</v>
      </c>
      <c r="AV153" s="105">
        <v>3</v>
      </c>
      <c r="AW153" s="105"/>
      <c r="AX153" s="48">
        <v>0</v>
      </c>
      <c r="AY153" s="48">
        <v>0</v>
      </c>
      <c r="AZ153" s="48">
        <v>0</v>
      </c>
      <c r="BA153" s="48">
        <v>0</v>
      </c>
      <c r="BB153" s="107">
        <v>0</v>
      </c>
      <c r="BC153" s="48">
        <v>0</v>
      </c>
      <c r="BD153" s="48">
        <v>0</v>
      </c>
      <c r="BE153" s="105" t="str">
        <f>HYPERLINK("https://www.wausaudailyherald.com/story/news/2017/03/24/brother-vang-had-been-acting-crazy/99602624/","0")</f>
        <v>0</v>
      </c>
      <c r="BF153" s="48">
        <v>0</v>
      </c>
      <c r="BG153" s="48"/>
      <c r="BH153" s="48">
        <v>0</v>
      </c>
      <c r="BI153" s="48">
        <v>0</v>
      </c>
      <c r="BJ153" s="105" t="str">
        <f>HYPERLINK("https://www.wausaudailyherald.com/story/news/2017/05/08/wife-details-troubles-before-her-husband-gunned-down-4-people/100164526/","1")</f>
        <v>1</v>
      </c>
      <c r="BK153" s="48">
        <v>0</v>
      </c>
      <c r="BL153" s="118" t="str">
        <f>HYPERLINK("https://www.wausaudailyherald.com/story/news/2017/05/08/wife-details-troubles-before-her-husband-gunned-down-4-people/100164526/","1")</f>
        <v>1</v>
      </c>
      <c r="BM153" s="127">
        <v>2</v>
      </c>
      <c r="BN153" s="110" t="s">
        <v>3008</v>
      </c>
      <c r="BO153" s="116">
        <v>1</v>
      </c>
      <c r="BP153" s="116">
        <v>0</v>
      </c>
      <c r="BQ153" s="116">
        <v>0</v>
      </c>
      <c r="BR153" s="116">
        <v>0</v>
      </c>
      <c r="BS153" s="116">
        <v>1</v>
      </c>
      <c r="BT153" s="116">
        <v>1</v>
      </c>
      <c r="BU153" s="116">
        <v>1</v>
      </c>
      <c r="BV153" s="111">
        <v>0</v>
      </c>
      <c r="BW153" s="116">
        <v>0</v>
      </c>
      <c r="BX153" s="116">
        <v>0</v>
      </c>
      <c r="BY153" s="105" t="str">
        <f>HYPERLINK("https://www.doj.state.wi.us/sites/default/files/oid-reports/17-1860/AAG%20Decision%20Regarding%20Marathon%20Co%20OID%20-%20Nengmy%20Vang%281%29.pdf","2")</f>
        <v>2</v>
      </c>
      <c r="BZ153" s="48">
        <v>0</v>
      </c>
      <c r="CA153" s="105" t="str">
        <f t="shared" ref="CA153:CB153" si="408">HYPERLINK("https://heavy.com/news/2017/03/nengmy-vang-wisconsin-shooting-spree-suspect-wausau-bank-jason-weiland-photos-naly-facebook-divorce-wife-sara-quirt-sann/","1")</f>
        <v>1</v>
      </c>
      <c r="CB153" s="105" t="str">
        <f t="shared" si="408"/>
        <v>1</v>
      </c>
      <c r="CC153" s="48">
        <v>0</v>
      </c>
      <c r="CD153" s="52" t="s">
        <v>100</v>
      </c>
      <c r="CE153" s="105" t="str">
        <f>HYPERLINK("https://www.wausaudailyherald.com/story/news/2017/05/08/wife-details-troubles-before-her-husband-gunned-down-4-people/100164526/","5")</f>
        <v>5</v>
      </c>
      <c r="CF153" s="48">
        <v>0</v>
      </c>
      <c r="CG153" s="48">
        <v>0</v>
      </c>
      <c r="CH153" s="105" t="str">
        <f>HYPERLINK("https://www.wausaudailyherald.com/story/news/2017/05/08/wife-details-troubles-before-her-husband-gunned-down-4-people/100164526/","5")</f>
        <v>5</v>
      </c>
      <c r="CI153" s="48">
        <v>0</v>
      </c>
      <c r="CJ153" s="51" t="s">
        <v>100</v>
      </c>
      <c r="CK153" s="128">
        <v>2</v>
      </c>
      <c r="CL153" s="129"/>
      <c r="CM153" s="129"/>
      <c r="CN153" s="116">
        <v>0</v>
      </c>
      <c r="CO153" s="116">
        <v>0</v>
      </c>
      <c r="CP153" s="118">
        <v>0</v>
      </c>
      <c r="CQ153" s="116">
        <v>0</v>
      </c>
      <c r="CR153" s="116">
        <v>0</v>
      </c>
      <c r="CS153" s="118" t="str">
        <f t="shared" ref="CS153:CT153" si="409">HYPERLINK("https://www.doj.state.wi.us/sites/default/files/oid-reports/17-1860/AAG%20Decision%20Regarding%20Marathon%20Co%20OID%20-%20Nengmy%20Vang%281%29.pdf","1")</f>
        <v>1</v>
      </c>
      <c r="CT153" s="118" t="str">
        <f t="shared" si="409"/>
        <v>1</v>
      </c>
      <c r="CU153" s="118" t="str">
        <f>HYPERLINK("https://www.doj.state.wi.us/sites/default/files/oid-reports/17-1860/AAG%20Decision%20Regarding%20Marathon%20Co%20OID%20-%20Nengmy%20Vang%281%29.pdf","1")</f>
        <v>1</v>
      </c>
      <c r="CV153" s="116">
        <v>0</v>
      </c>
      <c r="CW153" s="116">
        <v>0</v>
      </c>
      <c r="CX153" s="116">
        <v>0</v>
      </c>
      <c r="CY153" s="116">
        <v>0</v>
      </c>
      <c r="CZ153" s="118" t="str">
        <f>HYPERLINK("https://www.wausaudailyherald.com/story/news/2017/05/08/wife-details-troubles-before-her-husband-gunned-down-4-people/100164526/","1")</f>
        <v>1</v>
      </c>
      <c r="DA153" s="48">
        <v>0</v>
      </c>
      <c r="DB153" s="48">
        <v>0</v>
      </c>
      <c r="DC153" s="105" t="str">
        <f>HYPERLINK("https://www.wausaudailyherald.com/story/news/2017/05/08/wife-details-troubles-before-her-husband-gunned-down-4-people/100164526/","1")</f>
        <v>1</v>
      </c>
      <c r="DD153" s="51">
        <v>0</v>
      </c>
      <c r="DE153" s="107">
        <v>2</v>
      </c>
      <c r="DF153" s="51">
        <v>0</v>
      </c>
      <c r="DG153" s="51"/>
      <c r="DH153" s="51"/>
      <c r="DI153" s="51"/>
      <c r="DJ153" s="48">
        <v>0</v>
      </c>
      <c r="DK153" s="48">
        <v>0</v>
      </c>
      <c r="DL153" s="48" t="s">
        <v>100</v>
      </c>
      <c r="DM153" s="105" t="str">
        <f>HYPERLINK("https://www.doj.state.wi.us/sites/default/files/oid-reports/17-1860/AAG%20Decision%20Regarding%20Marathon%20Co%20OID%20-%20Nengmy%20Vang%281%29.pdf","0")</f>
        <v>0</v>
      </c>
      <c r="DN153" s="48">
        <v>0</v>
      </c>
      <c r="DO153" s="48" t="s">
        <v>100</v>
      </c>
      <c r="DP153" s="105">
        <v>0</v>
      </c>
      <c r="DQ153" s="105" t="str">
        <f>HYPERLINK("https://www.doj.state.wi.us/sites/default/files/oid-reports/17-1860/AAG%20Decision%20Regarding%20Marathon%20Co%20OID%20-%20Nengmy%20Vang%281%29.pdf","0")</f>
        <v>0</v>
      </c>
      <c r="DR153" s="105" t="str">
        <f>HYPERLINK("https://www.doj.state.wi.us/sites/default/files/oid-reports/17-1860/AAG%20Decision%20Regarding%20Marathon%20Co%20OID%20-%20Nengmy%20Vang%281%29.pdf","1")</f>
        <v>1</v>
      </c>
      <c r="DS153" s="101" t="str">
        <f>HYPERLINK("https://heavy.com/news/2017/03/nengmy-vang-wisconsin-shooting-spree-suspect-wausau-bank-jason-weiland-photos-naly-facebook-divorce-wife-sara-quirt-sann/","3")</f>
        <v>3</v>
      </c>
      <c r="DT153" s="105" t="str">
        <f>HYPERLINK("https://www.doj.state.wi.us/sites/default/files/oid-reports/17-1860/AAG%20Decision%20Regarding%20Marathon%20Co%20OID%20-%20Nengmy%20Vang%281%29.pdf","2")</f>
        <v>2</v>
      </c>
      <c r="DU153" s="105" t="str">
        <f>HYPERLINK("https://www.doj.state.wi.us/sites/default/files/oid-reports/17-1860/AAG%20Decision%20Regarding%20Marathon%20Co%20OID%20-%20Nengmy%20Vang%281%29.pdf","0")</f>
        <v>0</v>
      </c>
      <c r="DV153" s="48" t="s">
        <v>100</v>
      </c>
      <c r="DW153" s="105" t="str">
        <f>HYPERLINK("https://www.tmj4.com/news/local-news/nengmy-vang-suspected-of-killing-4-in-wausau-dies-of-wounds","1")</f>
        <v>1</v>
      </c>
      <c r="DX153" s="105" t="str">
        <f>HYPERLINK("https://www.doj.state.wi.us/sites/default/files/oid-reports/17-1860/AAG%20Decision%20Regarding%20Marathon%20Co%20OID%20-%20Nengmy%20Vang%281%29.pdf","0")</f>
        <v>0</v>
      </c>
      <c r="DY153" s="48">
        <v>2</v>
      </c>
      <c r="DZ153" s="48">
        <v>0</v>
      </c>
    </row>
    <row r="154" spans="1:130" ht="50.25" customHeight="1">
      <c r="A154" s="96">
        <v>153</v>
      </c>
      <c r="B154" s="97" t="s">
        <v>675</v>
      </c>
      <c r="C154" s="97" t="s">
        <v>190</v>
      </c>
      <c r="D154" s="98">
        <v>42891</v>
      </c>
      <c r="E154" s="48" t="s">
        <v>95</v>
      </c>
      <c r="F154" s="119">
        <v>5</v>
      </c>
      <c r="G154" s="102">
        <v>6</v>
      </c>
      <c r="H154" s="101">
        <v>2017</v>
      </c>
      <c r="I154" s="48" t="s">
        <v>676</v>
      </c>
      <c r="J154" s="101" t="s">
        <v>883</v>
      </c>
      <c r="K154" s="102">
        <v>9</v>
      </c>
      <c r="L154" s="119">
        <v>0</v>
      </c>
      <c r="M154" s="102">
        <v>0</v>
      </c>
      <c r="N154" s="102" t="str">
        <f>HYPERLINK("https://www.cbsnews.com/news/friend-orlando-victim-feared-workplace-shooter-would-seek-revenge-over-firing/","6")</f>
        <v>6</v>
      </c>
      <c r="O154" s="102" t="str">
        <f>HYPERLINK("https://www.orlandosentinel.com/news/orlando-workplace-shooting/os-john-robert-neumann-shooting-suspect-20170605-story.html","0")</f>
        <v>0</v>
      </c>
      <c r="P154" s="99" t="s">
        <v>100</v>
      </c>
      <c r="Q154" s="103">
        <v>0</v>
      </c>
      <c r="R154" s="103">
        <v>0</v>
      </c>
      <c r="S154" s="102">
        <v>5</v>
      </c>
      <c r="T154" s="102" t="str">
        <f>HYPERLINK("https://www.cbsnews.com/news/friend-orlando-victim-feared-workplace-shooter-would-seek-revenge-over-firing/","0")</f>
        <v>0</v>
      </c>
      <c r="U154" s="101" t="str">
        <f>HYPERLINK("https://www.cnn.com/2017/06/05/us/orlando-fatalities/index.html","0")</f>
        <v>0</v>
      </c>
      <c r="V154" s="101" t="str">
        <f>HYPERLINK("https://www.orlandosentinel.com/news/orlando-workplace-shooting/os-john-robert-neumann-shooting-suspect-20170605-story.html","45")</f>
        <v>45</v>
      </c>
      <c r="W154" s="101">
        <v>0</v>
      </c>
      <c r="X154" s="101">
        <v>0</v>
      </c>
      <c r="Y154" s="101" t="str">
        <f>HYPERLINK("https://www.orlandosentinel.com/news/os-fiamma-shooting-orlando-20180314-story.html","0")</f>
        <v>0</v>
      </c>
      <c r="Z154" s="51">
        <v>0</v>
      </c>
      <c r="AA154" s="51"/>
      <c r="AB154" s="101" t="str">
        <f>HYPERLINK("https://www.orlandosentinel.com/news/os-john-robert-neumann-shooting-suspect-20170605-story.html","1")</f>
        <v>1</v>
      </c>
      <c r="AC154" s="51"/>
      <c r="AD154" s="51"/>
      <c r="AE154" s="51"/>
      <c r="AF154" s="101" t="str">
        <f>HYPERLINK("https://www.orlandosentinel.com/news/os-fiamma-shooting-orlando-20180314-story.html","1")</f>
        <v>1</v>
      </c>
      <c r="AG154" s="51"/>
      <c r="AH154" s="51"/>
      <c r="AI154" s="101" t="str">
        <f t="shared" ref="AI154:AJ154" si="410">HYPERLINK("https://www.orlandosentinel.com/news/os-john-neumann-orlando-workplace-shooting-20170606-story.html","0")</f>
        <v>0</v>
      </c>
      <c r="AJ154" s="101" t="str">
        <f t="shared" si="410"/>
        <v>0</v>
      </c>
      <c r="AK154" s="101">
        <v>0</v>
      </c>
      <c r="AL154" s="101" t="str">
        <f>HYPERLINK("https://www.orlandosentinel.com/news/orlando-workplace-shooting/os-john-robert-neumann-shooting-suspect-20170605-story.html","0")</f>
        <v>0</v>
      </c>
      <c r="AM154" s="101">
        <v>1</v>
      </c>
      <c r="AN154" s="101" t="str">
        <f>HYPERLINK("https://www.cnn.com/2017/06/05/us/orlando-fatalities/index.html","0")</f>
        <v>0</v>
      </c>
      <c r="AO154" s="101" t="str">
        <f>HYPERLINK("https://www.cbsnews.com/news/friend-orlando-victim-feared-workplace-shooter-would-seek-revenge-over-firing/","0")</f>
        <v>0</v>
      </c>
      <c r="AP154" s="54"/>
      <c r="AQ154" s="101" t="str">
        <f>HYPERLINK("https://www.orlandosentinel.com/news/orlando-workplace-shooting/os-john-robert-neumann-shooting-suspect-20170605-story.html","1")</f>
        <v>1</v>
      </c>
      <c r="AR154" s="51">
        <v>0</v>
      </c>
      <c r="AS154" s="101" t="str">
        <f>HYPERLINK("https://www.chicagotribune.com/news/nationworld/ct-orlando-workplace-shooting-20170605-story.html","1")</f>
        <v>1</v>
      </c>
      <c r="AT154" s="51">
        <v>0</v>
      </c>
      <c r="AU154" s="51" t="s">
        <v>100</v>
      </c>
      <c r="AV154" s="51" t="s">
        <v>100</v>
      </c>
      <c r="AW154" s="51" t="s">
        <v>100</v>
      </c>
      <c r="AX154" s="51">
        <v>0</v>
      </c>
      <c r="AY154" s="101" t="str">
        <f t="shared" ref="AY154:AZ154" si="411">HYPERLINK("https://www.cbsnews.com/news/friend-orlando-victim-feared-workplace-shooter-would-seek-revenge-over-firing/","0")</f>
        <v>0</v>
      </c>
      <c r="AZ154" s="101" t="str">
        <f t="shared" si="411"/>
        <v>0</v>
      </c>
      <c r="BA154" s="51">
        <v>0</v>
      </c>
      <c r="BB154" s="107">
        <v>0</v>
      </c>
      <c r="BC154" s="101" t="str">
        <f>HYPERLINK("https://web.archive.org/web/20180107222522/https://www.wftv.com/news/local/9-investigates-who-is-john-neumann-jr/530079203","1")</f>
        <v>1</v>
      </c>
      <c r="BD154" s="51">
        <v>0</v>
      </c>
      <c r="BE154" s="101" t="str">
        <f>HYPERLINK("https://www.orlandosentinel.com/news/os-fiamma-shooting-orlando-20180314-story.html","0")</f>
        <v>0</v>
      </c>
      <c r="BF154" s="101" t="str">
        <f>HYPERLINK("https://www.orlandosentinel.com/news/os-john-neumann-orlando-workplace-shooting-20170606-story.html","0")</f>
        <v>0</v>
      </c>
      <c r="BG154" s="101" t="str">
        <f>HYPERLINK("https://www.orlandosentinel.com/news/os-fiamma-shooting-orlando-20180314-story.html","2")</f>
        <v>2</v>
      </c>
      <c r="BH154" s="51"/>
      <c r="BI154" s="51">
        <v>0</v>
      </c>
      <c r="BJ154" s="51">
        <v>0</v>
      </c>
      <c r="BK154" s="101" t="str">
        <f>HYPERLINK("https://www.orlandosentinel.com/news/orlando-workplace-shooting/os-john-robert-neumann-shooting-suspect-20170605-story.html","1")</f>
        <v>1</v>
      </c>
      <c r="BL154" s="108" t="str">
        <f>HYPERLINK("https://www.orlandosentinel.com/news/os-john-robert-neumann-shooting-suspect-20170605-story.html","1")</f>
        <v>1</v>
      </c>
      <c r="BM154" s="109">
        <v>2</v>
      </c>
      <c r="BN154" s="110" t="s">
        <v>3007</v>
      </c>
      <c r="BO154" s="111">
        <v>1</v>
      </c>
      <c r="BP154" s="111">
        <v>0</v>
      </c>
      <c r="BQ154" s="111">
        <v>1</v>
      </c>
      <c r="BR154" s="111">
        <v>0</v>
      </c>
      <c r="BS154" s="111">
        <v>0</v>
      </c>
      <c r="BT154" s="111">
        <v>1</v>
      </c>
      <c r="BU154" s="111">
        <v>0</v>
      </c>
      <c r="BV154" s="111">
        <v>0</v>
      </c>
      <c r="BW154" s="111">
        <v>0</v>
      </c>
      <c r="BX154" s="111">
        <v>0</v>
      </c>
      <c r="BY154" s="101" t="str">
        <f>HYPERLINK("https://www.cbsnews.com/news/friend-orlando-victim-feared-workplace-shooter-would-seek-revenge-over-firing/","2")</f>
        <v>2</v>
      </c>
      <c r="BZ154" s="51">
        <v>0</v>
      </c>
      <c r="CA154" s="51">
        <v>0</v>
      </c>
      <c r="CB154" s="51" t="s">
        <v>100</v>
      </c>
      <c r="CC154" s="51">
        <v>0</v>
      </c>
      <c r="CD154" s="107" t="s">
        <v>100</v>
      </c>
      <c r="CE154" s="101" t="str">
        <f>HYPERLINK("https://www.orlandosentinel.com/news/os-fiamma-shooting-orlando-20180314-story.html","5")</f>
        <v>5</v>
      </c>
      <c r="CF154" s="51">
        <v>0</v>
      </c>
      <c r="CG154" s="51">
        <v>0</v>
      </c>
      <c r="CH154" s="101">
        <v>4</v>
      </c>
      <c r="CI154" s="51">
        <v>0</v>
      </c>
      <c r="CJ154" s="51" t="s">
        <v>100</v>
      </c>
      <c r="CK154" s="113">
        <v>0</v>
      </c>
      <c r="CL154" s="113"/>
      <c r="CM154" s="113"/>
      <c r="CN154" s="110">
        <v>0</v>
      </c>
      <c r="CO154" s="110">
        <v>0</v>
      </c>
      <c r="CP154" s="110">
        <v>0</v>
      </c>
      <c r="CQ154" s="110">
        <v>0</v>
      </c>
      <c r="CR154" s="108" t="str">
        <f>HYPERLINK("https://www.cbsnews.com/news/friend-orlando-victim-feared-workplace-shooter-would-seek-revenge-over-firing/","1")</f>
        <v>1</v>
      </c>
      <c r="CS154" s="110">
        <v>0</v>
      </c>
      <c r="CT154" s="110">
        <v>0</v>
      </c>
      <c r="CU154" s="110">
        <v>0</v>
      </c>
      <c r="CV154" s="108" t="str">
        <f>HYPERLINK("https://www.cbsnews.com/news/friend-orlando-victim-feared-workplace-shooter-would-seek-revenge-over-firing/","1")</f>
        <v>1</v>
      </c>
      <c r="CW154" s="110">
        <v>0</v>
      </c>
      <c r="CX154" s="110">
        <v>0</v>
      </c>
      <c r="CY154" s="110">
        <v>0</v>
      </c>
      <c r="CZ154" s="108" t="str">
        <f>HYPERLINK("https://www.cbsnews.com/news/friend-orlando-victim-feared-workplace-shooter-would-seek-revenge-over-firing/","0")</f>
        <v>0</v>
      </c>
      <c r="DA154" s="51">
        <v>0</v>
      </c>
      <c r="DB154" s="101" t="str">
        <f>HYPERLINK("https://www.orlandosentinel.com/news/os-john-neumann-orlando-workplace-shooting-20170606-story.html","1")</f>
        <v>1</v>
      </c>
      <c r="DC154" s="101" t="str">
        <f>HYPERLINK("https://www.orlandosentinel.com/news/os-fiamma-shooting-orlando-20180314-story.html","1")</f>
        <v>1</v>
      </c>
      <c r="DD154" s="51">
        <v>0</v>
      </c>
      <c r="DE154" s="51">
        <v>4</v>
      </c>
      <c r="DF154" s="51">
        <v>1</v>
      </c>
      <c r="DG154" s="51"/>
      <c r="DH154" s="51"/>
      <c r="DI154" s="51"/>
      <c r="DJ154" s="51">
        <v>0</v>
      </c>
      <c r="DK154" s="51">
        <v>0</v>
      </c>
      <c r="DL154" s="48" t="s">
        <v>100</v>
      </c>
      <c r="DM154" s="101" t="str">
        <f>HYPERLINK("https://www.cnn.com/2017/06/05/us/orlando-fatalities/index.html","0")</f>
        <v>0</v>
      </c>
      <c r="DN154" s="51">
        <v>0</v>
      </c>
      <c r="DO154" s="51" t="s">
        <v>100</v>
      </c>
      <c r="DP154" s="51">
        <v>0</v>
      </c>
      <c r="DQ154" s="101" t="str">
        <f>HYPERLINK("https://www.orlandosentinel.com/news/os-fiamma-shooting-orlando-20180314-story.html","0")</f>
        <v>0</v>
      </c>
      <c r="DR154" s="101" t="str">
        <f>HYPERLINK("https://www.orlandosentinel.com/news/orlando-workplace-shooting/os-john-robert-neumann-shooting-suspect-20170605-story.html","0")</f>
        <v>0</v>
      </c>
      <c r="DS154" s="101" t="str">
        <f>HYPERLINK("https://www.cnn.com/2017/06/05/us/orlando-fatalities/index.html","3")</f>
        <v>3</v>
      </c>
      <c r="DT154" s="101" t="str">
        <f t="shared" ref="DT154" si="412">HYPERLINK("https://www.orlandosentinel.com/news/orlando-workplace-shooting/os-john-robert-neumann-shooting-suspect-20170605-story.html","1")</f>
        <v>1</v>
      </c>
      <c r="DU154" s="101" t="str">
        <f>HYPERLINK("https://www.orlandosentinel.com/news/os-john-robert-neumann-shooting-suspect-20170605-story.html","1")</f>
        <v>1</v>
      </c>
      <c r="DV154" s="101" t="str">
        <f>HYPERLINK("https://www.orlandosentinel.com/news/os-john-robert-neumann-shooting-suspect-20170605-story.html","knives")</f>
        <v>knives</v>
      </c>
      <c r="DW154" s="101">
        <v>0</v>
      </c>
      <c r="DX154" s="101" t="str">
        <f>HYPERLINK("https://www.cbsnews.com/news/friend-orlando-victim-feared-workplace-shooter-would-seek-revenge-over-firing/","0")</f>
        <v>0</v>
      </c>
      <c r="DY154" s="51">
        <v>2</v>
      </c>
      <c r="DZ154" s="48">
        <v>0</v>
      </c>
    </row>
    <row r="155" spans="1:130" ht="50.25" customHeight="1">
      <c r="A155" s="96">
        <v>154</v>
      </c>
      <c r="B155" s="97" t="s">
        <v>677</v>
      </c>
      <c r="C155" s="97" t="s">
        <v>678</v>
      </c>
      <c r="D155" s="98">
        <v>43009</v>
      </c>
      <c r="E155" s="48" t="s">
        <v>137</v>
      </c>
      <c r="F155" s="119">
        <v>1</v>
      </c>
      <c r="G155" s="102" t="str">
        <f>HYPERLINK("http://www.latimes.com/business/la-fi-las-vegas-campaign-20180102-story.html","10")</f>
        <v>10</v>
      </c>
      <c r="H155" s="101" t="str">
        <f>HYPERLINK("https://www.cbsnews.com/news/las-vegas-shooter-stephen-paddock-had-lost-money-been-depressed-sheriff-says/","2017")</f>
        <v>2017</v>
      </c>
      <c r="I155" s="48" t="s">
        <v>679</v>
      </c>
      <c r="J155" s="101" t="str">
        <f>HYPERLINK("https://www.cbsnews.com/news/las-vegas-shooter-stephen-paddock-had-lost-money-been-depressed-sheriff-says/","Las Vegas ")</f>
        <v xml:space="preserve">Las Vegas </v>
      </c>
      <c r="K155" s="102" t="str">
        <f>HYPERLINK("https://www.cnn.com/2017/10/04/us/paddock-profile-house-cash-fence-invs/index.html","28")</f>
        <v>28</v>
      </c>
      <c r="L155" s="102">
        <v>3</v>
      </c>
      <c r="M155" s="102">
        <v>0</v>
      </c>
      <c r="N155" s="122" t="str">
        <f>HYPERLINK("https://www.cbsnews.com/news/las-vegas-shooter-stephen-paddock-had-lost-money-been-depressed-sheriff-says/","8")</f>
        <v>8</v>
      </c>
      <c r="O155" s="102" t="str">
        <f>HYPERLINK("https://www.cnn.com/2017/10/04/us/paddock-profile-house-cash-fence-invs/index.html","0")</f>
        <v>0</v>
      </c>
      <c r="P155" s="99" t="s">
        <v>100</v>
      </c>
      <c r="Q155" s="103">
        <v>1</v>
      </c>
      <c r="R155" s="103">
        <v>1</v>
      </c>
      <c r="S155" s="102" t="str">
        <f>HYPERLINK("https://www.cbsnews.com/news/las-vegas-shooter-stephen-paddock-had-lost-money-been-depressed-sheriff-says/","58")</f>
        <v>58</v>
      </c>
      <c r="T155" s="102" t="str">
        <f>HYPERLINK("https://www.nytimes.com/2018/08/03/us/las-vegas-shooting-final-report.html","887")</f>
        <v>887</v>
      </c>
      <c r="U155" s="101" t="str">
        <f>HYPERLINK("https://www.lvmpd.com/en-us/Documents/1_October_FIT_Report_01-18-2018_Footnoted.pdf","0")</f>
        <v>0</v>
      </c>
      <c r="V155" s="101" t="str">
        <f>HYPERLINK("http://www.latimes.com/nation/la-na-vegas-shooter-what-we-know-20171002-story.html","64")</f>
        <v>64</v>
      </c>
      <c r="W155" s="101" t="str">
        <f>HYPERLINK("http://www.latimes.com/nation/la-na-vegas-shooter-what-we-know-20171002-story.html","0")</f>
        <v>0</v>
      </c>
      <c r="X155" s="101" t="str">
        <f>HYPERLINK("https://www.cnn.com/2017/10/02/us/las-vegas-attack-stephen-paddock-trnd/index.html","0")</f>
        <v>0</v>
      </c>
      <c r="Y155" s="105" t="str">
        <f>HYPERLINK("https://www.cnn.com/2017/10/09/us/las-vegas-stephen-paddock-deposition/index.html","0")</f>
        <v>0</v>
      </c>
      <c r="Z155" s="101" t="str">
        <f>HYPERLINK("https://www.cbsnews.com/news/las-vegas-shooting-fbi-concludes-investigation-gunman-stephen-paddock-motive/?intcid=CNI-00-10aaa3a","0")</f>
        <v>0</v>
      </c>
      <c r="AA155" s="101" t="str">
        <f>HYPERLINK("https://www.nytimes.com/2018/08/03/us/las-vegas-shooting-final-report.html","0")</f>
        <v>0</v>
      </c>
      <c r="AB155" s="101" t="str">
        <f>HYPERLINK("https://www.dailynews.com/2017/10/03/las-vegas-shooter-stephen-paddock-was-a-cal-state-northridge-graduate-university-confirms/","3")</f>
        <v>3</v>
      </c>
      <c r="AC155" s="101" t="str">
        <f>HYPERLINK("https://www.reviewjournal.com/crime/shootings/las-vegas-shooter-wasnt-a-standout-college-student-records-show/","1")</f>
        <v>1</v>
      </c>
      <c r="AD155" s="101" t="str">
        <f>HYPERLINK("https://www.reviewjournal.com/crime/shootings/las-vegas-shooter-wasnt-a-standout-college-student-records-show/","2.97 GPA")</f>
        <v>2.97 GPA</v>
      </c>
      <c r="AE155" s="101" t="str">
        <f>HYPERLINK("https://www.nytimes.com/2017/10/07/us/stephen-paddock-vegas.html","1")</f>
        <v>1</v>
      </c>
      <c r="AF155" s="101" t="str">
        <f>HYPERLINK("https://www.nytimes.com/2017/10/07/us/stephen-paddock-vegas.html","3")</f>
        <v>3</v>
      </c>
      <c r="AG155" s="101" t="str">
        <f>HYPERLINK("https://www.nytimes.com/2017/10/07/us/stephen-paddock-vegas.html","0")</f>
        <v>0</v>
      </c>
      <c r="AH155" s="101" t="str">
        <f>HYPERLINK("https://www.nytimes.com/2017/10/07/us/stephen-paddock-vegas.html","3")</f>
        <v>3</v>
      </c>
      <c r="AI155" s="101" t="str">
        <f>HYPERLINK("http://www.latimes.com/nation/la-na-vegas-shooter-what-we-know-20171002-story.html","1")</f>
        <v>1</v>
      </c>
      <c r="AJ155" s="101" t="str">
        <f t="shared" ref="AJ155:AK155" si="413">HYPERLINK("http://nymag.com/intelligencer/2017/10/what-we-know-about-las-vegas-gunman-stephen-paddock.html?gtm=bottom","0")</f>
        <v>0</v>
      </c>
      <c r="AK155" s="101" t="str">
        <f t="shared" si="413"/>
        <v>0</v>
      </c>
      <c r="AL155" s="101" t="str">
        <f>HYPERLINK("http://www.latimes.com/nation/la-na-vegas-shooter-what-we-know-20171002-story.html","1")</f>
        <v>1</v>
      </c>
      <c r="AM155" s="101" t="str">
        <f>HYPERLINK("https://www.cnn.com/2017/10/04/us/paddock-profile-house-cash-fence-invs/index.html","0")</f>
        <v>0</v>
      </c>
      <c r="AN155" s="48" t="s">
        <v>100</v>
      </c>
      <c r="AO155" s="101" t="str">
        <f>HYPERLINK("https://nymag.com/intelligencer/2017/10/what-we-know-about-las-vegas-gunman-stephen-paddock.html?gtm=bottom","0")</f>
        <v>0</v>
      </c>
      <c r="AP155" s="54"/>
      <c r="AQ155" s="101" t="str">
        <f>HYPERLINK("https://www.cnn.com/2017/10/04/us/paddock-profile-house-cash-fence-invs/index.html","0")</f>
        <v>0</v>
      </c>
      <c r="AR155" s="51">
        <v>0</v>
      </c>
      <c r="AS155" s="101" t="str">
        <f>HYPERLINK("https://www.huffpost.com/entry/stephen-paddock-abuse-girlfriend_n_59d40429e4b0218923e60bcc","0")</f>
        <v>0</v>
      </c>
      <c r="AT155" s="105" t="str">
        <f>HYPERLINK("https://www.huffpost.com/entry/stephen-paddock-abuse-girlfriend_n_59d40429e4b0218923e60bcc","1")</f>
        <v>1</v>
      </c>
      <c r="AU155" s="105">
        <v>3</v>
      </c>
      <c r="AV155" s="105"/>
      <c r="AW155" s="48"/>
      <c r="AX155" s="105" t="str">
        <f>HYPERLINK("https://abcnews.go.com/US/las-vegas-gunmans-computer-child-pornography-disturbing-search/story?id=52467413","1")</f>
        <v>1</v>
      </c>
      <c r="AY155" s="51">
        <v>0</v>
      </c>
      <c r="AZ155" s="101" t="str">
        <f>HYPERLINK("https://www.nytimes.com/2018/08/03/us/las-vegas-shooting-final-report.html","0")</f>
        <v>0</v>
      </c>
      <c r="BA155" s="51">
        <v>0</v>
      </c>
      <c r="BB155" s="141" t="str">
        <f>HYPERLINK("https://en.wikipedia.org/wiki/Stephen_Paddock","0")</f>
        <v>0</v>
      </c>
      <c r="BC155" s="101" t="str">
        <f>HYPERLINK("http://nymag.com/intelligencer/2017/10/what-we-know-about-las-vegas-gunman-stephen-paddock.html?gtm=bottom","1")</f>
        <v>1</v>
      </c>
      <c r="BD155" s="51">
        <v>0</v>
      </c>
      <c r="BE155" s="101" t="str">
        <f>HYPERLINK("https://www.cbsnews.com/news/las-vegas-shooting-fbi-concludes-investigation-gunman-stephen-paddock-motive/?intcid=CNI-00-10aaa3a","1")</f>
        <v>1</v>
      </c>
      <c r="BF155" s="101" t="str">
        <f>HYPERLINK("https://www.cnn.com/2017/10/02/us/las-vegas-attack-stephen-paddock-trnd/index.html","0")</f>
        <v>0</v>
      </c>
      <c r="BG155" s="101" t="str">
        <f>HYPERLINK("https://nymag.com/intelligencer/2017/10/what-we-know-about-las-vegas-gunman-stephen-paddock.html?gtm=bottom","3")</f>
        <v>3</v>
      </c>
      <c r="BH155" s="51">
        <v>0</v>
      </c>
      <c r="BI155" s="51">
        <v>0</v>
      </c>
      <c r="BJ155" s="101" t="str">
        <f>HYPERLINK("http://nymag.com/intelligencer/2017/10/what-we-know-about-las-vegas-gunman-stephen-paddock.html?gtm=bottom","0")</f>
        <v>0</v>
      </c>
      <c r="BK155" s="108" t="str">
        <f t="shared" ref="BK155" si="414">HYPERLINK("https://www.cbsnews.com/news/las-vegas-shooter-stephen-paddock-had-lost-money-been-depressed-sheriff-says/","1")</f>
        <v>1</v>
      </c>
      <c r="BL155" s="109" t="str">
        <f>HYPERLINK("https://www.cbsnews.com/news/las-vegas-shooter-stephen-paddock-had-lost-money-been-depressed-sheriff-says/","1")</f>
        <v>1</v>
      </c>
      <c r="BM155" s="109">
        <v>3</v>
      </c>
      <c r="BN155" s="115" t="s">
        <v>3092</v>
      </c>
      <c r="BO155" s="111">
        <v>1</v>
      </c>
      <c r="BP155" s="111">
        <v>0</v>
      </c>
      <c r="BQ155" s="111">
        <v>1</v>
      </c>
      <c r="BR155" s="111">
        <v>0</v>
      </c>
      <c r="BS155" s="111">
        <v>0</v>
      </c>
      <c r="BT155" s="111">
        <v>0</v>
      </c>
      <c r="BU155" s="111">
        <v>0</v>
      </c>
      <c r="BV155" s="111">
        <v>1</v>
      </c>
      <c r="BW155" s="111">
        <v>0</v>
      </c>
      <c r="BX155" s="111">
        <v>0</v>
      </c>
      <c r="BY155" s="101" t="str">
        <f>HYPERLINK("https://www.cbsnews.com/news/las-vegas-shooter-stephen-paddock-had-lost-money-been-depressed-sheriff-says/","2")</f>
        <v>2</v>
      </c>
      <c r="BZ155" s="51">
        <v>0</v>
      </c>
      <c r="CA155" s="51">
        <v>0</v>
      </c>
      <c r="CB155" s="51" t="s">
        <v>100</v>
      </c>
      <c r="CC155" s="101" t="str">
        <f t="shared" ref="CC155:CD155" si="415">HYPERLINK("https://www.cnn.com/2017/10/09/us/las-vegas-stephen-paddock-deposition/index.html","1")</f>
        <v>1</v>
      </c>
      <c r="CD155" s="101" t="str">
        <f t="shared" si="415"/>
        <v>1</v>
      </c>
      <c r="CE155" s="101" t="str">
        <f>HYPERLINK("https://www.cbsnews.com/news/las-vegas-shooting-fbi-concludes-investigation-gunman-stephen-paddock-motive/?intcid=CNI-00-10aaa3a","1")</f>
        <v>1</v>
      </c>
      <c r="CF155" s="101" t="str">
        <f>HYPERLINK("https://www.nbc26.com/news/national/shooting-may-be-like-father-like-son-scenario","1")</f>
        <v>1</v>
      </c>
      <c r="CG155" s="51">
        <v>0</v>
      </c>
      <c r="CH155" s="101" t="str">
        <f>HYPERLINK("https://www.cnn.com/2017/10/09/us/las-vegas-stephen-paddock-deposition/index.html","1")</f>
        <v>1</v>
      </c>
      <c r="CI155" s="101" t="str">
        <f>HYPERLINK("http://nymag.com/intelligencer/2017/10/what-we-know-about-las-vegas-gunman-stephen-paddock.html?gtm=bottom","1")</f>
        <v>1</v>
      </c>
      <c r="CJ155" s="101" t="str">
        <f>HYPERLINK("http://nymag.com/intelligencer/2017/10/what-we-know-about-las-vegas-gunman-stephen-paddock.html?gtm=bottom","significant allergies, arm injury, high blood pressure")</f>
        <v>significant allergies, arm injury, high blood pressure</v>
      </c>
      <c r="CK155" s="113">
        <v>0</v>
      </c>
      <c r="CL155" s="113"/>
      <c r="CM155" s="113"/>
      <c r="CN155" s="108">
        <v>0</v>
      </c>
      <c r="CO155" s="110">
        <v>0</v>
      </c>
      <c r="CP155" s="110">
        <v>0</v>
      </c>
      <c r="CQ155" s="110">
        <v>0</v>
      </c>
      <c r="CR155" s="110">
        <v>0</v>
      </c>
      <c r="CS155" s="110">
        <v>0</v>
      </c>
      <c r="CT155" s="110">
        <v>0</v>
      </c>
      <c r="CU155" s="110">
        <v>0</v>
      </c>
      <c r="CV155" s="110">
        <v>0</v>
      </c>
      <c r="CW155" s="108" t="str">
        <f>HYPERLINK("https://www.cbsnews.com/news/las-vegas-shooting-fbi-concludes-investigation-gunman-stephen-paddock-motive/?intcid=CNI-00-10aaa3a","1")</f>
        <v>1</v>
      </c>
      <c r="CX155" s="110">
        <v>0</v>
      </c>
      <c r="CY155" s="108" t="str">
        <f>HYPERLINK("https://www.cbsnews.com/news/las-vegas-shooting-fbi-concludes-investigation-gunman-stephen-paddock-motive/?intcid=CNI-00-10aaa3a","1")</f>
        <v>1</v>
      </c>
      <c r="CZ155" s="108" t="str">
        <f>HYPERLINK("https://www.nytimes.com/2018/08/03/us/las-vegas-shooting-final-report.html","0")</f>
        <v>0</v>
      </c>
      <c r="DA155" s="51">
        <v>0</v>
      </c>
      <c r="DB155" s="101" t="str">
        <f>HYPERLINK("http://www.latimes.com/nation/la-na-vegas-shooter-what-we-know-20171002-story.html","0")</f>
        <v>0</v>
      </c>
      <c r="DC155" s="101" t="str">
        <f>HYPERLINK("https://www.nytimes.com/2018/08/03/us/las-vegas-shooting-final-report.html","0")</f>
        <v>0</v>
      </c>
      <c r="DD155" s="51"/>
      <c r="DE155" s="51"/>
      <c r="DF155" s="51"/>
      <c r="DG155" s="51"/>
      <c r="DH155" s="51"/>
      <c r="DI155" s="51"/>
      <c r="DJ155" s="51">
        <v>0</v>
      </c>
      <c r="DK155" s="51">
        <v>0</v>
      </c>
      <c r="DL155" s="48" t="s">
        <v>100</v>
      </c>
      <c r="DM155" s="101" t="str">
        <f>HYPERLINK("https://www.cbsnews.com/news/las-vegas-shooting-fbi-concludes-investigation-gunman-stephen-paddock-motive/?intcid=CNI-00-10aaa3a","0")</f>
        <v>0</v>
      </c>
      <c r="DN155" s="51">
        <v>0</v>
      </c>
      <c r="DO155" s="51" t="s">
        <v>100</v>
      </c>
      <c r="DP155" s="101" t="str">
        <f>HYPERLINK("https://www.nytimes.com/2018/08/03/us/las-vegas-shooting-final-report.html","1")</f>
        <v>1</v>
      </c>
      <c r="DQ155" s="101" t="str">
        <f>HYPERLINK("https://www.nytimes.com/2018/08/03/us/las-vegas-shooting-final-report.html","0")</f>
        <v>0</v>
      </c>
      <c r="DR155" s="105" t="str">
        <f>HYPERLINK("https://www.nytimes.com/2018/08/03/us/las-vegas-shooting-final-report.html","1")</f>
        <v>1</v>
      </c>
      <c r="DS155" s="101" t="str">
        <f>HYPERLINK("https://www.businessinsider.com/stephen-paddock-las-vegas-shooting-weapons-vantage-point-room-2017-10","2")</f>
        <v>2</v>
      </c>
      <c r="DT155" s="101">
        <v>24</v>
      </c>
      <c r="DU155" s="101" t="str">
        <f>HYPERLINK("http://nymag.com/intelligencer/2017/10/what-we-know-about-las-vegas-gunman-stephen-paddock.html?gtm=bottom","1")</f>
        <v>1</v>
      </c>
      <c r="DV155" s="105" t="str">
        <f>HYPERLINK("http://nymag.com/intelligencer/2017/10/what-we-know-about-las-vegas-gunman-stephen-paddock.html?gtm=bottom","scopes, bump stocks, cameras, rifle supports")</f>
        <v>scopes, bump stocks, cameras, rifle supports</v>
      </c>
      <c r="DW155" s="101" t="str">
        <f t="shared" ref="DW155:DX155" si="416">HYPERLINK("https://www.cbsnews.com/news/las-vegas-shooter-stephen-paddock-had-lost-money-been-depressed-sheriff-says/","0")</f>
        <v>0</v>
      </c>
      <c r="DX155" s="101" t="str">
        <f t="shared" si="416"/>
        <v>0</v>
      </c>
      <c r="DY155" s="48">
        <v>2</v>
      </c>
      <c r="DZ155" s="48">
        <v>0</v>
      </c>
    </row>
    <row r="156" spans="1:130" ht="50.25" customHeight="1">
      <c r="A156" s="96">
        <v>155</v>
      </c>
      <c r="B156" s="97" t="s">
        <v>682</v>
      </c>
      <c r="C156" s="97" t="s">
        <v>683</v>
      </c>
      <c r="D156" s="98">
        <v>43044</v>
      </c>
      <c r="E156" s="48" t="s">
        <v>137</v>
      </c>
      <c r="F156" s="119">
        <v>5</v>
      </c>
      <c r="G156" s="102">
        <v>11</v>
      </c>
      <c r="H156" s="101">
        <v>2017</v>
      </c>
      <c r="I156" s="48" t="s">
        <v>684</v>
      </c>
      <c r="J156" s="101" t="s">
        <v>685</v>
      </c>
      <c r="K156" s="178" t="str">
        <f>HYPERLINK("https://www.nbcnews.com/storyline/texas-church-shooting/who-devin-kelley-alleged-texas-church-shooter-n817806","43")</f>
        <v>43</v>
      </c>
      <c r="L156" s="102">
        <v>0</v>
      </c>
      <c r="M156" s="102" t="str">
        <f>HYPERLINK("https://www.nbcnews.com/storyline/texas-church-shooting/who-devin-kelley-alleged-texas-church-shooter-n817806","2")</f>
        <v>2</v>
      </c>
      <c r="N156" s="102" t="str">
        <f>HYPERLINK("https://www.nbcnews.com/storyline/texas-church-shooting/who-devin-kelley-alleged-texas-church-shooter-n817806","3")</f>
        <v>3</v>
      </c>
      <c r="O156" s="102" t="str">
        <f>HYPERLINK("https://www.cnn.com/2017/11/05/us/texas-church-shooting-resident-action/index.html","0")</f>
        <v>0</v>
      </c>
      <c r="P156" s="99" t="s">
        <v>100</v>
      </c>
      <c r="Q156" s="103">
        <v>0</v>
      </c>
      <c r="R156" s="103">
        <v>0</v>
      </c>
      <c r="S156" s="102" t="str">
        <f>HYPERLINK("https://www.cbsnews.com/news/sutherland-springs-texas-church-gunman-devin-kelley-wife-speaks-out/","25")</f>
        <v>25</v>
      </c>
      <c r="T156" s="102">
        <v>20</v>
      </c>
      <c r="U156" s="101" t="str">
        <f>HYPERLINK("https://www.cbsnews.com/news/sutherland-springs-texas-church-gunman-devin-kelley-wife-speaks-out/","1")</f>
        <v>1</v>
      </c>
      <c r="V156" s="101">
        <v>26</v>
      </c>
      <c r="W156" s="101">
        <v>0</v>
      </c>
      <c r="X156" s="101">
        <v>0</v>
      </c>
      <c r="Y156" s="105">
        <v>0</v>
      </c>
      <c r="Z156" s="101" t="str">
        <f>HYPERLINK("https://www.cbsnews.com/news/devin-patrick-kelley-texas-shooting-suspect-sutherland-springs-first-baptist-church-latest/","0")</f>
        <v>0</v>
      </c>
      <c r="AA156" s="101" t="str">
        <f>HYPERLINK("https://www.cbsnews.com/news/sutherland-springs-texas-church-gunman-devin-kelley-wife-speaks-out/","4")</f>
        <v>4</v>
      </c>
      <c r="AB156" s="101">
        <v>1</v>
      </c>
      <c r="AC156" s="101">
        <v>1</v>
      </c>
      <c r="AD156" s="101" t="s">
        <v>884</v>
      </c>
      <c r="AE156" s="101" t="str">
        <f t="shared" ref="AE156:AF156" si="417">HYPERLINK("https://www.nydailynews.com/news/national/classmates-paint-twisted-portrait-texas-shooter-article-1.3614825","2")</f>
        <v>2</v>
      </c>
      <c r="AF156" s="101" t="str">
        <f t="shared" si="417"/>
        <v>2</v>
      </c>
      <c r="AG156" s="101" t="str">
        <f t="shared" ref="AG156:AH156" si="418">HYPERLINK("https://www.nydailynews.com/news/national/classmates-paint-twisted-portrait-texas-shooter-article-1.3614825","1")</f>
        <v>1</v>
      </c>
      <c r="AH156" s="101" t="str">
        <f t="shared" si="418"/>
        <v>1</v>
      </c>
      <c r="AI156" s="101" t="str">
        <f>HYPERLINK("https://www.cbsnews.com/news/sutherland-springs-texas-church-gunman-devin-kelley-wife-speaks-out/","2")</f>
        <v>2</v>
      </c>
      <c r="AJ156" s="101" t="str">
        <f>HYPERLINK("https://www.cbsnews.com/news/sutherland-springs-texas-church-gunman-devin-kelley-wife-speaks-out/","1")</f>
        <v>1</v>
      </c>
      <c r="AK156" s="101">
        <v>1</v>
      </c>
      <c r="AL156" s="101" t="str">
        <f>HYPERLINK("https://www.cbsnews.com/news/devin-patrick-kelley-texas-shooting-suspect-sutherland-springs-first-baptist-church-latest/","2")</f>
        <v>2</v>
      </c>
      <c r="AM156" s="101">
        <v>1</v>
      </c>
      <c r="AN156" s="101">
        <v>2</v>
      </c>
      <c r="AO156" s="101" t="str">
        <f>HYPERLINK("https://www.cnn.com/2017/11/06/us/devin-kelley-texas-church-shooting-suspect/index.html","0")</f>
        <v>0</v>
      </c>
      <c r="AP156" s="54"/>
      <c r="AQ156" s="101">
        <v>1</v>
      </c>
      <c r="AR156" s="51">
        <v>0</v>
      </c>
      <c r="AS156" s="101" t="str">
        <f>HYPERLINK("https://www.nbcnews.com/storyline/texas-church-shooting/who-devin-kelley-alleged-texas-church-shooter-n817806","1")</f>
        <v>1</v>
      </c>
      <c r="AT156" s="105" t="str">
        <f>HYPERLINK("https://www.nbcnews.com/storyline/texas-church-shooting/who-devin-kelley-alleged-texas-church-shooter-n817806","3")</f>
        <v>3</v>
      </c>
      <c r="AU156" s="105">
        <v>1</v>
      </c>
      <c r="AV156" s="105">
        <v>4</v>
      </c>
      <c r="AW156" s="105">
        <v>3</v>
      </c>
      <c r="AX156" s="105">
        <v>1</v>
      </c>
      <c r="AY156" s="51">
        <v>0</v>
      </c>
      <c r="AZ156" s="101" t="str">
        <f>HYPERLINK("https://www.nbcnews.com/storyline/texas-church-shooting/who-devin-kelley-alleged-texas-church-shooter-n817806","0")</f>
        <v>0</v>
      </c>
      <c r="BA156" s="51">
        <v>0</v>
      </c>
      <c r="BB156" s="141" t="str">
        <f>HYPERLINK("https://www.dailymail.co.uk/news/article-5056797/Texas-church-shooter-s-teenage-best-friend-tells-all.html","1")</f>
        <v>1</v>
      </c>
      <c r="BC156" s="51">
        <v>0</v>
      </c>
      <c r="BD156" s="101" t="str">
        <f>HYPERLINK("https://www.wsj.com/articles/texas-church-shooter-burst-with-violent-rage-1525685401","1")</f>
        <v>1</v>
      </c>
      <c r="BE156" s="101" t="str">
        <f t="shared" ref="BE156:BF156" si="419">HYPERLINK("https://www.washingtonpost.com/news/morning-mix/wp/2017/11/06/who-is-devin-patrick-kelley-gunman-who-officials-say-killed-churchgoers-in-sutherland-springs/?noredirect=on&amp;utm_term=.1e8184e3d92f","0")</f>
        <v>0</v>
      </c>
      <c r="BF156" s="101" t="str">
        <f t="shared" si="419"/>
        <v>0</v>
      </c>
      <c r="BG156" s="51"/>
      <c r="BH156" s="107">
        <v>1</v>
      </c>
      <c r="BI156" s="51">
        <v>0</v>
      </c>
      <c r="BJ156" s="51">
        <v>0</v>
      </c>
      <c r="BK156" s="101">
        <v>1</v>
      </c>
      <c r="BL156" s="108" t="str">
        <f>HYPERLINK("https://www.cbsnews.com/news/sutherland-springs-texas-church-gunman-devin-kelley-wife-speaks-out/","1")</f>
        <v>1</v>
      </c>
      <c r="BM156" s="109">
        <v>2</v>
      </c>
      <c r="BN156" s="110" t="s">
        <v>2968</v>
      </c>
      <c r="BO156" s="111">
        <v>0</v>
      </c>
      <c r="BP156" s="111">
        <v>0</v>
      </c>
      <c r="BQ156" s="111">
        <v>1</v>
      </c>
      <c r="BR156" s="111">
        <v>0</v>
      </c>
      <c r="BS156" s="111">
        <v>0</v>
      </c>
      <c r="BT156" s="111">
        <v>1</v>
      </c>
      <c r="BU156" s="111">
        <v>1</v>
      </c>
      <c r="BV156" s="111">
        <v>1</v>
      </c>
      <c r="BW156" s="111">
        <v>0</v>
      </c>
      <c r="BX156" s="111">
        <v>0</v>
      </c>
      <c r="BY156" s="101">
        <v>1</v>
      </c>
      <c r="BZ156" s="101" t="str">
        <f>HYPERLINK("https://www.click2houston.com/news/sutherland-springs-church-shooter-escaped-mental-health-facility-months-after-attack-on-wife-child","1")</f>
        <v>1</v>
      </c>
      <c r="CA156" s="101">
        <v>1</v>
      </c>
      <c r="CB156" s="101">
        <v>0</v>
      </c>
      <c r="CC156" s="101">
        <v>1</v>
      </c>
      <c r="CD156" s="141" t="str">
        <f>HYPERLINK("https://www.click2houston.com/news/2017/11/08/sutherland-springs-church-shooter-escaped-mental-health-facility-months-after-attack-on-wife-child/","0")</f>
        <v>0</v>
      </c>
      <c r="CE156" s="101">
        <v>1</v>
      </c>
      <c r="CF156" s="51">
        <v>0</v>
      </c>
      <c r="CG156" s="51">
        <v>0</v>
      </c>
      <c r="CH156" s="101">
        <v>3</v>
      </c>
      <c r="CI156" s="101" t="str">
        <f>HYPERLINK("https://www.washingtonpost.com/news/post-nation/wp/2017/11/07/as-texas-town-mourns-details-emerge-on-gunmans-methodical-tactics-in-church-massacre/","1")</f>
        <v>1</v>
      </c>
      <c r="CJ156" s="101" t="str">
        <f>HYPERLINK("https://www.washingtonpost.com/news/post-nation/wp/2017/11/07/as-texas-town-mourns-details-emerge-on-gunmans-methodical-tactics-in-church-massacre/","chronic head and neck pain from a motorcycle accident")</f>
        <v>chronic head and neck pain from a motorcycle accident</v>
      </c>
      <c r="CK156" s="113">
        <v>0</v>
      </c>
      <c r="CL156" s="113"/>
      <c r="CM156" s="113"/>
      <c r="CN156" s="108">
        <v>0</v>
      </c>
      <c r="CO156" s="108">
        <v>0</v>
      </c>
      <c r="CP156" s="108">
        <v>0</v>
      </c>
      <c r="CQ156" s="110">
        <v>0</v>
      </c>
      <c r="CR156" s="108">
        <v>0</v>
      </c>
      <c r="CS156" s="108">
        <v>0</v>
      </c>
      <c r="CT156" s="110">
        <v>0</v>
      </c>
      <c r="CU156" s="108">
        <v>0</v>
      </c>
      <c r="CV156" s="109">
        <v>1</v>
      </c>
      <c r="CW156" s="110">
        <v>0</v>
      </c>
      <c r="CX156" s="110">
        <v>0</v>
      </c>
      <c r="CY156" s="108">
        <v>0</v>
      </c>
      <c r="CZ156" s="108" t="str">
        <f>HYPERLINK("https://www.cbsnews.com/news/devin-patrick-kelley-texas-shooting-suspect-sutherland-springs-first-baptist-church-latest/","0")</f>
        <v>0</v>
      </c>
      <c r="DA156" s="51">
        <v>0</v>
      </c>
      <c r="DB156" s="101">
        <v>1</v>
      </c>
      <c r="DC156" s="101" t="str">
        <f>HYPERLINK("https://edition.cnn.com/2017/11/06/us/devin-kelley-texas-church-shooting-suspect/index.html","1")</f>
        <v>1</v>
      </c>
      <c r="DD156" s="51">
        <v>3</v>
      </c>
      <c r="DE156" s="51">
        <v>1</v>
      </c>
      <c r="DF156" s="51">
        <v>0</v>
      </c>
      <c r="DG156" s="51"/>
      <c r="DH156" s="51"/>
      <c r="DI156" s="51"/>
      <c r="DJ156" s="101" t="str">
        <f>HYPERLINK("https://edition.cnn.com/2017/11/06/us/devin-kelley-texas-church-shooting-suspect/index.html","1")</f>
        <v>1</v>
      </c>
      <c r="DK156" s="51">
        <v>0</v>
      </c>
      <c r="DL156" s="48" t="s">
        <v>100</v>
      </c>
      <c r="DM156" s="101" t="str">
        <f>HYPERLINK("https://edition.cnn.com/2017/11/06/us/devin-kelley-texas-church-shooting-suspect/index.html","0")</f>
        <v>0</v>
      </c>
      <c r="DN156" s="51">
        <v>0</v>
      </c>
      <c r="DO156" s="101" t="s">
        <v>100</v>
      </c>
      <c r="DP156" s="101">
        <v>0</v>
      </c>
      <c r="DQ156" s="101" t="str">
        <f>HYPERLINK("https://www.nbcnews.com/storyline/texas-church-shooting/who-devin-kelley-alleged-texas-church-shooter-n817806","0")</f>
        <v>0</v>
      </c>
      <c r="DR156" s="105" t="str">
        <f>HYPERLINK("https://edition.cnn.com/2017/11/06/us/devin-kelley-texas-church-shooting-suspect/index.html","1")</f>
        <v>1</v>
      </c>
      <c r="DS156" s="101" t="str">
        <f>HYPERLINK("https://www.aljazeera.com/news/2017/11/texas-church-shooting-devin-patrick-kelley-171106181800494.html","3")</f>
        <v>3</v>
      </c>
      <c r="DT156" s="101">
        <v>3</v>
      </c>
      <c r="DU156" s="101" t="str">
        <f>HYPERLINK("https://www.nbcnews.com/storyline/texas-church-shooting/who-devin-kelley-alleged-texas-church-shooter-n817806","1")</f>
        <v>1</v>
      </c>
      <c r="DV156" s="101" t="str">
        <f>HYPERLINK("https://www.nbcnews.com/storyline/texas-church-shooting/who-devin-kelley-alleged-texas-church-shooter-n817806","tactical gear, bulletproof vest")</f>
        <v>tactical gear, bulletproof vest</v>
      </c>
      <c r="DW156" s="101">
        <v>0</v>
      </c>
      <c r="DX156" s="101" t="str">
        <f>HYPERLINK("https://www.cnn.com/2017/11/05/us/texas-church-shooting-resident-action/index.html","1")</f>
        <v>1</v>
      </c>
      <c r="DY156" s="48">
        <v>2</v>
      </c>
      <c r="DZ156" s="48">
        <v>0</v>
      </c>
    </row>
    <row r="157" spans="1:130" ht="50.25" customHeight="1">
      <c r="A157" s="96">
        <v>156</v>
      </c>
      <c r="B157" s="97" t="s">
        <v>687</v>
      </c>
      <c r="C157" s="97" t="s">
        <v>688</v>
      </c>
      <c r="D157" s="98">
        <v>43053</v>
      </c>
      <c r="E157" s="48" t="s">
        <v>203</v>
      </c>
      <c r="F157" s="119">
        <v>14</v>
      </c>
      <c r="G157" s="102" t="str">
        <f>HYPERLINK("https://www.cbsnews.com/news/california-shooting-gunman-kevin-janson-neal-threatened-victim-son-neighbor/","11")</f>
        <v>11</v>
      </c>
      <c r="H157" s="101">
        <v>2017</v>
      </c>
      <c r="I157" s="48" t="s">
        <v>689</v>
      </c>
      <c r="J157" s="101" t="s">
        <v>690</v>
      </c>
      <c r="K157" s="102">
        <v>5</v>
      </c>
      <c r="L157" s="102">
        <v>3</v>
      </c>
      <c r="M157" s="102">
        <v>2</v>
      </c>
      <c r="N157" s="102" t="str">
        <f>HYPERLINK("https://www.cbsnews.com/news/tehama-county-shooter-suspect-details-kevin-neal/","7")</f>
        <v>7</v>
      </c>
      <c r="O157" s="102" t="str">
        <f>HYPERLINK("https://www.sacbee.com/news/local/crime/article184754473.html","1")</f>
        <v>1</v>
      </c>
      <c r="P157" s="122" t="str">
        <f>HYPERLINK("https://www.cbsnews.com/news/tehama-county-shooter-suspect-details-kevin-neal/","8")</f>
        <v>8</v>
      </c>
      <c r="Q157" s="103">
        <v>1</v>
      </c>
      <c r="R157" s="161">
        <v>2</v>
      </c>
      <c r="S157" s="102">
        <v>5</v>
      </c>
      <c r="T157" s="102" t="str">
        <f>HYPERLINK("https://www.redding.com/story/news/local/2017/12/08/rancho-tehama-gunman-killed-himself-autopsy-says/935136001/","12")</f>
        <v>12</v>
      </c>
      <c r="U157" s="101" t="str">
        <f>HYPERLINK("https://www.cbsnews.com/news/california-shooting-kevin-janson-neal-neighbor/","0")</f>
        <v>0</v>
      </c>
      <c r="V157" s="101">
        <v>44</v>
      </c>
      <c r="W157" s="101">
        <v>0</v>
      </c>
      <c r="X157" s="101">
        <v>0</v>
      </c>
      <c r="Y157" s="105" t="str">
        <f>HYPERLINK("https://www.sacbee.com/news/local/crime/article184754473.html","0")</f>
        <v>0</v>
      </c>
      <c r="Z157" s="101" t="str">
        <f>HYPERLINK("https://www.nbcnews.com/news/us-news/gunman-california-shooting-spree-needed-mental-help-sister-says-n821216","0")</f>
        <v>0</v>
      </c>
      <c r="AA157" s="51"/>
      <c r="AB157" s="101" t="str">
        <f>HYPERLINK("https://www.sacbee.com/news/local/crime/article184754473.html","2")</f>
        <v>2</v>
      </c>
      <c r="AC157" s="51"/>
      <c r="AD157" s="51"/>
      <c r="AE157" s="101" t="str">
        <f>HYPERLINK("https://www.nydailynews.com/news/national/sister-calif-shooter-zero-business-guns-article-1.3634199","3")</f>
        <v>3</v>
      </c>
      <c r="AF157" s="101" t="str">
        <f t="shared" ref="AF157:AG157" si="420">HYPERLINK("https://www.nydailynews.com/news/national/sister-calif-shooter-zero-business-guns-article-1.3634199","1")</f>
        <v>1</v>
      </c>
      <c r="AG157" s="101" t="str">
        <f t="shared" si="420"/>
        <v>1</v>
      </c>
      <c r="AH157" s="101" t="str">
        <f>HYPERLINK("https://www.latimes.com/local/lanow/la-me-rancho-tehama-suspect-id-20171114-story.html","0")</f>
        <v>0</v>
      </c>
      <c r="AI157" s="101">
        <v>2</v>
      </c>
      <c r="AJ157" s="51">
        <v>0</v>
      </c>
      <c r="AK157" s="101" t="str">
        <f>HYPERLINK("https://www.cbsnews.com/news/california-shooting-kevin-janson-neal-mom-call-rampage/","1")</f>
        <v>1</v>
      </c>
      <c r="AL157" s="101" t="str">
        <f>HYPERLINK("https://www.sacbee.com/news/local/crime/article184754473.html","0")</f>
        <v>0</v>
      </c>
      <c r="AM157" s="101">
        <v>0</v>
      </c>
      <c r="AN157" s="48" t="s">
        <v>100</v>
      </c>
      <c r="AO157" s="101" t="str">
        <f>HYPERLINK("https://www.cbsnews.com/news/california-shooting-kevin-janson-neal-neighbor/","0")</f>
        <v>0</v>
      </c>
      <c r="AP157" s="54"/>
      <c r="AQ157" s="101" t="str">
        <f>HYPERLINK("https://www.newsweek.com/who-kevin-jansen-neal-white-male-shooter-was-about-face-trial-711928","1")</f>
        <v>1</v>
      </c>
      <c r="AR157" s="51">
        <v>0</v>
      </c>
      <c r="AS157" s="101" t="str">
        <f>HYPERLINK("https://www.newsweek.com/who-kevin-jansen-neal-white-male-shooter-was-about-face-trial-711928","1")</f>
        <v>1</v>
      </c>
      <c r="AT157" s="105" t="str">
        <f>HYPERLINK("https://www.cbsnews.com/news/california-shooting-kevin-janson-neal-mom-call-rampage/","1")</f>
        <v>1</v>
      </c>
      <c r="AU157" s="105">
        <v>1</v>
      </c>
      <c r="AV157" s="105">
        <v>3</v>
      </c>
      <c r="AW157" s="48"/>
      <c r="AX157" s="48">
        <v>0</v>
      </c>
      <c r="AY157" s="51">
        <v>0</v>
      </c>
      <c r="AZ157" s="51">
        <v>0</v>
      </c>
      <c r="BA157" s="51">
        <v>0</v>
      </c>
      <c r="BB157" s="107">
        <v>0</v>
      </c>
      <c r="BC157" s="101" t="str">
        <f>HYPERLINK("https://www.cbsnews.com/news/california-shooting-kevin-janson-neal-neighbor/","1")</f>
        <v>1</v>
      </c>
      <c r="BD157" s="51">
        <v>0</v>
      </c>
      <c r="BE157" s="51"/>
      <c r="BF157" s="51">
        <v>0</v>
      </c>
      <c r="BG157" s="51"/>
      <c r="BH157" s="51"/>
      <c r="BI157" s="51">
        <v>0</v>
      </c>
      <c r="BJ157" s="101" t="str">
        <f>HYPERLINK("https://heavy.com/news/2017/11/kevin-janson-neal-tehama-county-school-shooter/","0")</f>
        <v>0</v>
      </c>
      <c r="BK157" s="51">
        <v>0</v>
      </c>
      <c r="BL157" s="108">
        <v>1</v>
      </c>
      <c r="BM157" s="109">
        <v>3</v>
      </c>
      <c r="BN157" s="115" t="s">
        <v>3095</v>
      </c>
      <c r="BO157" s="111">
        <v>1</v>
      </c>
      <c r="BP157" s="111">
        <v>0</v>
      </c>
      <c r="BQ157" s="111">
        <v>0</v>
      </c>
      <c r="BR157" s="111">
        <v>0</v>
      </c>
      <c r="BS157" s="111">
        <v>0</v>
      </c>
      <c r="BT157" s="111">
        <v>1</v>
      </c>
      <c r="BU157" s="111">
        <v>1</v>
      </c>
      <c r="BV157" s="111">
        <v>0</v>
      </c>
      <c r="BW157" s="111">
        <v>1</v>
      </c>
      <c r="BX157" s="111">
        <v>1</v>
      </c>
      <c r="BY157" s="101">
        <v>1</v>
      </c>
      <c r="BZ157" s="101" t="str">
        <f>HYPERLINK("https://www.nbcnews.com/news/us-news/gunman-california-shooting-spree-needed-mental-help-sister-says-n821216","0")</f>
        <v>0</v>
      </c>
      <c r="CA157" s="101" t="str">
        <f>HYPERLINK("https://www.sacbee.com/news/local/crime/article184754473.html","1")</f>
        <v>1</v>
      </c>
      <c r="CB157" s="101" t="str">
        <f t="shared" ref="CB157:CD157" si="421">HYPERLINK("https://www.sacbee.com/news/local/crime/article184754473.html","0")</f>
        <v>0</v>
      </c>
      <c r="CC157" s="101" t="str">
        <f t="shared" si="421"/>
        <v>0</v>
      </c>
      <c r="CD157" s="141" t="str">
        <f t="shared" si="421"/>
        <v>0</v>
      </c>
      <c r="CE157" s="101" t="str">
        <f>HYPERLINK("https://www.nbcnews.com/news/us-news/gunman-california-shooting-spree-needed-mental-help-sister-says-n821216","5")</f>
        <v>5</v>
      </c>
      <c r="CF157" s="51">
        <v>0</v>
      </c>
      <c r="CG157" s="51">
        <v>0</v>
      </c>
      <c r="CH157" s="101" t="str">
        <f>HYPERLINK("https://www.sacbee.com/news/local/crime/article184754473.html","3")</f>
        <v>3</v>
      </c>
      <c r="CI157" s="51">
        <v>0</v>
      </c>
      <c r="CJ157" s="51" t="s">
        <v>100</v>
      </c>
      <c r="CK157" s="113">
        <v>0</v>
      </c>
      <c r="CL157" s="113"/>
      <c r="CM157" s="113"/>
      <c r="CN157" s="108">
        <v>0</v>
      </c>
      <c r="CO157" s="108">
        <v>0</v>
      </c>
      <c r="CP157" s="108">
        <v>0</v>
      </c>
      <c r="CQ157" s="110">
        <v>0</v>
      </c>
      <c r="CR157" s="108">
        <v>0</v>
      </c>
      <c r="CS157" s="108">
        <v>0</v>
      </c>
      <c r="CT157" s="109">
        <v>1</v>
      </c>
      <c r="CU157" s="108">
        <v>0</v>
      </c>
      <c r="CV157" s="108">
        <v>1</v>
      </c>
      <c r="CW157" s="110">
        <v>0</v>
      </c>
      <c r="CX157" s="110">
        <v>0</v>
      </c>
      <c r="CY157" s="110">
        <v>0</v>
      </c>
      <c r="CZ157" s="108" t="str">
        <f>HYPERLINK("https://www.sacbee.com/news/local/crime/article184754473.html","1")</f>
        <v>1</v>
      </c>
      <c r="DA157" s="101" t="str">
        <f>HYPERLINK("https://www.nbcnews.com/news/us-news/gunman-california-shooting-spree-needed-mental-help-sister-says-n821216","3")</f>
        <v>3</v>
      </c>
      <c r="DB157" s="51">
        <v>0</v>
      </c>
      <c r="DC157" s="141">
        <v>1</v>
      </c>
      <c r="DD157" s="107">
        <v>0</v>
      </c>
      <c r="DE157" s="107">
        <v>1</v>
      </c>
      <c r="DF157" s="107">
        <v>0</v>
      </c>
      <c r="DG157" s="107"/>
      <c r="DH157" s="107"/>
      <c r="DI157" s="107"/>
      <c r="DJ157" s="51">
        <v>0</v>
      </c>
      <c r="DK157" s="51">
        <v>0</v>
      </c>
      <c r="DL157" s="48" t="s">
        <v>100</v>
      </c>
      <c r="DM157" s="101" t="str">
        <f>HYPERLINK("https://www.sacbee.com/news/local/crime/article184754473.html","0")</f>
        <v>0</v>
      </c>
      <c r="DN157" s="51">
        <v>0</v>
      </c>
      <c r="DO157" s="101" t="s">
        <v>100</v>
      </c>
      <c r="DP157" s="101">
        <v>0</v>
      </c>
      <c r="DQ157" s="101" t="str">
        <f>HYPERLINK("https://www.mercurynews.com/2017/11/14/at-least-three-dead-in-norcal-shootings/","0")</f>
        <v>0</v>
      </c>
      <c r="DR157" s="105" t="str">
        <f>HYPERLINK("https://www.sacbee.com/news/local/crime/article184754473.html","1")</f>
        <v>1</v>
      </c>
      <c r="DS157" s="101" t="str">
        <f>HYPERLINK("https://web.archive.org/web/20171202102723/http://www.houstonchronicle.com/news/crime/article/Northern-California-gunman-kills-4-wounds-10-in-12358361.php","1")</f>
        <v>1</v>
      </c>
      <c r="DT157" s="101" t="str">
        <f>HYPERLINK("https://www.cbsnews.com/news/california-shooting-kevin-janson-neal-neighbor/","4")</f>
        <v>4</v>
      </c>
      <c r="DU157" s="101" t="str">
        <f>HYPERLINK("https://www.newsweek.com/who-kevin-jansen-neal-white-male-shooter-was-about-face-trial-711928","1")</f>
        <v>1</v>
      </c>
      <c r="DV157" s="101" t="str">
        <f>HYPERLINK("https://www.newsweek.com/who-kevin-jansen-neal-white-male-shooter-was-about-face-trial-711928","military-style assault vest")</f>
        <v>military-style assault vest</v>
      </c>
      <c r="DW157" s="101" t="str">
        <f t="shared" ref="DW157:DX157" si="422">HYPERLINK("https://www.redding.com/story/news/local/2017/12/08/rancho-tehama-gunman-killed-himself-autopsy-says/935136001/","0")</f>
        <v>0</v>
      </c>
      <c r="DX157" s="101" t="str">
        <f t="shared" si="422"/>
        <v>0</v>
      </c>
      <c r="DY157" s="48">
        <v>2</v>
      </c>
      <c r="DZ157" s="48">
        <v>0</v>
      </c>
    </row>
    <row r="158" spans="1:130" ht="50.25" customHeight="1">
      <c r="A158" s="96">
        <v>157</v>
      </c>
      <c r="B158" s="97" t="s">
        <v>692</v>
      </c>
      <c r="C158" s="97" t="s">
        <v>693</v>
      </c>
      <c r="D158" s="98">
        <v>43128</v>
      </c>
      <c r="E158" s="48" t="s">
        <v>137</v>
      </c>
      <c r="F158" s="99">
        <v>28</v>
      </c>
      <c r="G158" s="100">
        <v>1</v>
      </c>
      <c r="H158" s="105" t="str">
        <f>HYPERLINK("https://www.cbsnews.com/news/pennsylvania-car-wash-shooting-suspect-jealousy-relatives-say/","2018")</f>
        <v>2018</v>
      </c>
      <c r="I158" s="48" t="s">
        <v>694</v>
      </c>
      <c r="J158" s="105" t="s">
        <v>695</v>
      </c>
      <c r="K158" s="100">
        <v>38</v>
      </c>
      <c r="L158" s="99">
        <v>2</v>
      </c>
      <c r="M158" s="100" t="str">
        <f>HYPERLINK("https://www.cbsnews.com/news/pennsylvania-car-wash-shooting-suspect-jealousy-relatives-say/","2")</f>
        <v>2</v>
      </c>
      <c r="N158" s="100" t="str">
        <f>HYPERLINK("https://www.cbsnews.com/news/pennsylvania-car-wash-shooting-suspect-jealousy-relatives-say/","4")</f>
        <v>4</v>
      </c>
      <c r="O158" s="100" t="str">
        <f>HYPERLINK("https://beta.washingtonpost.com/news/post-nation/wp/2018/01/29/jealousy-and-obsession-may-have-led-carwash-shooting-suspect-to-kill-four-relatives-say/","0")</f>
        <v>0</v>
      </c>
      <c r="P158" s="99" t="s">
        <v>100</v>
      </c>
      <c r="Q158" s="103">
        <v>0</v>
      </c>
      <c r="R158" s="103">
        <v>0</v>
      </c>
      <c r="S158" s="100" t="str">
        <f>HYPERLINK("https://beta.washingtonpost.com/news/post-nation/wp/2018/01/29/jealousy-and-obsession-may-have-led-carwash-shooting-suspect-to-kill-four-relatives-say/","4")</f>
        <v>4</v>
      </c>
      <c r="T158" s="100" t="str">
        <f>HYPERLINK("https://beta.washingtonpost.com/news/post-nation/wp/2018/01/29/jealousy-and-obsession-may-have-led-carwash-shooting-suspect-to-kill-four-relatives-say/","1")</f>
        <v>1</v>
      </c>
      <c r="U158" s="105" t="str">
        <f>HYPERLINK("https://beta.washingtonpost.com/news/post-nation/wp/2018/01/29/jealousy-and-obsession-may-have-led-carwash-shooting-suspect-to-kill-four-relatives-say/","0")</f>
        <v>0</v>
      </c>
      <c r="V158" s="105">
        <v>28</v>
      </c>
      <c r="W158" s="105">
        <v>0</v>
      </c>
      <c r="X158" s="105" t="str">
        <f>HYPERLINK("https://heavy.com/news/2018/01/timothy-tim-smith-melcroft-shooting-suspect-photos/","0")</f>
        <v>0</v>
      </c>
      <c r="Y158" s="48">
        <v>0</v>
      </c>
      <c r="Z158" s="105" t="str">
        <f>HYPERLINK("https://www.foxnews.com/us/correction-deadly-car-wash-shooting-story","0")</f>
        <v>0</v>
      </c>
      <c r="AA158" s="48"/>
      <c r="AB158" s="105">
        <v>2</v>
      </c>
      <c r="AC158" s="51"/>
      <c r="AD158" s="51"/>
      <c r="AE158" s="105" t="str">
        <f>HYPERLINK("https://www.foxnews.com/us/correction-deadly-car-wash-shooting-story","3")</f>
        <v>3</v>
      </c>
      <c r="AF158" s="105" t="str">
        <f t="shared" ref="AF158:AG158" si="423">HYPERLINK("https://www.foxnews.com/us/correction-deadly-car-wash-shooting-story","2")</f>
        <v>2</v>
      </c>
      <c r="AG158" s="105" t="str">
        <f t="shared" si="423"/>
        <v>2</v>
      </c>
      <c r="AH158" s="105" t="str">
        <f>HYPERLINK("https://www.foxnews.com/us/correction-deadly-car-wash-shooting-story","0")</f>
        <v>0</v>
      </c>
      <c r="AI158" s="105" t="str">
        <f>HYPERLINK("https://beta.washingtonpost.com/news/post-nation/wp/2018/01/29/jealousy-and-obsession-may-have-led-carwash-shooting-suspect-to-kill-four-relatives-say/","0")</f>
        <v>0</v>
      </c>
      <c r="AJ158" s="105">
        <v>0</v>
      </c>
      <c r="AK158" s="105">
        <v>1</v>
      </c>
      <c r="AL158" s="105">
        <v>0</v>
      </c>
      <c r="AM158" s="48">
        <v>0</v>
      </c>
      <c r="AN158" s="48" t="s">
        <v>100</v>
      </c>
      <c r="AO158" s="51"/>
      <c r="AP158" s="54"/>
      <c r="AQ158" s="105">
        <v>0</v>
      </c>
      <c r="AR158" s="48">
        <v>0</v>
      </c>
      <c r="AS158" s="105">
        <v>0</v>
      </c>
      <c r="AT158" s="51">
        <v>0</v>
      </c>
      <c r="AU158" s="51" t="s">
        <v>100</v>
      </c>
      <c r="AV158" s="51" t="s">
        <v>100</v>
      </c>
      <c r="AW158" s="51" t="s">
        <v>100</v>
      </c>
      <c r="AX158" s="51">
        <v>0</v>
      </c>
      <c r="AY158" s="105">
        <v>0</v>
      </c>
      <c r="AZ158" s="105">
        <v>0</v>
      </c>
      <c r="BA158" s="48">
        <v>0</v>
      </c>
      <c r="BB158" s="107">
        <v>0</v>
      </c>
      <c r="BC158" s="105">
        <v>0</v>
      </c>
      <c r="BD158" s="48">
        <v>0</v>
      </c>
      <c r="BE158" s="105">
        <v>0</v>
      </c>
      <c r="BF158" s="105" t="str">
        <f>HYPERLINK("https://www.foxnews.com/us/correction-deadly-car-wash-shooting-story","0")</f>
        <v>0</v>
      </c>
      <c r="BG158" s="48"/>
      <c r="BH158" s="48">
        <v>0</v>
      </c>
      <c r="BI158" s="48">
        <v>0</v>
      </c>
      <c r="BJ158" s="105" t="str">
        <f>HYPERLINK("https://beta.washingtonpost.com/news/post-nation/wp/2018/01/29/jealousy-and-obsession-may-have-led-carwash-shooting-suspect-to-kill-four-relatives-say/","1")</f>
        <v>1</v>
      </c>
      <c r="BK158" s="105">
        <v>0</v>
      </c>
      <c r="BL158" s="118" t="str">
        <f>HYPERLINK("https://beta.washingtonpost.com/news/post-nation/wp/2018/01/29/jealousy-and-obsession-may-have-led-carwash-shooting-suspect-to-kill-four-relatives-say/","1")</f>
        <v>1</v>
      </c>
      <c r="BM158" s="127">
        <v>2</v>
      </c>
      <c r="BN158" s="115" t="s">
        <v>2980</v>
      </c>
      <c r="BO158" s="116">
        <v>1</v>
      </c>
      <c r="BP158" s="116">
        <v>0</v>
      </c>
      <c r="BQ158" s="116">
        <v>0</v>
      </c>
      <c r="BR158" s="116">
        <v>0</v>
      </c>
      <c r="BS158" s="116">
        <v>0</v>
      </c>
      <c r="BT158" s="116">
        <v>0</v>
      </c>
      <c r="BU158" s="116">
        <v>1</v>
      </c>
      <c r="BV158" s="116">
        <v>0</v>
      </c>
      <c r="BW158" s="116">
        <v>0</v>
      </c>
      <c r="BX158" s="116">
        <v>0</v>
      </c>
      <c r="BY158" s="48">
        <v>2</v>
      </c>
      <c r="BZ158" s="48">
        <v>0</v>
      </c>
      <c r="CA158" s="48">
        <v>0</v>
      </c>
      <c r="CB158" s="48" t="s">
        <v>100</v>
      </c>
      <c r="CC158" s="48">
        <v>0</v>
      </c>
      <c r="CD158" s="52" t="s">
        <v>100</v>
      </c>
      <c r="CE158" s="48">
        <v>0</v>
      </c>
      <c r="CF158" s="48">
        <v>0</v>
      </c>
      <c r="CG158" s="48">
        <v>0</v>
      </c>
      <c r="CH158" s="48"/>
      <c r="CI158" s="48">
        <v>0</v>
      </c>
      <c r="CJ158" s="51" t="s">
        <v>100</v>
      </c>
      <c r="CK158" s="129">
        <v>0</v>
      </c>
      <c r="CL158" s="129"/>
      <c r="CM158" s="129"/>
      <c r="CN158" s="116">
        <v>0</v>
      </c>
      <c r="CO158" s="116">
        <v>0</v>
      </c>
      <c r="CP158" s="116">
        <v>0</v>
      </c>
      <c r="CQ158" s="116">
        <v>0</v>
      </c>
      <c r="CR158" s="116">
        <v>0</v>
      </c>
      <c r="CS158" s="116">
        <v>0</v>
      </c>
      <c r="CT158" s="116">
        <v>0</v>
      </c>
      <c r="CU158" s="118" t="str">
        <f>HYPERLINK("https://beta.washingtonpost.com/news/post-nation/wp/2018/01/29/jealousy-and-obsession-may-have-led-carwash-shooting-suspect-to-kill-four-relatives-say/","1")</f>
        <v>1</v>
      </c>
      <c r="CV158" s="116">
        <v>0</v>
      </c>
      <c r="CW158" s="116">
        <v>0</v>
      </c>
      <c r="CX158" s="116">
        <v>0</v>
      </c>
      <c r="CY158" s="116">
        <v>0</v>
      </c>
      <c r="CZ158" s="118" t="str">
        <f>HYPERLINK("https://www.wpxi.com/news/top-stories/suspect-in-mass-shooting-at-car-wash-pronounced-dead/691578228","1")</f>
        <v>1</v>
      </c>
      <c r="DA158" s="48">
        <v>0</v>
      </c>
      <c r="DB158" s="105" t="str">
        <f t="shared" ref="DB158:DC158" si="424">HYPERLINK("https://heavy.com/news/2018/01/timothy-tim-smith-melcroft-shooting-suspect-photos/","1")</f>
        <v>1</v>
      </c>
      <c r="DC158" s="105" t="str">
        <f t="shared" si="424"/>
        <v>1</v>
      </c>
      <c r="DD158" s="51">
        <v>4</v>
      </c>
      <c r="DE158" s="51">
        <v>2</v>
      </c>
      <c r="DF158" s="51">
        <v>1</v>
      </c>
      <c r="DG158" s="51"/>
      <c r="DH158" s="51"/>
      <c r="DI158" s="51"/>
      <c r="DJ158" s="48">
        <v>0</v>
      </c>
      <c r="DK158" s="48">
        <v>0</v>
      </c>
      <c r="DL158" s="48" t="s">
        <v>100</v>
      </c>
      <c r="DM158" s="105" t="str">
        <f>HYPERLINK("https://heavy.com/news/2018/01/timothy-tim-smith-melcroft-shooting-suspect-photos/","0")</f>
        <v>0</v>
      </c>
      <c r="DN158" s="48">
        <v>0</v>
      </c>
      <c r="DO158" s="48" t="s">
        <v>100</v>
      </c>
      <c r="DP158" s="105" t="str">
        <f>HYPERLINK("https://www.foxnews.com/us/pennsylvania-car-wash-alleged-gunman-had-run-in-with-target-before-deadly-shooting-family-says","0")</f>
        <v>0</v>
      </c>
      <c r="DQ158" s="105" t="str">
        <f>HYPERLINK("https://beta.washingtonpost.com/news/post-nation/wp/2018/01/29/jealousy-and-obsession-may-have-led-carwash-shooting-suspect-to-kill-four-relatives-say/","0")</f>
        <v>0</v>
      </c>
      <c r="DR158" s="101">
        <v>1</v>
      </c>
      <c r="DS158" s="101" t="str">
        <f>HYPERLINK("https://www.washingtonpost.com/news/post-nation/wp/2018/01/29/jealousy-and-obsession-may-have-led-carwash-shooting-suspect-to-kill-four-relatives-say/","2")</f>
        <v>2</v>
      </c>
      <c r="DT158" s="105" t="str">
        <f>HYPERLINK("https://beta.washingtonpost.com/news/post-nation/wp/2018/01/29/jealousy-and-obsession-may-have-led-carwash-shooting-suspect-to-kill-four-relatives-say/","3")</f>
        <v>3</v>
      </c>
      <c r="DU158" s="105" t="str">
        <f>HYPERLINK("https://heavy.com/news/2018/01/timothy-tim-smith-melcroft-shooting-suspect-photos/","1")</f>
        <v>1</v>
      </c>
      <c r="DV158" s="105" t="str">
        <f>HYPERLINK("https://heavy.com/news/2018/01/timothy-tim-smith-melcroft-shooting-suspect-photos/","bulletproof vest shell (no panels)")</f>
        <v>bulletproof vest shell (no panels)</v>
      </c>
      <c r="DW158" s="105" t="str">
        <f>HYPERLINK("https://www.post-gazette.com/local/region/2018/01/28/Pennsylvania-mass-shooting-Melcroft-Fayette-County-Tim-Smith/stories/201801280178","0")</f>
        <v>0</v>
      </c>
      <c r="DX158" s="105" t="str">
        <f>HYPERLINK("https://beta.washingtonpost.com/news/post-nation/wp/2018/01/29/jealousy-and-obsession-may-have-led-carwash-shooting-suspect-to-kill-four-relatives-say/","0")</f>
        <v>0</v>
      </c>
      <c r="DY158" s="51">
        <v>2</v>
      </c>
      <c r="DZ158" s="48">
        <v>0</v>
      </c>
    </row>
    <row r="159" spans="1:130" ht="50.25" customHeight="1">
      <c r="A159" s="96">
        <v>158</v>
      </c>
      <c r="B159" s="97" t="s">
        <v>697</v>
      </c>
      <c r="C159" s="97" t="s">
        <v>698</v>
      </c>
      <c r="D159" s="98">
        <v>43145</v>
      </c>
      <c r="E159" s="48" t="s">
        <v>123</v>
      </c>
      <c r="F159" s="99">
        <v>14</v>
      </c>
      <c r="G159" s="100">
        <v>2</v>
      </c>
      <c r="H159" s="105">
        <v>2018</v>
      </c>
      <c r="I159" s="48" t="s">
        <v>699</v>
      </c>
      <c r="J159" s="105" t="str">
        <f>HYPERLINK("https://www.nbcnews.com/news/us-news/police-respond-shooting-parkland-florida-high-school-n848101","Parkland")</f>
        <v>Parkland</v>
      </c>
      <c r="K159" s="100">
        <v>9</v>
      </c>
      <c r="L159" s="99">
        <v>0</v>
      </c>
      <c r="M159" s="100" t="str">
        <f>HYPERLINK("https://www.cityofparkland.org/59/About-Us","1")</f>
        <v>1</v>
      </c>
      <c r="N159" s="100">
        <v>0</v>
      </c>
      <c r="O159" s="100" t="str">
        <f>HYPERLINK("https://www.nbcnews.com/news/us-news/police-respond-shooting-parkland-florida-high-school-n848101","0")</f>
        <v>0</v>
      </c>
      <c r="P159" s="99" t="s">
        <v>100</v>
      </c>
      <c r="Q159" s="103">
        <v>1</v>
      </c>
      <c r="R159" s="103">
        <v>1</v>
      </c>
      <c r="S159" s="100" t="str">
        <f t="shared" ref="S159:T159" si="425">HYPERLINK("https://www.wptv.com/news/state/cruz-due-in-florida-court-for-parkland-school-shooting","17")</f>
        <v>17</v>
      </c>
      <c r="T159" s="100" t="str">
        <f t="shared" si="425"/>
        <v>17</v>
      </c>
      <c r="U159" s="105" t="str">
        <f>HYPERLINK("https://www.nbcnews.com/news/us-news/police-respond-shooting-parkland-florida-high-school-n848101","0")</f>
        <v>0</v>
      </c>
      <c r="V159" s="105">
        <v>19</v>
      </c>
      <c r="W159" s="105">
        <v>0</v>
      </c>
      <c r="X159" s="105">
        <v>0</v>
      </c>
      <c r="Y159" s="105" t="str">
        <f>HYPERLINK("https://www.sun-sentinel.com/local/broward/parkland/florida-school-shooting/fl-florida-school-shooting-nikolas-cruz-life-20180220-story.html","0")</f>
        <v>0</v>
      </c>
      <c r="Z159" s="105" t="str">
        <f>HYPERLINK("https://www.sun-sentinel.com/local/broward/parkland/florida-school-shooting/fl-ne-florida-school-shooting-cruz-love-letters-20190408-story.html","0")</f>
        <v>0</v>
      </c>
      <c r="AA159" s="48"/>
      <c r="AB159" s="105">
        <v>0</v>
      </c>
      <c r="AC159" s="101" t="str">
        <f>HYPERLINK("https://www.nytimes.com/2018/08/04/us/parkland-florida-nikolas-cruz.html","0")</f>
        <v>0</v>
      </c>
      <c r="AD159" s="101" t="str">
        <f>HYPERLINK("https://www.nytimes.com/2018/08/04/us/parkland-florida-nikolas-cruz.html","failed out of high school")</f>
        <v>failed out of high school</v>
      </c>
      <c r="AE159" s="105" t="str">
        <f t="shared" ref="AE159:AF159" si="426">HYPERLINK("https://www.washingtonpost.com/news/local/wp/2019/01/25/feature/his-brother-confessed-to-gunning-down-17-people-in-parkland-but-hes-the-only-family-zach-cruz-has-left/","1")</f>
        <v>1</v>
      </c>
      <c r="AF159" s="105" t="str">
        <f t="shared" si="426"/>
        <v>1</v>
      </c>
      <c r="AG159" s="105" t="str">
        <f>HYPERLINK("https://www.washingtonpost.com/news/local/wp/2019/01/25/feature/his-brother-confessed-to-gunning-down-17-people-in-parkland-but-hes-the-only-family-zach-cruz-has-left/","0")</f>
        <v>0</v>
      </c>
      <c r="AH159" s="105" t="str">
        <f>HYPERLINK("https://www.washingtonpost.com/news/local/wp/2019/01/25/feature/his-brother-confessed-to-gunning-down-17-people-in-parkland-but-hes-the-only-family-zach-cruz-has-left/","1")</f>
        <v>1</v>
      </c>
      <c r="AI159" s="48">
        <v>0</v>
      </c>
      <c r="AJ159" s="48">
        <v>0</v>
      </c>
      <c r="AK159" s="105">
        <v>1</v>
      </c>
      <c r="AL159" s="105">
        <v>0</v>
      </c>
      <c r="AM159" s="48">
        <v>0</v>
      </c>
      <c r="AN159" s="48" t="s">
        <v>100</v>
      </c>
      <c r="AO159" s="101" t="str">
        <f>HYPERLINK("https://www.telegraph.co.uk/news/2018/02/17/florida-shooting-suspect-nikolas-cruz-member-schools-rifle-team/","3")</f>
        <v>3</v>
      </c>
      <c r="AP159" s="101" t="str">
        <f>HYPERLINK("https://www.telegraph.co.uk/news/2018/02/17/florida-shooting-suspect-nikolas-cruz-member-schools-rifle-team/","formerly on high school JROTC rifle team")</f>
        <v>formerly on high school JROTC rifle team</v>
      </c>
      <c r="AQ159" s="105" t="str">
        <f>HYPERLINK("https://www.cnn.com/2018/02/25/us/nikolas-cruz-warning-signs/index.html","1")</f>
        <v>1</v>
      </c>
      <c r="AR159" s="48">
        <v>0</v>
      </c>
      <c r="AS159" s="105" t="str">
        <f>HYPERLINK("https://www.cnn.com/2018/02/25/us/nikolas-cruz-warning-signs/index.html","1")</f>
        <v>1</v>
      </c>
      <c r="AT159" s="105" t="str">
        <f>HYPERLINK("https://www.miamiherald.com/news/local/community/broward/article216909390.html","3")</f>
        <v>3</v>
      </c>
      <c r="AU159" s="105">
        <v>1</v>
      </c>
      <c r="AV159" s="105">
        <v>4</v>
      </c>
      <c r="AW159" s="48"/>
      <c r="AX159" s="48">
        <v>0</v>
      </c>
      <c r="AY159" s="48">
        <v>0</v>
      </c>
      <c r="AZ159" s="48">
        <v>0</v>
      </c>
      <c r="BA159" s="126">
        <v>4</v>
      </c>
      <c r="BB159" s="141" t="str">
        <f>HYPERLINK("https://www.sun-sentinel.com/local/broward/parkland/florida-school-shooting/fl-ne-nikolas-cruz-mental-health-services-20190425-story.html","1")</f>
        <v>1</v>
      </c>
      <c r="BC159" s="48">
        <v>0</v>
      </c>
      <c r="BD159" s="105">
        <v>1</v>
      </c>
      <c r="BE159" s="105">
        <v>1</v>
      </c>
      <c r="BF159" s="105" t="str">
        <f>HYPERLINK("https://www.sun-sentinel.com/local/broward/parkland/florida-school-shooting/fl-florida-school-shooting-nikolas-cruz-life-20180220-story.html","0")</f>
        <v>0</v>
      </c>
      <c r="BG159" s="105" t="str">
        <f>HYPERLINK("https://www.sun-sentinel.com/local/broward/parkland/florida-school-shooting/fl-florida-school-shooting-nikolas-cruz-life-20180220-story.html","3")</f>
        <v>3</v>
      </c>
      <c r="BH159" s="48">
        <v>2</v>
      </c>
      <c r="BI159" s="105">
        <v>1</v>
      </c>
      <c r="BJ159" s="48">
        <v>0</v>
      </c>
      <c r="BK159" s="48">
        <v>0</v>
      </c>
      <c r="BL159" s="127">
        <v>1</v>
      </c>
      <c r="BM159" s="127">
        <v>2</v>
      </c>
      <c r="BN159" s="110" t="s">
        <v>2979</v>
      </c>
      <c r="BO159" s="115">
        <v>1</v>
      </c>
      <c r="BP159" s="111">
        <v>0</v>
      </c>
      <c r="BQ159" s="111">
        <v>1</v>
      </c>
      <c r="BR159" s="111">
        <v>0</v>
      </c>
      <c r="BS159" s="111">
        <v>1</v>
      </c>
      <c r="BT159" s="111">
        <v>1</v>
      </c>
      <c r="BU159" s="111">
        <v>1</v>
      </c>
      <c r="BV159" s="111">
        <v>1</v>
      </c>
      <c r="BW159" s="111">
        <v>0</v>
      </c>
      <c r="BX159" s="111">
        <v>0</v>
      </c>
      <c r="BY159" s="105" t="str">
        <f>HYPERLINK("https://cbs12.com/news/local/parkland-school-shooter-nikolas-cruzs-confession-released","1")</f>
        <v>1</v>
      </c>
      <c r="BZ159" s="48">
        <v>0</v>
      </c>
      <c r="CA159" s="105" t="str">
        <f>HYPERLINK("https://www.sun-sentinel.com/local/broward/parkland/florida-school-shooting/fl-florida-school-shooting-nikolas-cruz-life-20180220-story.html","1")</f>
        <v>1</v>
      </c>
      <c r="CB159" s="105" t="str">
        <f>HYPERLINK("https://www.sun-sentinel.com/local/broward/parkland/florida-school-shooting/fl-ne-henderson-cruz-civil-suit-20190116-story.html","0")</f>
        <v>0</v>
      </c>
      <c r="CC159" s="105" t="str">
        <f>HYPERLINK("https://www.sun-sentinel.com/local/broward/parkland/florida-school-shooting/fl-school-shooting-cruz-henderson-20180523-story.html","1")</f>
        <v>1</v>
      </c>
      <c r="CD159" s="105" t="str">
        <f>HYPERLINK("https://www.sun-sentinel.com/local/broward/parkland/florida-school-shooting/fl-ne-henderson-cruz-civil-suit-20190116-story.html","0")</f>
        <v>0</v>
      </c>
      <c r="CE159" s="105" t="str">
        <f>HYPERLINK("https://www.sun-sentinel.com/local/broward/parkland/florida-school-shooting/fl-florida-school-shooting-nikolas-cruz-life-20180220-story.html","4")</f>
        <v>4</v>
      </c>
      <c r="CF159" s="105" t="str">
        <f>HYPERLINK("https://www.miamiherald.com/news/local/community/broward/article216909390.html","1")</f>
        <v>1</v>
      </c>
      <c r="CG159" s="105" t="str">
        <f>HYPERLINK("https://www.sun-sentinel.com/local/broward/parkland/florida-school-shooting/fl-florida-school-shooting-nikolas-cruz-life-20180220-story.html","1")</f>
        <v>1</v>
      </c>
      <c r="CH159" s="105" t="str">
        <f>HYPERLINK("https://cbs12.com/news/local/parkland-school-shooter-nikolas-cruzs-confession-released","3")</f>
        <v>3</v>
      </c>
      <c r="CI159" s="48">
        <v>0</v>
      </c>
      <c r="CJ159" s="51" t="s">
        <v>100</v>
      </c>
      <c r="CK159" s="128">
        <v>1</v>
      </c>
      <c r="CL159" s="128">
        <v>3</v>
      </c>
      <c r="CM159" s="128">
        <v>4</v>
      </c>
      <c r="CN159" s="118">
        <v>0</v>
      </c>
      <c r="CO159" s="118">
        <v>0</v>
      </c>
      <c r="CP159" s="116">
        <v>0</v>
      </c>
      <c r="CQ159" s="116">
        <v>0</v>
      </c>
      <c r="CR159" s="116">
        <v>0</v>
      </c>
      <c r="CS159" s="116">
        <v>0</v>
      </c>
      <c r="CT159" s="116">
        <v>0</v>
      </c>
      <c r="CU159" s="116">
        <v>0</v>
      </c>
      <c r="CV159" s="116">
        <v>0</v>
      </c>
      <c r="CW159" s="118" t="str">
        <f>HYPERLINK("https://www.chicagotribune.com/nation-world/ct-florida-school-shooting-suspect-videos-20180530-story.html","1")</f>
        <v>1</v>
      </c>
      <c r="CX159" s="116">
        <v>0</v>
      </c>
      <c r="CY159" s="118" t="str">
        <f>HYPERLINK("https://cbs12.com/news/local/parkland-school-shooter-nikolas-cruzs-confession-released","1")</f>
        <v>1</v>
      </c>
      <c r="CZ159" s="118" t="str">
        <f>HYPERLINK("https://www.nbcnews.com/news/us-news/police-respond-shooting-parkland-florida-high-school-n848101","0")</f>
        <v>0</v>
      </c>
      <c r="DA159" s="48">
        <v>0</v>
      </c>
      <c r="DB159" s="105" t="str">
        <f t="shared" ref="DB159:DC159" si="427">HYPERLINK("https://www.cnn.com/2018/02/14/us/nikolas-cruz-florida-shooting-suspect/index.html","1")</f>
        <v>1</v>
      </c>
      <c r="DC159" s="105" t="str">
        <f t="shared" si="427"/>
        <v>1</v>
      </c>
      <c r="DD159" s="51">
        <v>4</v>
      </c>
      <c r="DE159" s="51">
        <v>9</v>
      </c>
      <c r="DF159" s="51">
        <v>1</v>
      </c>
      <c r="DG159" s="51"/>
      <c r="DH159" s="51"/>
      <c r="DI159" s="51"/>
      <c r="DJ159" s="105" t="str">
        <f>HYPERLINK("https://www.cnn.com/2018/02/14/us/nikolas-cruz-florida-shooting-suspect/index.html","1")</f>
        <v>1</v>
      </c>
      <c r="DK159" s="48">
        <v>0</v>
      </c>
      <c r="DL159" s="48" t="s">
        <v>100</v>
      </c>
      <c r="DM159" s="105" t="str">
        <f>HYPERLINK("https://www.sun-sentinel.com/local/broward/parkland/florida-school-shooting/fl-florida-school-shooting-nikolas-cruz-life-20180220-story.html","0")</f>
        <v>0</v>
      </c>
      <c r="DN159" s="48">
        <v>0</v>
      </c>
      <c r="DO159" s="48" t="s">
        <v>100</v>
      </c>
      <c r="DP159" s="105">
        <v>1</v>
      </c>
      <c r="DQ159" s="105" t="str">
        <f>HYPERLINK("https://cbs12.com/news/local/youre-all-going-to-dieparkland-school-shooter-nikolas-cruz-cellphone-videos-released","1")</f>
        <v>1</v>
      </c>
      <c r="DR159" s="105">
        <v>1</v>
      </c>
      <c r="DS159" s="101" t="str">
        <f>HYPERLINK("https://www.telegraph.co.uk/news/2018/02/17/florida-shooting-suspect-nikolas-cruz-member-schools-rifle-team/","2")</f>
        <v>2</v>
      </c>
      <c r="DT159" s="105" t="str">
        <f>HYPERLINK("https://www.nbcnews.com/news/us-news/police-respond-shooting-parkland-florida-high-school-n848101","1")</f>
        <v>1</v>
      </c>
      <c r="DU159" s="105" t="str">
        <f>HYPERLINK("https://www.usatoday.com/story/news/nation-now/2018/02/15/parkland-florida-high-school-shooting/340071002/","1")</f>
        <v>1</v>
      </c>
      <c r="DV159" s="105" t="str">
        <f>HYPERLINK("https://www.usatoday.com/story/news/nation-now/2018/02/15/parkland-florida-high-school-shooting/340071002/","smoke grenades, gas mask")</f>
        <v>smoke grenades, gas mask</v>
      </c>
      <c r="DW159" s="105">
        <v>2</v>
      </c>
      <c r="DX159" s="105" t="str">
        <f>HYPERLINK("https://www.usatoday.com/story/news/nation-now/2018/02/15/parkland-florida-high-school-shooting/340071002/","0")</f>
        <v>0</v>
      </c>
      <c r="DY159" s="48">
        <v>3</v>
      </c>
      <c r="DZ159" s="48">
        <v>0</v>
      </c>
    </row>
    <row r="160" spans="1:130" ht="50.25" customHeight="1">
      <c r="A160" s="96">
        <v>159</v>
      </c>
      <c r="B160" s="97" t="s">
        <v>700</v>
      </c>
      <c r="C160" s="97" t="s">
        <v>268</v>
      </c>
      <c r="D160" s="98">
        <v>43157</v>
      </c>
      <c r="E160" s="48" t="s">
        <v>95</v>
      </c>
      <c r="F160" s="99">
        <v>26</v>
      </c>
      <c r="G160" s="100" t="str">
        <f>HYPERLINK("https://www.mlive.com/news/detroit/2018/02/manhunt_for_quadruple_homicide.html","2")</f>
        <v>2</v>
      </c>
      <c r="H160" s="105" t="str">
        <f>HYPERLINK("https://www.mlive.com/news/detroit/2018/02/manhunt_for_quadruple_homicide.html","2018")</f>
        <v>2018</v>
      </c>
      <c r="I160" s="48" t="s">
        <v>701</v>
      </c>
      <c r="J160" s="105" t="str">
        <f>HYPERLINK("https://www.mlive.com/news/detroit/2018/02/manhunt_for_quadruple_homicide.html","Detroit")</f>
        <v>Detroit</v>
      </c>
      <c r="K160" s="100" t="str">
        <f>HYPERLINK("https://www.mlive.com/news/detroit/2018/02/manhunt_for_quadruple_homicide.html","22")</f>
        <v>22</v>
      </c>
      <c r="L160" s="100" t="str">
        <f>HYPERLINK("https://www.mlive.com/news/detroit/2018/02/manhunt_for_quadruple_homicide.html","1")</f>
        <v>1</v>
      </c>
      <c r="M160" s="100" t="str">
        <f>HYPERLINK("https://www.mlive.com/news/detroit/2018/02/manhunt_for_quadruple_homicide.html","0")</f>
        <v>0</v>
      </c>
      <c r="N160" s="100" t="str">
        <f>HYPERLINK("https://www.wxyz.com/news/region/detroit/three-shot-at-detroit-gas-station-police-looking-for-two-suspects","4")</f>
        <v>4</v>
      </c>
      <c r="O160" s="100" t="str">
        <f>HYPERLINK("https://www.wxyz.com/news/region/detroit/three-shot-at-detroit-gas-station-police-looking-for-two-suspects","1")</f>
        <v>1</v>
      </c>
      <c r="P160" s="100" t="str">
        <f>HYPERLINK("https://www.wxyz.com/news/region/detroit/three-shot-at-detroit-gas-station-police-looking-for-two-suspects","7")</f>
        <v>7</v>
      </c>
      <c r="Q160" s="103">
        <v>0</v>
      </c>
      <c r="R160" s="103">
        <v>0</v>
      </c>
      <c r="S160" s="100" t="str">
        <f>HYPERLINK("https://www.clickondetroit.com/news/dark-details-emerge-about-quadruple-murder-in-detroit","4")</f>
        <v>4</v>
      </c>
      <c r="T160" s="100" t="str">
        <f>HYPERLINK("https://www.clickondetroit.com/news/dark-details-emerge-about-quadruple-murder-in-detroit","0")</f>
        <v>0</v>
      </c>
      <c r="U160" s="105" t="str">
        <f>HYPERLINK("https://www.mlive.com/news/detroit/2018/02/manhunt_for_quadruple_homicide.html","0")</f>
        <v>0</v>
      </c>
      <c r="V160" s="105" t="str">
        <f>HYPERLINK("https://www.mlive.com/news/detroit/2018/02/manhunt_for_quadruple_homicide.html","27")</f>
        <v>27</v>
      </c>
      <c r="W160" s="105" t="str">
        <f>HYPERLINK("https://www.mlive.com/news/detroit/2018/02/manhunt_for_quadruple_homicide.html","0")</f>
        <v>0</v>
      </c>
      <c r="X160" s="105" t="str">
        <f>HYPERLINK("https://www.mlive.com/news/detroit/2018/02/manhunt_for_quadruple_homicide.html","1")</f>
        <v>1</v>
      </c>
      <c r="Y160" s="105" t="str">
        <f>HYPERLINK("https://www.mlive.com/news/detroit/2018/02/manhunt_for_quadruple_homicide.html","0")</f>
        <v>0</v>
      </c>
      <c r="Z160" s="105" t="str">
        <f>HYPERLINK("https://www.clickondetroit.com/news/dark-details-emerge-about-quadruple-murder-in-detroit","0")</f>
        <v>0</v>
      </c>
      <c r="AA160" s="48"/>
      <c r="AB160" s="48"/>
      <c r="AC160" s="51"/>
      <c r="AD160" s="51"/>
      <c r="AE160" s="48"/>
      <c r="AF160" s="48"/>
      <c r="AG160" s="48"/>
      <c r="AH160" s="48"/>
      <c r="AI160" s="48"/>
      <c r="AJ160" s="105" t="str">
        <f>HYPERLINK("https://www.mlive.com/news/detroit/2018/02/manhunt_for_quadruple_homicide.html","1")</f>
        <v>1</v>
      </c>
      <c r="AK160" s="48"/>
      <c r="AL160" s="48"/>
      <c r="AM160" s="48">
        <v>0</v>
      </c>
      <c r="AN160" s="48" t="s">
        <v>100</v>
      </c>
      <c r="AO160" s="51"/>
      <c r="AP160" s="51"/>
      <c r="AQ160" s="105" t="str">
        <f t="shared" ref="AQ160:DS160" si="428">HYPERLINK("https://www.detroitnews.com/story/news/local/detroit-city/2018/02/26/gas-station-detroit-shooting/372730002/","1")</f>
        <v>1</v>
      </c>
      <c r="AR160" s="48">
        <v>0</v>
      </c>
      <c r="AS160" s="105" t="str">
        <f>HYPERLINK("https://www.clickondetroit.com/news/dark-details-emerge-about-quadruple-murder-in-detroit","0")</f>
        <v>0</v>
      </c>
      <c r="AT160" s="105" t="str">
        <f>HYPERLINK("https://www.clickondetroit.com/news/2018/02/27/dark-details-emerge-about-quadruple-murder-in-detroit/","0")</f>
        <v>0</v>
      </c>
      <c r="AU160" s="48" t="s">
        <v>100</v>
      </c>
      <c r="AV160" s="48" t="s">
        <v>100</v>
      </c>
      <c r="AW160" s="48" t="s">
        <v>100</v>
      </c>
      <c r="AX160" s="48">
        <v>0</v>
      </c>
      <c r="AY160" s="48">
        <v>0</v>
      </c>
      <c r="AZ160" s="48">
        <v>0</v>
      </c>
      <c r="BA160" s="48">
        <v>0</v>
      </c>
      <c r="BB160" s="51">
        <v>0</v>
      </c>
      <c r="BC160" s="48"/>
      <c r="BD160" s="48"/>
      <c r="BE160" s="48"/>
      <c r="BF160" s="48"/>
      <c r="BG160" s="48"/>
      <c r="BH160" s="48">
        <v>0</v>
      </c>
      <c r="BI160" s="48">
        <v>0</v>
      </c>
      <c r="BJ160" s="48"/>
      <c r="BK160" s="48"/>
      <c r="BL160" s="118" t="str">
        <f>HYPERLINK("https://www.mlive.com/news/detroit/2018/02/manhunt_for_quadruple_homicide.html","1")</f>
        <v>1</v>
      </c>
      <c r="BM160" s="127">
        <v>1</v>
      </c>
      <c r="BN160" s="115" t="s">
        <v>3094</v>
      </c>
      <c r="BO160" s="116">
        <v>1</v>
      </c>
      <c r="BP160" s="116">
        <v>0</v>
      </c>
      <c r="BQ160" s="116">
        <v>0</v>
      </c>
      <c r="BR160" s="116">
        <v>0</v>
      </c>
      <c r="BS160" s="116">
        <v>0</v>
      </c>
      <c r="BT160" s="116">
        <v>1</v>
      </c>
      <c r="BU160" s="116">
        <v>0</v>
      </c>
      <c r="BV160" s="116">
        <v>0</v>
      </c>
      <c r="BW160" s="116">
        <v>0</v>
      </c>
      <c r="BX160" s="116">
        <v>1</v>
      </c>
      <c r="BY160" s="105" t="str">
        <f>HYPERLINK("https://www.detroitnews.com/story/news/local/detroit-city/2018/02/26/gas-station-detroit-shooting/372730002/","2")</f>
        <v>2</v>
      </c>
      <c r="BZ160" s="48">
        <v>0</v>
      </c>
      <c r="CA160" s="48">
        <v>0</v>
      </c>
      <c r="CB160" s="48" t="s">
        <v>100</v>
      </c>
      <c r="CC160" s="48">
        <v>0</v>
      </c>
      <c r="CD160" s="48" t="s">
        <v>100</v>
      </c>
      <c r="CE160" s="48">
        <v>0</v>
      </c>
      <c r="CF160" s="48">
        <v>0</v>
      </c>
      <c r="CG160" s="48">
        <v>0</v>
      </c>
      <c r="CH160" s="48"/>
      <c r="CI160" s="48">
        <v>0</v>
      </c>
      <c r="CJ160" s="51" t="s">
        <v>100</v>
      </c>
      <c r="CK160" s="129">
        <v>0</v>
      </c>
      <c r="CL160" s="129"/>
      <c r="CM160" s="129"/>
      <c r="CN160" s="116">
        <v>0</v>
      </c>
      <c r="CO160" s="116">
        <v>0</v>
      </c>
      <c r="CP160" s="116">
        <v>0</v>
      </c>
      <c r="CQ160" s="116">
        <v>0</v>
      </c>
      <c r="CR160" s="116">
        <v>0</v>
      </c>
      <c r="CS160" s="116">
        <v>0</v>
      </c>
      <c r="CT160" s="116">
        <v>0</v>
      </c>
      <c r="CU160" s="127">
        <v>1</v>
      </c>
      <c r="CV160" s="127">
        <v>1</v>
      </c>
      <c r="CW160" s="116">
        <v>0</v>
      </c>
      <c r="CX160" s="116">
        <v>0</v>
      </c>
      <c r="CY160" s="116">
        <v>0</v>
      </c>
      <c r="CZ160" s="118" t="str">
        <f>HYPERLINK("https://www.mlive.com/news/detroit/2018/02/manhunt_for_quadruple_homicide.html","1")</f>
        <v>1</v>
      </c>
      <c r="DA160" s="48">
        <v>0</v>
      </c>
      <c r="DB160" s="48">
        <v>0</v>
      </c>
      <c r="DC160" s="105" t="str">
        <f>HYPERLINK("https://www.mlive.com/news/detroit/2018/02/manhunt_for_quadruple_homicide.html","1")</f>
        <v>1</v>
      </c>
      <c r="DD160" s="51">
        <v>0</v>
      </c>
      <c r="DE160" s="51">
        <v>5</v>
      </c>
      <c r="DF160" s="51">
        <v>0</v>
      </c>
      <c r="DG160" s="51"/>
      <c r="DH160" s="51"/>
      <c r="DI160" s="51"/>
      <c r="DJ160" s="48">
        <v>0</v>
      </c>
      <c r="DK160" s="48">
        <v>0</v>
      </c>
      <c r="DL160" s="48" t="s">
        <v>100</v>
      </c>
      <c r="DM160" s="105" t="str">
        <f>HYPERLINK("https://www.mlive.com/news/detroit/2018/02/manhunt_for_quadruple_homicide.html","0")</f>
        <v>0</v>
      </c>
      <c r="DN160" s="48">
        <v>0</v>
      </c>
      <c r="DO160" s="48" t="s">
        <v>100</v>
      </c>
      <c r="DP160" s="105" t="str">
        <f t="shared" ref="DP160:DQ160" si="429">HYPERLINK("https://www.detroitnews.com/story/news/local/detroit-city/2018/02/26/gas-station-detroit-shooting/372730002/","0")</f>
        <v>0</v>
      </c>
      <c r="DQ160" s="105" t="str">
        <f t="shared" si="429"/>
        <v>0</v>
      </c>
      <c r="DR160" s="48"/>
      <c r="DS160" s="101" t="str">
        <f t="shared" si="428"/>
        <v>1</v>
      </c>
      <c r="DT160" s="105" t="str">
        <f t="shared" ref="DT160" si="430">HYPERLINK("https://www.detroitnews.com/story/news/local/detroit-city/2018/02/26/gas-station-detroit-shooting/372730002/","1")</f>
        <v>1</v>
      </c>
      <c r="DU160" s="105" t="str">
        <f>HYPERLINK("https://www.wxyz.com/news/region/detroit/three-shot-at-detroit-gas-station-police-looking-for-two-suspects","0")</f>
        <v>0</v>
      </c>
      <c r="DV160" s="48" t="s">
        <v>100</v>
      </c>
      <c r="DW160" s="105" t="str">
        <f>HYPERLINK("https://www.wxyz.com/news/region/detroit/three-shot-at-detroit-gas-station-police-looking-for-two-suspects","0")</f>
        <v>0</v>
      </c>
      <c r="DX160" s="105" t="str">
        <f>HYPERLINK("https://www.wxyz.com/news/region/detroit/three-shot-at-detroit-gas-station-police-looking-for-two-suspects","1")</f>
        <v>1</v>
      </c>
      <c r="DY160" s="48">
        <v>2</v>
      </c>
      <c r="DZ160" s="105" t="str">
        <f>HYPERLINK("https://www.mlive.com/news/detroit/2018/02/manhunt_for_quadruple_homicide.html","0")</f>
        <v>0</v>
      </c>
    </row>
    <row r="161" spans="1:130" ht="50.25" customHeight="1">
      <c r="A161" s="96">
        <v>160</v>
      </c>
      <c r="B161" s="97" t="s">
        <v>703</v>
      </c>
      <c r="C161" s="97" t="s">
        <v>704</v>
      </c>
      <c r="D161" s="98">
        <v>43212</v>
      </c>
      <c r="E161" s="48" t="s">
        <v>137</v>
      </c>
      <c r="F161" s="99">
        <v>22</v>
      </c>
      <c r="G161" s="100" t="str">
        <f>HYPERLINK("https://www.tennessean.com/story/news/2018/04/22/antioch-tn-waffle-house-shooting-naked-suspect/540033002/","4")</f>
        <v>4</v>
      </c>
      <c r="H161" s="105" t="str">
        <f>HYPERLINK("https://www.tennessean.com/story/news/2018/04/22/antioch-tn-waffle-house-shooting-naked-suspect/540033002/","2018")</f>
        <v>2018</v>
      </c>
      <c r="I161" s="48" t="s">
        <v>705</v>
      </c>
      <c r="J161" s="105" t="str">
        <f>HYPERLINK("https://www.tennessean.com/story/news/crime/2019/03/14/travis-reinking-father-jeffrey-waffle-house-shooting/3016158002/","Nashville ")</f>
        <v xml:space="preserve">Nashville </v>
      </c>
      <c r="K161" s="100" t="str">
        <f>HYPERLINK("https://www.abc.net.au/news/2018-04-24/waffle-house-shooting-suspect-travis-reinking-arrested/9690348","42")</f>
        <v>42</v>
      </c>
      <c r="L161" s="99">
        <v>0</v>
      </c>
      <c r="M161" s="100" t="str">
        <f>HYPERLINK("https://www.nytimes.com/2018/04/23/us/waffle-house-shooting-nashville.html","0")</f>
        <v>0</v>
      </c>
      <c r="N161" s="100" t="str">
        <f>HYPERLINK("https://www.tennessean.com/story/news/2018/04/22/antioch-tn-waffle-house-shooting-naked-suspect/540033002/","5")</f>
        <v>5</v>
      </c>
      <c r="O161" s="100" t="str">
        <f>HYPERLINK("https://www.nytimes.com/2018/04/23/us/waffle-house-shooting-nashville.html","0")</f>
        <v>0</v>
      </c>
      <c r="P161" s="99" t="s">
        <v>100</v>
      </c>
      <c r="Q161" s="103">
        <v>0</v>
      </c>
      <c r="R161" s="103">
        <v>0</v>
      </c>
      <c r="S161" s="100">
        <v>4</v>
      </c>
      <c r="T161" s="100">
        <v>4</v>
      </c>
      <c r="U161" s="105" t="str">
        <f>HYPERLINK("https://www.nytimes.com/2018/04/23/us/waffle-house-shooting-nashville.html","0")</f>
        <v>0</v>
      </c>
      <c r="V161" s="105">
        <v>29</v>
      </c>
      <c r="W161" s="105">
        <v>0</v>
      </c>
      <c r="X161" s="105">
        <v>0</v>
      </c>
      <c r="Y161" s="105">
        <v>0</v>
      </c>
      <c r="Z161" s="48"/>
      <c r="AA161" s="105">
        <v>1</v>
      </c>
      <c r="AB161" s="105">
        <v>1</v>
      </c>
      <c r="AC161" s="51"/>
      <c r="AD161" s="51"/>
      <c r="AE161" s="48"/>
      <c r="AF161" s="105" t="str">
        <f>HYPERLINK("https://heavy.com/news/2018/04/travis-reinking-waffle-house-gunman/","3")</f>
        <v>3</v>
      </c>
      <c r="AG161" s="48"/>
      <c r="AH161" s="48"/>
      <c r="AI161" s="48">
        <v>0</v>
      </c>
      <c r="AJ161" s="48">
        <v>0</v>
      </c>
      <c r="AK161" s="105" t="str">
        <f>HYPERLINK("https://edition.cnn.com/2018/04/22/us/travis-reinking-waffle-house-shooting/index.html","0")</f>
        <v>0</v>
      </c>
      <c r="AL161" s="105">
        <v>0</v>
      </c>
      <c r="AM161" s="48">
        <v>0</v>
      </c>
      <c r="AN161" s="48" t="s">
        <v>100</v>
      </c>
      <c r="AO161" s="101" t="str">
        <f>HYPERLINK("https://www.washingtonpost.com/news/post-nation/wp/2018/04/23/waffle-house-shooting-travis-reinking-manhunt-continues-nashville-police-say/","0")</f>
        <v>0</v>
      </c>
      <c r="AP161" s="54"/>
      <c r="AQ161" s="105">
        <v>1</v>
      </c>
      <c r="AR161" s="48">
        <v>0</v>
      </c>
      <c r="AS161" s="105" t="str">
        <f>HYPERLINK("https://beta.washingtonpost.com/news/post-nation/wp/2018/04/23/waffle-house-shooting-travis-reinking-manhunt-continues-nashville-police-say/","1")</f>
        <v>1</v>
      </c>
      <c r="AT161" s="48">
        <v>0</v>
      </c>
      <c r="AU161" s="48" t="s">
        <v>100</v>
      </c>
      <c r="AV161" s="48" t="s">
        <v>100</v>
      </c>
      <c r="AW161" s="48" t="s">
        <v>100</v>
      </c>
      <c r="AX161" s="48">
        <v>0</v>
      </c>
      <c r="AY161" s="48">
        <v>0</v>
      </c>
      <c r="AZ161" s="48">
        <v>0</v>
      </c>
      <c r="BA161" s="48">
        <v>0</v>
      </c>
      <c r="BB161" s="141" t="str">
        <f>HYPERLINK("https://www.reuters.com/article/us-usa-tennessee-shooting/judge-revokes-bond-for-nashville-shooting-suspect-after-public-outcry-idUSKBN1HV1M7","1")</f>
        <v>1</v>
      </c>
      <c r="BC161" s="105">
        <v>0</v>
      </c>
      <c r="BD161" s="105">
        <v>0</v>
      </c>
      <c r="BE161" s="105">
        <v>0</v>
      </c>
      <c r="BF161" s="105" t="str">
        <f>HYPERLINK("https://www.tennessean.com/story/news/crime/2018/12/17/waffle-house-shooting-travis-reinking-father-lawsuit/2339094002/","0")</f>
        <v>0</v>
      </c>
      <c r="BG161" s="48"/>
      <c r="BH161" s="48">
        <v>1</v>
      </c>
      <c r="BI161" s="48">
        <v>0</v>
      </c>
      <c r="BJ161" s="48">
        <v>0</v>
      </c>
      <c r="BK161" s="118">
        <v>1</v>
      </c>
      <c r="BL161" s="127">
        <v>1</v>
      </c>
      <c r="BM161" s="127">
        <v>3</v>
      </c>
      <c r="BN161" s="110" t="s">
        <v>3096</v>
      </c>
      <c r="BO161" s="111">
        <v>0</v>
      </c>
      <c r="BP161" s="111">
        <v>1</v>
      </c>
      <c r="BQ161" s="111">
        <v>0</v>
      </c>
      <c r="BR161" s="111">
        <v>0</v>
      </c>
      <c r="BS161" s="111">
        <v>1</v>
      </c>
      <c r="BT161" s="111">
        <v>1</v>
      </c>
      <c r="BU161" s="111">
        <v>0</v>
      </c>
      <c r="BV161" s="111">
        <v>1</v>
      </c>
      <c r="BW161" s="111">
        <v>1</v>
      </c>
      <c r="BX161" s="111">
        <v>1</v>
      </c>
      <c r="BY161" s="105">
        <v>1</v>
      </c>
      <c r="BZ161" s="105" t="str">
        <f>HYPERLINK("https://www.tennessean.com/story/news/crime/2019/03/14/travis-reinking-father-jeffrey-waffle-house-shooting/3016158002/","1")</f>
        <v>1</v>
      </c>
      <c r="CA161" s="105">
        <v>0</v>
      </c>
      <c r="CB161" s="48" t="s">
        <v>100</v>
      </c>
      <c r="CC161" s="105" t="str">
        <f>HYPERLINK("https://www.tennessean.com/story/news/crime/2018/12/17/waffle-house-shooting-travis-reinking-father-lawsuit/2339094002/","0")</f>
        <v>0</v>
      </c>
      <c r="CD161" s="105" t="str">
        <f>HYPERLINK("https://chicago.cbslocal.com/2019/03/14/waffle-house-shooting-father-charged-reinking/","0")</f>
        <v>0</v>
      </c>
      <c r="CE161" s="105" t="str">
        <f>HYPERLINK("https://www.tennessean.com/story/news/crime/2019/03/14/travis-reinking-father-jeffrey-waffle-house-shooting/3016158002/","2")</f>
        <v>2</v>
      </c>
      <c r="CF161" s="48">
        <v>0</v>
      </c>
      <c r="CG161" s="48">
        <v>0</v>
      </c>
      <c r="CH161" s="105">
        <v>0</v>
      </c>
      <c r="CI161" s="48">
        <v>0</v>
      </c>
      <c r="CJ161" s="51" t="s">
        <v>100</v>
      </c>
      <c r="CK161" s="129">
        <v>0</v>
      </c>
      <c r="CL161" s="129"/>
      <c r="CM161" s="129"/>
      <c r="CN161" s="116">
        <v>0</v>
      </c>
      <c r="CO161" s="116">
        <v>0</v>
      </c>
      <c r="CP161" s="116">
        <v>0</v>
      </c>
      <c r="CQ161" s="116">
        <v>0</v>
      </c>
      <c r="CR161" s="116">
        <v>0</v>
      </c>
      <c r="CS161" s="116">
        <v>0</v>
      </c>
      <c r="CT161" s="116">
        <v>0</v>
      </c>
      <c r="CU161" s="116">
        <v>0</v>
      </c>
      <c r="CV161" s="116">
        <v>0</v>
      </c>
      <c r="CW161" s="116">
        <v>0</v>
      </c>
      <c r="CX161" s="116">
        <v>0</v>
      </c>
      <c r="CY161" s="118" t="str">
        <f>HYPERLINK("https://beta.washingtonpost.com/news/post-nation/wp/2018/04/23/waffle-house-shooting-travis-reinking-manhunt-continues-nashville-police-say/","1")</f>
        <v>1</v>
      </c>
      <c r="CZ161" s="118" t="str">
        <f>HYPERLINK("https://www.nytimes.com/2018/04/23/us/waffle-house-shooting-nashville.html","0")</f>
        <v>0</v>
      </c>
      <c r="DA161" s="105">
        <v>3</v>
      </c>
      <c r="DB161" s="48">
        <v>0</v>
      </c>
      <c r="DC161" s="48">
        <v>0</v>
      </c>
      <c r="DD161" s="48"/>
      <c r="DE161" s="48"/>
      <c r="DF161" s="48"/>
      <c r="DG161" s="48"/>
      <c r="DH161" s="48"/>
      <c r="DI161" s="48"/>
      <c r="DJ161" s="105">
        <v>0</v>
      </c>
      <c r="DK161" s="105">
        <v>0</v>
      </c>
      <c r="DL161" s="48" t="s">
        <v>100</v>
      </c>
      <c r="DM161" s="105" t="str">
        <f>HYPERLINK("https://www.nytimes.com/2018/04/23/us/waffle-house-shooting-nashville.html","0")</f>
        <v>0</v>
      </c>
      <c r="DN161" s="48">
        <v>0</v>
      </c>
      <c r="DO161" s="48" t="s">
        <v>100</v>
      </c>
      <c r="DP161" s="105">
        <v>0</v>
      </c>
      <c r="DQ161" s="105" t="str">
        <f>HYPERLINK("https://www.tennessean.com/story/news/2018/04/22/antioch-tn-waffle-house-shooting-naked-suspect/540033002/","0")</f>
        <v>0</v>
      </c>
      <c r="DR161" s="105" t="str">
        <f>HYPERLINK("https://abc7chicago.com/tenn-waffle-house-shooting-suspect-from-illinois-in-custody-police-say/3381353/","1")</f>
        <v>1</v>
      </c>
      <c r="DS161" s="101" t="str">
        <f>HYPERLINK("https://www.tennessean.com/story/news/crime/2018/04/22/travis-reinking-nashville-waffle-house-shooting-suspect/540144002/","2")</f>
        <v>2</v>
      </c>
      <c r="DT161" s="105">
        <v>2</v>
      </c>
      <c r="DU161" s="105" t="str">
        <f>HYPERLINK("https://www.tennessean.com/story/news/2018/04/22/antioch-tn-waffle-house-shooting-naked-suspect/540033002/","0")</f>
        <v>0</v>
      </c>
      <c r="DV161" s="48" t="s">
        <v>100</v>
      </c>
      <c r="DW161" s="105" t="str">
        <f>HYPERLINK("https://abc7chicago.com/tenn-waffle-house-shooting-suspect-from-illinois-in-custody-police-say/3381353/","2")</f>
        <v>2</v>
      </c>
      <c r="DX161" s="105" t="str">
        <f>HYPERLINK("https://www.chicagotribune.com/news/breaking/ct-met-waffle-house-shooting-suspect-morton-20180423-story.html","0")</f>
        <v>0</v>
      </c>
      <c r="DY161" s="105" t="str">
        <f>HYPERLINK("https://www.tennessean.com/story/news/crime/2019/02/13/waffle-house-shooting-travis-reinking-arraignment/2847784002/","1")</f>
        <v>1</v>
      </c>
      <c r="DZ161" s="48">
        <v>0</v>
      </c>
    </row>
    <row r="162" spans="1:130" ht="50.25" customHeight="1">
      <c r="A162" s="96">
        <v>161</v>
      </c>
      <c r="B162" s="97" t="s">
        <v>706</v>
      </c>
      <c r="C162" s="97" t="s">
        <v>707</v>
      </c>
      <c r="D162" s="98">
        <v>43238</v>
      </c>
      <c r="E162" s="48" t="s">
        <v>157</v>
      </c>
      <c r="F162" s="99">
        <v>18</v>
      </c>
      <c r="G162" s="100">
        <v>5</v>
      </c>
      <c r="H162" s="105">
        <v>2018</v>
      </c>
      <c r="I162" s="48" t="s">
        <v>708</v>
      </c>
      <c r="J162" s="179" t="str">
        <f>HYPERLINK("https://www.cnn.com/2018/05/18/us/dimitrios-pagourtzis-santa-fe-suspect/index.html","Santa Fe")</f>
        <v>Santa Fe</v>
      </c>
      <c r="K162" s="100">
        <v>43</v>
      </c>
      <c r="L162" s="100">
        <v>0</v>
      </c>
      <c r="M162" s="100" t="str">
        <f>HYPERLINK("https://www.theguardian.com/us-news/2018/may/19/santa-fe-school-shooting-survivors-suspect-dimitrious-pagourtzis","1")</f>
        <v>1</v>
      </c>
      <c r="N162" s="100">
        <v>0</v>
      </c>
      <c r="O162" s="100">
        <v>0</v>
      </c>
      <c r="P162" s="99" t="s">
        <v>100</v>
      </c>
      <c r="Q162" s="103">
        <v>1</v>
      </c>
      <c r="R162" s="103">
        <v>1</v>
      </c>
      <c r="S162" s="100">
        <v>10</v>
      </c>
      <c r="T162" s="100">
        <v>13</v>
      </c>
      <c r="U162" s="105" t="str">
        <f>HYPERLINK("https://www.washingtonpost.com/national/alleged-school-killer-dimitrios-pagourtzis-was-nondescript-betraying-a-growing-darkness/2018/05/18/d69f5b88-5ade-11e8-8836-a4a123c359ab_story.html?utm_term=.d60f5a96a75c","0")</f>
        <v>0</v>
      </c>
      <c r="V162" s="105">
        <v>17</v>
      </c>
      <c r="W162" s="105" t="str">
        <f t="shared" ref="W162:X162" si="431">HYPERLINK("https://www.cnn.com/2018/05/18/us/dimitrios-pagourtzis-santa-fe-suspect/index.html","0")</f>
        <v>0</v>
      </c>
      <c r="X162" s="105" t="str">
        <f t="shared" si="431"/>
        <v>0</v>
      </c>
      <c r="Y162" s="105">
        <v>0</v>
      </c>
      <c r="Z162" s="105" t="str">
        <f>HYPERLINK("https://www.nbcnews.com/news/crime-courts/shooting-suspect-dimitrios-pagourtzis-posted-born-kill-t-shirt-n875571","0")</f>
        <v>0</v>
      </c>
      <c r="AA162" s="105" t="str">
        <f>HYPERLINK("https://www.washingtonpost.com/national/alleged-school-killer-dimitrios-pagourtzis-was-nondescript-betraying-a-growing-darkness/2018/05/18/d69f5b88-5ade-11e8-8836-a4a123c359ab_story.html?utm_term=.d60f5a96a75c","4")</f>
        <v>4</v>
      </c>
      <c r="AB162" s="105">
        <v>0</v>
      </c>
      <c r="AC162" s="101" t="str">
        <f>HYPERLINK("https://www.newyorker.com/news/news-desk/this-is-a-dream-i-cant-wake-up-from","2")</f>
        <v>2</v>
      </c>
      <c r="AD162" s="101" t="str">
        <f>HYPERLINK("https://www.newyorker.com/news/news-desk/this-is-a-dream-i-cant-wake-up-from","All A's")</f>
        <v>All A's</v>
      </c>
      <c r="AE162" s="105" t="str">
        <f t="shared" ref="AE162:AF162" si="432">HYPERLINK("https://heavy.com/news/2018/05/dimitrios-pagourtzis-nationality-greek/","1")</f>
        <v>1</v>
      </c>
      <c r="AF162" s="105" t="str">
        <f t="shared" si="432"/>
        <v>1</v>
      </c>
      <c r="AG162" s="105" t="str">
        <f>HYPERLINK("https://heavy.com/news/2018/05/dimitrios-pagourtzis-nationality-greek/","0")</f>
        <v>0</v>
      </c>
      <c r="AH162" s="105" t="str">
        <f>HYPERLINK("https://heavy.com/news/2018/05/dimitrios-pagourtzis-nationality-greek/","1")</f>
        <v>1</v>
      </c>
      <c r="AI162" s="105">
        <v>0</v>
      </c>
      <c r="AJ162" s="48">
        <v>0</v>
      </c>
      <c r="AK162" s="105">
        <v>0</v>
      </c>
      <c r="AL162" s="48"/>
      <c r="AM162" s="105">
        <v>0</v>
      </c>
      <c r="AN162" s="48" t="s">
        <v>100</v>
      </c>
      <c r="AO162" s="101" t="str">
        <f>HYPERLINK("https://www.washingtonpost.com/national/alleged-school-killer-dimitrios-pagourtzis-was-nondescript-betraying-a-growing-darkness/2018/05/18/d69f5b88-5ade-11e8-8836-a4a123c359ab_story.html","2")</f>
        <v>2</v>
      </c>
      <c r="AP162" s="150" t="str">
        <f>HYPERLINK("https://www.washingtonpost.com/national/alleged-school-killer-dimitrios-pagourtzis-was-nondescript-betraying-a-growing-darkness/2018/05/18/d69f5b88-5ade-11e8-8836-a4a123c359ab_story.html","football team, church dance troupe")</f>
        <v>football team, church dance troupe</v>
      </c>
      <c r="AQ162" s="105">
        <v>0</v>
      </c>
      <c r="AR162" s="48">
        <v>0</v>
      </c>
      <c r="AS162" s="105">
        <v>0</v>
      </c>
      <c r="AT162" s="48">
        <v>0</v>
      </c>
      <c r="AU162" s="48" t="s">
        <v>100</v>
      </c>
      <c r="AV162" s="48" t="s">
        <v>100</v>
      </c>
      <c r="AW162" s="48" t="s">
        <v>100</v>
      </c>
      <c r="AX162" s="48">
        <v>0</v>
      </c>
      <c r="AY162" s="48">
        <v>0</v>
      </c>
      <c r="AZ162" s="48">
        <v>0</v>
      </c>
      <c r="BA162" s="48">
        <v>0</v>
      </c>
      <c r="BB162" s="141" t="str">
        <f>HYPERLINK("https://apnews.com/cb5e0dca766e4845acf02b6bff8b62c7","1")</f>
        <v>1</v>
      </c>
      <c r="BC162" s="105">
        <v>0</v>
      </c>
      <c r="BD162" s="105">
        <v>1</v>
      </c>
      <c r="BE162" s="105" t="str">
        <f>HYPERLINK("https://www.newyorker.com/news/news-desk/this-is-a-dream-i-cant-wake-up-from","0")</f>
        <v>0</v>
      </c>
      <c r="BF162" s="105" t="str">
        <f>HYPERLINK("https://www.washingtonpost.com/national/alleged-school-killer-dimitrios-pagourtzis-was-nondescript-betraying-a-growing-darkness/2018/05/18/d69f5b88-5ade-11e8-8836-a4a123c359ab_story.html?utm_term=.d60f5a96a75c","0")</f>
        <v>0</v>
      </c>
      <c r="BG162" s="105">
        <v>1</v>
      </c>
      <c r="BH162" s="48">
        <v>2</v>
      </c>
      <c r="BI162" s="48"/>
      <c r="BJ162" s="105" t="str">
        <f>HYPERLINK("https://www.newyorker.com/news/news-desk/this-is-a-dream-i-cant-wake-up-from","0")</f>
        <v>0</v>
      </c>
      <c r="BK162" s="48">
        <v>0</v>
      </c>
      <c r="BL162" s="118">
        <v>0</v>
      </c>
      <c r="BM162" s="118" t="s">
        <v>100</v>
      </c>
      <c r="BN162" s="110"/>
      <c r="BO162" s="116">
        <v>0</v>
      </c>
      <c r="BP162" s="116">
        <v>0</v>
      </c>
      <c r="BQ162" s="116">
        <v>0</v>
      </c>
      <c r="BR162" s="116">
        <v>0</v>
      </c>
      <c r="BS162" s="116">
        <v>0</v>
      </c>
      <c r="BT162" s="116">
        <v>0</v>
      </c>
      <c r="BU162" s="116">
        <v>0</v>
      </c>
      <c r="BV162" s="116">
        <v>0</v>
      </c>
      <c r="BW162" s="116">
        <v>0</v>
      </c>
      <c r="BX162" s="116">
        <v>0</v>
      </c>
      <c r="BY162" s="105" t="str">
        <f>HYPERLINK("https://www.nytimes.com/2018/05/18/us/school-shooting-santa-fe-texas.html?action=click&amp;module=RelatedCoverage&amp;pgtype=Article&amp;region=Footer","2")</f>
        <v>2</v>
      </c>
      <c r="BZ162" s="48">
        <v>0</v>
      </c>
      <c r="CA162" s="48">
        <v>0</v>
      </c>
      <c r="CB162" s="48" t="s">
        <v>100</v>
      </c>
      <c r="CC162" s="48">
        <v>0</v>
      </c>
      <c r="CD162" s="48" t="s">
        <v>100</v>
      </c>
      <c r="CE162" s="48">
        <v>0</v>
      </c>
      <c r="CF162" s="105" t="str">
        <f>HYPERLINK("https://apnews.com/4eb933fff0b54393b850720748436626/The-Latest:-Wounded-student-attends-school-baseball-game","2")</f>
        <v>2</v>
      </c>
      <c r="CG162" s="48">
        <v>0</v>
      </c>
      <c r="CH162" s="105" t="str">
        <f>HYPERLINK("https://www.newyorker.com/news/news-desk/this-is-a-dream-i-cant-wake-up-from","2")</f>
        <v>2</v>
      </c>
      <c r="CI162" s="48">
        <v>0</v>
      </c>
      <c r="CJ162" s="51" t="s">
        <v>100</v>
      </c>
      <c r="CK162" s="129">
        <v>0</v>
      </c>
      <c r="CL162" s="129"/>
      <c r="CM162" s="129"/>
      <c r="CN162" s="118">
        <v>0</v>
      </c>
      <c r="CO162" s="116">
        <v>0</v>
      </c>
      <c r="CP162" s="116">
        <v>0</v>
      </c>
      <c r="CQ162" s="116">
        <v>0</v>
      </c>
      <c r="CR162" s="116">
        <v>0</v>
      </c>
      <c r="CS162" s="116">
        <v>0</v>
      </c>
      <c r="CT162" s="116">
        <v>0</v>
      </c>
      <c r="CU162" s="116">
        <v>0</v>
      </c>
      <c r="CV162" s="116">
        <v>0</v>
      </c>
      <c r="CW162" s="116">
        <v>0</v>
      </c>
      <c r="CX162" s="116">
        <v>0</v>
      </c>
      <c r="CY162" s="118" t="str">
        <f>HYPERLINK("https://www.newyorker.com/news/news-desk/this-is-a-dream-i-cant-wake-up-from","1")</f>
        <v>1</v>
      </c>
      <c r="CZ162" s="118" t="str">
        <f>HYPERLINK("https://www.cnn.com/2018/05/18/us/dimitrios-pagourtzis-santa-fe-suspect/index.html","0")</f>
        <v>0</v>
      </c>
      <c r="DA162" s="105">
        <v>2</v>
      </c>
      <c r="DB162" s="105" t="str">
        <f>HYPERLINK("https://www.washingtonpost.com/national/alleged-school-killer-dimitrios-pagourtzis-was-nondescript-betraying-a-growing-darkness/2018/05/18/d69f5b88-5ade-11e8-8836-a4a123c359ab_story.html?utm_term=.d60f5a96a75c","1")</f>
        <v>1</v>
      </c>
      <c r="DC162" s="133">
        <v>1</v>
      </c>
      <c r="DD162" s="107">
        <v>4</v>
      </c>
      <c r="DE162" s="51">
        <v>9</v>
      </c>
      <c r="DF162" s="51">
        <v>0</v>
      </c>
      <c r="DG162" s="51"/>
      <c r="DH162" s="51"/>
      <c r="DI162" s="51"/>
      <c r="DJ162" s="105" t="str">
        <f>HYPERLINK("https://www.newyorker.com/news/news-desk/this-is-a-dream-i-cant-wake-up-from","0")</f>
        <v>0</v>
      </c>
      <c r="DK162" s="48">
        <v>0</v>
      </c>
      <c r="DL162" s="48" t="s">
        <v>100</v>
      </c>
      <c r="DM162" s="105" t="str">
        <f>HYPERLINK("https://www.washingtonpost.com/national/alleged-school-killer-dimitrios-pagourtzis-was-nondescript-betraying-a-growing-darkness/2018/05/18/d69f5b88-5ade-11e8-8836-a4a123c359ab_story.html?utm_term=.d60f5a96a75c","0")</f>
        <v>0</v>
      </c>
      <c r="DN162" s="105" t="str">
        <f>HYPERLINK("https://www.newyorker.com/news/news-desk/this-is-a-dream-i-cant-wake-up-from","1")</f>
        <v>1</v>
      </c>
      <c r="DO162" s="105" t="str">
        <f>HYPERLINK("https://www.newyorker.com/news/news-desk/this-is-a-dream-i-cant-wake-up-from","Wore a shirt with the phrase ""Born to Kill"" on it, referencing the movie Full Metal Jacket.")</f>
        <v>Wore a shirt with the phrase "Born to Kill" on it, referencing the movie Full Metal Jacket.</v>
      </c>
      <c r="DP162" s="105" t="str">
        <f>HYPERLINK("https://www.bbc.com/news/world-us-canada-44173960","1")</f>
        <v>1</v>
      </c>
      <c r="DQ162" s="105" t="str">
        <f>HYPERLINK("https://www.washingtonpost.com/national/alleged-school-killer-dimitrios-pagourtzis-was-nondescript-betraying-a-growing-darkness/2018/05/18/d69f5b88-5ade-11e8-8836-a4a123c359ab_story.html?utm_term=.d60f5a96a75c","0")</f>
        <v>0</v>
      </c>
      <c r="DR162" s="105">
        <v>1</v>
      </c>
      <c r="DS162" s="51"/>
      <c r="DT162" s="105">
        <v>2</v>
      </c>
      <c r="DU162" s="105" t="str">
        <f>HYPERLINK("https://www.nytimes.com/2018/05/18/us/school-shooting-santa-fe-texas.html?action=click&amp;module=RelatedCoverage&amp;pgtype=Article&amp;region=Footer","1")</f>
        <v>1</v>
      </c>
      <c r="DV162" s="105" t="str">
        <f>HYPERLINK("https://www.nytimes.com/2018/05/18/us/school-shooting-santa-fe-texas.html?action=click&amp;module=RelatedCoverage&amp;pgtype=Article&amp;region=Footer","bombs")</f>
        <v>bombs</v>
      </c>
      <c r="DW162" s="105">
        <v>2</v>
      </c>
      <c r="DX162" s="105" t="str">
        <f>HYPERLINK("https://www.washingtonpost.com/national/alleged-school-killer-dimitrios-pagourtzis-was-nondescript-betraying-a-growing-darkness/2018/05/18/d69f5b88-5ade-11e8-8836-a4a123c359ab_story.html?utm_term=.d60f5a96a75c","0")</f>
        <v>0</v>
      </c>
      <c r="DY162" s="48">
        <v>3</v>
      </c>
      <c r="DZ162" s="48">
        <v>0</v>
      </c>
    </row>
    <row r="163" spans="1:130" ht="50.25" customHeight="1">
      <c r="A163" s="96">
        <v>162</v>
      </c>
      <c r="B163" s="97" t="s">
        <v>710</v>
      </c>
      <c r="C163" s="97" t="s">
        <v>711</v>
      </c>
      <c r="D163" s="98">
        <v>43279</v>
      </c>
      <c r="E163" s="48" t="s">
        <v>178</v>
      </c>
      <c r="F163" s="99">
        <v>28</v>
      </c>
      <c r="G163" s="100">
        <v>6</v>
      </c>
      <c r="H163" s="105">
        <v>2018</v>
      </c>
      <c r="I163" s="48" t="s">
        <v>712</v>
      </c>
      <c r="J163" s="105" t="s">
        <v>713</v>
      </c>
      <c r="K163" s="100">
        <v>20</v>
      </c>
      <c r="L163" s="99">
        <v>0</v>
      </c>
      <c r="M163" s="100">
        <v>0</v>
      </c>
      <c r="N163" s="168" t="str">
        <f>HYPERLINK("https://www.baltimoresun.com/news/crime/bs-md-ramos-search-20180628-story.html","6")</f>
        <v>6</v>
      </c>
      <c r="O163" s="100" t="str">
        <f>HYPERLINK("https://www.cbsnews.com/news/annapolis-shooting-five-dead-in-shooting-at-capital-gazette-newspaper-in-maryland-suspect-in-custody-2018-06-28-live-updates/","0")</f>
        <v>0</v>
      </c>
      <c r="P163" s="99" t="s">
        <v>100</v>
      </c>
      <c r="Q163" s="103">
        <v>0</v>
      </c>
      <c r="R163" s="103">
        <v>0</v>
      </c>
      <c r="S163" s="100">
        <v>5</v>
      </c>
      <c r="T163" s="100">
        <v>3</v>
      </c>
      <c r="U163" s="105" t="str">
        <f>HYPERLINK("https://www.cbsnews.com/news/annapolis-shooting-five-dead-in-shooting-at-capital-gazette-newspaper-in-maryland-suspect-in-custody-2018-06-28-live-updates/","0")</f>
        <v>0</v>
      </c>
      <c r="V163" s="105">
        <v>38</v>
      </c>
      <c r="W163" s="105">
        <v>0</v>
      </c>
      <c r="X163" s="105" t="str">
        <f>HYPERLINK("https://heavy.com/news/2018/06/jarrod-ramos-family-parents/","2")</f>
        <v>2</v>
      </c>
      <c r="Y163" s="105" t="str">
        <f>HYPERLINK("https://www.baltimoresun.com/news/crime/bs-md-ramos-profile-20180705-story.html","0")</f>
        <v>0</v>
      </c>
      <c r="Z163" s="48">
        <v>0</v>
      </c>
      <c r="AA163" s="48"/>
      <c r="AB163" s="105">
        <v>3</v>
      </c>
      <c r="AC163" s="101" t="str">
        <f>HYPERLINK("https://www.capitalgazette.com/news/crime/ac-cn-ramos-yearbook-0708-story.html","2")</f>
        <v>2</v>
      </c>
      <c r="AD163" s="101" t="str">
        <f>HYPERLINK("https://www.capitalgazette.com/news/crime/ac-cn-ramos-yearbook-0708-story.html","NSA internship in high school, BS in computer engineering")</f>
        <v>NSA internship in high school, BS in computer engineering</v>
      </c>
      <c r="AE163" s="48"/>
      <c r="AF163" s="105" t="str">
        <f>HYPERLINK("https://www.baltimoresun.com/news/crime/bs-md-ramos-profile-20180705-story.html","1")</f>
        <v>1</v>
      </c>
      <c r="AG163" s="48"/>
      <c r="AH163" s="48"/>
      <c r="AI163" s="105" t="str">
        <f t="shared" ref="AI163:AJ163" si="433">HYPERLINK("https://heavy.com/news/2018/06/jarrod-ramos/","0")</f>
        <v>0</v>
      </c>
      <c r="AJ163" s="105" t="str">
        <f t="shared" si="433"/>
        <v>0</v>
      </c>
      <c r="AK163" s="105" t="str">
        <f>HYPERLINK("https://www.capitalgazette.com/news/crime/ac-cn-ramos-yearbook-0708-story.html","0")</f>
        <v>0</v>
      </c>
      <c r="AL163" s="105" t="str">
        <f>HYPERLINK("https://www.baltimoresun.com/news/crime/bs-md-ramos-search-20180628-story.html","2")</f>
        <v>2</v>
      </c>
      <c r="AM163" s="105">
        <v>0</v>
      </c>
      <c r="AN163" s="48" t="s">
        <v>100</v>
      </c>
      <c r="AO163" s="101" t="str">
        <f>HYPERLINK("https://time.com/5326056/capital-gazette-shooter-jarrod-w-ramos/","0")</f>
        <v>0</v>
      </c>
      <c r="AP163" s="54"/>
      <c r="AQ163" s="105">
        <v>1</v>
      </c>
      <c r="AR163" s="48">
        <v>0</v>
      </c>
      <c r="AS163" s="48">
        <v>0</v>
      </c>
      <c r="AT163" s="101" t="str">
        <f>HYPERLINK("https://www.businessinsider.com/maryland-newspaper-shooter-had-a-history-of-harassing-a-woman-2018-6","1")</f>
        <v>1</v>
      </c>
      <c r="AU163" s="101">
        <v>3</v>
      </c>
      <c r="AV163" s="51"/>
      <c r="AW163" s="51"/>
      <c r="AX163" s="51">
        <v>0</v>
      </c>
      <c r="AY163" s="105">
        <v>0</v>
      </c>
      <c r="AZ163" s="105">
        <v>0</v>
      </c>
      <c r="BA163" s="48">
        <v>0</v>
      </c>
      <c r="BB163" s="141" t="str">
        <f>HYPERLINK("https://www.baltimoresun.com/news/crime/bs-md-ramos-profile-20180705-story.html","1")</f>
        <v>1</v>
      </c>
      <c r="BC163" s="105" t="str">
        <f t="shared" ref="BC163:BD163" si="434">HYPERLINK("https://www.capitalgazette.com/news/crime/ac-cn-ramos-yearbook-0708-story.html","1")</f>
        <v>1</v>
      </c>
      <c r="BD163" s="105" t="str">
        <f t="shared" si="434"/>
        <v>1</v>
      </c>
      <c r="BE163" s="105" t="str">
        <f t="shared" ref="BE163:BF163" si="435">HYPERLINK("https://www.baltimoresun.com/news/crime/bs-md-ramos-profile-20180705-story.html","0")</f>
        <v>0</v>
      </c>
      <c r="BF163" s="105" t="str">
        <f t="shared" si="435"/>
        <v>0</v>
      </c>
      <c r="BG163" s="48"/>
      <c r="BH163" s="48">
        <v>1</v>
      </c>
      <c r="BI163" s="48">
        <v>0</v>
      </c>
      <c r="BJ163" s="105" t="str">
        <f>HYPERLINK("https://heavy.com/news/2018/06/jarrod-ramos/","0")</f>
        <v>0</v>
      </c>
      <c r="BK163" s="116">
        <v>0</v>
      </c>
      <c r="BL163" s="118" t="str">
        <f>HYPERLINK("https://www.baltimoresun.com/news/maryland/crime/bs-md-ramos-search-20180628-story.html","1")</f>
        <v>1</v>
      </c>
      <c r="BM163" s="127">
        <v>3</v>
      </c>
      <c r="BN163" s="115" t="s">
        <v>3097</v>
      </c>
      <c r="BO163" s="111">
        <v>1</v>
      </c>
      <c r="BP163" s="111">
        <v>0</v>
      </c>
      <c r="BQ163" s="111">
        <v>0</v>
      </c>
      <c r="BR163" s="111">
        <v>0</v>
      </c>
      <c r="BS163" s="111">
        <v>0</v>
      </c>
      <c r="BT163" s="111">
        <v>1</v>
      </c>
      <c r="BU163" s="115">
        <v>1</v>
      </c>
      <c r="BV163" s="111">
        <v>1</v>
      </c>
      <c r="BW163" s="111">
        <v>1</v>
      </c>
      <c r="BX163" s="111">
        <v>0</v>
      </c>
      <c r="BY163" s="48">
        <v>0</v>
      </c>
      <c r="BZ163" s="48">
        <v>0</v>
      </c>
      <c r="CA163" s="105" t="str">
        <f t="shared" ref="CA163:CB163" si="436">HYPERLINK("https://www.usatoday.com/story/news/2018/07/03/ramos-suspect-newspaper-killings-had-long-history-threats-mental-health-issues/753081002/","1")</f>
        <v>1</v>
      </c>
      <c r="CB163" s="105" t="str">
        <f t="shared" si="436"/>
        <v>1</v>
      </c>
      <c r="CC163" s="48">
        <v>0</v>
      </c>
      <c r="CD163" s="52">
        <v>0</v>
      </c>
      <c r="CE163" s="105" t="str">
        <f>HYPERLINK("https://www.capitalgazette.com/news/crime/ac-cn-ramos-yearbook-0708-story.html","5")</f>
        <v>5</v>
      </c>
      <c r="CF163" s="48">
        <v>0</v>
      </c>
      <c r="CG163" s="105">
        <v>1</v>
      </c>
      <c r="CH163" s="48">
        <v>0</v>
      </c>
      <c r="CI163" s="48">
        <v>0</v>
      </c>
      <c r="CJ163" s="51" t="s">
        <v>100</v>
      </c>
      <c r="CK163" s="128">
        <v>2</v>
      </c>
      <c r="CL163" s="129"/>
      <c r="CM163" s="129"/>
      <c r="CN163" s="116">
        <v>0</v>
      </c>
      <c r="CO163" s="116">
        <v>0</v>
      </c>
      <c r="CP163" s="118">
        <v>0</v>
      </c>
      <c r="CQ163" s="116">
        <v>0</v>
      </c>
      <c r="CR163" s="116">
        <v>0</v>
      </c>
      <c r="CS163" s="116">
        <v>0</v>
      </c>
      <c r="CT163" s="127">
        <v>1</v>
      </c>
      <c r="CU163" s="116">
        <v>0</v>
      </c>
      <c r="CV163" s="116">
        <v>0</v>
      </c>
      <c r="CW163" s="116">
        <v>0</v>
      </c>
      <c r="CX163" s="118" t="str">
        <f>HYPERLINK("https://www.baltimoresun.com/news/crime/bs-md-ramos-search-20180628-story.html","1")</f>
        <v>1</v>
      </c>
      <c r="CY163" s="116">
        <v>0</v>
      </c>
      <c r="CZ163" s="118" t="str">
        <f>HYPERLINK("https://www.baltimoresun.com/news/crime/bs-md-gazette-shooting-20180628-story.html","0")</f>
        <v>0</v>
      </c>
      <c r="DA163" s="48">
        <v>0</v>
      </c>
      <c r="DB163" s="105" t="str">
        <f>HYPERLINK("https://heavy.com/news/2018/06/jarrod-ramos/","1")</f>
        <v>1</v>
      </c>
      <c r="DC163" s="105" t="str">
        <f>HYPERLINK("https://www.baltimoresun.com/news/crime/bs-md-ramos-search-20180628-story.html","1")</f>
        <v>1</v>
      </c>
      <c r="DD163" s="51">
        <v>4</v>
      </c>
      <c r="DE163" s="51">
        <v>9</v>
      </c>
      <c r="DF163" s="51">
        <v>0</v>
      </c>
      <c r="DG163" s="51"/>
      <c r="DH163" s="51"/>
      <c r="DI163" s="51"/>
      <c r="DJ163" s="105">
        <v>1</v>
      </c>
      <c r="DK163" s="105" t="str">
        <f>HYPERLINK("https://www.baltimoresun.com/news/crime/bs-md-ramos-search-20180628-story.html","1")</f>
        <v>1</v>
      </c>
      <c r="DL163" s="101" t="str">
        <f>HYPERLINK("https://www.baltimoresun.com/news/crime/bs-md-ramos-search-20180628-story.html","He referenced the French Charlie Hebdo mass shooting. ")</f>
        <v xml:space="preserve">He referenced the French Charlie Hebdo mass shooting. </v>
      </c>
      <c r="DM163" s="105" t="str">
        <f>HYPERLINK("https://www.baltimoresun.com/news/crime/bs-md-ramos-letters-20180702-story.html","1")</f>
        <v>1</v>
      </c>
      <c r="DN163" s="48">
        <v>0</v>
      </c>
      <c r="DO163" s="48" t="s">
        <v>100</v>
      </c>
      <c r="DP163" s="105" t="str">
        <f>HYPERLINK("https://www.baltimoresun.com/news/crime/bs-md-ramos-letters-20180702-story.html","1")</f>
        <v>1</v>
      </c>
      <c r="DQ163" s="105" t="str">
        <f>HYPERLINK("https://www.baltimoresun.com/news/crime/bs-md-ramos-letters-20180702-story.html","0")</f>
        <v>0</v>
      </c>
      <c r="DR163" s="51">
        <v>0</v>
      </c>
      <c r="DS163" s="101" t="str">
        <f>HYPERLINK("https://time.com/5326056/capital-gazette-shooter-jarrod-w-ramos/","1")</f>
        <v>1</v>
      </c>
      <c r="DT163" s="105" t="str">
        <f>HYPERLINK("https://time.com/5326056/capital-gazette-shooter-jarrod-w-ramos/","1")</f>
        <v>1</v>
      </c>
      <c r="DU163" s="105" t="str">
        <f>HYPERLINK("https://www.cbsnews.com/news/jarrod-ramos-annapolis-shooting-suspect-identified-maryland-shooting-capital-gazette-today-2018-06-28/","1")</f>
        <v>1</v>
      </c>
      <c r="DV163" s="48" t="s">
        <v>506</v>
      </c>
      <c r="DW163" s="105">
        <v>2</v>
      </c>
      <c r="DX163" s="105" t="str">
        <f>HYPERLINK("https://www.baltimoresun.com/news/crime/bs-md-ramos-letters-20180702-story.html","0")</f>
        <v>0</v>
      </c>
      <c r="DY163" s="101" t="str">
        <f>HYPERLINK("https://www.washingtonpost.com/local/public-safety/prosecutors-seek-tax-records-to-undercut-insanity-defense-in-capital-gazette-trial/2019/06/24/6bdd98cc-96b1-11e9-916d-9c61607d8190_story.html?utm_term=.7ec60180427b","1")</f>
        <v>1</v>
      </c>
      <c r="DZ163" s="48">
        <v>0</v>
      </c>
    </row>
    <row r="164" spans="1:130" ht="50.25" customHeight="1">
      <c r="A164" s="96">
        <v>163</v>
      </c>
      <c r="B164" s="97" t="s">
        <v>714</v>
      </c>
      <c r="C164" s="97" t="s">
        <v>715</v>
      </c>
      <c r="D164" s="98">
        <v>43355</v>
      </c>
      <c r="E164" s="48" t="s">
        <v>123</v>
      </c>
      <c r="F164" s="119">
        <v>12</v>
      </c>
      <c r="G164" s="102" t="str">
        <f>HYPERLINK("https://www.jsonline.com/story/news/2018/09/13/bakersfield-california-shooting/1288093002/","9")</f>
        <v>9</v>
      </c>
      <c r="H164" s="101" t="str">
        <f>HYPERLINK("https://www.jsonline.com/story/news/2018/09/13/bakersfield-california-shooting/1288093002/","2018")</f>
        <v>2018</v>
      </c>
      <c r="I164" s="105" t="s">
        <v>716</v>
      </c>
      <c r="J164" s="101" t="str">
        <f>HYPERLINK("https://www.ajc.com/news/national/bakersfield-mass-shooter-believed-wife-cheated-him-court-documents-say/Ibt8va2Lsdta0d6PYyLAKM/","Bakersfield")</f>
        <v>Bakersfield</v>
      </c>
      <c r="K164" s="102" t="str">
        <f>HYPERLINK("https://www.upi.com/Top_News/US/2018/09/14/California-gunman-who-killed-5-divorced-wife-last-year-police-say/1441536924815/","5")</f>
        <v>5</v>
      </c>
      <c r="L164" s="119">
        <v>3</v>
      </c>
      <c r="M164" s="102" t="str">
        <f>HYPERLINK("https://web.archive.org/web/20180914002144/https://www.channelnewsasia.com/news/world/california-gunman-who-killed-five--including-ex-wife--had-recently-divorced-10719996","0")</f>
        <v>0</v>
      </c>
      <c r="N164" s="102" t="str">
        <f>HYPERLINK("https://www.upi.com/Top_News/US/2018/09/14/California-gunman-who-killed-5-divorced-wife-last-year-police-say/1441536924815/","6")</f>
        <v>6</v>
      </c>
      <c r="O164" s="102" t="str">
        <f>HYPERLINK("https://www.upi.com/Top_News/US/2018/09/14/California-gunman-who-killed-5-divorced-wife-last-year-police-say/1441536924815/","1")</f>
        <v>1</v>
      </c>
      <c r="P164" s="102" t="str">
        <f>HYPERLINK("https://www.upi.com/Top_News/US/2018/09/14/California-gunman-who-killed-5-divorced-wife-last-year-police-say/1441536924815/","7")</f>
        <v>7</v>
      </c>
      <c r="Q164" s="103">
        <v>0</v>
      </c>
      <c r="R164" s="103">
        <v>0</v>
      </c>
      <c r="S164" s="102" t="str">
        <f>HYPERLINK("https://wjla.com/news/nation-world/family-friends-of-victims-express-shock-following-california-mass-shooting","5")</f>
        <v>5</v>
      </c>
      <c r="T164" s="102" t="str">
        <f>HYPERLINK("https://www.jsonline.com/story/news/2018/09/13/bakersfield-california-shooting/1288093002/","0")</f>
        <v>0</v>
      </c>
      <c r="U164" s="101" t="str">
        <f>HYPERLINK("https://www.latimes.com/local/lanow/la-me-bakersfield-mass-shooting-20180914-story.html","1")</f>
        <v>1</v>
      </c>
      <c r="V164" s="101" t="str">
        <f>HYPERLINK("https://www.usatoday.com/story/news/2018/09/13/bakersfield-mass-shooting-gunman-murder-suicide/1294393002/","54")</f>
        <v>54</v>
      </c>
      <c r="W164" s="101" t="str">
        <f>HYPERLINK("https://www.usatoday.com/story/news/2018/09/13/bakersfield-mass-shooting-gunman-murder-suicide/1294393002/","0")</f>
        <v>0</v>
      </c>
      <c r="X164" s="101" t="str">
        <f>HYPERLINK("https://www.latimes.com/local/lanow/la-me-ln-bakersfield-shooting-20180913-story.html","2")</f>
        <v>2</v>
      </c>
      <c r="Y164" s="101" t="str">
        <f>HYPERLINK("https://www.usatoday.com/story/news/2018/09/13/bakersfield-mass-shooting-gunman-murder-suicide/1294393002/","1")</f>
        <v>1</v>
      </c>
      <c r="Z164" s="101" t="str">
        <f>HYPERLINK("https://web.archive.org/web/20180914002144/https://www.channelnewsasia.com/news/world/california-gunman-who-killed-five--including-ex-wife--had-recently-divorced-10719996","0")</f>
        <v>0</v>
      </c>
      <c r="AA164" s="51"/>
      <c r="AB164" s="51"/>
      <c r="AC164" s="51"/>
      <c r="AD164" s="51"/>
      <c r="AE164" s="51"/>
      <c r="AF164" s="51"/>
      <c r="AG164" s="51"/>
      <c r="AH164" s="51"/>
      <c r="AI164" s="101" t="str">
        <f>HYPERLINK("https://web.archive.org/web/20180914002144/https://www.channelnewsasia.com/news/world/california-gunman-who-killed-five--including-ex-wife--had-recently-divorced-10719996","3")</f>
        <v>3</v>
      </c>
      <c r="AJ164" s="101" t="str">
        <f>HYPERLINK("https://www.ajc.com/news/national/bakersfield-mass-shooter-believed-wife-cheated-him-court-documents-say/Ibt8va2Lsdta0d6PYyLAKM/","1")</f>
        <v>1</v>
      </c>
      <c r="AK164" s="101" t="str">
        <f>HYPERLINK("https://bakersfieldnow.com/news/local/law-office-employee-talks-about-woman-her-killer-husband-he-was-obsessive-jealous","1")</f>
        <v>1</v>
      </c>
      <c r="AL164" s="101" t="str">
        <f>HYPERLINK("https://bakersfieldnow.com/news/local/law-office-employee-talks-about-woman-her-killer-husband-he-was-obsessive-jealous","0")</f>
        <v>0</v>
      </c>
      <c r="AM164" s="51">
        <v>0</v>
      </c>
      <c r="AN164" s="48" t="s">
        <v>100</v>
      </c>
      <c r="AO164" s="51"/>
      <c r="AP164" s="54"/>
      <c r="AQ164" s="51">
        <v>0</v>
      </c>
      <c r="AR164" s="51">
        <v>0</v>
      </c>
      <c r="AS164" s="51"/>
      <c r="AT164" s="101" t="str">
        <f>HYPERLINK("https://bakersfieldnow.com/news/local/law-office-employee-talks-about-woman-her-killer-husband-he-was-obsessive-jealous","1")</f>
        <v>1</v>
      </c>
      <c r="AU164" s="101">
        <v>3</v>
      </c>
      <c r="AV164" s="101"/>
      <c r="AW164" s="51"/>
      <c r="AX164" s="51">
        <v>0</v>
      </c>
      <c r="AY164" s="51">
        <v>0</v>
      </c>
      <c r="AZ164" s="51">
        <v>0</v>
      </c>
      <c r="BA164" s="51">
        <v>0</v>
      </c>
      <c r="BB164" s="107">
        <v>0</v>
      </c>
      <c r="BC164" s="101" t="str">
        <f>HYPERLINK("https://www.ajc.com/news/national/bakersfield-mass-shooter-believed-wife-cheated-him-court-documents-say/Ibt8va2Lsdta0d6PYyLAKM/","0")</f>
        <v>0</v>
      </c>
      <c r="BD164" s="51">
        <v>0</v>
      </c>
      <c r="BE164" s="51"/>
      <c r="BF164" s="51"/>
      <c r="BG164" s="51"/>
      <c r="BH164" s="51"/>
      <c r="BI164" s="51">
        <v>0</v>
      </c>
      <c r="BJ164" s="101" t="str">
        <f>HYPERLINK("https://web.archive.org/web/20180914002144/https://www.channelnewsasia.com/news/world/california-gunman-who-killed-five--including-ex-wife--had-recently-divorced-10719996","1")</f>
        <v>1</v>
      </c>
      <c r="BK164" s="51">
        <v>0</v>
      </c>
      <c r="BL164" s="108" t="str">
        <f>HYPERLINK("https://www.ajc.com/news/national/bakersfield-mass-shooter-believed-wife-cheated-him-court-documents-say/Ibt8va2Lsdta0d6PYyLAKM/","1")</f>
        <v>1</v>
      </c>
      <c r="BM164" s="109">
        <v>2</v>
      </c>
      <c r="BN164" s="115" t="s">
        <v>3057</v>
      </c>
      <c r="BO164" s="111">
        <v>1</v>
      </c>
      <c r="BP164" s="111">
        <v>0</v>
      </c>
      <c r="BQ164" s="111">
        <v>1</v>
      </c>
      <c r="BR164" s="111">
        <v>0</v>
      </c>
      <c r="BS164" s="111">
        <v>1</v>
      </c>
      <c r="BT164" s="111">
        <v>1</v>
      </c>
      <c r="BU164" s="111">
        <v>1</v>
      </c>
      <c r="BV164" s="111">
        <v>0</v>
      </c>
      <c r="BW164" s="111">
        <v>0</v>
      </c>
      <c r="BX164" s="111">
        <v>0</v>
      </c>
      <c r="BY164" s="101" t="str">
        <f>HYPERLINK("https://www.ajc.com/news/national/bakersfield-mass-shooter-believed-wife-cheated-him-court-documents-say/Ibt8va2Lsdta0d6PYyLAKM/","2")</f>
        <v>2</v>
      </c>
      <c r="BZ164" s="51">
        <v>0</v>
      </c>
      <c r="CA164" s="51">
        <v>0</v>
      </c>
      <c r="CB164" s="51" t="s">
        <v>100</v>
      </c>
      <c r="CC164" s="51">
        <v>0</v>
      </c>
      <c r="CD164" s="107" t="s">
        <v>100</v>
      </c>
      <c r="CE164" s="51">
        <v>0</v>
      </c>
      <c r="CF164" s="51">
        <v>0</v>
      </c>
      <c r="CG164" s="51">
        <v>0</v>
      </c>
      <c r="CH164" s="51"/>
      <c r="CI164" s="51">
        <v>0</v>
      </c>
      <c r="CJ164" s="51" t="s">
        <v>100</v>
      </c>
      <c r="CK164" s="113">
        <v>0</v>
      </c>
      <c r="CL164" s="113"/>
      <c r="CM164" s="113"/>
      <c r="CN164" s="110">
        <v>0</v>
      </c>
      <c r="CO164" s="110">
        <v>0</v>
      </c>
      <c r="CP164" s="110">
        <v>0</v>
      </c>
      <c r="CQ164" s="110">
        <v>0</v>
      </c>
      <c r="CR164" s="110">
        <v>0</v>
      </c>
      <c r="CS164" s="110">
        <v>0</v>
      </c>
      <c r="CT164" s="110">
        <v>0</v>
      </c>
      <c r="CU164" s="108" t="str">
        <f>HYPERLINK("https://www.latimes.com/local/lanow/la-me-ln-bakersfield-shooting-20180913-story.html","1")</f>
        <v>1</v>
      </c>
      <c r="CV164" s="110">
        <v>0</v>
      </c>
      <c r="CW164" s="110">
        <v>0</v>
      </c>
      <c r="CX164" s="110">
        <v>0</v>
      </c>
      <c r="CY164" s="110">
        <v>0</v>
      </c>
      <c r="CZ164" s="108" t="str">
        <f>HYPERLINK("https://www.ajc.com/news/national/bakersfield-mass-shooter-believed-wife-cheated-him-court-documents-say/Ibt8va2Lsdta0d6PYyLAKM/","1")</f>
        <v>1</v>
      </c>
      <c r="DA164" s="51">
        <v>0</v>
      </c>
      <c r="DB164" s="51">
        <v>0</v>
      </c>
      <c r="DC164" s="51">
        <v>0</v>
      </c>
      <c r="DD164" s="51"/>
      <c r="DE164" s="51"/>
      <c r="DF164" s="51"/>
      <c r="DG164" s="51"/>
      <c r="DH164" s="51"/>
      <c r="DI164" s="51"/>
      <c r="DJ164" s="51">
        <v>0</v>
      </c>
      <c r="DK164" s="51">
        <v>0</v>
      </c>
      <c r="DL164" s="48" t="s">
        <v>100</v>
      </c>
      <c r="DM164" s="101" t="str">
        <f>HYPERLINK("https://www.latimes.com/local/lanow/la-me-ln-bakersfield-shooting-20180913-story.html","0")</f>
        <v>0</v>
      </c>
      <c r="DN164" s="51">
        <v>0</v>
      </c>
      <c r="DO164" s="51" t="s">
        <v>100</v>
      </c>
      <c r="DP164" s="51">
        <v>0</v>
      </c>
      <c r="DQ164" s="101" t="str">
        <f>HYPERLINK("https://www.usatoday.com/story/news/2018/09/13/bakersfield-mass-shooting-gunman-murder-suicide/1294393002/","0")</f>
        <v>0</v>
      </c>
      <c r="DR164" s="51">
        <v>0</v>
      </c>
      <c r="DS164" s="101" t="str">
        <f>HYPERLINK("https://www.bakersfield.com/ex-wife-in-mass-shooting-had-just-filed-for-child/article_8d7510c2-bc38-11e8-bc73-c3793e2ec681.html","1")</f>
        <v>1</v>
      </c>
      <c r="DT164" s="101" t="str">
        <f t="shared" ref="DT164" si="437">HYPERLINK("https://www.bakersfield.com/ex-wife-in-mass-shooting-had-just-filed-for-child/article_8d7510c2-bc38-11e8-bc73-c3793e2ec681.html","1")</f>
        <v>1</v>
      </c>
      <c r="DU164" s="101" t="str">
        <f>HYPERLINK("https://www.bakersfield.com/ex-wife-in-mass-shooting-had-just-filed-for-child/article_8d7510c2-bc38-11e8-bc73-c3793e2ec681.html","0")</f>
        <v>0</v>
      </c>
      <c r="DV164" s="48" t="s">
        <v>100</v>
      </c>
      <c r="DW164" s="101" t="str">
        <f>HYPERLINK("https://www.ajc.com/news/national/bakersfield-mass-shooter-believed-wife-cheated-him-court-documents-say/Ibt8va2Lsdta0d6PYyLAKM/'","0")</f>
        <v>0</v>
      </c>
      <c r="DX164" s="101" t="str">
        <f>HYPERLINK("https://www.jsonline.com/story/news/2018/09/13/bakersfield-california-shooting/1288093002/","0")</f>
        <v>0</v>
      </c>
      <c r="DY164" s="51">
        <v>2</v>
      </c>
      <c r="DZ164" s="48">
        <v>0</v>
      </c>
    </row>
    <row r="165" spans="1:130" ht="50.25" customHeight="1">
      <c r="A165" s="96">
        <v>164</v>
      </c>
      <c r="B165" s="97" t="s">
        <v>718</v>
      </c>
      <c r="C165" s="97" t="s">
        <v>102</v>
      </c>
      <c r="D165" s="98">
        <v>43400</v>
      </c>
      <c r="E165" s="48" t="s">
        <v>103</v>
      </c>
      <c r="F165" s="99">
        <v>27</v>
      </c>
      <c r="G165" s="100" t="str">
        <f>HYPERLINK("https://www.nytimes.com/2018/10/27/us/robert-bowers-pittsburgh-synagogue-shooter.html","10")</f>
        <v>10</v>
      </c>
      <c r="H165" s="105" t="str">
        <f>HYPERLINK("https://www.nytimes.com/2018/10/27/us/robert-bowers-pittsburgh-synagogue-shooter.html","2018")</f>
        <v>2018</v>
      </c>
      <c r="I165" s="48" t="s">
        <v>719</v>
      </c>
      <c r="J165" s="105" t="str">
        <f>HYPERLINK("https://www.nytimes.com/2018/10/27/us/robert-bowers-pittsburgh-synagogue-shooter.html","Pittsburgh")</f>
        <v>Pittsburgh</v>
      </c>
      <c r="K165" s="100" t="str">
        <f>HYPERLINK("https://www.cnn.com/2018/10/27/us/pittsburgh-synagogue-active-shooter/index.html","38")</f>
        <v>38</v>
      </c>
      <c r="L165" s="99">
        <v>2</v>
      </c>
      <c r="M165" s="100" t="str">
        <f>HYPERLINK("https://www.cnn.com/2018/10/27/us/pittsburgh-synagogue-active-shooter/index.html","0")</f>
        <v>0</v>
      </c>
      <c r="N165" s="100" t="str">
        <f>HYPERLINK("https://www.nytimes.com/2018/10/27/us/robert-bowers-pittsburgh-synagogue-shooter.html","3")</f>
        <v>3</v>
      </c>
      <c r="O165" s="100" t="str">
        <f>HYPERLINK("https://www.post-gazette.com/news/crime-courts/2018/10/28/TIMELINE-20-minutes-of-terror-gripped-Squirrel-Hill-during-Saturday-synagogue-attack/stories/201810280197","0")</f>
        <v>0</v>
      </c>
      <c r="P165" s="99" t="s">
        <v>100</v>
      </c>
      <c r="Q165" s="103">
        <v>0</v>
      </c>
      <c r="R165" s="103">
        <v>0</v>
      </c>
      <c r="S165" s="100" t="str">
        <f>HYPERLINK("https://www.cnn.com/2018/10/27/us/pittsburgh-synagogue-active-shooter/index.html","11")</f>
        <v>11</v>
      </c>
      <c r="T165" s="100" t="str">
        <f>HYPERLINK("https://www.post-gazette.com/news/crime-courts/2018/10/28/TIMELINE-20-minutes-of-terror-gripped-Squirrel-Hill-during-Saturday-synagogue-attack/stories/201810280197","6")</f>
        <v>6</v>
      </c>
      <c r="U165" s="105" t="str">
        <f>HYPERLINK("https://www.post-gazette.com/news/crime-courts/2018/10/28/TIMELINE-20-minutes-of-terror-gripped-Squirrel-Hill-during-Saturday-synagogue-attack/stories/201810280197","0")</f>
        <v>0</v>
      </c>
      <c r="V165" s="105" t="str">
        <f>HYPERLINK("https://www.nytimes.com/2018/10/27/us/robert-bowers-pittsburgh-synagogue-shooter.html","46")</f>
        <v>46</v>
      </c>
      <c r="W165" s="105" t="str">
        <f t="shared" ref="W165:X165" si="438">HYPERLINK("https://www.nytimes.com/2018/10/27/us/robert-bowers-pittsburgh-synagogue-shooter.html","0")</f>
        <v>0</v>
      </c>
      <c r="X165" s="105" t="str">
        <f t="shared" si="438"/>
        <v>0</v>
      </c>
      <c r="Y165" s="105" t="str">
        <f t="shared" ref="Y165:Z165" si="439">HYPERLINK("https://www.post-gazette.com/news/crime-courts/2018/11/10/Robert-Bowers-extremism-Tree-of-Life-massacre-shooting-pittsburgh-Gab-Warroom/stories/201811080165","0")</f>
        <v>0</v>
      </c>
      <c r="Z165" s="105" t="str">
        <f t="shared" si="439"/>
        <v>0</v>
      </c>
      <c r="AA165" s="105" t="str">
        <f>HYPERLINK("https://www.post-gazette.com/news/crime-courts/2018/11/10/Robert-Bowers-extremism-Tree-of-Life-massacre-shooting-pittsburgh-Gab-Warroom/stories/201811080165","1")</f>
        <v>1</v>
      </c>
      <c r="AB165" s="105" t="str">
        <f>HYPERLINK("https://www.post-gazette.com/news/crime-courts/2018/10/29/Robert-Bowers-suspect-gunman-Pittsburgh-Tree-of-Life-synagogue-massacre-attack-federal-court/stories/201810290090","0")</f>
        <v>0</v>
      </c>
      <c r="AC165" s="101" t="str">
        <f>HYPERLINK("https://www.washingtonpost.com/national/as-questions-linger-about-pittsburgh-suspect-details-emerge-from-his-early-life/2018/11/02/a643c506-dec7-11e8-b732-3c72cbf131f2_story.html","0")</f>
        <v>0</v>
      </c>
      <c r="AD165" s="101" t="str">
        <f>HYPERLINK("https://www.washingtonpost.com/national/as-questions-linger-about-pittsburgh-suspect-details-emerge-from-his-early-life/2018/11/02/a643c506-dec7-11e8-b732-3c72cbf131f2_story.html","high school dropout")</f>
        <v>high school dropout</v>
      </c>
      <c r="AE165" s="105" t="str">
        <f t="shared" ref="AE165:AH165" si="440">HYPERLINK("https://www.washingtonpost.com/national/as-questions-linger-about-pittsburgh-suspect-details-emerge-from-his-early-life/2018/11/02/a643c506-dec7-11e8-b732-3c72cbf131f2_story.html","0")</f>
        <v>0</v>
      </c>
      <c r="AF165" s="105" t="str">
        <f t="shared" si="440"/>
        <v>0</v>
      </c>
      <c r="AG165" s="105" t="str">
        <f t="shared" si="440"/>
        <v>0</v>
      </c>
      <c r="AH165" s="105" t="str">
        <f t="shared" si="440"/>
        <v>0</v>
      </c>
      <c r="AI165" s="105" t="str">
        <f>HYPERLINK("https://www.nytimes.com/2018/10/28/us/pittsburgh-shooting-robert-bowers.html","0")</f>
        <v>0</v>
      </c>
      <c r="AJ165" s="48">
        <v>0</v>
      </c>
      <c r="AK165" s="105" t="str">
        <f>HYPERLINK("https://www.nytimes.com/2018/10/28/us/pittsburgh-shooting-robert-bowers.html","1")</f>
        <v>1</v>
      </c>
      <c r="AL165" s="105" t="str">
        <f>HYPERLINK("https://www.bbc.com/news/world-us-canada-46022930","0")</f>
        <v>0</v>
      </c>
      <c r="AM165" s="48">
        <v>0</v>
      </c>
      <c r="AN165" s="48" t="s">
        <v>100</v>
      </c>
      <c r="AO165" s="101" t="str">
        <f>HYPERLINK("https://www.washingtonpost.com/national/suspected-synagogue-shooter-appears-to-have-railed-against-jews-refugees-online/2018/10/27/e99dd282-da18-11e8-a10f-b51546b10756_story.html","0")</f>
        <v>0</v>
      </c>
      <c r="AP165" s="54"/>
      <c r="AQ165" s="105" t="str">
        <f>HYPERLINK("https://www.nytimes.com/2018/10/27/us/robert-bowers-pittsburgh-synagogue-shooter.html","0")</f>
        <v>0</v>
      </c>
      <c r="AR165" s="48">
        <v>0</v>
      </c>
      <c r="AS165" s="105" t="str">
        <f>HYPERLINK("https://www.post-gazette.com/news/crime-courts/2018/11/10/Robert-Bowers-extremism-Tree-of-Life-massacre-shooting-pittsburgh-Gab-Warroom/stories/201811080165","0")</f>
        <v>0</v>
      </c>
      <c r="AT165" s="48">
        <v>0</v>
      </c>
      <c r="AU165" s="48" t="s">
        <v>100</v>
      </c>
      <c r="AV165" s="48" t="s">
        <v>100</v>
      </c>
      <c r="AW165" s="48" t="s">
        <v>100</v>
      </c>
      <c r="AX165" s="48">
        <v>0</v>
      </c>
      <c r="AY165" s="48">
        <v>0</v>
      </c>
      <c r="AZ165" s="105" t="str">
        <f>HYPERLINK("https://www.post-gazette.com/news/crime-courts/2018/11/10/Robert-Bowers-extremism-Tree-of-Life-massacre-shooting-pittsburgh-Gab-Warroom/stories/201811080165","1")</f>
        <v>1</v>
      </c>
      <c r="BA165" s="126">
        <v>1</v>
      </c>
      <c r="BB165" s="107">
        <v>0</v>
      </c>
      <c r="BC165" s="105">
        <v>0</v>
      </c>
      <c r="BD165" s="105" t="str">
        <f>HYPERLINK("https://www.post-gazette.com/news/crime-courts/2018/11/10/Robert-Bowers-extremism-Tree-of-Life-massacre-shooting-pittsburgh-Gab-Warroom/stories/201811080165","0")</f>
        <v>0</v>
      </c>
      <c r="BE165" s="105" t="str">
        <f>HYPERLINK("https://www.post-gazette.com/news/crime-courts/2018/11/10/Robert-Bowers-extremism-Tree-of-Life-massacre-shooting-pittsburgh-Gab-Warroom/stories/201811080165","1")</f>
        <v>1</v>
      </c>
      <c r="BF165" s="105" t="str">
        <f>HYPERLINK("https://www.post-gazette.com/news/crime-courts/2018/10/29/Robert-Bowers-suspect-gunman-Pittsburgh-Tree-of-Life-synagogue-massacre-attack-federal-court/stories/201810290090","1")</f>
        <v>1</v>
      </c>
      <c r="BG165" s="105" t="str">
        <f>HYPERLINK("https://www.post-gazette.com/news/crime-courts/2018/11/10/Robert-Bowers-extremism-Tree-of-Life-massacre-shooting-pittsburgh-Gab-Warroom/stories/201811080165","3")</f>
        <v>3</v>
      </c>
      <c r="BH165" s="48"/>
      <c r="BI165" s="48">
        <v>0</v>
      </c>
      <c r="BJ165" s="48">
        <v>0</v>
      </c>
      <c r="BK165" s="105" t="str">
        <f t="shared" ref="BK165" si="441">HYPERLINK("https://www.nytimes.com/2018/10/28/us/pittsburgh-shooting-robert-bowers.html","0")</f>
        <v>0</v>
      </c>
      <c r="BL165" s="127">
        <v>1</v>
      </c>
      <c r="BM165" s="127">
        <v>3</v>
      </c>
      <c r="BN165" s="110" t="s">
        <v>3009</v>
      </c>
      <c r="BO165" s="116">
        <v>0</v>
      </c>
      <c r="BP165" s="116">
        <v>0</v>
      </c>
      <c r="BQ165" s="116">
        <v>0</v>
      </c>
      <c r="BR165" s="116">
        <v>0</v>
      </c>
      <c r="BS165" s="116">
        <v>0</v>
      </c>
      <c r="BT165" s="116">
        <v>0</v>
      </c>
      <c r="BU165" s="116">
        <v>1</v>
      </c>
      <c r="BV165" s="116">
        <v>1</v>
      </c>
      <c r="BW165" s="116">
        <v>0</v>
      </c>
      <c r="BX165" s="116">
        <v>0</v>
      </c>
      <c r="BY165" s="105" t="str">
        <f>HYPERLINK("https://pittsburgh.cbslocal.com/2018/10/30/pittsburgh-synagogue-shooting-suspect-robert-bowers-past/","1")</f>
        <v>1</v>
      </c>
      <c r="BZ165" s="105" t="str">
        <f>HYPERLINK("https://pittsburgh.cbslocal.com/2018/10/30/pittsburgh-synagogue-shooting-suspect-robert-bowers-past/","0")</f>
        <v>0</v>
      </c>
      <c r="CA165" s="48">
        <v>0</v>
      </c>
      <c r="CB165" s="48" t="s">
        <v>100</v>
      </c>
      <c r="CC165" s="48">
        <v>0</v>
      </c>
      <c r="CD165" s="52" t="s">
        <v>100</v>
      </c>
      <c r="CE165" s="48">
        <v>0</v>
      </c>
      <c r="CF165" s="105" t="str">
        <f>HYPERLINK("https://www.nytimes.com/2018/11/02/us/pittsburgh-gunman-father-rape-case.html","1")</f>
        <v>1</v>
      </c>
      <c r="CG165" s="48">
        <v>0</v>
      </c>
      <c r="CH165" s="105" t="str">
        <f>HYPERLINK("https://www.post-gazette.com/news/crime-courts/2018/11/10/Robert-Bowers-extremism-Tree-of-Life-massacre-shooting-pittsburgh-Gab-Warroom/stories/201811080165","1")</f>
        <v>1</v>
      </c>
      <c r="CI165" s="48">
        <v>0</v>
      </c>
      <c r="CJ165" s="51" t="s">
        <v>100</v>
      </c>
      <c r="CK165" s="128">
        <v>1</v>
      </c>
      <c r="CL165" s="128">
        <v>2</v>
      </c>
      <c r="CM165" s="128">
        <v>4</v>
      </c>
      <c r="CN165" s="118" t="str">
        <f>HYPERLINK("https://www.post-gazette.com/news/crime-courts/2018/10/29/Robert-Bowers-suspect-gunman-Pittsburgh-Tree-of-Life-synagogue-massacre-attack-federal-court/stories/201810290090","1")</f>
        <v>1</v>
      </c>
      <c r="CO165" s="118" t="str">
        <f t="shared" ref="CO165" si="442">HYPERLINK("https://www.post-gazette.com/news/crime-courts/2018/11/10/Robert-Bowers-extremism-Tree-of-Life-massacre-shooting-pittsburgh-Gab-Warroom/stories/201811080165","1")</f>
        <v>1</v>
      </c>
      <c r="CP165" s="118">
        <v>0</v>
      </c>
      <c r="CQ165" s="116">
        <v>0</v>
      </c>
      <c r="CR165" s="116">
        <v>0</v>
      </c>
      <c r="CS165" s="116">
        <v>0</v>
      </c>
      <c r="CT165" s="116">
        <v>0</v>
      </c>
      <c r="CU165" s="116">
        <v>0</v>
      </c>
      <c r="CV165" s="116">
        <v>0</v>
      </c>
      <c r="CW165" s="116">
        <v>0</v>
      </c>
      <c r="CX165" s="116">
        <v>0</v>
      </c>
      <c r="CY165" s="116">
        <v>0</v>
      </c>
      <c r="CZ165" s="118" t="str">
        <f>HYPERLINK("https://www.post-gazette.com/news/crime-courts/2018/10/28/TIMELINE-20-minutes-of-terror-gripped-Squirrel-Hill-during-Saturday-synagogue-attack/stories/201810280197","0")</f>
        <v>0</v>
      </c>
      <c r="DA165" s="48">
        <v>0</v>
      </c>
      <c r="DB165" s="105" t="str">
        <f>HYPERLINK("https://www.post-gazette.com/news/crime-courts/2018/10/29/Robert-Bowers-suspect-gunman-Pittsburgh-Tree-of-Life-synagogue-massacre-attack-federal-court/stories/201810290090","1")</f>
        <v>1</v>
      </c>
      <c r="DC165" s="105" t="str">
        <f>HYPERLINK("https://www.bbc.com/news/world-us-canada-46022930","1")</f>
        <v>1</v>
      </c>
      <c r="DD165" s="51">
        <v>4</v>
      </c>
      <c r="DE165" s="51">
        <v>9</v>
      </c>
      <c r="DF165" s="51">
        <v>0</v>
      </c>
      <c r="DG165" s="51"/>
      <c r="DH165" s="51"/>
      <c r="DI165" s="51"/>
      <c r="DJ165" s="105" t="str">
        <f>HYPERLINK("https://www.washingtonpost.com/national/suspected-synagogue-shooter-appears-to-have-railed-against-jews-refugees-online/2018/10/27/e99dd282-da18-11e8-a10f-b51546b10756_story.html","1")</f>
        <v>1</v>
      </c>
      <c r="DK165" s="48">
        <v>0</v>
      </c>
      <c r="DL165" s="48" t="s">
        <v>100</v>
      </c>
      <c r="DM165" s="105" t="str">
        <f>HYPERLINK("https://www.nytimes.com/2018/10/27/us/robert-bowers-pittsburgh-synagogue-shooter.html","0")</f>
        <v>0</v>
      </c>
      <c r="DN165" s="48">
        <v>0</v>
      </c>
      <c r="DO165" s="48" t="s">
        <v>100</v>
      </c>
      <c r="DP165" s="105" t="str">
        <f>HYPERLINK("https://www.bbc.com/news/world-us-canada-46022930","0")</f>
        <v>0</v>
      </c>
      <c r="DQ165" s="105" t="str">
        <f>HYPERLINK("https://www.post-gazette.com/news/crime-courts/2018/10/28/TIMELINE-20-minutes-of-terror-gripped-Squirrel-Hill-during-Saturday-synagogue-attack/stories/201810280197","0")</f>
        <v>0</v>
      </c>
      <c r="DR165" s="105" t="str">
        <f>HYPERLINK("https://www.cnn.com/2018/10/27/us/pittsburgh-synagogue-active-shooter/index.html","1")</f>
        <v>1</v>
      </c>
      <c r="DS165" s="101" t="str">
        <f>HYPERLINK("https://www.cnn.com/2018/10/27/us/pittsburgh-synagogue-active-shooter/index.html","1")</f>
        <v>1</v>
      </c>
      <c r="DT165" s="105" t="str">
        <f>HYPERLINK("https://www.nytimes.com/2018/10/30/us/ar15-gun-pittsburgh-shooting.html","5")</f>
        <v>5</v>
      </c>
      <c r="DU165" s="105" t="str">
        <f>HYPERLINK("https://www.post-gazette.com/news/crime-courts/2018/10/28/TIMELINE-20-minutes-of-terror-gripped-Squirrel-Hill-during-Saturday-synagogue-attack/stories/201810280197","0")</f>
        <v>0</v>
      </c>
      <c r="DV165" s="48" t="s">
        <v>100</v>
      </c>
      <c r="DW165" s="105" t="str">
        <f>HYPERLINK("https://www.usatoday.com/story/news/nation/2018/10/27/pittsburgh-shooting-robert-bowers-identified-suspect-synagogue/1789239002/","2")</f>
        <v>2</v>
      </c>
      <c r="DX165" s="105" t="str">
        <f>HYPERLINK("https://www.usatoday.com/story/news/nation/2018/10/27/pittsburgh-shooting-robert-bowers-identified-suspect-synagogue/1789239002/","1")</f>
        <v>1</v>
      </c>
      <c r="DY165" s="48">
        <v>3</v>
      </c>
      <c r="DZ165" s="48">
        <v>0</v>
      </c>
    </row>
    <row r="166" spans="1:130" ht="50.25" customHeight="1">
      <c r="A166" s="96">
        <v>165</v>
      </c>
      <c r="B166" s="97" t="s">
        <v>721</v>
      </c>
      <c r="C166" s="97" t="s">
        <v>722</v>
      </c>
      <c r="D166" s="98">
        <v>43411</v>
      </c>
      <c r="E166" s="48" t="s">
        <v>123</v>
      </c>
      <c r="F166" s="99">
        <v>7</v>
      </c>
      <c r="G166" s="100" t="str">
        <f>HYPERLINK("https://www.cnn.com/2018/11/08/us/thousands-oaks-california-bar-shooting/index.html","11")</f>
        <v>11</v>
      </c>
      <c r="H166" s="105" t="str">
        <f>HYPERLINK("https://www.cnn.com/2018/11/08/us/thousands-oaks-california-bar-shooting/index.html","2018")</f>
        <v>2018</v>
      </c>
      <c r="I166" s="48" t="s">
        <v>723</v>
      </c>
      <c r="J166" s="105" t="str">
        <f>HYPERLINK("https://www.cnn.com/2018/11/08/us/thousands-oaks-california-bar-shooting/index.html","Thousand Oaks")</f>
        <v>Thousand Oaks</v>
      </c>
      <c r="K166" s="100" t="str">
        <f>HYPERLINK("https://www.apnews.com/02bebe042ba94f68b510b918d9fb6d04","5")</f>
        <v>5</v>
      </c>
      <c r="L166" s="99">
        <v>3</v>
      </c>
      <c r="M166" s="100" t="str">
        <f>HYPERLINK("https://www.apnews.com/02bebe042ba94f68b510b918d9fb6d04","1")</f>
        <v>1</v>
      </c>
      <c r="N166" s="100" t="str">
        <f>HYPERLINK("https://www.cnn.com/2018/11/08/us/thousands-oaks-california-bar-shooting/index.html","5")</f>
        <v>5</v>
      </c>
      <c r="O166" s="100" t="str">
        <f>HYPERLINK("https://www.cnn.com/2018/11/08/us/thousands-oaks-california-bar-shooting/index.html","0")</f>
        <v>0</v>
      </c>
      <c r="P166" s="99" t="s">
        <v>100</v>
      </c>
      <c r="Q166" s="103">
        <v>0</v>
      </c>
      <c r="R166" s="103">
        <v>0</v>
      </c>
      <c r="S166" s="100" t="str">
        <f>HYPERLINK("https://www.cnn.com/2018/11/08/us/thousands-oaks-california-bar-shooting/index.html","12")</f>
        <v>12</v>
      </c>
      <c r="T166" s="100" t="str">
        <f>HYPERLINK("https://www.cnn.com/2018/11/08/us/thousands-oaks-california-bar-shooting/index.html","21")</f>
        <v>21</v>
      </c>
      <c r="U166" s="105" t="str">
        <f>HYPERLINK("https://www.washingtonpost.com/nation/2018/11/27/investigators-still-seeking-motive-thousand-oaks-shooting/?noredirect=on&amp;utm_term=.63ffde09e661","0")</f>
        <v>0</v>
      </c>
      <c r="V166" s="105" t="str">
        <f>HYPERLINK("https://www.apnews.com/02bebe042ba94f68b510b918d9fb6d04","28")</f>
        <v>28</v>
      </c>
      <c r="W166" s="105" t="str">
        <f t="shared" ref="W166:X166" si="443">HYPERLINK("https://www.apnews.com/02bebe042ba94f68b510b918d9fb6d04","0")</f>
        <v>0</v>
      </c>
      <c r="X166" s="105" t="str">
        <f t="shared" si="443"/>
        <v>0</v>
      </c>
      <c r="Y166" s="48">
        <v>0</v>
      </c>
      <c r="Z166" s="105" t="str">
        <f>HYPERLINK("https://www.apnews.com/02bebe042ba94f68b510b918d9fb6d04","0")</f>
        <v>0</v>
      </c>
      <c r="AA166" s="48"/>
      <c r="AB166" s="105" t="str">
        <f>HYPERLINK("https://abcnews.go.com/beta-story-container/US/thousand-oaks-mass-shooter-legally-purchased-45-caliber/story?id=59054278","2")</f>
        <v>2</v>
      </c>
      <c r="AC166" s="51"/>
      <c r="AD166" s="51"/>
      <c r="AE166" s="105" t="str">
        <f t="shared" ref="AE166:AH166" si="444">HYPERLINK("https://www.usatoday.com/story/news/nation/2018/11/08/ian-long-gunman-thousand-oaks-california-borderline-bar-grill/1928231002/","0")</f>
        <v>0</v>
      </c>
      <c r="AF166" s="105" t="str">
        <f t="shared" si="444"/>
        <v>0</v>
      </c>
      <c r="AG166" s="105" t="str">
        <f t="shared" si="444"/>
        <v>0</v>
      </c>
      <c r="AH166" s="105" t="str">
        <f t="shared" si="444"/>
        <v>0</v>
      </c>
      <c r="AI166" s="105" t="str">
        <f>HYPERLINK("https://www.apnews.com/02bebe042ba94f68b510b918d9fb6d04","3")</f>
        <v>3</v>
      </c>
      <c r="AJ166" s="105" t="str">
        <f>HYPERLINK("https://www.cnn.com/2018/11/08/us/thousand-oaks-gunman/index.html","0")</f>
        <v>0</v>
      </c>
      <c r="AK166" s="105" t="str">
        <f t="shared" ref="AK166:AL166" si="445">HYPERLINK("https://abcnews.go.com/beta-story-container/US/thousand-oaks-mass-shooter-legally-purchased-45-caliber/story?id=59054278","0")</f>
        <v>0</v>
      </c>
      <c r="AL166" s="105" t="str">
        <f t="shared" si="445"/>
        <v>0</v>
      </c>
      <c r="AM166" s="105" t="str">
        <f>HYPERLINK("https://www.apnews.com/02bebe042ba94f68b510b918d9fb6d04","1")</f>
        <v>1</v>
      </c>
      <c r="AN166" s="105" t="str">
        <f>HYPERLINK("https://www.apnews.com/02bebe042ba94f68b510b918d9fb6d04","3")</f>
        <v>3</v>
      </c>
      <c r="AO166" s="101" t="str">
        <f>HYPERLINK("https://apnews.com/02bebe042ba94f68b510b918d9fb6d04","0")</f>
        <v>0</v>
      </c>
      <c r="AP166" s="54"/>
      <c r="AQ166" s="105" t="str">
        <f>HYPERLINK("https://abcnews.go.com/beta-story-container/US/thousand-oaks-mass-shooter-legally-purchased-45-caliber/story?id=59054278","1")</f>
        <v>1</v>
      </c>
      <c r="AR166" s="48">
        <v>0</v>
      </c>
      <c r="AS166" s="105" t="str">
        <f>HYPERLINK("https://www.usatoday.com/story/news/nation/2018/11/08/ian-long-gunman-thousand-oaks-california-borderline-bar-grill/1928231002/","1")</f>
        <v>1</v>
      </c>
      <c r="AT166" s="105" t="str">
        <f>HYPERLINK("https://www.usatoday.com/story/news/nation/2018/11/08/ian-long-gunman-thousand-oaks-california-borderline-bar-grill/1928231002/","2")</f>
        <v>2</v>
      </c>
      <c r="AU166" s="105">
        <v>3</v>
      </c>
      <c r="AV166" s="105">
        <v>4</v>
      </c>
      <c r="AW166" s="48"/>
      <c r="AX166" s="105" t="str">
        <f>HYPERLINK("https://losangeles.cbslocal.com/2018/11/08/thousand-oaks-gunman-high-school-coach-assault/","1")</f>
        <v>1</v>
      </c>
      <c r="AY166" s="48">
        <v>0</v>
      </c>
      <c r="AZ166" s="105" t="str">
        <f>HYPERLINK("https://www.washingtonpost.com/nation/2018/11/27/investigators-still-seeking-motive-thousand-oaks-shooting/?noredirect=on&amp;utm_term=.ddf4699ecbed","0")</f>
        <v>0</v>
      </c>
      <c r="BA166" s="48">
        <v>0</v>
      </c>
      <c r="BB166" s="141" t="str">
        <f>HYPERLINK("https://www.usatoday.com/story/news/nation/2018/11/08/ian-long-gunman-thousand-oaks-california-borderline-bar-grill/1928231002/","1")</f>
        <v>1</v>
      </c>
      <c r="BC166" s="105" t="str">
        <f t="shared" ref="BC166:BD166" si="446">HYPERLINK("https://www.usatoday.com/story/news/nation/2018/11/08/ian-long-gunman-thousand-oaks-california-borderline-bar-grill/1928231002/","0")</f>
        <v>0</v>
      </c>
      <c r="BD166" s="105" t="str">
        <f t="shared" si="446"/>
        <v>0</v>
      </c>
      <c r="BE166" s="105" t="str">
        <f>HYPERLINK("https://www.cbsnews.com/news/ian-david-long-identified-as-suspect-in-thousand-oaks-california-mass-shooting-today-live-updates-2018-11-08/","1")</f>
        <v>1</v>
      </c>
      <c r="BF166" s="48">
        <v>0</v>
      </c>
      <c r="BG166" s="48"/>
      <c r="BH166" s="48">
        <v>1</v>
      </c>
      <c r="BI166" s="105" t="str">
        <f>HYPERLINK("https://www.nytimes.com/2018/11/08/us/ian-david-long-california-shooter.html","1")</f>
        <v>1</v>
      </c>
      <c r="BJ166" s="105" t="str">
        <f>HYPERLINK("https://www.apnews.com/02bebe042ba94f68b510b918d9fb6d04","0")</f>
        <v>0</v>
      </c>
      <c r="BK166" s="105" t="str">
        <f>HYPERLINK("https://www.usatoday.com/story/news/nation/2018/11/08/ian-long-gunman-thousand-oaks-california-borderline-bar-grill/1928231002/","0")</f>
        <v>0</v>
      </c>
      <c r="BL166" s="118" t="str">
        <f>HYPERLINK("https://www.usatoday.com/story/news/nation/2018/11/08/ian-long-gunman-thousand-oaks-california-borderline-bar-grill/1928231002/","1")</f>
        <v>1</v>
      </c>
      <c r="BM166" s="127">
        <v>3</v>
      </c>
      <c r="BN166" s="110" t="s">
        <v>3010</v>
      </c>
      <c r="BO166" s="111">
        <v>1</v>
      </c>
      <c r="BP166" s="111">
        <v>1</v>
      </c>
      <c r="BQ166" s="111">
        <v>0</v>
      </c>
      <c r="BR166" s="111">
        <v>0</v>
      </c>
      <c r="BS166" s="111">
        <v>1</v>
      </c>
      <c r="BT166" s="111">
        <v>1</v>
      </c>
      <c r="BU166" s="111">
        <v>1</v>
      </c>
      <c r="BV166" s="111">
        <v>1</v>
      </c>
      <c r="BW166" s="111">
        <v>0</v>
      </c>
      <c r="BX166" s="111">
        <v>0</v>
      </c>
      <c r="BY166" s="105" t="str">
        <f>HYPERLINK("https://www.apnews.com/02bebe042ba94f68b510b918d9fb6d04","2")</f>
        <v>2</v>
      </c>
      <c r="BZ166" s="105" t="str">
        <f>HYPERLINK("https://www.nytimes.com/2018/11/08/us/ian-david-long-california-shooter.html","0")</f>
        <v>0</v>
      </c>
      <c r="CA166" s="105" t="str">
        <f>HYPERLINK("https://www.usatoday.com/story/news/nation/2018/11/08/ian-long-gunman-thousand-oaks-california-borderline-bar-grill/1928231002/","0")</f>
        <v>0</v>
      </c>
      <c r="CB166" s="48" t="s">
        <v>100</v>
      </c>
      <c r="CC166" s="105" t="str">
        <f>HYPERLINK("https://www.usatoday.com/story/news/nation/2018/11/08/ian-long-gunman-thousand-oaks-california-borderline-bar-grill/1928231002/","0")</f>
        <v>0</v>
      </c>
      <c r="CD166" s="52" t="s">
        <v>100</v>
      </c>
      <c r="CE166" s="105" t="str">
        <f>HYPERLINK("https://www.apnews.com/02bebe042ba94f68b510b918d9fb6d04","5")</f>
        <v>5</v>
      </c>
      <c r="CF166" s="48">
        <v>0</v>
      </c>
      <c r="CG166" s="48">
        <v>0</v>
      </c>
      <c r="CH166" s="48">
        <v>0</v>
      </c>
      <c r="CI166" s="48">
        <v>0</v>
      </c>
      <c r="CJ166" s="51" t="s">
        <v>100</v>
      </c>
      <c r="CK166" s="129">
        <v>0</v>
      </c>
      <c r="CL166" s="129"/>
      <c r="CM166" s="129"/>
      <c r="CN166" s="116">
        <v>0</v>
      </c>
      <c r="CO166" s="116">
        <v>0</v>
      </c>
      <c r="CP166" s="116">
        <v>0</v>
      </c>
      <c r="CQ166" s="116">
        <v>0</v>
      </c>
      <c r="CR166" s="116">
        <v>0</v>
      </c>
      <c r="CS166" s="116">
        <v>0</v>
      </c>
      <c r="CT166" s="116">
        <v>0</v>
      </c>
      <c r="CU166" s="116">
        <v>0</v>
      </c>
      <c r="CV166" s="116">
        <v>0</v>
      </c>
      <c r="CW166" s="127">
        <v>1</v>
      </c>
      <c r="CX166" s="111">
        <v>0</v>
      </c>
      <c r="CY166" s="118">
        <v>1</v>
      </c>
      <c r="CZ166" s="118" t="str">
        <f>HYPERLINK("https://www.washingtonpost.com/nation/2018/11/27/investigators-still-seeking-motive-thousand-oaks-shooting/?noredirect=on&amp;utm_term=.63ffde09e661","0")</f>
        <v>0</v>
      </c>
      <c r="DA166" s="48">
        <v>0</v>
      </c>
      <c r="DB166" s="105" t="str">
        <f>HYPERLINK("https://www.cbsnews.com/news/thousand-oaks-shooting-gunman-ian-david-long-apparently-stopped-shooting-instagram-post/","1")</f>
        <v>1</v>
      </c>
      <c r="DC166" s="48">
        <v>0</v>
      </c>
      <c r="DD166" s="48"/>
      <c r="DE166" s="48"/>
      <c r="DF166" s="48"/>
      <c r="DG166" s="48"/>
      <c r="DH166" s="48"/>
      <c r="DI166" s="48"/>
      <c r="DJ166" s="48">
        <v>0</v>
      </c>
      <c r="DK166" s="48">
        <v>0</v>
      </c>
      <c r="DL166" s="48" t="s">
        <v>100</v>
      </c>
      <c r="DM166" s="105" t="str">
        <f>HYPERLINK("https://www.washingtonpost.com/nation/2018/11/27/investigators-still-seeking-motive-thousand-oaks-shooting/?noredirect=on&amp;utm_term=.ddf4699ecbed","0")</f>
        <v>0</v>
      </c>
      <c r="DN166" s="48">
        <v>0</v>
      </c>
      <c r="DO166" s="48" t="s">
        <v>100</v>
      </c>
      <c r="DP166" s="48">
        <v>0</v>
      </c>
      <c r="DQ166" s="105" t="str">
        <f>HYPERLINK("https://www.cbsnews.com/news/thousand-oaks-shooting-gunman-ian-david-long-apparently-stopped-shooting-instagram-post/","1")</f>
        <v>1</v>
      </c>
      <c r="DR166" s="48">
        <v>0</v>
      </c>
      <c r="DS166" s="101" t="str">
        <f>HYPERLINK("https://apnews.com/02bebe042ba94f68b510b918d9fb6d04","3")</f>
        <v>3</v>
      </c>
      <c r="DT166" s="105" t="str">
        <f>HYPERLINK("https://www.washingtonpost.com/nation/2018/11/27/investigators-still-seeking-motive-thousand-oaks-shooting/?noredirect=on&amp;utm_term=.ddf4699ecbed","1")</f>
        <v>1</v>
      </c>
      <c r="DU166" s="105" t="str">
        <f>HYPERLINK("https://www.washingtonpost.com/nation/2018/11/27/investigators-still-seeking-motive-thousand-oaks-shooting/?noredirect=on&amp;utm_term=.889384b0c0b7","1")</f>
        <v>1</v>
      </c>
      <c r="DV166" s="105" t="str">
        <f>HYPERLINK("https://www.washingtonpost.com/nation/2018/11/27/investigators-still-seeking-motive-thousand-oaks-shooting/?noredirect=on&amp;utm_term=.dfb4eb761597","knife, smoke grenades")</f>
        <v>knife, smoke grenades</v>
      </c>
      <c r="DW166" s="105" t="str">
        <f>HYPERLINK("https://www.washingtonpost.com/nation/2018/11/27/investigators-still-seeking-motive-thousand-oaks-shooting/?noredirect=on&amp;utm_term=.ddf4699ecbed","0")</f>
        <v>0</v>
      </c>
      <c r="DX166" s="105" t="str">
        <f>HYPERLINK("https://www.washingtonpost.com/nation/2018/11/27/investigators-still-seeking-motive-thousand-oaks-shooting/?noredirect=on&amp;utm_term=.63ffde09e661","0")</f>
        <v>0</v>
      </c>
      <c r="DY166" s="48">
        <v>2</v>
      </c>
      <c r="DZ166" s="48">
        <v>0</v>
      </c>
    </row>
    <row r="167" spans="1:130" ht="56.25" customHeight="1">
      <c r="A167" s="96">
        <v>166</v>
      </c>
      <c r="B167" s="97" t="s">
        <v>725</v>
      </c>
      <c r="C167" s="97" t="s">
        <v>726</v>
      </c>
      <c r="D167" s="98">
        <v>43488</v>
      </c>
      <c r="E167" s="48" t="s">
        <v>123</v>
      </c>
      <c r="F167" s="99">
        <v>23</v>
      </c>
      <c r="G167" s="100" t="str">
        <f>HYPERLINK("https://www.cnn.com/2019/01/25/us/florida-bank-shooting-zephen-xaver/index.html","1")</f>
        <v>1</v>
      </c>
      <c r="H167" s="105" t="str">
        <f>HYPERLINK("https://www.cnn.com/2019/01/25/us/florida-bank-shooting-zephen-xaver/index.html","2019")</f>
        <v>2019</v>
      </c>
      <c r="I167" s="48" t="s">
        <v>727</v>
      </c>
      <c r="J167" s="105" t="str">
        <f>HYPERLINK("https://www.usatoday.com/story/news/nation/2019/01/23/sebring-florida-shooting-suspect-zephen-xaver-suntrust-bank/2663733002/","Sebring ")</f>
        <v xml:space="preserve">Sebring </v>
      </c>
      <c r="K167" s="100" t="str">
        <f>HYPERLINK("https://www.cnn.com/2019/01/25/us/florida-bank-shooting-zephen-xaver/index.html","9")</f>
        <v>9</v>
      </c>
      <c r="L167" s="99">
        <v>0</v>
      </c>
      <c r="M167" s="100" t="str">
        <f>HYPERLINK("https://www.abcactionnews.com/news/region-desoto-highlands-hardee/zephen-xaver-suspected-sebring-bank-shooter-was-a-former-prison-guard-trainee","2")</f>
        <v>2</v>
      </c>
      <c r="N167" s="100" t="str">
        <f>HYPERLINK("https://www.cnn.com/2019/01/25/us/florida-bank-shooting-zephen-xaver/index.html","4")</f>
        <v>4</v>
      </c>
      <c r="O167" s="100" t="str">
        <f>HYPERLINK("https://www.cnn.com/2019/01/24/us/sebring-florida-bank-shooting/index.html","0")</f>
        <v>0</v>
      </c>
      <c r="P167" s="99" t="s">
        <v>100</v>
      </c>
      <c r="Q167" s="103">
        <v>0</v>
      </c>
      <c r="R167" s="103">
        <v>0</v>
      </c>
      <c r="S167" s="100" t="str">
        <f>HYPERLINK("https://www.cnn.com/2019/01/25/us/florida-bank-shooting-zephen-xaver/index.html","5")</f>
        <v>5</v>
      </c>
      <c r="T167" s="100" t="str">
        <f>HYPERLINK("https://www.cnn.com/2019/01/25/us/florida-bank-shooting-zephen-xaver/index.html","0")</f>
        <v>0</v>
      </c>
      <c r="U167" s="105" t="str">
        <f>HYPERLINK("https://www.abcactionnews.com/news/sebring-bank-shooting/floridas-prison-department-was-unaware-of-zephen-xavers-questionable-army-stint-prior-to-hire","1")</f>
        <v>1</v>
      </c>
      <c r="V167" s="105" t="str">
        <f>HYPERLINK("https://www.cbsnews.com/news/florida-shooting-suspect-zephen-xaver-ex-girlfriend-sebring-bank-shooting/","21")</f>
        <v>21</v>
      </c>
      <c r="W167" s="105" t="str">
        <f>HYPERLINK("https://www.cbsnews.com/news/florida-shooting-suspect-zephen-xaver-ex-girlfriend-sebring-bank-shooting/","0")</f>
        <v>0</v>
      </c>
      <c r="X167" s="105" t="str">
        <f>HYPERLINK("https://www.usatoday.com/story/news/nation/2019/01/23/sebring-florida-shooting-suspect-zephen-xaver-suntrust-bank/2663733002/","0")</f>
        <v>0</v>
      </c>
      <c r="Y167" s="105" t="str">
        <f>HYPERLINK("https://time.com/5511989/who-is-zephen-xaver/","0")</f>
        <v>0</v>
      </c>
      <c r="Z167" s="105" t="str">
        <f>HYPERLINK("https://www.cbsnews.com/news/florida-shooting-suspect-zephen-xaver-ex-girlfriend-sebring-bank-shooting/","0")</f>
        <v>0</v>
      </c>
      <c r="AA167" s="48"/>
      <c r="AB167" s="105" t="str">
        <f>HYPERLINK("https://time.com/5511989/who-is-zephen-xaver/","2")</f>
        <v>2</v>
      </c>
      <c r="AC167" s="51"/>
      <c r="AD167" s="51"/>
      <c r="AE167" s="105" t="str">
        <f>HYPERLINK("https://heavy.com/news/2019/01/zephen-xaver/","1")</f>
        <v>1</v>
      </c>
      <c r="AF167" s="105" t="str">
        <f>HYPERLINK("https://heavy.com/news/2019/01/zephen-xaver/","2")</f>
        <v>2</v>
      </c>
      <c r="AG167" s="105" t="str">
        <f>HYPERLINK("https://heavy.com/news/2019/01/zephen-xaver/","0")</f>
        <v>0</v>
      </c>
      <c r="AH167" s="105" t="str">
        <f>HYPERLINK("https://heavy.com/news/2019/01/zephen-xaver/","2")</f>
        <v>2</v>
      </c>
      <c r="AI167" s="105" t="str">
        <f>HYPERLINK("https://www.usatoday.com/story/news/nation/2019/01/23/sebring-florida-shooting-suspect-zephen-xaver-suntrust-bank/2663733002/","0")</f>
        <v>0</v>
      </c>
      <c r="AJ167" s="48">
        <v>0</v>
      </c>
      <c r="AK167" s="105" t="str">
        <f t="shared" ref="AK167:AL167" si="447">HYPERLINK("https://time.com/5511989/who-is-zephen-xaver/","0")</f>
        <v>0</v>
      </c>
      <c r="AL167" s="105" t="str">
        <f t="shared" si="447"/>
        <v>0</v>
      </c>
      <c r="AM167" s="105" t="str">
        <f>HYPERLINK("https://www.abcactionnews.com/news/sebring-bank-shooting/floridas-prison-department-was-unaware-of-zephen-xavers-questionable-army-stint-prior-to-hire","2")</f>
        <v>2</v>
      </c>
      <c r="AN167" s="105" t="str">
        <f>HYPERLINK("https://www.abcactionnews.com/news/sebring-bank-shooting/floridas-prison-department-was-unaware-of-zephen-xavers-questionable-army-stint-prior-to-hire","0")</f>
        <v>0</v>
      </c>
      <c r="AO167" s="101" t="str">
        <f>HYPERLINK("https://time.com/5511989/who-is-zephen-xaver/","0")</f>
        <v>0</v>
      </c>
      <c r="AP167" s="54"/>
      <c r="AQ167" s="105" t="str">
        <f>HYPERLINK("https://www.cnn.com/2019/01/25/us/florida-bank-shooting-zephen-xaver/index.html","1")</f>
        <v>1</v>
      </c>
      <c r="AR167" s="48">
        <v>0</v>
      </c>
      <c r="AS167" s="48"/>
      <c r="AT167" s="48">
        <v>0</v>
      </c>
      <c r="AU167" s="48" t="s">
        <v>100</v>
      </c>
      <c r="AV167" s="48" t="s">
        <v>100</v>
      </c>
      <c r="AW167" s="48" t="s">
        <v>100</v>
      </c>
      <c r="AX167" s="48">
        <v>0</v>
      </c>
      <c r="AY167" s="48">
        <v>0</v>
      </c>
      <c r="AZ167" s="48">
        <v>0</v>
      </c>
      <c r="BA167" s="48">
        <v>0</v>
      </c>
      <c r="BB167" s="141" t="str">
        <f>HYPERLINK("https://www.usatoday.com/story/news/nation/2019/01/23/sebring-florida-shooting-suspect-zephen-xaver-suntrust-bank/2663733002/","1")</f>
        <v>1</v>
      </c>
      <c r="BC167" s="48"/>
      <c r="BD167" s="105" t="str">
        <f>HYPERLINK("https://www.nytimes.com/2019/01/24/us/sebring-bank-shooting-zephen-xaver.html","1")</f>
        <v>1</v>
      </c>
      <c r="BE167" s="105" t="str">
        <f t="shared" ref="BE167:BF167" si="448">HYPERLINK("https://www.indystar.com/story/news/politics/2019/01/24/sebring-florida-suntrust-bank-shooting-suspect/2666353002/","0")</f>
        <v>0</v>
      </c>
      <c r="BF167" s="105" t="str">
        <f t="shared" si="448"/>
        <v>0</v>
      </c>
      <c r="BG167" s="48"/>
      <c r="BH167" s="48">
        <v>0</v>
      </c>
      <c r="BI167" s="48">
        <v>0</v>
      </c>
      <c r="BJ167" s="48">
        <v>0</v>
      </c>
      <c r="BK167" s="105" t="str">
        <f>HYPERLINK("https://time.com/5511989/who-is-zephen-xaver/","1")</f>
        <v>1</v>
      </c>
      <c r="BL167" s="127">
        <v>1</v>
      </c>
      <c r="BM167" s="127">
        <v>1</v>
      </c>
      <c r="BN167" s="110" t="s">
        <v>3098</v>
      </c>
      <c r="BO167" s="116">
        <v>1</v>
      </c>
      <c r="BP167" s="116">
        <v>0</v>
      </c>
      <c r="BQ167" s="116">
        <v>0</v>
      </c>
      <c r="BR167" s="116">
        <v>0</v>
      </c>
      <c r="BS167" s="116">
        <v>0</v>
      </c>
      <c r="BT167" s="116">
        <v>0</v>
      </c>
      <c r="BU167" s="116">
        <v>0</v>
      </c>
      <c r="BV167" s="116">
        <v>0</v>
      </c>
      <c r="BW167" s="116">
        <v>0</v>
      </c>
      <c r="BX167" s="116">
        <v>0</v>
      </c>
      <c r="BY167" s="105" t="str">
        <f>HYPERLINK("https://www.cnn.com/2019/01/25/us/florida-bank-shooting-zephen-xaver/index.html","1")</f>
        <v>1</v>
      </c>
      <c r="BZ167" s="105" t="str">
        <f>HYPERLINK("https://www.foxnews.com/us/florida-bank-shooting-suspect-had-fascination-with-death-talked-about-killing-before-friends-say","1")</f>
        <v>1</v>
      </c>
      <c r="CA167" s="48"/>
      <c r="CB167" s="48" t="s">
        <v>100</v>
      </c>
      <c r="CC167" s="48"/>
      <c r="CD167" s="48">
        <v>0</v>
      </c>
      <c r="CE167" s="105" t="str">
        <f>HYPERLINK("https://www.abc57.com/news/police-records-show-xaver-accused-of-killing-5-at-a-florida-bank-had-a-history-of-mental-health-issues","5")</f>
        <v>5</v>
      </c>
      <c r="CF167" s="48">
        <v>0</v>
      </c>
      <c r="CG167" s="48"/>
      <c r="CH167" s="48"/>
      <c r="CI167" s="48">
        <v>0</v>
      </c>
      <c r="CJ167" s="51" t="s">
        <v>100</v>
      </c>
      <c r="CK167" s="129">
        <v>0</v>
      </c>
      <c r="CL167" s="129"/>
      <c r="CM167" s="129"/>
      <c r="CN167" s="116">
        <v>0</v>
      </c>
      <c r="CO167" s="116">
        <v>0</v>
      </c>
      <c r="CP167" s="116">
        <v>0</v>
      </c>
      <c r="CQ167" s="116">
        <v>0</v>
      </c>
      <c r="CR167" s="116">
        <v>0</v>
      </c>
      <c r="CS167" s="116">
        <v>0</v>
      </c>
      <c r="CT167" s="116">
        <v>0</v>
      </c>
      <c r="CU167" s="116">
        <v>0</v>
      </c>
      <c r="CV167" s="116">
        <v>0</v>
      </c>
      <c r="CW167" s="116">
        <v>0</v>
      </c>
      <c r="CX167" s="116">
        <v>0</v>
      </c>
      <c r="CY167" s="118" t="str">
        <f>HYPERLINK("https://www.cnn.com/2019/01/25/us/florida-bank-shooting-zephen-xaver/index.html'","1")</f>
        <v>1</v>
      </c>
      <c r="CZ167" s="118" t="str">
        <f>HYPERLINK("https://www.cnn.com/2019/01/24/us/sebring-florida-bank-shooting/index.html","0")</f>
        <v>0</v>
      </c>
      <c r="DA167" s="48">
        <v>0</v>
      </c>
      <c r="DB167" s="105" t="str">
        <f>HYPERLINK("https://www.usatoday.com/story/news/nation/2019/01/23/sebring-florida-shooting-suspect-zephen-xaver-suntrust-bank/2663733002/","1")</f>
        <v>1</v>
      </c>
      <c r="DC167" s="105" t="str">
        <f>HYPERLINK("https://www.indystar.com/story/news/politics/2019/01/24/sebring-florida-suntrust-bank-shooting-suspect/2666353002/","1")</f>
        <v>1</v>
      </c>
      <c r="DD167" s="51">
        <v>0</v>
      </c>
      <c r="DE167" s="51">
        <v>2</v>
      </c>
      <c r="DF167" s="51">
        <v>1</v>
      </c>
      <c r="DG167" s="51"/>
      <c r="DH167" s="51"/>
      <c r="DI167" s="51"/>
      <c r="DJ167" s="48"/>
      <c r="DK167" s="48">
        <v>0</v>
      </c>
      <c r="DL167" s="48" t="s">
        <v>100</v>
      </c>
      <c r="DM167" s="105" t="str">
        <f>HYPERLINK("https://time.com/5511989/who-is-zephen-xaver/","0")</f>
        <v>0</v>
      </c>
      <c r="DN167" s="48">
        <v>0</v>
      </c>
      <c r="DO167" s="48" t="s">
        <v>100</v>
      </c>
      <c r="DP167" s="48">
        <v>0</v>
      </c>
      <c r="DQ167" s="105" t="str">
        <f>HYPERLINK("https://www.cnn.com/2019/01/24/us/sebring-florida-bank-shooting/index.html","0")</f>
        <v>0</v>
      </c>
      <c r="DR167" s="105" t="str">
        <f>HYPERLINK("https://time.com/5511989/who-is-zephen-xaver/","1")</f>
        <v>1</v>
      </c>
      <c r="DS167" s="101" t="str">
        <f>HYPERLINK("https://www.yoursun.com/sebring/news/discovery-released-in-mass-shooting-trial/article_eeb9e882-aef7-11e9-9d26-7727e3af640e.html","2")</f>
        <v>2</v>
      </c>
      <c r="DT167" s="105" t="str">
        <f t="shared" ref="DT167" si="449">HYPERLINK("https://www.cnn.com/2019/01/24/us/sebring-florida-bank-shooting/index.html","1")</f>
        <v>1</v>
      </c>
      <c r="DU167" s="105" t="str">
        <f>HYPERLINK("https://www.cnn.com/2019/01/25/us/florida-bank-shooting-zephen-xaver/index.html","1")</f>
        <v>1</v>
      </c>
      <c r="DV167" s="105" t="str">
        <f>HYPERLINK("https://www.cnn.com/2019/01/25/us/florida-bank-shooting-zephen-xaver/index.html","bulletproof vest")</f>
        <v>bulletproof vest</v>
      </c>
      <c r="DW167" s="105" t="str">
        <f>HYPERLINK("https://www.cnn.com/2019/01/24/us/sebring-florida-bank-shooting/index.html","2")</f>
        <v>2</v>
      </c>
      <c r="DX167" s="105" t="str">
        <f>HYPERLINK("https://time.com/5511989/who-is-zephen-xaver/","0")</f>
        <v>0</v>
      </c>
      <c r="DY167" s="105" t="str">
        <f>HYPERLINK("https://www.theledger.com/news/20190222/sebring-bank-massacre-suspect-zephen-xaver-enters-not-guilty-plea","0")</f>
        <v>0</v>
      </c>
      <c r="DZ167" s="48">
        <v>0</v>
      </c>
    </row>
    <row r="168" spans="1:130" ht="50.25" customHeight="1">
      <c r="A168" s="96">
        <v>167</v>
      </c>
      <c r="B168" s="97" t="s">
        <v>728</v>
      </c>
      <c r="C168" s="97" t="s">
        <v>729</v>
      </c>
      <c r="D168" s="98">
        <v>43511</v>
      </c>
      <c r="E168" s="48" t="s">
        <v>157</v>
      </c>
      <c r="F168" s="99">
        <v>15</v>
      </c>
      <c r="G168" s="100" t="str">
        <f>HYPERLINK("https://chicago.cbslocal.com/2019/04/29/gary-martin-henry-pratt-shooting-report-police-justified/","2")</f>
        <v>2</v>
      </c>
      <c r="H168" s="105" t="str">
        <f>HYPERLINK("https://chicago.cbslocal.com/2019/04/29/gary-martin-henry-pratt-shooting-report-police-justified/","2019")</f>
        <v>2019</v>
      </c>
      <c r="I168" s="48" t="s">
        <v>730</v>
      </c>
      <c r="J168" s="105" t="str">
        <f>HYPERLINK("https://time.com/5531197/what-to-know-aurora-shooter-gary-martin/","Aurora")</f>
        <v>Aurora</v>
      </c>
      <c r="K168" s="100" t="str">
        <f>HYPERLINK("https://www.usatoday.com/story/news/nation/2019/02/16/aurora-shooting-illinois-shootout-gary-martin-police-officers/2890406002/","13")</f>
        <v>13</v>
      </c>
      <c r="L168" s="99">
        <v>1</v>
      </c>
      <c r="M168" s="100" t="str">
        <f>HYPERLINK("https://time.com/5531197/what-to-know-aurora-shooter-gary-martin/","0")</f>
        <v>0</v>
      </c>
      <c r="N168" s="100" t="str">
        <f>HYPERLINK("https://chicago.cbslocal.com/2019/04/29/gary-martin-henry-pratt-shooting-report-police-justified/","6")</f>
        <v>6</v>
      </c>
      <c r="O168" s="100" t="str">
        <f>HYPERLINK("https://chicago.cbslocal.com/2019/04/29/gary-martin-henry-pratt-shooting-report-police-justified/","0")</f>
        <v>0</v>
      </c>
      <c r="P168" s="99" t="s">
        <v>100</v>
      </c>
      <c r="Q168" s="103">
        <v>0</v>
      </c>
      <c r="R168" s="103">
        <v>0</v>
      </c>
      <c r="S168" s="100" t="str">
        <f>HYPERLINK("https://www.usatoday.com/story/news/nation/2019/02/16/aurora-shooting-illinois-shootout-gary-martin-police-officers/2890406002/","5")</f>
        <v>5</v>
      </c>
      <c r="T168" s="100" t="str">
        <f>HYPERLINK("https://www.washingtonpost.com/nation/2019/02/16/man-kills-five-warehouse-shooting-spree-shortly-after-being-fired-illinois-police-say/","7")</f>
        <v>7</v>
      </c>
      <c r="U168" s="105" t="str">
        <f>HYPERLINK("https://chicago.cbslocal.com/2019/04/29/gary-martin-henry-pratt-shooting-report-police-justified/","0")</f>
        <v>0</v>
      </c>
      <c r="V168" s="105" t="str">
        <f>HYPERLINK("https://www.usatoday.com/story/news/nation/2019/02/16/aurora-shooting-illinois-shootout-gary-martin-police-officers/2890406002/","45")</f>
        <v>45</v>
      </c>
      <c r="W168" s="105" t="str">
        <f>HYPERLINK("https://www.usatoday.com/story/news/nation/2019/02/16/aurora-shooting-illinois-shootout-gary-martin-police-officers/2890406002/","0")</f>
        <v>0</v>
      </c>
      <c r="X168" s="105" t="str">
        <f>HYPERLINK("https://www.chicagotribune.com/news/breaking/ct-met-gary-martin-aurora-shooter-20190216-story.html","1")</f>
        <v>1</v>
      </c>
      <c r="Y168" s="48">
        <v>0</v>
      </c>
      <c r="Z168" s="105" t="str">
        <f>HYPERLINK("https://www.chicagotribune.com/news/breaking/ct-met-gary-martin-aurora-shooter-20190216-story.html","0")</f>
        <v>0</v>
      </c>
      <c r="AA168" s="48"/>
      <c r="AB168" s="48"/>
      <c r="AC168" s="51"/>
      <c r="AD168" s="51"/>
      <c r="AE168" s="48"/>
      <c r="AF168" s="133" t="str">
        <f>HYPERLINK("https://www.chicagotribune.com/suburbs/aurora-beacon-news/ct-abn-henry-pratt-gary-martin-zegar-shooting-st-0306-story.html","2")</f>
        <v>2</v>
      </c>
      <c r="AG168" s="48"/>
      <c r="AH168" s="48"/>
      <c r="AI168" s="105" t="str">
        <f>HYPERLINK("https://www.washingtonpost.com/nation/2019/02/16/man-kills-five-warehouse-shooting-spree-shortly-after-being-fired-illinois-police-say/","1")</f>
        <v>1</v>
      </c>
      <c r="AJ168" s="48">
        <v>0</v>
      </c>
      <c r="AK168" s="105" t="str">
        <f t="shared" ref="AK168:AL168" si="450">HYPERLINK("https://chicago.cbslocal.com/2019/04/29/gary-martin-henry-pratt-shooting-report-police-justified/","0")</f>
        <v>0</v>
      </c>
      <c r="AL168" s="105" t="str">
        <f t="shared" si="450"/>
        <v>0</v>
      </c>
      <c r="AM168" s="48">
        <v>0</v>
      </c>
      <c r="AN168" s="48" t="s">
        <v>100</v>
      </c>
      <c r="AO168" s="101" t="str">
        <f>HYPERLINK("https://chicago.cbslocal.com/2019/02/15/aurora-mass-shooting-gary-martin/","0")</f>
        <v>0</v>
      </c>
      <c r="AP168" s="54"/>
      <c r="AQ168" s="105" t="str">
        <f>HYPERLINK("https://www.usatoday.com/story/news/nation/2019/02/16/aurora-shooting-illinois-shootout-gary-martin-police-officers/2890406002/","1")</f>
        <v>1</v>
      </c>
      <c r="AR168" s="48">
        <v>0</v>
      </c>
      <c r="AS168" s="105" t="str">
        <f t="shared" ref="AS168:AT168" si="451">HYPERLINK("https://www.chicagotribune.com/news/breaking/ct-met-gary-martin-aurora-shooter-20190216-story.html","1")</f>
        <v>1</v>
      </c>
      <c r="AT168" s="105" t="str">
        <f t="shared" si="451"/>
        <v>1</v>
      </c>
      <c r="AU168" s="105">
        <v>1</v>
      </c>
      <c r="AV168" s="105">
        <v>4</v>
      </c>
      <c r="AW168" s="105">
        <v>3</v>
      </c>
      <c r="AX168" s="48">
        <v>0</v>
      </c>
      <c r="AY168" s="48">
        <v>0</v>
      </c>
      <c r="AZ168" s="48">
        <v>0</v>
      </c>
      <c r="BA168" s="48">
        <v>0</v>
      </c>
      <c r="BB168" s="141" t="str">
        <f>HYPERLINK("https://www.washingtonpost.com/nation/2019/02/16/man-kills-five-warehouse-shooting-spree-shortly-after-being-fired-illinois-police-say/","2")</f>
        <v>2</v>
      </c>
      <c r="BC168" s="105" t="str">
        <f>HYPERLINK("https://www.washingtonpost.com/nation/2019/02/16/man-kills-five-warehouse-shooting-spree-shortly-after-being-fired-illinois-police-say/","1")</f>
        <v>1</v>
      </c>
      <c r="BD168" s="48">
        <v>0</v>
      </c>
      <c r="BE168" s="105" t="str">
        <f>HYPERLINK("https://www.washingtonpost.com/nation/2019/02/16/man-kills-five-warehouse-shooting-spree-shortly-after-being-fired-illinois-police-say/","1")</f>
        <v>1</v>
      </c>
      <c r="BF168" s="105" t="str">
        <f>HYPERLINK("https://www.washingtonpost.com/nation/2019/02/16/man-kills-five-warehouse-shooting-spree-shortly-after-being-fired-illinois-police-say/","0")</f>
        <v>0</v>
      </c>
      <c r="BG168" s="48"/>
      <c r="BH168" s="48">
        <v>0</v>
      </c>
      <c r="BI168" s="48">
        <v>0</v>
      </c>
      <c r="BJ168" s="48">
        <v>0</v>
      </c>
      <c r="BK168" s="118" t="str">
        <f>HYPERLINK("https://chicago.cbslocal.com/2019/04/29/gary-martin-henry-pratt-shooting-report-police-justified/","1")</f>
        <v>1</v>
      </c>
      <c r="BL168" s="118" t="str">
        <f>HYPERLINK("https://www.washingtonpost.com/nation/2019/02/16/man-kills-five-warehouse-shooting-spree-shortly-after-being-fired-illinois-police-say/","1")</f>
        <v>1</v>
      </c>
      <c r="BM168" s="127">
        <v>0</v>
      </c>
      <c r="BN168" s="115" t="s">
        <v>3099</v>
      </c>
      <c r="BO168" s="111">
        <v>1</v>
      </c>
      <c r="BP168" s="111">
        <v>0</v>
      </c>
      <c r="BQ168" s="111">
        <v>0</v>
      </c>
      <c r="BR168" s="111">
        <v>0</v>
      </c>
      <c r="BS168" s="111">
        <v>0</v>
      </c>
      <c r="BT168" s="111">
        <v>1</v>
      </c>
      <c r="BU168" s="111">
        <v>0</v>
      </c>
      <c r="BV168" s="111">
        <v>0</v>
      </c>
      <c r="BW168" s="111">
        <v>0</v>
      </c>
      <c r="BX168" s="111">
        <v>0</v>
      </c>
      <c r="BY168" s="105" t="str">
        <f>HYPERLINK("https://www.washingtonpost.com/nation/2019/02/16/man-kills-five-warehouse-shooting-spree-shortly-after-being-fired-illinois-police-say/","1")</f>
        <v>1</v>
      </c>
      <c r="BZ168" s="48">
        <v>0</v>
      </c>
      <c r="CA168" s="48">
        <v>0</v>
      </c>
      <c r="CB168" s="48" t="s">
        <v>100</v>
      </c>
      <c r="CC168" s="48">
        <v>0</v>
      </c>
      <c r="CD168" s="48" t="s">
        <v>100</v>
      </c>
      <c r="CE168" s="48">
        <v>0</v>
      </c>
      <c r="CF168" s="48">
        <v>0</v>
      </c>
      <c r="CG168" s="48">
        <v>0</v>
      </c>
      <c r="CH168" s="48">
        <v>0</v>
      </c>
      <c r="CI168" s="48">
        <v>0</v>
      </c>
      <c r="CJ168" s="51" t="s">
        <v>100</v>
      </c>
      <c r="CK168" s="128">
        <v>2</v>
      </c>
      <c r="CL168" s="129"/>
      <c r="CM168" s="129"/>
      <c r="CN168" s="116">
        <v>0</v>
      </c>
      <c r="CO168" s="116">
        <v>0</v>
      </c>
      <c r="CP168" s="118">
        <v>0</v>
      </c>
      <c r="CQ168" s="116">
        <v>0</v>
      </c>
      <c r="CR168" s="118" t="str">
        <f>HYPERLINK("https://chicago.cbslocal.com/2019/04/29/gary-martin-henry-pratt-shooting-report-police-justified/","1")</f>
        <v>1</v>
      </c>
      <c r="CS168" s="116">
        <v>0</v>
      </c>
      <c r="CT168" s="116">
        <v>0</v>
      </c>
      <c r="CU168" s="116">
        <v>0</v>
      </c>
      <c r="CV168" s="116">
        <v>0</v>
      </c>
      <c r="CW168" s="116">
        <v>0</v>
      </c>
      <c r="CX168" s="116">
        <v>0</v>
      </c>
      <c r="CY168" s="116">
        <v>0</v>
      </c>
      <c r="CZ168" s="118" t="str">
        <f>HYPERLINK("https://www.washingtonpost.com/nation/2019/02/16/man-kills-five-warehouse-shooting-spree-shortly-after-being-fired-illinois-police-say/","0")</f>
        <v>0</v>
      </c>
      <c r="DA168" s="48">
        <v>0</v>
      </c>
      <c r="DB168" s="48">
        <v>0</v>
      </c>
      <c r="DC168" s="105" t="str">
        <f>HYPERLINK("https://chicago.cbslocal.com/2019/04/29/gary-martin-henry-pratt-shooting-report-police-justified/","1")</f>
        <v>1</v>
      </c>
      <c r="DD168" s="51">
        <v>0</v>
      </c>
      <c r="DE168" s="51">
        <v>4</v>
      </c>
      <c r="DF168" s="51">
        <v>1</v>
      </c>
      <c r="DG168" s="51"/>
      <c r="DH168" s="51"/>
      <c r="DI168" s="51"/>
      <c r="DJ168" s="48">
        <v>0</v>
      </c>
      <c r="DK168" s="48">
        <v>0</v>
      </c>
      <c r="DL168" s="48" t="s">
        <v>100</v>
      </c>
      <c r="DM168" s="105" t="str">
        <f>HYPERLINK("https://www.usatoday.com/story/news/nation/2019/02/15/illinois-gunman-gary-martin-seemed-fine-hours-before-work-killing/2888911002/","0")</f>
        <v>0</v>
      </c>
      <c r="DN168" s="48">
        <v>0</v>
      </c>
      <c r="DO168" s="48" t="s">
        <v>100</v>
      </c>
      <c r="DP168" s="105" t="str">
        <f t="shared" ref="DP168:DQ168" si="452">HYPERLINK("https://chicago.cbslocal.com/2019/04/29/gary-martin-henry-pratt-shooting-report-police-justified/","0")</f>
        <v>0</v>
      </c>
      <c r="DQ168" s="105" t="str">
        <f t="shared" si="452"/>
        <v>0</v>
      </c>
      <c r="DR168" s="105" t="str">
        <f>HYPERLINK("https://www.usatoday.com/story/news/nation/2019/02/15/illinois-gunman-gary-martin-seemed-fine-hours-before-work-killing/2888911002/","0")</f>
        <v>0</v>
      </c>
      <c r="DS168" s="101" t="str">
        <f>HYPERLINK("https://www.cnn.com/2019/02/16/us/illinois-aurora-shooting/index.html","1")</f>
        <v>1</v>
      </c>
      <c r="DT168" s="105" t="str">
        <f t="shared" ref="DT168" si="453">HYPERLINK("https://chicago.cbslocal.com/2019/04/29/gary-martin-henry-pratt-shooting-report-police-justified/","1")</f>
        <v>1</v>
      </c>
      <c r="DU168" s="105" t="str">
        <f>HYPERLINK("https://chicago.cbslocal.com/2019/04/29/gary-martin-henry-pratt-shooting-report-police-justified/","0")</f>
        <v>0</v>
      </c>
      <c r="DV168" s="48" t="s">
        <v>100</v>
      </c>
      <c r="DW168" s="105" t="str">
        <f>HYPERLINK("https://www.chicagotribune.com/news/breaking/ct-met-gary-martin-aurora-shooter-20190216-story.html","1")</f>
        <v>1</v>
      </c>
      <c r="DX168" s="105" t="str">
        <f>HYPERLINK("https://chicago.cbslocal.com/2019/04/29/gary-martin-henry-pratt-shooting-report-police-justified/","0")</f>
        <v>0</v>
      </c>
      <c r="DY168" s="48">
        <v>2</v>
      </c>
      <c r="DZ168" s="48">
        <v>0</v>
      </c>
    </row>
    <row r="169" spans="1:130" ht="50.25" customHeight="1">
      <c r="A169" s="96">
        <v>168</v>
      </c>
      <c r="B169" s="97" t="s">
        <v>731</v>
      </c>
      <c r="C169" s="97" t="s">
        <v>732</v>
      </c>
      <c r="D169" s="98">
        <v>43616</v>
      </c>
      <c r="E169" s="48" t="s">
        <v>157</v>
      </c>
      <c r="F169" s="99">
        <v>31</v>
      </c>
      <c r="G169" s="100" t="str">
        <f>HYPERLINK("https://www.washingtontimes.com/news/2019/jul/14/virginia-beach-gets-13-bids-for-probe-into-mass-sh/","5")</f>
        <v>5</v>
      </c>
      <c r="H169" s="105" t="str">
        <f>HYPERLINK("https://www.washingtonpost.com/local/public-safety/dewayne-craddock-a-longtime-virginia-beach-employee-identified-as-shooter-who-killed-12-in-city-building/2019/06/01/0fe20766-840e-11e9-95a9-e2c830afe24f_story.html","2019")</f>
        <v>2019</v>
      </c>
      <c r="I169" s="48" t="s">
        <v>733</v>
      </c>
      <c r="J169" s="105" t="str">
        <f>HYPERLINK("https://www.cnn.com/2019/06/01/us/virginia-beach-suspect/index.html","Virginia Beach")</f>
        <v>Virginia Beach</v>
      </c>
      <c r="K169" s="100" t="str">
        <f>HYPERLINK("https://www.cnn.com/2019/06/01/us/virginia-beach-suspect/index.html","46")</f>
        <v>46</v>
      </c>
      <c r="L169" s="99">
        <v>0</v>
      </c>
      <c r="M169" s="100" t="str">
        <f>HYPERLINK("https://www.nytimes.com/2019/06/01/us/dewayne-craddock-virginia.html","0")</f>
        <v>0</v>
      </c>
      <c r="N169" s="100" t="str">
        <f>HYPERLINK("https://www.washingtonpost.com/local/public-safety/dewayne-craddock-a-longtime-virginia-beach-employee-identified-as-shooter-who-killed-12-in-city-building/2019/06/01/0fe20766-840e-11e9-95a9-e2c830afe24f_story.html","6")</f>
        <v>6</v>
      </c>
      <c r="O169" s="100" t="str">
        <f>HYPERLINK("https://www.nytimes.com/2019/06/02/us/virginia-beach-dewayne-craddock.html?module=inline","0")</f>
        <v>0</v>
      </c>
      <c r="P169" s="99" t="s">
        <v>100</v>
      </c>
      <c r="Q169" s="103">
        <v>0</v>
      </c>
      <c r="R169" s="103">
        <v>0</v>
      </c>
      <c r="S169" s="100" t="str">
        <f>HYPERLINK("https://www.cnn.com/2019/06/01/us/virginia-beach-suspect/index.html","12")</f>
        <v>12</v>
      </c>
      <c r="T169" s="100" t="str">
        <f>HYPERLINK("https://www.cnn.com/2019/06/01/us/virginia-beach-suspect/index.html","4")</f>
        <v>4</v>
      </c>
      <c r="U169" s="105" t="str">
        <f>HYPERLINK("https://www.nytimes.com/2019/06/02/us/virginia-beach-dewayne-craddock.html?module=inline","0")</f>
        <v>0</v>
      </c>
      <c r="V169" s="105" t="str">
        <f>HYPERLINK("https://www.cnn.com/2019/06/01/us/virginia-beach-shooting-what-we-know/index.html","40")</f>
        <v>40</v>
      </c>
      <c r="W169" s="105" t="str">
        <f>HYPERLINK("https://www.cnn.com/2019/06/01/us/virginia-beach-shooting-what-we-know/index.html","0")</f>
        <v>0</v>
      </c>
      <c r="X169" s="105" t="str">
        <f>HYPERLINK("https://www.cnn.com/2019/06/01/us/virginia-beach-suspect/index.html","1")</f>
        <v>1</v>
      </c>
      <c r="Y169" s="105" t="str">
        <f t="shared" ref="Y169:Z169" si="454">HYPERLINK("https://www.washingtonpost.com/local/public-safety/we-lean-on-each-other-some-virginia-beach-employees-share-prayer-embraces-as-they-return-to-work/2019/06/03/a39fb228-8607-11e9-a491-25df61c78dc4_story.html","0")</f>
        <v>0</v>
      </c>
      <c r="Z169" s="105" t="str">
        <f t="shared" si="454"/>
        <v>0</v>
      </c>
      <c r="AA169" s="48"/>
      <c r="AB169" s="105" t="str">
        <f>HYPERLINK("https://www.cnn.com/2019/06/01/us/virginia-beach-suspect/index.html","3")</f>
        <v>3</v>
      </c>
      <c r="AC169" s="51"/>
      <c r="AD169" s="51"/>
      <c r="AE169" s="48"/>
      <c r="AF169" s="48"/>
      <c r="AG169" s="48"/>
      <c r="AH169" s="48"/>
      <c r="AI169" s="105" t="str">
        <f>HYPERLINK("https://www.washingtonpost.com/local/public-safety/we-lean-on-each-other-some-virginia-beach-employees-share-prayer-embraces-as-they-return-to-work/2019/06/03/a39fb228-8607-11e9-a491-25df61c78dc4_story.html","3")</f>
        <v>3</v>
      </c>
      <c r="AJ169" s="48"/>
      <c r="AK169" s="105" t="str">
        <f>HYPERLINK("https://www.nytimes.com/2019/06/01/us/dewayne-craddock-virginia.html","1")</f>
        <v>1</v>
      </c>
      <c r="AL169" s="105" t="str">
        <f>HYPERLINK("https://www.cnn.com/2019/06/01/us/virginia-beach-suspect/index.html","2")</f>
        <v>2</v>
      </c>
      <c r="AM169" s="105" t="str">
        <f>HYPERLINK("https://www.cnn.com/2019/06/01/us/virginia-beach-suspect/index.html","1")</f>
        <v>1</v>
      </c>
      <c r="AN169" s="105" t="str">
        <f>HYPERLINK("https://www.cnn.com/2019/06/01/us/virginia-beach-suspect/index.html","5")</f>
        <v>5</v>
      </c>
      <c r="AO169" s="101" t="str">
        <f>HYPERLINK("https://www.cnn.com/2019/06/01/us/virginia-beach-suspect/index.html","0")</f>
        <v>0</v>
      </c>
      <c r="AP169" s="54"/>
      <c r="AQ169" s="105" t="str">
        <f>HYPERLINK("https://www.cnn.com/2019/06/01/us/virginia-beach-suspect/index.html","0")</f>
        <v>0</v>
      </c>
      <c r="AR169" s="48">
        <v>0</v>
      </c>
      <c r="AS169" s="105" t="str">
        <f>HYPERLINK("https://www.vbgov.com/government/departments/city-auditors-office/Documents/Hillard%20Heintze%20Final%20Report%20for%20Virginia%20Beach%2011-13-2019.pdf","0")</f>
        <v>0</v>
      </c>
      <c r="AT169" s="48">
        <v>0</v>
      </c>
      <c r="AU169" s="48" t="s">
        <v>100</v>
      </c>
      <c r="AV169" s="48" t="s">
        <v>100</v>
      </c>
      <c r="AW169" s="48" t="s">
        <v>100</v>
      </c>
      <c r="AX169" s="48">
        <v>0</v>
      </c>
      <c r="AY169" s="48">
        <v>0</v>
      </c>
      <c r="AZ169" s="48">
        <v>0</v>
      </c>
      <c r="BA169" s="48">
        <v>0</v>
      </c>
      <c r="BB169" s="107">
        <v>0</v>
      </c>
      <c r="BC169" s="105" t="str">
        <f>HYPERLINK("https://www.thedailybeast.com/accused-virginia-beach-shooter-dewayne-craddock-wished-co-worker-a-good-day-before-the-rampage","0")</f>
        <v>0</v>
      </c>
      <c r="BD169" s="48"/>
      <c r="BE169" s="105" t="str">
        <f>HYPERLINK("https://www.washingtonpost.com/local/public-safety/we-lean-on-each-other-some-virginia-beach-employees-share-prayer-embraces-as-they-return-to-work/2019/06/03/a39fb228-8607-11e9-a491-25df61c78dc4_story.html","1")</f>
        <v>1</v>
      </c>
      <c r="BF169" s="105" t="str">
        <f>HYPERLINK("https://www.cnn.com/2019/06/01/us/virginia-beach-suspect/index.html","0")</f>
        <v>0</v>
      </c>
      <c r="BG169" s="48"/>
      <c r="BH169" s="48"/>
      <c r="BI169" s="48">
        <v>0</v>
      </c>
      <c r="BJ169" s="48">
        <v>0</v>
      </c>
      <c r="BK169" s="105" t="str">
        <f>HYPERLINK("https://wtkr.com/2019/06/05/virginia-beach-shooter-appeared-to-target-supervisors-in-his-department/","1")</f>
        <v>1</v>
      </c>
      <c r="BL169" s="118" t="str">
        <f>HYPERLINK("https://www.vbgov.com/government/departments/city-auditors-office/Documents/Hillard%20Heintze%20Final%20Report%20for%20Virginia%20Beach%2011-13-2019.pdf","1")</f>
        <v>1</v>
      </c>
      <c r="BM169" s="127">
        <v>2</v>
      </c>
      <c r="BN169" s="110" t="s">
        <v>3004</v>
      </c>
      <c r="BO169" s="116">
        <v>1</v>
      </c>
      <c r="BP169" s="116">
        <v>1</v>
      </c>
      <c r="BQ169" s="116">
        <v>0</v>
      </c>
      <c r="BR169" s="116">
        <v>0</v>
      </c>
      <c r="BS169" s="116">
        <v>0</v>
      </c>
      <c r="BT169" s="116">
        <v>1</v>
      </c>
      <c r="BU169" s="116">
        <v>0</v>
      </c>
      <c r="BV169" s="116">
        <v>1</v>
      </c>
      <c r="BW169" s="116">
        <v>0</v>
      </c>
      <c r="BX169" s="116">
        <v>1</v>
      </c>
      <c r="BY169" s="105" t="str">
        <f>HYPERLINK("https://www.nytimes.com/2019/06/02/us/virginia-beach-dewayne-craddock.html?module=inline","2")</f>
        <v>2</v>
      </c>
      <c r="BZ169" s="105" t="str">
        <f t="shared" ref="BZ169:CA169" si="455">HYPERLINK("https://www.washingtonpost.com/local/virginia-beach-mass-shooting-details-to-be-made-public-in-interim-police-account/2019/09/23/1aa73266-de3b-11e9-b199-f638bf2c340f_story.html","0")</f>
        <v>0</v>
      </c>
      <c r="CA169" s="105" t="str">
        <f t="shared" si="455"/>
        <v>0</v>
      </c>
      <c r="CB169" s="48" t="s">
        <v>100</v>
      </c>
      <c r="CC169" s="105" t="str">
        <f>HYPERLINK("https://www.vbgov.com/government/departments/city-auditors-office/Documents/Hillard%20Heintze%20Final%20Report%20for%20Virginia%20Beach%2011-13-2019.pdf","0")</f>
        <v>0</v>
      </c>
      <c r="CD169" s="48" t="s">
        <v>100</v>
      </c>
      <c r="CE169" s="105">
        <v>5</v>
      </c>
      <c r="CF169" s="48">
        <v>0</v>
      </c>
      <c r="CG169" s="48">
        <v>0</v>
      </c>
      <c r="CH169" s="105" t="str">
        <f>HYPERLINK("https://www.cnn.com/2019/06/01/us/virginia-beach-suspect/index.html","2")</f>
        <v>2</v>
      </c>
      <c r="CI169" s="48">
        <v>0</v>
      </c>
      <c r="CJ169" s="51" t="s">
        <v>100</v>
      </c>
      <c r="CK169" s="129">
        <v>0</v>
      </c>
      <c r="CL169" s="129"/>
      <c r="CM169" s="129"/>
      <c r="CN169" s="116">
        <v>0</v>
      </c>
      <c r="CO169" s="116">
        <v>0</v>
      </c>
      <c r="CP169" s="116">
        <v>0</v>
      </c>
      <c r="CQ169" s="116">
        <v>0</v>
      </c>
      <c r="CR169" s="118" t="str">
        <f t="shared" ref="CR169:CS169" si="456">HYPERLINK("https://www.vbgov.com/government/departments/city-auditors-office/Documents/Hillard%20Heintze%20Final%20Report%20for%20Virginia%20Beach%2011-13-2019.pdf","1")</f>
        <v>1</v>
      </c>
      <c r="CS169" s="118" t="str">
        <f t="shared" si="456"/>
        <v>1</v>
      </c>
      <c r="CT169" s="116">
        <v>0</v>
      </c>
      <c r="CU169" s="116">
        <v>0</v>
      </c>
      <c r="CV169" s="116">
        <v>0</v>
      </c>
      <c r="CW169" s="116">
        <v>0</v>
      </c>
      <c r="CX169" s="116">
        <v>0</v>
      </c>
      <c r="CY169" s="116">
        <v>0</v>
      </c>
      <c r="CZ169" s="118" t="str">
        <f>HYPERLINK("https://www.nytimes.com/2019/06/02/us/virginia-beach-dewayne-craddock.html?module=inline","0")</f>
        <v>0</v>
      </c>
      <c r="DA169" s="48">
        <v>0</v>
      </c>
      <c r="DB169" s="48"/>
      <c r="DC169" s="105" t="str">
        <f>HYPERLINK("https://www.vbgov.com/government/departments/city-auditors-office/Documents/Hillard%20Heintze%20Final%20Report%20for%20Virginia%20Beach%2011-13-2019.pdf","0")</f>
        <v>0</v>
      </c>
      <c r="DD169" s="48"/>
      <c r="DE169" s="48"/>
      <c r="DF169" s="48"/>
      <c r="DG169" s="48"/>
      <c r="DH169" s="48"/>
      <c r="DI169" s="48"/>
      <c r="DJ169" s="105" t="str">
        <f>HYPERLINK("https://www.vbgov.com/government/departments/city-auditors-office/Documents/Hillard%20Heintze%20Final%20Report%20for%20Virginia%20Beach%2011-13-2019.pdf","1")</f>
        <v>1</v>
      </c>
      <c r="DK169" s="48">
        <v>0</v>
      </c>
      <c r="DL169" s="48" t="s">
        <v>100</v>
      </c>
      <c r="DM169" s="105" t="str">
        <f>HYPERLINK("https://www.vbgov.com/government/departments/city-auditors-office/Documents/Hillard%20Heintze%20Final%20Report%20for%20Virginia%20Beach%2011-13-2019.pdf","0")</f>
        <v>0</v>
      </c>
      <c r="DN169" s="48">
        <v>0</v>
      </c>
      <c r="DO169" s="48" t="s">
        <v>100</v>
      </c>
      <c r="DP169" s="105" t="str">
        <f>HYPERLINK("https://www.vbgov.com/government/departments/city-auditors-office/Documents/Hillard%20Heintze%20Final%20Report%20for%20Virginia%20Beach%2011-13-2019.pdf","1")</f>
        <v>1</v>
      </c>
      <c r="DQ169" s="105" t="str">
        <f>HYPERLINK("https://www.nytimes.com/2019/06/02/us/virginia-beach-dewayne-craddock.html?module=inline","0")</f>
        <v>0</v>
      </c>
      <c r="DR169" s="105" t="str">
        <f>HYPERLINK("https://www.vbgov.com/government/departments/city-auditors-office/Documents/Hillard%20Heintze%20Final%20Report%20for%20Virginia%20Beach%2011-13-2019.pdf","1")</f>
        <v>1</v>
      </c>
      <c r="DS169" s="101" t="str">
        <f>HYPERLINK("https://www.cnn.com/2019/06/01/us/virginia-beach-suspect/index.html","3")</f>
        <v>3</v>
      </c>
      <c r="DT169" s="105" t="str">
        <f t="shared" ref="DT169" si="457">HYPERLINK("https://www.washingtonpost.com/local/public-safety/dewayne-craddock-a-longtime-virginia-beach-employee-identified-as-shooter-who-killed-12-in-city-building/2019/06/01/0fe20766-840e-11e9-95a9-e2c830afe24f_story.html","2")</f>
        <v>2</v>
      </c>
      <c r="DU169" s="105" t="str">
        <f>HYPERLINK("https://www.washingtonpost.com/local/public-safety/dewayne-craddock-a-longtime-virginia-beach-employee-identified-as-shooter-who-killed-12-in-city-building/2019/06/01/0fe20766-840e-11e9-95a9-e2c830afe24f_story.html","1")</f>
        <v>1</v>
      </c>
      <c r="DV169" s="105" t="str">
        <f>HYPERLINK("https://www.washingtonpost.com/local/public-safety/dewayne-craddock-a-longtime-virginia-beach-employee-identified-as-shooter-who-killed-12-in-city-building/2019/06/01/0fe20766-840e-11e9-95a9-e2c830afe24f_story.html","silencer")</f>
        <v>silencer</v>
      </c>
      <c r="DW169" s="105" t="str">
        <f>HYPERLINK("https://www.nytimes.com/2019/06/01/us/dewayne-craddock-virginia.html","1")</f>
        <v>1</v>
      </c>
      <c r="DX169" s="105" t="str">
        <f>HYPERLINK("https://www.nytimes.com/2019/06/01/us/dewayne-craddock-virginia.html","0")</f>
        <v>0</v>
      </c>
      <c r="DY169" s="48">
        <v>2</v>
      </c>
      <c r="DZ169" s="48">
        <v>0</v>
      </c>
    </row>
    <row r="170" spans="1:130" ht="50.25" customHeight="1">
      <c r="A170" s="96">
        <v>169</v>
      </c>
      <c r="B170" s="97" t="s">
        <v>736</v>
      </c>
      <c r="C170" s="97" t="s">
        <v>234</v>
      </c>
      <c r="D170" s="98">
        <v>43680</v>
      </c>
      <c r="E170" s="48" t="s">
        <v>103</v>
      </c>
      <c r="F170" s="99">
        <v>3</v>
      </c>
      <c r="G170" s="100" t="str">
        <f>HYPERLINK("https://www.latimes.com/world-nation/story/2019-08-03/what-we-know-about-patrick-crusius-el-paso-rampage","8")</f>
        <v>8</v>
      </c>
      <c r="H170" s="105" t="str">
        <f>HYPERLINK("https://www.cnn.com/2019/08/05/us/el-paso-suspect-patrick-crusius/index.html","2019")</f>
        <v>2019</v>
      </c>
      <c r="I170" s="48" t="s">
        <v>737</v>
      </c>
      <c r="J170" s="105" t="str">
        <f>HYPERLINK("https://www.cnn.com/2019/08/05/us/el-paso-suspect-patrick-crusius/index.html","El Paso")</f>
        <v>El Paso</v>
      </c>
      <c r="K170" s="100" t="str">
        <f>HYPERLINK("https://www.cnn.com/2019/08/05/us/el-paso-suspect-patrick-crusius/index.html","43")</f>
        <v>43</v>
      </c>
      <c r="L170" s="99">
        <v>0</v>
      </c>
      <c r="M170" s="99">
        <v>0</v>
      </c>
      <c r="N170" s="100" t="str">
        <f>HYPERLINK("https://www.cnn.com/2019/08/05/us/el-paso-suspect-patrick-crusius/index.html","4")</f>
        <v>4</v>
      </c>
      <c r="O170" s="100" t="str">
        <f>HYPERLINK("https://www.washingtonpost.com/national/as-his-environment-changed-suspect-in-el-paso-shooting-learned-to-hate/2019/08/09/8ebabf2c-817b-40a3-a79e-e56fbac94cd5_story.html","0")</f>
        <v>0</v>
      </c>
      <c r="P170" s="99" t="s">
        <v>100</v>
      </c>
      <c r="Q170" s="140">
        <v>0</v>
      </c>
      <c r="R170" s="140">
        <v>0</v>
      </c>
      <c r="S170" s="100" t="str">
        <f>HYPERLINK("https://www.bbc.co.uk/news/world-us-canada-52443959","23")</f>
        <v>23</v>
      </c>
      <c r="T170" s="100" t="str">
        <f>HYPERLINK("https://abcnews.go.com/US/mother-el-paso-shooter-patrick-crusius-called-police/story?id=64846894","26")</f>
        <v>26</v>
      </c>
      <c r="U170" s="105" t="str">
        <f>HYPERLINK("https://www.cnn.com/2019/08/05/us/el-paso-suspect-patrick-crusius/index.html","0")</f>
        <v>0</v>
      </c>
      <c r="V170" s="105" t="str">
        <f>HYPERLINK("https://www.cnn.com/2019/08/05/us/el-paso-suspect-patrick-crusius/index.html","21")</f>
        <v>21</v>
      </c>
      <c r="W170" s="105" t="str">
        <f t="shared" ref="W170:X170" si="458">HYPERLINK("https://www.cnn.com/2019/08/05/us/el-paso-suspect-patrick-crusius/index.html","0")</f>
        <v>0</v>
      </c>
      <c r="X170" s="105" t="str">
        <f t="shared" si="458"/>
        <v>0</v>
      </c>
      <c r="Y170" s="105" t="str">
        <f>HYPERLINK("https://www.washingtonpost.com/national/as-his-environment-changed-suspect-in-el-paso-shooting-learned-to-hate/2019/08/09/8ebabf2c-817b-40a3-a79e-e56fbac94cd5_story.html","0")</f>
        <v>0</v>
      </c>
      <c r="Z170" s="48">
        <v>0</v>
      </c>
      <c r="AA170" s="48"/>
      <c r="AB170" s="105" t="str">
        <f>HYPERLINK("https://www.cnn.com/2019/08/05/us/el-paso-suspect-patrick-crusius/index.html","2")</f>
        <v>2</v>
      </c>
      <c r="AC170" s="51"/>
      <c r="AD170" s="51"/>
      <c r="AE170" s="133">
        <v>4</v>
      </c>
      <c r="AF170" s="105" t="str">
        <f>HYPERLINK("https://www.washingtonpost.com/national/as-his-environment-changed-suspect-in-el-paso-shooting-learned-to-hate/2019/08/09/8ebabf2c-817b-40a3-a79e-e56fbac94cd5_story.html","2")</f>
        <v>2</v>
      </c>
      <c r="AG170" s="105" t="str">
        <f>HYPERLINK("https://www.washingtonpost.com/national/as-his-environment-changed-suspect-in-el-paso-shooting-learned-to-hate/2019/08/09/8ebabf2c-817b-40a3-a79e-e56fbac94cd5_story.html","1")</f>
        <v>1</v>
      </c>
      <c r="AH170" s="48"/>
      <c r="AI170" s="48"/>
      <c r="AJ170" s="48">
        <v>0</v>
      </c>
      <c r="AK170" s="105" t="str">
        <f t="shared" ref="AK170:AL170" si="459">HYPERLINK("https://www.cnn.com/2019/08/05/us/el-paso-suspect-patrick-crusius/index.html","0")</f>
        <v>0</v>
      </c>
      <c r="AL170" s="105" t="str">
        <f t="shared" si="459"/>
        <v>0</v>
      </c>
      <c r="AM170" s="48">
        <v>0</v>
      </c>
      <c r="AN170" s="48" t="s">
        <v>100</v>
      </c>
      <c r="AO170" s="101" t="str">
        <f>HYPERLINK("https://www.latimes.com/world-nation/story/2019-08-03/what-we-know-about-patrick-crusius-el-paso-rampage","0")</f>
        <v>0</v>
      </c>
      <c r="AP170" s="54"/>
      <c r="AQ170" s="105" t="str">
        <f>HYPERLINK("https://www.apnews.com/e64af41d18f449b3b492685827c9f2b9","0")</f>
        <v>0</v>
      </c>
      <c r="AR170" s="48">
        <v>0</v>
      </c>
      <c r="AS170" s="105" t="str">
        <f>HYPERLINK("https://www.latimes.com/world-nation/story/2019-08-03/what-we-know-about-patrick-crusius-el-paso-rampage","0")</f>
        <v>0</v>
      </c>
      <c r="AT170" s="48">
        <v>0</v>
      </c>
      <c r="AU170" s="48" t="s">
        <v>100</v>
      </c>
      <c r="AV170" s="48" t="s">
        <v>100</v>
      </c>
      <c r="AW170" s="48" t="s">
        <v>100</v>
      </c>
      <c r="AX170" s="48">
        <v>0</v>
      </c>
      <c r="AY170" s="48">
        <v>0</v>
      </c>
      <c r="AZ170" s="105" t="str">
        <f>HYPERLINK("https://www.cnn.com/2019/08/05/us/el-paso-suspect-patrick-crusius/index.html","1")</f>
        <v>1</v>
      </c>
      <c r="BA170" s="105" t="str">
        <f>HYPERLINK("https://www.cnn.com/2019/08/04/business/el-paso-shooting-8chan-biz/index.html","4")</f>
        <v>4</v>
      </c>
      <c r="BB170" s="101" t="str">
        <f>HYPERLINK("https://www.washingtonpost.com/nation/2019/08/05/kevin-mccarthy-dan-patrick-video-games-el-paso-shooting/","1")</f>
        <v>1</v>
      </c>
      <c r="BC170" s="105" t="str">
        <f>HYPERLINK("https://www.latimes.com/world-nation/story/2019-08-03/what-we-know-about-patrick-crusius-el-paso-rampage","0")</f>
        <v>0</v>
      </c>
      <c r="BD170" s="105" t="str">
        <f>HYPERLINK("https://www.latimes.com/world-nation/story/2019-08-03/what-we-know-about-patrick-crusius-el-paso-rampage","1")</f>
        <v>1</v>
      </c>
      <c r="BE170" s="105" t="str">
        <f t="shared" ref="BE170:BF170" si="460">HYPERLINK("https://www.washingtonpost.com/national/as-his-environment-changed-suspect-in-el-paso-shooting-learned-to-hate/2019/08/09/8ebabf2c-817b-40a3-a79e-e56fbac94cd5_story.html","0")</f>
        <v>0</v>
      </c>
      <c r="BF170" s="105" t="str">
        <f t="shared" si="460"/>
        <v>0</v>
      </c>
      <c r="BG170" s="105" t="str">
        <f>HYPERLINK("https://www.washingtonpost.com/national/as-his-environment-changed-suspect-in-el-paso-shooting-learned-to-hate/2019/08/09/8ebabf2c-817b-40a3-a79e-e56fbac94cd5_story.html","1")</f>
        <v>1</v>
      </c>
      <c r="BH170" s="48">
        <v>2</v>
      </c>
      <c r="BI170" s="48">
        <v>0</v>
      </c>
      <c r="BJ170" s="48"/>
      <c r="BK170" s="105" t="str">
        <f>HYPERLINK("https://www.cnn.com/2019/08/05/us/el-paso-suspect-patrick-crusius/index.html","1")</f>
        <v>1</v>
      </c>
      <c r="BL170" s="116"/>
      <c r="BM170" s="116"/>
      <c r="BN170" s="110"/>
      <c r="BO170" s="116">
        <v>0</v>
      </c>
      <c r="BP170" s="116">
        <v>0</v>
      </c>
      <c r="BQ170" s="116">
        <v>0</v>
      </c>
      <c r="BR170" s="116">
        <v>0</v>
      </c>
      <c r="BS170" s="116">
        <v>0</v>
      </c>
      <c r="BT170" s="116">
        <v>0</v>
      </c>
      <c r="BU170" s="116">
        <v>0</v>
      </c>
      <c r="BV170" s="116">
        <v>0</v>
      </c>
      <c r="BW170" s="116">
        <v>0</v>
      </c>
      <c r="BX170" s="116">
        <v>0</v>
      </c>
      <c r="BY170" s="105" t="str">
        <f>HYPERLINK("https://www.cnn.com/2019/08/05/us/el-paso-suspect-patrick-crusius/index.html","2")</f>
        <v>2</v>
      </c>
      <c r="BZ170" s="48"/>
      <c r="CA170" s="48"/>
      <c r="CB170" s="48" t="s">
        <v>100</v>
      </c>
      <c r="CC170" s="48"/>
      <c r="CD170" s="48" t="s">
        <v>100</v>
      </c>
      <c r="CE170" s="48">
        <v>0</v>
      </c>
      <c r="CF170" s="48">
        <v>0</v>
      </c>
      <c r="CG170" s="48"/>
      <c r="CH170" s="105" t="str">
        <f>HYPERLINK("https://www.thedailybeast.com/suspected-el-paso-shooter-patrick-crusius-dad-once-sought-to-help-gun-violence-victim","5")</f>
        <v>5</v>
      </c>
      <c r="CI170" s="48">
        <v>0</v>
      </c>
      <c r="CJ170" s="51" t="s">
        <v>100</v>
      </c>
      <c r="CK170" s="128">
        <v>1</v>
      </c>
      <c r="CL170" s="129"/>
      <c r="CM170" s="129"/>
      <c r="CN170" s="118" t="str">
        <f t="shared" ref="CN170" si="461">HYPERLINK("https://www.cnn.com/2019/08/05/us/el-paso-suspect-patrick-crusius/index.html","1")</f>
        <v>1</v>
      </c>
      <c r="CO170" s="118">
        <v>0</v>
      </c>
      <c r="CP170" s="116">
        <v>0</v>
      </c>
      <c r="CQ170" s="116">
        <v>0</v>
      </c>
      <c r="CR170" s="116">
        <v>0</v>
      </c>
      <c r="CS170" s="116">
        <v>0</v>
      </c>
      <c r="CT170" s="116">
        <v>0</v>
      </c>
      <c r="CU170" s="116">
        <v>0</v>
      </c>
      <c r="CV170" s="116">
        <v>0</v>
      </c>
      <c r="CW170" s="116">
        <v>0</v>
      </c>
      <c r="CX170" s="116">
        <v>0</v>
      </c>
      <c r="CY170" s="116">
        <v>0</v>
      </c>
      <c r="CZ170" s="118" t="str">
        <f>HYPERLINK("https://www.cnn.com/2019/08/05/us/el-paso-suspect-patrick-crusius/index.html","0")</f>
        <v>0</v>
      </c>
      <c r="DA170" s="48">
        <v>0</v>
      </c>
      <c r="DB170" s="105" t="str">
        <f>HYPERLINK("https://www.cnn.com/2019/08/05/us/el-paso-suspect-patrick-crusius/index.html","1")</f>
        <v>1</v>
      </c>
      <c r="DC170" s="105" t="str">
        <f>HYPERLINK("https://www.latimes.com/world-nation/story/2019-08-03/what-we-know-about-patrick-crusius-el-paso-rampage","1")</f>
        <v>1</v>
      </c>
      <c r="DD170" s="51">
        <v>4</v>
      </c>
      <c r="DE170" s="51">
        <v>9</v>
      </c>
      <c r="DF170" s="51">
        <v>1</v>
      </c>
      <c r="DG170" s="51"/>
      <c r="DH170" s="51"/>
      <c r="DI170" s="51"/>
      <c r="DJ170" s="48"/>
      <c r="DK170" s="48">
        <v>0</v>
      </c>
      <c r="DL170" s="48" t="s">
        <v>100</v>
      </c>
      <c r="DM170" s="105" t="str">
        <f>HYPERLINK("https://www.cnn.com/2019/08/05/us/el-paso-suspect-patrick-crusius/index.html","1")</f>
        <v>1</v>
      </c>
      <c r="DN170" s="48">
        <v>0</v>
      </c>
      <c r="DO170" s="48" t="s">
        <v>100</v>
      </c>
      <c r="DP170" s="48"/>
      <c r="DQ170" s="105" t="str">
        <f>HYPERLINK("https://www.cnn.com/2019/08/05/us/el-paso-suspect-patrick-crusius/index.html","1")</f>
        <v>1</v>
      </c>
      <c r="DR170" s="48"/>
      <c r="DS170" s="101" t="str">
        <f>HYPERLINK("https://www.washingtonpost.com/national/as-his-environment-changed-suspect-in-el-paso-shooting-learned-to-hate/2019/08/09/8ebabf2c-817b-40a3-a79e-e56fbac94cd5_story.html","1")</f>
        <v>1</v>
      </c>
      <c r="DT170" s="105" t="str">
        <f>HYPERLINK("https://nypost.com/2019/08/29/alleged-el-paso-gunman-was-surprised-no-one-challenged-him-during-walmart-rampage/","1")</f>
        <v>1</v>
      </c>
      <c r="DU170" s="105" t="str">
        <f>HYPERLINK("https://nypost.com/2019/08/29/alleged-el-paso-gunman-was-surprised-no-one-challenged-him-during-walmart-rampage/","1")</f>
        <v>1</v>
      </c>
      <c r="DV170" s="105" t="str">
        <f>HYPERLINK("https://nypost.com/2019/08/29/alleged-el-paso-gunman-was-surprised-no-one-challenged-him-during-walmart-rampage/","ear protection")</f>
        <v>ear protection</v>
      </c>
      <c r="DW170" s="105" t="str">
        <f>HYPERLINK("https://www.cnn.com/2019/08/05/us/el-paso-suspect-patrick-crusius/index.html","2")</f>
        <v>2</v>
      </c>
      <c r="DX170" s="105" t="str">
        <f>HYPERLINK("https://www.cnn.com/2019/08/05/us/el-paso-suspect-patrick-crusius/index.html","0")</f>
        <v>0</v>
      </c>
      <c r="DY170" s="48">
        <v>3</v>
      </c>
      <c r="DZ170" s="48">
        <v>0</v>
      </c>
    </row>
    <row r="171" spans="1:130" ht="50.25" customHeight="1">
      <c r="A171" s="96">
        <v>170</v>
      </c>
      <c r="B171" s="97" t="s">
        <v>738</v>
      </c>
      <c r="C171" s="97" t="s">
        <v>739</v>
      </c>
      <c r="D171" s="98">
        <v>43681</v>
      </c>
      <c r="E171" s="48" t="s">
        <v>137</v>
      </c>
      <c r="F171" s="99">
        <v>4</v>
      </c>
      <c r="G171" s="100" t="str">
        <f>HYPERLINK("https://www.cnn.com/2019/08/05/us/connor-betts-dayton-shooting-profile/index.html","8")</f>
        <v>8</v>
      </c>
      <c r="H171" s="105" t="str">
        <f>HYPERLINK("https://www.cnn.com/2019/08/05/us/connor-betts-dayton-shooting-profile/index.html","2019")</f>
        <v>2019</v>
      </c>
      <c r="I171" s="48" t="s">
        <v>740</v>
      </c>
      <c r="J171" s="105" t="str">
        <f>HYPERLINK("https://www.cnn.com/2019/08/05/us/dayton-monday-shooter-stopped-in-seconds/index.html","Dayton")</f>
        <v>Dayton</v>
      </c>
      <c r="K171" s="100" t="str">
        <f>HYPERLINK("https://www.cnn.com/2019/08/05/us/connor-betts-dayton-shooting-profile/index.html","35")</f>
        <v>35</v>
      </c>
      <c r="L171" s="99">
        <v>1</v>
      </c>
      <c r="M171" s="99">
        <v>0</v>
      </c>
      <c r="N171" s="100" t="str">
        <f>HYPERLINK("https://www.cnn.com/2019/08/05/us/dayton-monday-shooter-stopped-in-seconds/index.html","5")</f>
        <v>5</v>
      </c>
      <c r="O171" s="100" t="str">
        <f>HYPERLINK("https://time.com/5643405/what-to-know-shooting-dayton-ohio/","0")</f>
        <v>0</v>
      </c>
      <c r="P171" s="99" t="s">
        <v>100</v>
      </c>
      <c r="Q171" s="103">
        <v>1</v>
      </c>
      <c r="R171" s="103">
        <v>1</v>
      </c>
      <c r="S171" s="100" t="str">
        <f>HYPERLINK("https://www.cnn.com/2019/08/05/us/dayton-monday-shooter-stopped-in-seconds/index.html","9")</f>
        <v>9</v>
      </c>
      <c r="T171" s="100" t="str">
        <f>HYPERLINK("https://www.cnn.com/2019/08/05/us/dayton-monday-shooter-stopped-in-seconds/index.html","37")</f>
        <v>37</v>
      </c>
      <c r="U171" s="105" t="str">
        <f>HYPERLINK("https://time.com/5643405/what-to-know-shooting-dayton-ohio/","0")</f>
        <v>0</v>
      </c>
      <c r="V171" s="105" t="str">
        <f>HYPERLINK("https://time.com/5643405/what-to-know-shooting-dayton-ohio/","24")</f>
        <v>24</v>
      </c>
      <c r="W171" s="105" t="str">
        <f t="shared" ref="W171:X171" si="462">HYPERLINK("https://www.cnn.com/2019/08/05/us/connor-betts-dayton-shooting-profile/index.html","0")</f>
        <v>0</v>
      </c>
      <c r="X171" s="105" t="str">
        <f t="shared" si="462"/>
        <v>0</v>
      </c>
      <c r="Y171" s="48">
        <v>0</v>
      </c>
      <c r="Z171" s="105" t="str">
        <f>HYPERLINK("https://www.cnn.com/2019/08/05/us/connor-betts-dayton-shooting-profile/index.html","0")</f>
        <v>0</v>
      </c>
      <c r="AA171" s="105" t="str">
        <f>HYPERLINK("https://heavy.com/news/2019/08/connor-betts/","0")</f>
        <v>0</v>
      </c>
      <c r="AB171" s="105" t="str">
        <f>HYPERLINK("https://www.cnn.com/2019/08/05/us/connor-betts-dayton-shooting-profile/index.html","2")</f>
        <v>2</v>
      </c>
      <c r="AC171" s="51"/>
      <c r="AD171" s="51"/>
      <c r="AE171" s="105" t="str">
        <f>HYPERLINK("https://www.whio.com/news/local/dayton-shooting-betts-family-buries-their-two-children/0Z7HXrHvaFiZF7RPPOogmL/","1")</f>
        <v>1</v>
      </c>
      <c r="AF171" s="105" t="str">
        <f>HYPERLINK("https://nypost.com/2019/08/09/suspected-dayton-shooter-connor-betts-slain-sister-was-reportedly-a-transgender-man/","1")</f>
        <v>1</v>
      </c>
      <c r="AG171" s="105" t="str">
        <f>HYPERLINK("https://www.whio.com/news/local/dayton-shooting-betts-family-buries-their-two-children/0Z7HXrHvaFiZF7RPPOogmL/","0")</f>
        <v>0</v>
      </c>
      <c r="AH171" s="105" t="str">
        <f>HYPERLINK("https://nypost.com/2019/08/09/suspected-dayton-shooter-connor-betts-slain-sister-was-reportedly-a-transgender-man/","1")</f>
        <v>1</v>
      </c>
      <c r="AI171" s="48"/>
      <c r="AJ171" s="48">
        <v>0</v>
      </c>
      <c r="AK171" s="48"/>
      <c r="AL171" s="105" t="str">
        <f>HYPERLINK("https://heavy.com/news/2019/08/connor-betts/","0")</f>
        <v>0</v>
      </c>
      <c r="AM171" s="48">
        <v>0</v>
      </c>
      <c r="AN171" s="48" t="s">
        <v>100</v>
      </c>
      <c r="AO171" s="101" t="str">
        <f>HYPERLINK("https://heavy.com/news/2019/08/connor-betts/","1")</f>
        <v>1</v>
      </c>
      <c r="AP171" s="101" t="str">
        <f>HYPERLINK("https://heavy.com/news/2019/08/connor-betts/","played in bands, attended protests")</f>
        <v>played in bands, attended protests</v>
      </c>
      <c r="AQ171" s="105" t="str">
        <f>HYPERLINK("https://www.cnn.com/2019/08/05/us/connor-betts-dayton-shooting-profile/index.html","1")</f>
        <v>1</v>
      </c>
      <c r="AR171" s="48">
        <v>0</v>
      </c>
      <c r="AS171" s="105" t="str">
        <f>HYPERLINK("https://www.cincinnati.com/story/news/2019/08/04/dayton-shooting-what-we-know-gunman/1916121001/","1")</f>
        <v>1</v>
      </c>
      <c r="AT171" s="105" t="str">
        <f>HYPERLINK("https://abcnews.go.com/US/federal-charges-filed-friend-dayton-gunman-connor-betts/story?id=64925831","1")</f>
        <v>1</v>
      </c>
      <c r="AU171" s="105">
        <v>1</v>
      </c>
      <c r="AV171" s="48"/>
      <c r="AW171" s="48"/>
      <c r="AX171" s="105" t="str">
        <f>HYPERLINK("https://apnews.com/83e222c2be834d1fb3b472f9f77aabb2","1")</f>
        <v>1</v>
      </c>
      <c r="AY171" s="48">
        <v>0</v>
      </c>
      <c r="AZ171" s="48">
        <v>0</v>
      </c>
      <c r="BA171" s="105" t="str">
        <f>HYPERLINK("https://nypost.com/2019/08/06/dayton-shooter-may-be-antifas-first-mass-killer/","1")</f>
        <v>1</v>
      </c>
      <c r="BB171" s="101" t="str">
        <f>HYPERLINK("https://www.bbc.com/news/world-us-canada-49353368","2")</f>
        <v>2</v>
      </c>
      <c r="BC171" s="48"/>
      <c r="BD171" s="48"/>
      <c r="BE171" s="105" t="str">
        <f t="shared" ref="BE171:BF171" si="463">HYPERLINK("https://www.cnn.com/2019/08/05/us/connor-betts-dayton-shooting-profile/index.html","0")</f>
        <v>0</v>
      </c>
      <c r="BF171" s="105" t="str">
        <f t="shared" si="463"/>
        <v>0</v>
      </c>
      <c r="BG171" s="48"/>
      <c r="BH171" s="48">
        <v>1</v>
      </c>
      <c r="BI171" s="48">
        <v>0</v>
      </c>
      <c r="BJ171" s="48"/>
      <c r="BK171" s="48"/>
      <c r="BL171" s="116"/>
      <c r="BM171" s="116"/>
      <c r="BN171" s="110"/>
      <c r="BO171" s="116">
        <v>0</v>
      </c>
      <c r="BP171" s="116">
        <v>0</v>
      </c>
      <c r="BQ171" s="116">
        <v>0</v>
      </c>
      <c r="BR171" s="116">
        <v>0</v>
      </c>
      <c r="BS171" s="116">
        <v>0</v>
      </c>
      <c r="BT171" s="116">
        <v>0</v>
      </c>
      <c r="BU171" s="116">
        <v>0</v>
      </c>
      <c r="BV171" s="116">
        <v>0</v>
      </c>
      <c r="BW171" s="116">
        <v>0</v>
      </c>
      <c r="BX171" s="116">
        <v>0</v>
      </c>
      <c r="BY171" s="105" t="str">
        <f>HYPERLINK("https://www.cnn.com/2019/08/05/us/connor-betts-dayton-shooting-profile/index.html","1")</f>
        <v>1</v>
      </c>
      <c r="BZ171" s="48"/>
      <c r="CA171" s="105" t="str">
        <f>HYPERLINK("https://www.daytondailynews.com/news/crime--law/dayton-killer-receipts-raise-questions-about-mental-health-care/Fp9PYN7XE1HJOoBofJ7w6O/","1")</f>
        <v>1</v>
      </c>
      <c r="CB171" s="105" t="str">
        <f>HYPERLINK("https://www.daytondailynews.com/news/crime--law/dayton-killer-receipts-raise-questions-about-mental-health-care/Fp9PYN7XE1HJOoBofJ7w6O/","0")</f>
        <v>0</v>
      </c>
      <c r="CC171" s="105" t="str">
        <f t="shared" ref="CC171:CD171" si="464">HYPERLINK("https://www.daytondailynews.com/news/crime--law/dayton-killer-receipts-raise-questions-about-mental-health-care/Fp9PYN7XE1HJOoBofJ7w6O/","1")</f>
        <v>1</v>
      </c>
      <c r="CD171" s="105" t="str">
        <f t="shared" si="464"/>
        <v>1</v>
      </c>
      <c r="CE171" s="105" t="str">
        <f>HYPERLINK("https://heavy.com/news/2019/08/connor-betts/","1")</f>
        <v>1</v>
      </c>
      <c r="CF171" s="48">
        <v>0</v>
      </c>
      <c r="CG171" s="48"/>
      <c r="CH171" s="105" t="str">
        <f>HYPERLINK("https://abcnews.go.com/US/federal-charges-filed-friend-dayton-gunman-connor-betts/story?id=64925831","4")</f>
        <v>4</v>
      </c>
      <c r="CI171" s="48">
        <v>0</v>
      </c>
      <c r="CJ171" s="51" t="s">
        <v>100</v>
      </c>
      <c r="CK171" s="128">
        <v>2</v>
      </c>
      <c r="CL171" s="129"/>
      <c r="CM171" s="129"/>
      <c r="CN171" s="118">
        <v>0</v>
      </c>
      <c r="CO171" s="116">
        <v>0</v>
      </c>
      <c r="CP171" s="118">
        <v>0</v>
      </c>
      <c r="CQ171" s="116">
        <v>0</v>
      </c>
      <c r="CR171" s="116">
        <v>0</v>
      </c>
      <c r="CS171" s="116">
        <v>0</v>
      </c>
      <c r="CT171" s="116">
        <v>0</v>
      </c>
      <c r="CU171" s="116">
        <v>0</v>
      </c>
      <c r="CV171" s="116">
        <v>0</v>
      </c>
      <c r="CW171" s="116">
        <v>0</v>
      </c>
      <c r="CX171" s="116">
        <v>0</v>
      </c>
      <c r="CY171" s="118" t="str">
        <f t="shared" ref="CY171:DB171" si="465">HYPERLINK("https://www.cnn.com/2019/08/05/us/connor-betts-dayton-shooting-profile/index.html","1")</f>
        <v>1</v>
      </c>
      <c r="CZ171" s="118" t="str">
        <f>HYPERLINK("https://time.com/5643405/what-to-know-shooting-dayton-ohio/","0")</f>
        <v>0</v>
      </c>
      <c r="DA171" s="48">
        <v>0</v>
      </c>
      <c r="DB171" s="105" t="str">
        <f t="shared" si="465"/>
        <v>1</v>
      </c>
      <c r="DC171" s="48"/>
      <c r="DD171" s="48"/>
      <c r="DE171" s="48"/>
      <c r="DF171" s="48"/>
      <c r="DG171" s="48"/>
      <c r="DH171" s="48"/>
      <c r="DI171" s="48"/>
      <c r="DJ171" s="105" t="str">
        <f>HYPERLINK("https://www.cnn.com/2019/08/05/us/connor-betts-dayton-shooting-profile/index.html","1")</f>
        <v>1</v>
      </c>
      <c r="DK171" s="105" t="str">
        <f>HYPERLINK("https://www.latimes.com/world-nation/story/2019-08-03/what-we-know-about-patrick-crusius-el-paso-rampage","1")</f>
        <v>1</v>
      </c>
      <c r="DL171" s="101" t="str">
        <f>HYPERLINK("https://www.latimes.com/world-nation/story/2019-08-03/what-we-know-about-patrick-crusius-el-paso-rampage","Occured 12 hours after the mass shooting in an El Paso Walmart.")</f>
        <v>Occured 12 hours after the mass shooting in an El Paso Walmart.</v>
      </c>
      <c r="DM171" s="48"/>
      <c r="DN171" s="48">
        <v>0</v>
      </c>
      <c r="DO171" s="48" t="s">
        <v>100</v>
      </c>
      <c r="DP171" s="48"/>
      <c r="DQ171" s="105" t="str">
        <f>HYPERLINK("https://time.com/5643405/what-to-know-shooting-dayton-ohio/","0")</f>
        <v>0</v>
      </c>
      <c r="DR171" s="48"/>
      <c r="DS171" s="101" t="str">
        <f>HYPERLINK("https://abcnews.go.com/US/federal-charges-filed-friend-dayton-gunman-connor-betts/story?id=64925831","1")</f>
        <v>1</v>
      </c>
      <c r="DT171" s="105" t="str">
        <f>HYPERLINK("https://www.nytimes.com/2019/08/04/us/dayton-ohio-shooting.html","2")</f>
        <v>2</v>
      </c>
      <c r="DU171" s="105" t="str">
        <f>HYPERLINK("https://time.com/5643405/what-to-know-shooting-dayton-ohio/","1")</f>
        <v>1</v>
      </c>
      <c r="DV171" s="105" t="s">
        <v>743</v>
      </c>
      <c r="DW171" s="105" t="str">
        <f>HYPERLINK("https://time.com/5643405/what-to-know-shooting-dayton-ohio/","1")</f>
        <v>1</v>
      </c>
      <c r="DX171" s="105" t="str">
        <f>HYPERLINK("https://time.com/5643405/what-to-know-shooting-dayton-ohio/","0")</f>
        <v>0</v>
      </c>
      <c r="DY171" s="48">
        <v>2</v>
      </c>
      <c r="DZ171" s="48">
        <v>0</v>
      </c>
    </row>
    <row r="172" spans="1:130" ht="50.25" customHeight="1">
      <c r="A172" s="96">
        <v>171</v>
      </c>
      <c r="B172" s="97" t="s">
        <v>744</v>
      </c>
      <c r="C172" s="97" t="s">
        <v>745</v>
      </c>
      <c r="D172" s="98">
        <v>43708</v>
      </c>
      <c r="E172" s="48" t="s">
        <v>103</v>
      </c>
      <c r="F172" s="99">
        <v>31</v>
      </c>
      <c r="G172" s="100" t="str">
        <f>HYPERLINK("https://heavy.com/news/2019/09/seth-ator/","8")</f>
        <v>8</v>
      </c>
      <c r="H172" s="105" t="str">
        <f>HYPERLINK("https://time.com/5666249/mass-shooting-midland-odessa-texas-police/","2019")</f>
        <v>2019</v>
      </c>
      <c r="I172" s="48" t="s">
        <v>746</v>
      </c>
      <c r="J172" s="105" t="str">
        <f>HYPERLINK("https://time.com/5666249/mass-shooting-midland-odessa-texas-police/","Odessa")</f>
        <v>Odessa</v>
      </c>
      <c r="K172" s="100" t="str">
        <f>HYPERLINK("https://time.com/5666249/mass-shooting-midland-odessa-texas-police/","43")</f>
        <v>43</v>
      </c>
      <c r="L172" s="99">
        <v>0</v>
      </c>
      <c r="M172" s="100" t="str">
        <f>HYPERLINK("https://time.com/5666249/mass-shooting-midland-odessa-texas-police/","0")</f>
        <v>0</v>
      </c>
      <c r="N172" s="125" t="str">
        <f>HYPERLINK("https://heavy.com/news/2019/09/seth-ator/","8")</f>
        <v>8</v>
      </c>
      <c r="O172" s="100" t="str">
        <f>HYPERLINK("https://time.com/5666249/mass-shooting-midland-odessa-texas-police/","1")</f>
        <v>1</v>
      </c>
      <c r="P172" s="100" t="str">
        <f>HYPERLINK("https://heavy.com/news/2019/09/seth-ator/","4")</f>
        <v>4</v>
      </c>
      <c r="Q172" s="103">
        <v>0</v>
      </c>
      <c r="R172" s="103">
        <v>0</v>
      </c>
      <c r="S172" s="100" t="str">
        <f>HYPERLINK("https://www.chron.com/news/houston-texas/article/Seth-Ator-Odessa-Midland-shooting-facts-to-know-14412797.php","7")</f>
        <v>7</v>
      </c>
      <c r="T172" s="100" t="str">
        <f>HYPERLINK("https://www.chron.com/news/houston-texas/article/Seth-Ator-Odessa-Midland-shooting-facts-to-know-14412797.php","23")</f>
        <v>23</v>
      </c>
      <c r="U172" s="105" t="str">
        <f>HYPERLINK("https://www.cnn.com/2019/09/01/us/odessa-texas-shooting-sunday/index.html","0")</f>
        <v>0</v>
      </c>
      <c r="V172" s="105" t="str">
        <f>HYPERLINK("https://time.com/5666249/mass-shooting-midland-odessa-texas-police/","36")</f>
        <v>36</v>
      </c>
      <c r="W172" s="105" t="str">
        <f t="shared" ref="W172:X172" si="466">HYPERLINK("https://time.com/5666249/mass-shooting-midland-odessa-texas-police/","0")</f>
        <v>0</v>
      </c>
      <c r="X172" s="105" t="str">
        <f t="shared" si="466"/>
        <v>0</v>
      </c>
      <c r="Y172" s="105" t="str">
        <f>HYPERLINK("https://heavy.com/news/2019/09/seth-ator/","0")</f>
        <v>0</v>
      </c>
      <c r="Z172" s="48">
        <v>0</v>
      </c>
      <c r="AA172" s="48"/>
      <c r="AB172" s="105" t="str">
        <f>HYPERLINK("https://www.azcentral.com/story/news/nation/2019/09/01/odessa-midland-shooter-identified-seth-ator-media-reports/2186870001/","2")</f>
        <v>2</v>
      </c>
      <c r="AC172" s="51"/>
      <c r="AD172" s="51"/>
      <c r="AE172" s="105" t="str">
        <f>HYPERLINK("https://www.nytimes.com/2019/09/02/us/texas-gunman-odessa-midland.html","3")</f>
        <v>3</v>
      </c>
      <c r="AF172" s="105" t="str">
        <f t="shared" ref="AF172:AG172" si="467">HYPERLINK("https://www.nytimes.com/2019/09/02/us/texas-gunman-odessa-midland.html","1")</f>
        <v>1</v>
      </c>
      <c r="AG172" s="105" t="str">
        <f t="shared" si="467"/>
        <v>1</v>
      </c>
      <c r="AH172" s="105" t="str">
        <f>HYPERLINK("https://heavy.com/news/2019/09/seth-ator/","0")</f>
        <v>0</v>
      </c>
      <c r="AI172" s="48"/>
      <c r="AJ172" s="48"/>
      <c r="AK172" s="105" t="str">
        <f t="shared" ref="AK172:AL172" si="468">HYPERLINK("https://heavy.com/news/2019/09/seth-ator/","0")</f>
        <v>0</v>
      </c>
      <c r="AL172" s="105" t="str">
        <f t="shared" si="468"/>
        <v>0</v>
      </c>
      <c r="AM172" s="48">
        <v>0</v>
      </c>
      <c r="AN172" s="48" t="s">
        <v>100</v>
      </c>
      <c r="AO172" s="101" t="str">
        <f>HYPERLINK("https://heavy.com/news/2019/09/seth-ator/","0")</f>
        <v>0</v>
      </c>
      <c r="AP172" s="54"/>
      <c r="AQ172" s="105" t="str">
        <f t="shared" ref="AQ172:DS172" si="469">HYPERLINK("https://heavy.com/news/2019/09/seth-ator/","1")</f>
        <v>1</v>
      </c>
      <c r="AR172" s="48">
        <v>0</v>
      </c>
      <c r="AS172" s="105" t="str">
        <f>HYPERLINK("https://heavy.com/news/2019/09/seth-ator/","1")</f>
        <v>1</v>
      </c>
      <c r="AT172" s="105" t="str">
        <f>HYPERLINK("https://www.cnn.com/2019/09/29/us/seth-ator-previous-police-encounter-invs/index.html","2")</f>
        <v>2</v>
      </c>
      <c r="AU172" s="105">
        <v>3</v>
      </c>
      <c r="AV172" s="48"/>
      <c r="AW172" s="48"/>
      <c r="AX172" s="48">
        <v>0</v>
      </c>
      <c r="AY172" s="48">
        <v>0</v>
      </c>
      <c r="AZ172" s="105" t="str">
        <f>HYPERLINK("https://www.oaoa.com/news/crime_justice/law_enforcement/article_d10919f8-cce7-11e9-ab95-07a8af957bf2.html","0")</f>
        <v>0</v>
      </c>
      <c r="BA172" s="48">
        <v>0</v>
      </c>
      <c r="BB172" s="107">
        <v>0</v>
      </c>
      <c r="BC172" s="48"/>
      <c r="BD172" s="48"/>
      <c r="BE172" s="48"/>
      <c r="BF172" s="105" t="str">
        <f>HYPERLINK("https://heavy.com/news/2019/09/seth-ator/","0")</f>
        <v>0</v>
      </c>
      <c r="BG172" s="48"/>
      <c r="BH172" s="48"/>
      <c r="BI172" s="105" t="str">
        <f>HYPERLINK("https://www.nytimes.com/2019/09/02/us/texas-gunman-odessa-midland.html","1")</f>
        <v>1</v>
      </c>
      <c r="BJ172" s="48"/>
      <c r="BK172" s="105" t="str">
        <f t="shared" ref="BK172:BL172" si="470">HYPERLINK("https://heavy.com/news/2019/09/seth-ator/","1")</f>
        <v>1</v>
      </c>
      <c r="BL172" s="118" t="str">
        <f t="shared" si="470"/>
        <v>1</v>
      </c>
      <c r="BM172" s="127">
        <v>1</v>
      </c>
      <c r="BN172" s="115" t="s">
        <v>3011</v>
      </c>
      <c r="BO172" s="116">
        <v>1</v>
      </c>
      <c r="BP172" s="116">
        <v>0</v>
      </c>
      <c r="BQ172" s="116">
        <v>0</v>
      </c>
      <c r="BR172" s="116">
        <v>0</v>
      </c>
      <c r="BS172" s="116">
        <v>0</v>
      </c>
      <c r="BT172" s="116">
        <v>1</v>
      </c>
      <c r="BU172" s="116">
        <v>1</v>
      </c>
      <c r="BV172" s="116">
        <v>0</v>
      </c>
      <c r="BW172" s="116">
        <v>0</v>
      </c>
      <c r="BX172" s="116">
        <v>0</v>
      </c>
      <c r="BY172" s="105" t="str">
        <f>HYPERLINK("https://www.mrt.com/news/article/Records-West-Texas-gunman-has-suicidal-14430883.php","1")</f>
        <v>1</v>
      </c>
      <c r="BZ172" s="105" t="str">
        <f>HYPERLINK("https://heavy.com/news/2019/09/seth-ator/","1")</f>
        <v>1</v>
      </c>
      <c r="CA172" s="105" t="str">
        <f t="shared" ref="CA172:CB172" si="471">HYPERLINK("https://www.mrt.com/news/article/Records-West-Texas-gunman-has-suicidal-14430883.php","1")</f>
        <v>1</v>
      </c>
      <c r="CB172" s="105" t="str">
        <f t="shared" si="471"/>
        <v>1</v>
      </c>
      <c r="CC172" s="48"/>
      <c r="CD172" s="105" t="str">
        <f>HYPERLINK("https://heavy.com/news/2019/09/seth-ator/","0")</f>
        <v>0</v>
      </c>
      <c r="CE172" s="105" t="str">
        <f>HYPERLINK("https://nypost.com/2019/09/04/texas-shooter-seth-ator-used-loophole-to-get-ar-style-gun-report/","2")</f>
        <v>2</v>
      </c>
      <c r="CF172" s="105" t="str">
        <f>HYPERLINK("https://www.nytimes.com/2019/09/02/us/texas-gunman-odessa-midland.html","2")</f>
        <v>2</v>
      </c>
      <c r="CG172" s="48"/>
      <c r="CH172" s="105" t="str">
        <f>HYPERLINK("https://www.mrt.com/news/article/Records-West-Texas-gunman-has-suicidal-14430883.php","4")</f>
        <v>4</v>
      </c>
      <c r="CI172" s="48"/>
      <c r="CJ172" s="51" t="s">
        <v>100</v>
      </c>
      <c r="CK172" s="129">
        <v>0</v>
      </c>
      <c r="CL172" s="129"/>
      <c r="CM172" s="129"/>
      <c r="CN172" s="116">
        <v>0</v>
      </c>
      <c r="CO172" s="116">
        <v>0</v>
      </c>
      <c r="CP172" s="116">
        <v>0</v>
      </c>
      <c r="CQ172" s="116">
        <v>0</v>
      </c>
      <c r="CR172" s="116">
        <v>0</v>
      </c>
      <c r="CS172" s="116">
        <v>0</v>
      </c>
      <c r="CT172" s="116">
        <v>0</v>
      </c>
      <c r="CU172" s="116">
        <v>0</v>
      </c>
      <c r="CV172" s="116">
        <v>0</v>
      </c>
      <c r="CW172" s="116">
        <v>0</v>
      </c>
      <c r="CX172" s="116">
        <v>0</v>
      </c>
      <c r="CY172" s="118" t="str">
        <f>HYPERLINK("https://www.oaoa.com/news/crime_justice/law_enforcement/article_d10919f8-cce7-11e9-ab95-07a8af957bf2.html","1")</f>
        <v>1</v>
      </c>
      <c r="CZ172" s="118" t="str">
        <f>HYPERLINK("https://www.cnn.com/2019/09/02/us/west-texas-shooting-monday/index.html","0")</f>
        <v>0</v>
      </c>
      <c r="DA172" s="105">
        <v>1</v>
      </c>
      <c r="DB172" s="105" t="str">
        <f>HYPERLINK("https://www.cnn.com/2019/09/01/us/odessa-texas-shooting-sunday/index.html","1")</f>
        <v>1</v>
      </c>
      <c r="DC172" s="105" t="str">
        <f>HYPERLINK("https://nypost.com/2019/09/02/texas-spree-shooter-seth-ator-called-cops-fbi-shortly-before-massacre/","0")</f>
        <v>0</v>
      </c>
      <c r="DD172" s="48"/>
      <c r="DE172" s="48"/>
      <c r="DF172" s="48"/>
      <c r="DG172" s="48"/>
      <c r="DH172" s="48"/>
      <c r="DI172" s="48"/>
      <c r="DJ172" s="48"/>
      <c r="DK172" s="48">
        <v>0</v>
      </c>
      <c r="DL172" s="48" t="s">
        <v>100</v>
      </c>
      <c r="DM172" s="105" t="str">
        <f>HYPERLINK("https://www.cnn.com/2019/09/01/us/odessa-texas-shooting-sunday/index.html","0")</f>
        <v>0</v>
      </c>
      <c r="DN172" s="48">
        <v>0</v>
      </c>
      <c r="DO172" s="48" t="s">
        <v>100</v>
      </c>
      <c r="DP172" s="105" t="str">
        <f>HYPERLINK("https://heavy.com/news/2019/09/seth-ator/","0")</f>
        <v>0</v>
      </c>
      <c r="DQ172" s="105" t="str">
        <f>HYPERLINK("https://www.cnn.com/2019/09/01/us/odessa-texas-shooting-sunday/index.html","0")</f>
        <v>0</v>
      </c>
      <c r="DR172" s="48"/>
      <c r="DS172" s="101" t="str">
        <f t="shared" si="469"/>
        <v>1</v>
      </c>
      <c r="DT172" s="105" t="str">
        <f>HYPERLINK("https://www.azcentral.com/story/news/nation/2019/09/01/odessa-midland-shooter-identified-seth-ator-media-reports/2186870001/","1")</f>
        <v>1</v>
      </c>
      <c r="DU172" s="105" t="str">
        <f>HYPERLINK("https://heavy.com/news/2019/09/seth-ator/","0")</f>
        <v>0</v>
      </c>
      <c r="DV172" s="48" t="s">
        <v>100</v>
      </c>
      <c r="DW172" s="105" t="str">
        <f>HYPERLINK("https://heavy.com/news/2019/09/seth-ator/","1")</f>
        <v>1</v>
      </c>
      <c r="DX172" s="105" t="str">
        <f>HYPERLINK("https://www.cnn.com/2019/09/29/us/seth-ator-previous-police-encounter-invs/index.html","0")</f>
        <v>0</v>
      </c>
      <c r="DY172" s="48">
        <v>2</v>
      </c>
      <c r="DZ172" s="48">
        <v>0</v>
      </c>
    </row>
    <row r="173" spans="1:130" ht="50.25" customHeight="1">
      <c r="A173" s="96">
        <v>172</v>
      </c>
      <c r="B173" s="180" t="s">
        <v>889</v>
      </c>
      <c r="C173" s="180" t="s">
        <v>890</v>
      </c>
      <c r="D173" s="98">
        <v>43809</v>
      </c>
      <c r="E173" s="48" t="s">
        <v>203</v>
      </c>
      <c r="F173" s="48">
        <v>10</v>
      </c>
      <c r="G173" s="105" t="str">
        <f t="shared" ref="G173:G174" si="472">HYPERLINK("https://www.cbsnews.com/live-news/jersey-city-shooting-police-officer-shot-live-stream-updates-2019-12-10/","12")</f>
        <v>12</v>
      </c>
      <c r="H173" s="105" t="str">
        <f t="shared" ref="H173:H174" si="473">HYPERLINK("https://www.cbsnews.com/live-news/jersey-city-shooting-police-officer-shot-live-stream-updates-2019-12-10/","2019")</f>
        <v>2019</v>
      </c>
      <c r="I173" s="48" t="s">
        <v>891</v>
      </c>
      <c r="J173" s="105" t="str">
        <f t="shared" ref="J173:J174" si="474">HYPERLINK("https://www.nytimes.com/2019/12/11/nyregion/jersey-city-shooting.html","Jersey City")</f>
        <v>Jersey City</v>
      </c>
      <c r="K173" s="105" t="str">
        <f t="shared" ref="K173:K174" si="475">HYPERLINK("https://www.nytimes.com/2019/12/11/nyregion/jersey-city-shooting.html","NJ")</f>
        <v>NJ</v>
      </c>
      <c r="L173" s="105" t="str">
        <f t="shared" ref="L173:L174" si="476">HYPERLINK("https://www.nytimes.com/2019/12/11/nyregion/jersey-city-shooting.html","2")</f>
        <v>2</v>
      </c>
      <c r="M173" s="105" t="str">
        <f t="shared" ref="M173:M174" si="477">HYPERLINK("https://www.nytimes.com/2019/12/11/nyregion/jersey-city-shooting.html","0")</f>
        <v>0</v>
      </c>
      <c r="N173" s="105" t="str">
        <f t="shared" ref="N173:N174" si="478">HYPERLINK("https://www.nytimes.com/2019/12/11/nyregion/jersey-city-shooting.html","4")</f>
        <v>4</v>
      </c>
      <c r="O173" s="105" t="str">
        <f t="shared" ref="O173:O174" si="479">HYPERLINK("https://www.nytimes.com/2019/12/15/nyregion/jersey-city-shooting-terrorism.html","1")</f>
        <v>1</v>
      </c>
      <c r="P173" s="126" t="str">
        <f>HYPERLINK("https://www.cbsnews.com/live-news/jersey-city-shooting-police-officer-shot-live-stream-updates-2019-12-10/","8")</f>
        <v>8</v>
      </c>
      <c r="Q173" s="103">
        <v>0</v>
      </c>
      <c r="R173" s="103">
        <v>0</v>
      </c>
      <c r="S173" s="105" t="str">
        <f t="shared" ref="S173:S174" si="480">HYPERLINK("https://www.nytimes.com/2019/12/11/nyregion/jersey-city-shooting.html","4")</f>
        <v>4</v>
      </c>
      <c r="T173" s="105" t="str">
        <f t="shared" ref="T173:T174" si="481">HYPERLINK("https://www.nytimes.com/2019/12/11/nyregion/jersey-city-shooting.html","3")</f>
        <v>3</v>
      </c>
      <c r="U173" s="105" t="str">
        <f t="shared" ref="U173:U174" si="482">HYPERLINK("https://www.nytimes.com/2019/12/11/nyregion/jersey-city-shooting.html","0")</f>
        <v>0</v>
      </c>
      <c r="V173" s="105" t="str">
        <f>HYPERLINK("https://www.nytimes.com/2019/12/15/nyregion/jersey-city-shooting-terrorism.html","47")</f>
        <v>47</v>
      </c>
      <c r="W173" s="105" t="str">
        <f>HYPERLINK("https://www.nytimes.com/2019/12/15/nyregion/jersey-city-shooting-terrorism.html","0")</f>
        <v>0</v>
      </c>
      <c r="X173" s="105" t="str">
        <f t="shared" ref="X173:X174" si="483">HYPERLINK("https://www.nydailynews.com/news/national/ny-relatives-describe-jersey-city-kosher-market-killers-20191215-3ttpqk266bhk5krvdvwzr6t7sm-story.html","1")</f>
        <v>1</v>
      </c>
      <c r="Y173" s="48">
        <v>0</v>
      </c>
      <c r="Z173" s="105" t="str">
        <f t="shared" ref="Z173:Z174" si="484">HYPERLINK("https://www.nydailynews.com/news/national/ny-relatives-describe-jersey-city-kosher-market-killers-20191215-3ttpqk266bhk5krvdvwzr6t7sm-story.html","0")</f>
        <v>0</v>
      </c>
      <c r="AA173" s="105" t="str">
        <f t="shared" ref="AA173:AA174" si="485">HYPERLINK("https://www.nytimes.com/2019/12/11/nyregion/jersey-city-shooting.html","5")</f>
        <v>5</v>
      </c>
      <c r="AB173" s="48"/>
      <c r="AC173" s="51"/>
      <c r="AD173" s="51"/>
      <c r="AE173" s="105" t="str">
        <f>HYPERLINK("https://www.nydailynews.com/news/national/ny-relatives-describe-jersey-city-kosher-market-killers-20191215-3ttpqk266bhk5krvdvwzr6t7sm-story.html","3")</f>
        <v>3</v>
      </c>
      <c r="AF173" s="105" t="str">
        <f t="shared" ref="AF173:AG173" si="486">HYPERLINK("https://www.nydailynews.com/news/national/ny-relatives-describe-jersey-city-kosher-market-killers-20191215-3ttpqk266bhk5krvdvwzr6t7sm-story.html","1")</f>
        <v>1</v>
      </c>
      <c r="AG173" s="105" t="str">
        <f t="shared" si="486"/>
        <v>1</v>
      </c>
      <c r="AH173" s="105" t="str">
        <f>HYPERLINK("https://www.nydailynews.com/news/national/ny-relatives-describe-jersey-city-kosher-market-killers-20191215-3ttpqk266bhk5krvdvwzr6t7sm-story.html","0")</f>
        <v>0</v>
      </c>
      <c r="AI173" s="105" t="str">
        <f t="shared" ref="AI173:AI174" si="487">HYPERLINK("https://nypost.com/2019/12/11/jersey-city-shooting-suspects-were-lovers-who-lived-in-a-van/","1")</f>
        <v>1</v>
      </c>
      <c r="AJ173" s="48">
        <v>0</v>
      </c>
      <c r="AK173" s="105" t="str">
        <f>HYPERLINK("https://www.cnn.com/2019/12/12/us/ex-wife-nj-shooter-david-anderson-invs/index.html","0")</f>
        <v>0</v>
      </c>
      <c r="AL173" s="105" t="str">
        <f>HYPERLINK("https://www.nydailynews.com/news/national/ny-relatives-describe-jersey-city-kosher-market-killers-20191215-3ttpqk266bhk5krvdvwzr6t7sm-story.html","0")</f>
        <v>0</v>
      </c>
      <c r="AM173" s="105" t="str">
        <f>HYPERLINK("https://www.nytimes.com/2019/12/15/nyregion/jersey-city-shooting-terrorism.html","1")</f>
        <v>1</v>
      </c>
      <c r="AN173" s="105" t="str">
        <f>HYPERLINK("https://www.nytimes.com/2019/12/15/nyregion/jersey-city-shooting-terrorism.html","0")</f>
        <v>0</v>
      </c>
      <c r="AO173" s="101" t="str">
        <f>HYPERLINK("https://www.nydailynews.com/news/national/ny-relatives-describe-jersey-city-kosher-market-killers-20191215-3ttpqk266bhk5krvdvwzr6t7sm-story.html","0")</f>
        <v>0</v>
      </c>
      <c r="AP173" s="54"/>
      <c r="AQ173" s="105" t="str">
        <f>HYPERLINK("https://www.nytimes.com/2019/12/15/nyregion/jersey-city-shooting-terrorism.html","1")</f>
        <v>1</v>
      </c>
      <c r="AR173" s="105" t="str">
        <f t="shared" ref="AR173:AR174" si="488">HYPERLINK("https://www.nj.com/news/2020/01/jersey-city-kosher-market-shooters-planned-other-attack-on-jewish-center-feds-say.html","1")</f>
        <v>1</v>
      </c>
      <c r="AS173" s="105" t="str">
        <f t="shared" ref="AS173:AT173" si="489">HYPERLINK("https://www.nytimes.com/2019/12/15/nyregion/jersey-city-shooting-terrorism.html","1")</f>
        <v>1</v>
      </c>
      <c r="AT173" s="105" t="str">
        <f t="shared" si="489"/>
        <v>1</v>
      </c>
      <c r="AU173" s="105">
        <v>3</v>
      </c>
      <c r="AV173" s="48"/>
      <c r="AW173" s="48"/>
      <c r="AX173" s="48">
        <v>0</v>
      </c>
      <c r="AY173" s="48">
        <v>0</v>
      </c>
      <c r="AZ173" s="48">
        <v>0</v>
      </c>
      <c r="BA173" s="105" t="str">
        <f>HYPERLINK("https://www.nytimes.com/2019/12/11/nyregion/jersey-city-shooting.html","1")</f>
        <v>1</v>
      </c>
      <c r="BB173" s="51">
        <v>0</v>
      </c>
      <c r="BC173" s="48"/>
      <c r="BD173" s="48"/>
      <c r="BE173" s="105" t="str">
        <f>HYPERLINK("https://www.cnn.com/2019/12/12/us/ex-wife-nj-shooter-david-anderson-invs/index.html","1")</f>
        <v>1</v>
      </c>
      <c r="BF173" s="48"/>
      <c r="BG173" s="105" t="str">
        <f>HYPERLINK("https://www.nydailynews.com/news/national/ny-relatives-describe-jersey-city-kosher-market-killers-20191215-3ttpqk266bhk5krvdvwzr6t7sm-story.html","3")</f>
        <v>3</v>
      </c>
      <c r="BH173" s="48">
        <v>0</v>
      </c>
      <c r="BI173" s="48">
        <v>0</v>
      </c>
      <c r="BJ173" s="105" t="str">
        <f t="shared" ref="BJ173:BJ174" si="490">HYPERLINK("https://www.nydailynews.com/news/national/ny-relatives-describe-jersey-city-kosher-market-killers-20191215-3ttpqk266bhk5krvdvwzr6t7sm-story.html","0")</f>
        <v>0</v>
      </c>
      <c r="BK173" s="116">
        <v>0</v>
      </c>
      <c r="BL173" s="118" t="str">
        <f>HYPERLINK("https://heavy.com/news/2019/12/david-anderson/","1")</f>
        <v>1</v>
      </c>
      <c r="BM173" s="127">
        <v>3</v>
      </c>
      <c r="BN173" s="115" t="s">
        <v>3100</v>
      </c>
      <c r="BO173" s="118">
        <v>0</v>
      </c>
      <c r="BP173" s="116">
        <v>1</v>
      </c>
      <c r="BQ173" s="116">
        <v>0</v>
      </c>
      <c r="BR173" s="116">
        <v>0</v>
      </c>
      <c r="BS173" s="116">
        <v>1</v>
      </c>
      <c r="BT173" s="116">
        <v>1</v>
      </c>
      <c r="BU173" s="118" t="str">
        <f>HYPERLINK("https://heavy.com/news/2019/12/david-anderson/","1")</f>
        <v>1</v>
      </c>
      <c r="BV173" s="118">
        <v>1</v>
      </c>
      <c r="BW173" s="116">
        <v>1</v>
      </c>
      <c r="BX173" s="116">
        <v>0</v>
      </c>
      <c r="BY173" s="105" t="str">
        <f t="shared" ref="BY173:BY174" si="491">HYPERLINK("https://www.nytimes.com/2019/12/11/nyregion/jersey-city-shooting.html","2")</f>
        <v>2</v>
      </c>
      <c r="BZ173" s="48">
        <v>0</v>
      </c>
      <c r="CA173" s="48">
        <v>0</v>
      </c>
      <c r="CB173" s="48" t="s">
        <v>100</v>
      </c>
      <c r="CC173" s="48">
        <v>0</v>
      </c>
      <c r="CD173" s="48" t="s">
        <v>100</v>
      </c>
      <c r="CE173" s="48">
        <v>0</v>
      </c>
      <c r="CF173" s="48">
        <v>0</v>
      </c>
      <c r="CG173" s="48">
        <v>0</v>
      </c>
      <c r="CH173" s="105" t="str">
        <f>HYPERLINK("https://heavy.com/news/2019/12/david-anderson/","3")</f>
        <v>3</v>
      </c>
      <c r="CI173" s="48">
        <v>0</v>
      </c>
      <c r="CJ173" s="51" t="s">
        <v>100</v>
      </c>
      <c r="CK173" s="128">
        <v>1</v>
      </c>
      <c r="CL173" s="128">
        <v>4</v>
      </c>
      <c r="CM173" s="129"/>
      <c r="CN173" s="118" t="str">
        <f t="shared" ref="CN173:CO173" si="492">HYPERLINK("https://www.nytimes.com/2019/12/15/nyregion/jersey-city-shooting-terrorism.html","1")</f>
        <v>1</v>
      </c>
      <c r="CO173" s="118" t="str">
        <f t="shared" si="492"/>
        <v>1</v>
      </c>
      <c r="CP173" s="116">
        <v>0</v>
      </c>
      <c r="CQ173" s="116">
        <v>0</v>
      </c>
      <c r="CR173" s="116">
        <v>0</v>
      </c>
      <c r="CS173" s="116">
        <v>0</v>
      </c>
      <c r="CT173" s="116">
        <v>0</v>
      </c>
      <c r="CU173" s="116">
        <v>0</v>
      </c>
      <c r="CV173" s="116">
        <v>0</v>
      </c>
      <c r="CW173" s="116">
        <v>0</v>
      </c>
      <c r="CX173" s="116">
        <v>0</v>
      </c>
      <c r="CY173" s="116">
        <v>0</v>
      </c>
      <c r="CZ173" s="116">
        <v>0</v>
      </c>
      <c r="DA173" s="48">
        <v>0</v>
      </c>
      <c r="DB173" s="105" t="str">
        <f>HYPERLINK("https://heavy.com/news/2019/12/francine-graham/","1")</f>
        <v>1</v>
      </c>
      <c r="DC173" s="48">
        <v>0</v>
      </c>
      <c r="DD173" s="48"/>
      <c r="DE173" s="48"/>
      <c r="DF173" s="48"/>
      <c r="DG173" s="48"/>
      <c r="DH173" s="48"/>
      <c r="DI173" s="48"/>
      <c r="DJ173" s="105" t="str">
        <f t="shared" ref="DJ173:DJ174" si="493">HYPERLINK("https://www.nj.com/news/2020/01/jersey-city-kosher-market-shooters-planned-other-attack-on-jewish-center-feds-say.html","1")</f>
        <v>1</v>
      </c>
      <c r="DK173" s="48">
        <v>0</v>
      </c>
      <c r="DL173" s="51" t="s">
        <v>100</v>
      </c>
      <c r="DM173" s="105" t="str">
        <f t="shared" ref="DM173:DM174" si="494">HYPERLINK("https://www.nytimes.com/2019/12/15/nyregion/jersey-city-shooting-terrorism.html","1")</f>
        <v>1</v>
      </c>
      <c r="DN173" s="48">
        <v>0</v>
      </c>
      <c r="DO173" s="48" t="s">
        <v>100</v>
      </c>
      <c r="DP173" s="105" t="str">
        <f t="shared" ref="DP173:DP174" si="495">HYPERLINK("https://www.fox29.com/news/officials-nj-kosher-deli-shooters-planned-attack-for-months","1")</f>
        <v>1</v>
      </c>
      <c r="DQ173" s="105" t="str">
        <f t="shared" ref="DQ173:DQ174" si="496">HYPERLINK("https://www.nytimes.com/2019/12/15/nyregion/jersey-city-shooting-terrorism.html","0")</f>
        <v>0</v>
      </c>
      <c r="DR173" s="48"/>
      <c r="DS173" s="101" t="str">
        <f>HYPERLINK("https://www.nytimes.com/2019/12/15/nyregion/jersey-city-shooting-terrorism.html","3")</f>
        <v>3</v>
      </c>
      <c r="DT173" s="105" t="str">
        <f t="shared" ref="DT173:DT174" si="497">HYPERLINK("http://newjersey.news12.com/story/41444962/nj-attorney-general-jersey-city-shooters-had-tremendous-amount-of-firepower-could-have-continued-rampage","5")</f>
        <v>5</v>
      </c>
      <c r="DU173" s="105" t="str">
        <f t="shared" ref="DU173:DU174" si="498">HYPERLINK("https://www.nytimes.com/2019/12/15/nyregion/jersey-city-shooting-terrorism.html","1")</f>
        <v>1</v>
      </c>
      <c r="DV173" s="105" t="str">
        <f t="shared" ref="DV173:DV174" si="499">HYPERLINK("https://www.fox29.com/news/officials-nj-kosher-deli-shooters-planned-attack-for-months","Pipe bomb, homemade silencer, homemade device to catch shell casings, ballistic panels on their van, and body armor")</f>
        <v>Pipe bomb, homemade silencer, homemade device to catch shell casings, ballistic panels on their van, and body armor</v>
      </c>
      <c r="DW173" s="105" t="str">
        <f t="shared" ref="DW173:DW174" si="500">HYPERLINK("https://www.nytimes.com/2019/12/11/nyregion/david-anderson-francine-graham-jersey-city.html","1")</f>
        <v>1</v>
      </c>
      <c r="DX173" s="105" t="str">
        <f t="shared" ref="DX173:DX174" si="501">HYPERLINK("https://www.nytimes.com/2019/12/15/nyregion/jersey-city-shooting-terrorism.html","0")</f>
        <v>0</v>
      </c>
      <c r="DY173" s="105" t="str">
        <f t="shared" ref="DY173:DY174" si="502">HYPERLINK("https://www.nytimes.com/2019/12/15/nyregion/jersey-city-shooting-terrorism.html","2")</f>
        <v>2</v>
      </c>
      <c r="DZ173" s="105" t="str">
        <f t="shared" ref="DZ173:DZ174" si="503">HYPERLINK("https://www.nytimes.com/2019/12/15/nyregion/jersey-city-shooting-terrorism.html","0")</f>
        <v>0</v>
      </c>
    </row>
    <row r="174" spans="1:130" ht="50.25" customHeight="1">
      <c r="A174" s="96">
        <v>173</v>
      </c>
      <c r="B174" s="180" t="s">
        <v>892</v>
      </c>
      <c r="C174" s="180" t="s">
        <v>893</v>
      </c>
      <c r="D174" s="98">
        <v>43809</v>
      </c>
      <c r="E174" s="48" t="s">
        <v>203</v>
      </c>
      <c r="F174" s="48">
        <v>10</v>
      </c>
      <c r="G174" s="105" t="str">
        <f t="shared" si="472"/>
        <v>12</v>
      </c>
      <c r="H174" s="105" t="str">
        <f t="shared" si="473"/>
        <v>2019</v>
      </c>
      <c r="I174" s="48" t="s">
        <v>894</v>
      </c>
      <c r="J174" s="105" t="str">
        <f t="shared" si="474"/>
        <v>Jersey City</v>
      </c>
      <c r="K174" s="105" t="str">
        <f t="shared" si="475"/>
        <v>NJ</v>
      </c>
      <c r="L174" s="105" t="str">
        <f t="shared" si="476"/>
        <v>2</v>
      </c>
      <c r="M174" s="105" t="str">
        <f t="shared" si="477"/>
        <v>0</v>
      </c>
      <c r="N174" s="105" t="str">
        <f t="shared" si="478"/>
        <v>4</v>
      </c>
      <c r="O174" s="105" t="str">
        <f t="shared" si="479"/>
        <v>1</v>
      </c>
      <c r="P174" s="126" t="str">
        <f>HYPERLINK("https://www.cbsnews.com/live-news/jersey-city-shooting-police-officer-shot-live-stream-updates-2019-12-10/","8")</f>
        <v>8</v>
      </c>
      <c r="Q174" s="103">
        <v>0</v>
      </c>
      <c r="R174" s="103">
        <v>0</v>
      </c>
      <c r="S174" s="105" t="str">
        <f t="shared" si="480"/>
        <v>4</v>
      </c>
      <c r="T174" s="105" t="str">
        <f t="shared" si="481"/>
        <v>3</v>
      </c>
      <c r="U174" s="105" t="str">
        <f t="shared" si="482"/>
        <v>0</v>
      </c>
      <c r="V174" s="105" t="str">
        <f>HYPERLINK("https://www.nytimes.com/2019/12/15/nyregion/jersey-city-shooting-terrorism.html","50")</f>
        <v>50</v>
      </c>
      <c r="W174" s="105" t="str">
        <f>HYPERLINK("https://www.nytimes.com/2019/12/15/nyregion/jersey-city-shooting-terrorism.html","1")</f>
        <v>1</v>
      </c>
      <c r="X174" s="105" t="str">
        <f t="shared" si="483"/>
        <v>1</v>
      </c>
      <c r="Y174" s="105" t="str">
        <f>HYPERLINK("https://www.nytimes.com/2019/12/15/nyregion/jersey-city-shooting-terrorism.html","0")</f>
        <v>0</v>
      </c>
      <c r="Z174" s="105" t="str">
        <f t="shared" si="484"/>
        <v>0</v>
      </c>
      <c r="AA174" s="105" t="str">
        <f t="shared" si="485"/>
        <v>5</v>
      </c>
      <c r="AB174" s="48"/>
      <c r="AC174" s="51"/>
      <c r="AD174" s="51"/>
      <c r="AE174" s="48"/>
      <c r="AF174" s="126" t="str">
        <f>HYPERLINK("https://www.nydailynews.com/news/national/ny-relatives-describe-jersey-city-kosher-market-killers-20191215-3ttpqk266bhk5krvdvwzr6t7sm-story.html","2")</f>
        <v>2</v>
      </c>
      <c r="AG174" s="48"/>
      <c r="AH174" s="48"/>
      <c r="AI174" s="105" t="str">
        <f t="shared" si="487"/>
        <v>1</v>
      </c>
      <c r="AJ174" s="48">
        <v>0</v>
      </c>
      <c r="AK174" s="105" t="str">
        <f>HYPERLINK("https://www.nydailynews.com/news/national/ny-relatives-describe-jersey-city-kosher-market-killers-20191215-3ttpqk266bhk5krvdvwzr6t7sm-story.html","0")</f>
        <v>0</v>
      </c>
      <c r="AL174" s="105" t="str">
        <f>HYPERLINK("https://www.nytimes.com/2019/12/15/nyregion/jersey-city-shooting-terrorism.html","2")</f>
        <v>2</v>
      </c>
      <c r="AM174" s="48">
        <v>0</v>
      </c>
      <c r="AN174" s="48" t="s">
        <v>100</v>
      </c>
      <c r="AO174" s="101" t="str">
        <f>HYPERLINK("https://www.cnn.com/2019/12/14/us/jersey-city-shooting-suspect-francine-graham/index.html","3")</f>
        <v>3</v>
      </c>
      <c r="AP174" s="101" t="str">
        <f>HYPERLINK("https://www.cnn.com/2019/12/14/us/jersey-city-shooting-suspect-francine-graham/index.html","formerly very active in neighborhood community")</f>
        <v>formerly very active in neighborhood community</v>
      </c>
      <c r="AQ174" s="181" t="str">
        <f>HYPERLINK("https://www.cnn.com/2019/12/14/us/jersey-city-shooting-suspect-francine-graham/index.html","0")</f>
        <v>0</v>
      </c>
      <c r="AR174" s="105" t="str">
        <f t="shared" si="488"/>
        <v>1</v>
      </c>
      <c r="AS174" s="105" t="str">
        <f>HYPERLINK("https://www.nj.com/news/2020/01/jersey-city-kosher-market-shooters-planned-other-attack-on-jewish-center-feds-say.html","1")</f>
        <v>1</v>
      </c>
      <c r="AT174" s="105" t="str">
        <f>HYPERLINK("https://www.nytimes.com/2019/12/15/nyregion/jersey-city-shooting-terrorism.html","0")</f>
        <v>0</v>
      </c>
      <c r="AU174" s="48" t="s">
        <v>100</v>
      </c>
      <c r="AV174" s="48" t="s">
        <v>100</v>
      </c>
      <c r="AW174" s="48" t="s">
        <v>100</v>
      </c>
      <c r="AX174" s="48">
        <v>0</v>
      </c>
      <c r="AY174" s="48">
        <v>0</v>
      </c>
      <c r="AZ174" s="48">
        <v>0</v>
      </c>
      <c r="BA174" s="105" t="str">
        <f>HYPERLINK("https://nypost.com/2019/12/11/jersey-city-shooting-suspects-were-lovers-who-lived-in-a-van/","1")</f>
        <v>1</v>
      </c>
      <c r="BB174" s="51">
        <v>0</v>
      </c>
      <c r="BC174" s="105" t="str">
        <f>HYPERLINK("https://www.nytimes.com/2019/12/15/nyregion/jersey-city-shooting-terrorism.html","0")</f>
        <v>0</v>
      </c>
      <c r="BD174" s="48"/>
      <c r="BE174" s="105" t="str">
        <f t="shared" ref="BE174:BF174" si="504">HYPERLINK("https://www.cnn.com/2019/12/14/us/jersey-city-shooting-suspect-francine-graham/index.html","0")</f>
        <v>0</v>
      </c>
      <c r="BF174" s="105" t="str">
        <f t="shared" si="504"/>
        <v>0</v>
      </c>
      <c r="BG174" s="48"/>
      <c r="BH174" s="48">
        <v>0</v>
      </c>
      <c r="BI174" s="48">
        <v>0</v>
      </c>
      <c r="BJ174" s="105" t="str">
        <f t="shared" si="490"/>
        <v>0</v>
      </c>
      <c r="BK174" s="48">
        <v>0</v>
      </c>
      <c r="BL174" s="118" t="str">
        <f>HYPERLINK("https://www.nytimes.com/2019/12/11/nyregion/david-anderson-francine-graham-jersey-city.html","1")</f>
        <v>1</v>
      </c>
      <c r="BM174" s="127">
        <v>3</v>
      </c>
      <c r="BN174" s="115" t="s">
        <v>3058</v>
      </c>
      <c r="BO174" s="127">
        <v>1</v>
      </c>
      <c r="BP174" s="116">
        <v>1</v>
      </c>
      <c r="BQ174" s="116">
        <v>0</v>
      </c>
      <c r="BR174" s="116">
        <v>0</v>
      </c>
      <c r="BS174" s="116">
        <v>0</v>
      </c>
      <c r="BT174" s="116">
        <v>0</v>
      </c>
      <c r="BU174" s="116">
        <v>0</v>
      </c>
      <c r="BV174" s="118" t="str">
        <f t="shared" ref="BV174" si="505">HYPERLINK("https://nypost.com/2019/12/11/jersey-city-shooting-suspects-were-lovers-who-lived-in-a-van/","1")</f>
        <v>1</v>
      </c>
      <c r="BW174" s="116">
        <v>0</v>
      </c>
      <c r="BX174" s="116">
        <v>0</v>
      </c>
      <c r="BY174" s="105" t="str">
        <f t="shared" si="491"/>
        <v>2</v>
      </c>
      <c r="BZ174" s="48">
        <v>0</v>
      </c>
      <c r="CA174" s="48">
        <v>0</v>
      </c>
      <c r="CB174" s="48" t="s">
        <v>100</v>
      </c>
      <c r="CC174" s="48">
        <v>0</v>
      </c>
      <c r="CD174" s="48" t="s">
        <v>100</v>
      </c>
      <c r="CE174" s="48">
        <v>0</v>
      </c>
      <c r="CF174" s="48">
        <v>0</v>
      </c>
      <c r="CG174" s="48">
        <v>0</v>
      </c>
      <c r="CH174" s="48">
        <v>0</v>
      </c>
      <c r="CI174" s="105" t="str">
        <f>HYPERLINK("https://www.cnn.com/2019/12/14/us/jersey-city-shooting-suspect-francine-graham/index.html","1")</f>
        <v>1</v>
      </c>
      <c r="CJ174" s="101" t="str">
        <f>HYPERLINK("https://www.cnn.com/2019/12/14/us/jersey-city-shooting-suspect-francine-graham/index.html","back injury")</f>
        <v>back injury</v>
      </c>
      <c r="CK174" s="128">
        <v>1</v>
      </c>
      <c r="CL174" s="128">
        <v>4</v>
      </c>
      <c r="CM174" s="129"/>
      <c r="CN174" s="118" t="str">
        <f t="shared" ref="CN174:CO174" si="506">HYPERLINK("https://www.nytimes.com/2019/12/15/nyregion/jersey-city-shooting-terrorism.html","1")</f>
        <v>1</v>
      </c>
      <c r="CO174" s="118" t="str">
        <f t="shared" si="506"/>
        <v>1</v>
      </c>
      <c r="CP174" s="116">
        <v>0</v>
      </c>
      <c r="CQ174" s="116">
        <v>0</v>
      </c>
      <c r="CR174" s="116">
        <v>0</v>
      </c>
      <c r="CS174" s="116">
        <v>0</v>
      </c>
      <c r="CT174" s="116">
        <v>0</v>
      </c>
      <c r="CU174" s="116">
        <v>0</v>
      </c>
      <c r="CV174" s="116">
        <v>0</v>
      </c>
      <c r="CW174" s="116">
        <v>0</v>
      </c>
      <c r="CX174" s="116">
        <v>0</v>
      </c>
      <c r="CY174" s="116">
        <v>0</v>
      </c>
      <c r="CZ174" s="116">
        <v>0</v>
      </c>
      <c r="DA174" s="48">
        <v>0</v>
      </c>
      <c r="DB174" s="105" t="str">
        <f>HYPERLINK("https://www.nbcnewyork.com/news/local/jersey-city-shootout-developing-details-3-2/2239660/","0")</f>
        <v>0</v>
      </c>
      <c r="DC174" s="48">
        <v>0</v>
      </c>
      <c r="DD174" s="48"/>
      <c r="DE174" s="48"/>
      <c r="DF174" s="48"/>
      <c r="DG174" s="48"/>
      <c r="DH174" s="48"/>
      <c r="DI174" s="48"/>
      <c r="DJ174" s="105" t="str">
        <f t="shared" si="493"/>
        <v>1</v>
      </c>
      <c r="DK174" s="48">
        <v>0</v>
      </c>
      <c r="DL174" s="51" t="s">
        <v>100</v>
      </c>
      <c r="DM174" s="105" t="str">
        <f t="shared" si="494"/>
        <v>1</v>
      </c>
      <c r="DN174" s="48">
        <v>0</v>
      </c>
      <c r="DO174" s="48" t="s">
        <v>100</v>
      </c>
      <c r="DP174" s="105" t="str">
        <f t="shared" si="495"/>
        <v>1</v>
      </c>
      <c r="DQ174" s="105" t="str">
        <f t="shared" si="496"/>
        <v>0</v>
      </c>
      <c r="DR174" s="105" t="str">
        <f>HYPERLINK("https://www.nytimes.com/2019/12/15/nyregion/jersey-city-shooting-terrorism.html","0")</f>
        <v>0</v>
      </c>
      <c r="DS174" s="101" t="str">
        <f>HYPERLINK("https://www.nj.com/news/2020/01/jersey-city-kosher-market-shooters-planned-other-attack-on-jewish-center-feds-say.html","1")</f>
        <v>1</v>
      </c>
      <c r="DT174" s="105" t="str">
        <f t="shared" si="497"/>
        <v>5</v>
      </c>
      <c r="DU174" s="105" t="str">
        <f t="shared" si="498"/>
        <v>1</v>
      </c>
      <c r="DV174" s="105" t="str">
        <f t="shared" si="499"/>
        <v>Pipe bomb, homemade silencer, homemade device to catch shell casings, ballistic panels on their van, and body armor</v>
      </c>
      <c r="DW174" s="105" t="str">
        <f t="shared" si="500"/>
        <v>1</v>
      </c>
      <c r="DX174" s="105" t="str">
        <f t="shared" si="501"/>
        <v>0</v>
      </c>
      <c r="DY174" s="105" t="str">
        <f t="shared" si="502"/>
        <v>2</v>
      </c>
      <c r="DZ174" s="105" t="str">
        <f t="shared" si="503"/>
        <v>0</v>
      </c>
    </row>
    <row r="175" spans="1:130" ht="50.25" customHeight="1">
      <c r="A175" s="96">
        <v>174</v>
      </c>
      <c r="B175" s="180" t="s">
        <v>895</v>
      </c>
      <c r="C175" s="180" t="s">
        <v>481</v>
      </c>
      <c r="D175" s="98">
        <v>43887</v>
      </c>
      <c r="E175" s="48" t="s">
        <v>123</v>
      </c>
      <c r="F175" s="48">
        <v>26</v>
      </c>
      <c r="G175" s="105" t="str">
        <f>HYPERLINK("https://www.nytimes.com/2020/02/27/us/molson-coors-milwaukee-shooting.html","2")</f>
        <v>2</v>
      </c>
      <c r="H175" s="105" t="str">
        <f>HYPERLINK("https://www.nytimes.com/2020/02/27/us/molson-coors-milwaukee-shooting.html","2020")</f>
        <v>2020</v>
      </c>
      <c r="I175" s="105" t="str">
        <f>HYPERLINK("https://www.jsonline.com/story/news/crime/2020/03/03/milwaukee-molson-coors-shooting-facts-behind-racism-noose-rumors/4934728002/?utm_source=oembed&amp;utm_medium=onsite&amp;utm_campaign=storylines&amp;utm_content=news&amp;utm_term=4893028002","4115 W. State Street, Milwaukee, WI 53208")</f>
        <v>4115 W. State Street, Milwaukee, WI 53208</v>
      </c>
      <c r="J175" s="105" t="str">
        <f>HYPERLINK("https://www.nytimes.com/2020/02/27/us/molson-coors-milwaukee-shooting.html","Milwaukee")</f>
        <v>Milwaukee</v>
      </c>
      <c r="K175" s="105" t="str">
        <f>HYPERLINK("https://heavy.com/news/2020/02/anthony-ferrill/","WI")</f>
        <v>WI</v>
      </c>
      <c r="L175" s="105" t="str">
        <f>HYPERLINK("https://heavy.com/news/2020/02/anthony-ferrill/","1")</f>
        <v>1</v>
      </c>
      <c r="M175" s="105" t="str">
        <f>HYPERLINK("https://www.nytimes.com/2020/02/27/us/molson-coors-milwaukee-shooting.html","0")</f>
        <v>0</v>
      </c>
      <c r="N175" s="105" t="str">
        <f>HYPERLINK("https://www.nytimes.com/2020/02/27/us/molson-coors-milwaukee-shooting.html","6")</f>
        <v>6</v>
      </c>
      <c r="O175" s="105" t="str">
        <f>HYPERLINK("https://www.usatoday.com/story/news/nation/2020/03/02/milwaukee-molson-coors-shooting-miller-brewery-anthony-ferrill/4928061002/","0")</f>
        <v>0</v>
      </c>
      <c r="P175" s="48" t="s">
        <v>100</v>
      </c>
      <c r="Q175" s="103">
        <v>0</v>
      </c>
      <c r="R175" s="103">
        <v>0</v>
      </c>
      <c r="S175" s="105" t="str">
        <f>HYPERLINK("https://www.cnn.com/2020/02/27/us/milwaukee-molson-coors-shooting-thursday/index.html","5")</f>
        <v>5</v>
      </c>
      <c r="T175" s="105" t="str">
        <f>HYPERLINK("https://heavy.com/news/2020/02/anthony-ferrill/","0")</f>
        <v>0</v>
      </c>
      <c r="U175" s="105" t="str">
        <f>HYPERLINK("https://www.usatoday.com/story/news/nation/2020/03/02/milwaukee-molson-coors-shooting-miller-brewery-anthony-ferrill/4928061002/","0")</f>
        <v>0</v>
      </c>
      <c r="V175" s="105" t="str">
        <f>HYPERLINK("https://www.nytimes.com/2020/02/27/us/molson-coors-milwaukee-shooting.html","51")</f>
        <v>51</v>
      </c>
      <c r="W175" s="105" t="str">
        <f>HYPERLINK("https://www.nytimes.com/2020/02/27/us/molson-coors-milwaukee-shooting.html","0")</f>
        <v>0</v>
      </c>
      <c r="X175" s="105" t="str">
        <f>HYPERLINK("https://www.washingtonpost.com/national/noose-found-on-gunmans-locker-at-milwaukee-coors-facility-years-before-deadly-shooting/2020/03/04/9ac61d6a-5b75-11ea-ab68-101ecfec2532_story.html","1")</f>
        <v>1</v>
      </c>
      <c r="Y175" s="48">
        <v>0</v>
      </c>
      <c r="Z175" s="105" t="str">
        <f>HYPERLINK("https://www.washingtonpost.com/national/noose-found-on-gunmans-locker-at-milwaukee-coors-facility-years-before-deadly-shooting/2020/03/04/9ac61d6a-5b75-11ea-ab68-101ecfec2532_story.html","0")</f>
        <v>0</v>
      </c>
      <c r="AA175" s="48"/>
      <c r="AB175" s="105" t="str">
        <f>HYPERLINK("https://www.msn.com/en-us/sports/more-sports/miller-shooter-anthony-ferrill-worked-as-an-electrician-at-the-milwaukee-molson-coors-plant-for-more-than-20-years/ar-BB10u2MM","2")</f>
        <v>2</v>
      </c>
      <c r="AC175" s="51"/>
      <c r="AD175" s="51"/>
      <c r="AE175" s="48"/>
      <c r="AF175" s="133" t="str">
        <f>HYPERLINK("https://www.nytimes.com/2020/02/27/us/molson-coors-milwaukee-shooting.html","2")</f>
        <v>2</v>
      </c>
      <c r="AG175" s="48"/>
      <c r="AH175" s="48"/>
      <c r="AI175" s="105" t="str">
        <f>HYPERLINK("https://www.washingtonpost.com/national/noose-found-on-gunmans-locker-at-milwaukee-coors-facility-years-before-deadly-shooting/2020/03/04/9ac61d6a-5b75-11ea-ab68-101ecfec2532_story.html","2")</f>
        <v>2</v>
      </c>
      <c r="AJ175" s="105" t="str">
        <f>HYPERLINK("https://www.washingtonpost.com/national/noose-found-on-gunmans-locker-at-milwaukee-coors-facility-years-before-deadly-shooting/2020/03/04/9ac61d6a-5b75-11ea-ab68-101ecfec2532_story.html","1")</f>
        <v>1</v>
      </c>
      <c r="AK175" s="105" t="str">
        <f>HYPERLINK("https://www.jsonline.com/story/news/crime/2020/03/03/milwaukee-molson-coors-shooting-facts-behind-racism-noose-rumors/4934728002/?utm_source=oembed&amp;utm_medium=onsite&amp;utm_campaign=storylines&amp;utm_content=news&amp;utm_term=4893028002","1")</f>
        <v>1</v>
      </c>
      <c r="AL175" s="105" t="str">
        <f>HYPERLINK("https://www.nytimes.com/2020/02/27/us/molson-coors-milwaukee-shooting.html","0")</f>
        <v>0</v>
      </c>
      <c r="AM175" s="105" t="str">
        <f>HYPERLINK("https://heavy.com/news/2020/02/anthony-ferrill/","1")</f>
        <v>1</v>
      </c>
      <c r="AN175" s="105" t="str">
        <f>HYPERLINK("https://heavy.com/news/2020/02/anthony-ferrill/","4")</f>
        <v>4</v>
      </c>
      <c r="AO175" s="101" t="str">
        <f>HYPERLINK("https://fox40.com/news/national-and-world-news/milwaukee-police-id-brewery-shooter-as-15-year-electrician/","1")</f>
        <v>1</v>
      </c>
      <c r="AP175" s="101" t="str">
        <f>HYPERLINK("https://fox40.com/news/national-and-world-news/milwaukee-police-id-brewery-shooter-as-15-year-electrician/","helpful in neighborhood community")</f>
        <v>helpful in neighborhood community</v>
      </c>
      <c r="AQ175" s="105" t="str">
        <f>HYPERLINK("https://apnews.com/c5d64fb2550a715629ac692ae1c700b3","1")</f>
        <v>1</v>
      </c>
      <c r="AR175" s="48">
        <v>0</v>
      </c>
      <c r="AS175" s="105" t="str">
        <f>HYPERLINK("https://apnews.com/c5d64fb2550a715629ac692ae1c700b3","1")</f>
        <v>1</v>
      </c>
      <c r="AT175" s="105" t="str">
        <f>HYPERLINK("https://www.jsonline.com/story/news/politics/2020/02/28/milwaukee-molson-coors-shooting-gwen-moore-says-victim-old-friend/4902693002/","1")</f>
        <v>1</v>
      </c>
      <c r="AU175" s="105">
        <v>1</v>
      </c>
      <c r="AV175" s="48"/>
      <c r="AW175" s="48"/>
      <c r="AX175" s="48">
        <v>0</v>
      </c>
      <c r="AY175" s="48">
        <v>0</v>
      </c>
      <c r="AZ175" s="48">
        <v>0</v>
      </c>
      <c r="BA175" s="48">
        <v>0</v>
      </c>
      <c r="BB175" s="51">
        <v>0</v>
      </c>
      <c r="BC175" s="105" t="str">
        <f>HYPERLINK("https://www.jsonline.com/story/news/2020/02/27/milwaukee-miller-coors-shooting-anthony-ferrill-identified-molsoncoors-gunman-shooter/4891164002/","0")</f>
        <v>0</v>
      </c>
      <c r="BD175" s="105" t="str">
        <f>HYPERLINK("https://www.washingtonpost.com/national/noose-found-on-gunmans-locker-at-milwaukee-coors-facility-years-before-deadly-shooting/2020/03/04/9ac61d6a-5b75-11ea-ab68-101ecfec2532_story.html","1")</f>
        <v>1</v>
      </c>
      <c r="BE175" s="48"/>
      <c r="BF175" s="48"/>
      <c r="BG175" s="48"/>
      <c r="BH175" s="48"/>
      <c r="BI175" s="105" t="str">
        <f>HYPERLINK("https://apnews.com/c5d64fb2550a715629ac692ae1c700b3","1")</f>
        <v>1</v>
      </c>
      <c r="BJ175" s="105" t="str">
        <f>HYPERLINK("https://www.washingtonpost.com/national/noose-found-on-gunmans-locker-at-milwaukee-coors-facility-years-before-deadly-shooting/2020/03/04/9ac61d6a-5b75-11ea-ab68-101ecfec2532_story.html","0")</f>
        <v>0</v>
      </c>
      <c r="BK175" s="118" t="str">
        <f>HYPERLINK("https://www.jsonline.com/story/news/crime/2020/03/03/milwaukee-molson-coors-shooting-facts-behind-racism-noose-rumors/4934728002/?utm_source=oembed&amp;utm_medium=onsite&amp;utm_campaign=storylines&amp;utm_content=news&amp;utm_term=4893028002","0")</f>
        <v>0</v>
      </c>
      <c r="BL175" s="118" t="str">
        <f>HYPERLINK("https://www.jsonline.com/story/news/politics/2020/02/28/milwaukee-molson-coors-shooting-gwen-moore-says-victim-old-friend/4902693002/","1")</f>
        <v>1</v>
      </c>
      <c r="BM175" s="118">
        <v>3</v>
      </c>
      <c r="BN175" s="110" t="s">
        <v>3101</v>
      </c>
      <c r="BO175" s="116">
        <v>1</v>
      </c>
      <c r="BP175" s="116">
        <v>0</v>
      </c>
      <c r="BQ175" s="116">
        <v>0</v>
      </c>
      <c r="BR175" s="116">
        <v>0</v>
      </c>
      <c r="BS175" s="116">
        <v>0</v>
      </c>
      <c r="BT175" s="116">
        <v>1</v>
      </c>
      <c r="BU175" s="116">
        <v>0</v>
      </c>
      <c r="BV175" s="116">
        <v>0</v>
      </c>
      <c r="BW175" s="116">
        <v>0</v>
      </c>
      <c r="BX175" s="116">
        <v>1</v>
      </c>
      <c r="BY175" s="105" t="str">
        <f>HYPERLINK("https://apnews.com/c5d64fb2550a715629ac692ae1c700b3","2")</f>
        <v>2</v>
      </c>
      <c r="BZ175" s="48">
        <v>0</v>
      </c>
      <c r="CA175" s="48">
        <v>0</v>
      </c>
      <c r="CB175" s="48" t="s">
        <v>100</v>
      </c>
      <c r="CC175" s="48">
        <v>0</v>
      </c>
      <c r="CD175" s="48" t="s">
        <v>100</v>
      </c>
      <c r="CE175" s="105">
        <v>5</v>
      </c>
      <c r="CF175" s="48">
        <v>0</v>
      </c>
      <c r="CG175" s="48">
        <v>0</v>
      </c>
      <c r="CH175" s="105" t="str">
        <f t="shared" ref="CH175:CI175" si="507">HYPERLINK("https://www.washingtonpost.com/national/noose-found-on-gunmans-locker-at-milwaukee-coors-facility-years-before-deadly-shooting/2020/03/04/9ac61d6a-5b75-11ea-ab68-101ecfec2532_story.html","1")</f>
        <v>1</v>
      </c>
      <c r="CI175" s="105" t="str">
        <f t="shared" si="507"/>
        <v>1</v>
      </c>
      <c r="CJ175" s="123" t="str">
        <f>HYPERLINK("https://apnews.com/c5d64fb2550a715629ac692ae1c700b3","chronic back pain, rotator cuff injury at work")</f>
        <v>chronic back pain, rotator cuff injury at work</v>
      </c>
      <c r="CK175" s="132">
        <v>0</v>
      </c>
      <c r="CL175" s="132"/>
      <c r="CM175" s="132"/>
      <c r="CN175" s="111">
        <v>0</v>
      </c>
      <c r="CO175" s="111">
        <v>0</v>
      </c>
      <c r="CP175" s="111">
        <v>0</v>
      </c>
      <c r="CQ175" s="111">
        <v>0</v>
      </c>
      <c r="CR175" s="147" t="str">
        <f>HYPERLINK("https://www.jsonline.com/story/news/crime/2020/03/03/milwaukee-molson-coors-shooting-facts-behind-racism-noose-rumors/4934728002/?utm_source=oembed&amp;utm_medium=onsite&amp;utm_campaign=storylines&amp;utm_content=news&amp;utm_term=4893028002","0")</f>
        <v>0</v>
      </c>
      <c r="CS175" s="111">
        <v>0</v>
      </c>
      <c r="CT175" s="111">
        <v>0</v>
      </c>
      <c r="CU175" s="111">
        <v>0</v>
      </c>
      <c r="CV175" s="151">
        <v>1</v>
      </c>
      <c r="CW175" s="111">
        <v>0</v>
      </c>
      <c r="CX175" s="111">
        <v>0</v>
      </c>
      <c r="CY175" s="147" t="str">
        <f>HYPERLINK("https://cbs12.com/news/nation-world/milwaukee-police-search-house-in-wake-of-brewery-shooting","1")</f>
        <v>1</v>
      </c>
      <c r="CZ175" s="147" t="str">
        <f>HYPERLINK("https://www.palmbeachpost.com/zz/news/20200227/shooter-at-milwaukee-molson-coors-had-long-running-dispute-with-co-worker","0")</f>
        <v>0</v>
      </c>
      <c r="DA175" s="105">
        <v>1</v>
      </c>
      <c r="DB175" s="48">
        <v>0</v>
      </c>
      <c r="DC175" s="48">
        <v>0</v>
      </c>
      <c r="DD175" s="48"/>
      <c r="DE175" s="48"/>
      <c r="DF175" s="48"/>
      <c r="DG175" s="48"/>
      <c r="DH175" s="48"/>
      <c r="DI175" s="48"/>
      <c r="DJ175" s="48">
        <v>0</v>
      </c>
      <c r="DK175" s="48">
        <v>0</v>
      </c>
      <c r="DL175" s="51" t="s">
        <v>100</v>
      </c>
      <c r="DM175" s="105" t="str">
        <f>HYPERLINK("https://fox11online.com/news/state/chief-mental-health-likely-motive-for-brewery-shooting","0")</f>
        <v>0</v>
      </c>
      <c r="DN175" s="48">
        <v>0</v>
      </c>
      <c r="DO175" s="48" t="s">
        <v>100</v>
      </c>
      <c r="DP175" s="48"/>
      <c r="DQ175" s="105" t="str">
        <f>HYPERLINK("https://www.jsonline.com/story/news/crime/2020/03/03/milwaukee-molson-coors-shooting-facts-behind-racism-noose-rumors/4934728002/?utm_source=oembed&amp;utm_medium=onsite&amp;utm_campaign=storylines&amp;utm_content=news&amp;utm_term=4893028002","0")</f>
        <v>0</v>
      </c>
      <c r="DR175" s="105" t="str">
        <f>HYPERLINK("https://nypost.com/2020/02/28/milwaukee-coors-brewery-shooter-anthony-ferrill-reportedly-built-his-own-guns/","1")</f>
        <v>1</v>
      </c>
      <c r="DS175" s="101" t="str">
        <f>HYPERLINK("https://nypost.com/2020/02/28/milwaukee-coors-brewery-shooter-anthony-ferrill-reportedly-built-his-own-guns/","2")</f>
        <v>2</v>
      </c>
      <c r="DT175" s="105" t="str">
        <f>HYPERLINK("https://heavy.com/news/2020/02/anthony-ferrill/","2")</f>
        <v>2</v>
      </c>
      <c r="DU175" s="105" t="str">
        <f>HYPERLINK("https://heavy.com/news/2020/02/anthony-ferrill/","1")</f>
        <v>1</v>
      </c>
      <c r="DV175" s="105" t="str">
        <f>HYPERLINK("https://heavy.com/news/2020/02/anthony-ferrill/","silencer")</f>
        <v>silencer</v>
      </c>
      <c r="DW175" s="105" t="str">
        <f t="shared" ref="DW175:DX175" si="508">HYPERLINK("https://abcnews.go.com/US/gunman-killed-millercoors-brewery-identified-51-year-employee/story?id=69255231","0")</f>
        <v>0</v>
      </c>
      <c r="DX175" s="105" t="str">
        <f t="shared" si="508"/>
        <v>0</v>
      </c>
      <c r="DY175" s="105" t="str">
        <f>HYPERLINK("https://abcnews.go.com/US/gunman-killed-millercoors-brewery-identified-51-year-employee/story?id=69255231","2")</f>
        <v>2</v>
      </c>
      <c r="DZ175" s="105" t="str">
        <f>HYPERLINK("https://abcnews.go.com/US/gunman-killed-millercoors-brewery-identified-51-year-employee/story?id=69255231","0")</f>
        <v>0</v>
      </c>
    </row>
    <row r="176" spans="1:130" ht="50.25" customHeight="1">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51"/>
      <c r="AP176" s="51"/>
      <c r="AQ176" s="48"/>
      <c r="AR176" s="48"/>
      <c r="AS176" s="48"/>
      <c r="AT176" s="48"/>
      <c r="AU176" s="48"/>
      <c r="AV176" s="48"/>
      <c r="AW176" s="48"/>
      <c r="AX176" s="48"/>
      <c r="AY176" s="48"/>
      <c r="AZ176" s="48"/>
      <c r="BA176" s="48"/>
      <c r="BB176" s="51"/>
      <c r="BC176" s="48"/>
      <c r="BD176" s="48"/>
      <c r="BE176" s="48"/>
      <c r="BF176" s="48"/>
      <c r="BG176" s="48"/>
      <c r="BH176" s="48"/>
      <c r="BI176" s="48"/>
      <c r="BJ176" s="48"/>
      <c r="BK176" s="48"/>
      <c r="BL176" s="116"/>
      <c r="BM176" s="116"/>
      <c r="BN176" s="51"/>
      <c r="BO176" s="48"/>
      <c r="BP176" s="48"/>
      <c r="BQ176" s="48"/>
      <c r="BR176" s="48"/>
      <c r="BS176" s="48"/>
      <c r="BT176" s="48"/>
      <c r="BU176" s="48"/>
      <c r="BV176" s="48"/>
      <c r="BW176" s="48"/>
      <c r="BX176" s="48"/>
      <c r="BY176" s="48"/>
      <c r="BZ176" s="48"/>
      <c r="CA176" s="48"/>
      <c r="CB176" s="48"/>
      <c r="CC176" s="48"/>
      <c r="CD176" s="52"/>
      <c r="CE176" s="48"/>
      <c r="CF176" s="48"/>
      <c r="CG176" s="48"/>
      <c r="CH176" s="48"/>
      <c r="CI176" s="48"/>
      <c r="CJ176" s="51"/>
      <c r="CK176" s="129"/>
      <c r="CL176" s="129"/>
      <c r="CM176" s="129"/>
      <c r="CN176" s="116"/>
      <c r="CO176" s="116"/>
      <c r="CP176" s="116"/>
      <c r="CQ176" s="116"/>
      <c r="CR176" s="116"/>
      <c r="CS176" s="116"/>
      <c r="CT176" s="116"/>
      <c r="CU176" s="116"/>
      <c r="CV176" s="116"/>
      <c r="CW176" s="116"/>
      <c r="CX176" s="116"/>
      <c r="CY176" s="116"/>
      <c r="CZ176" s="116"/>
      <c r="DA176" s="48"/>
      <c r="DB176" s="48"/>
      <c r="DC176" s="48"/>
      <c r="DD176" s="54"/>
      <c r="DE176" s="54"/>
      <c r="DF176" s="54"/>
      <c r="DG176" s="54"/>
      <c r="DH176" s="54"/>
      <c r="DI176" s="54"/>
      <c r="DJ176" s="48"/>
      <c r="DK176" s="48"/>
      <c r="DL176" s="51"/>
      <c r="DM176" s="48"/>
      <c r="DN176" s="52"/>
      <c r="DO176" s="52"/>
      <c r="DP176" s="48"/>
      <c r="DQ176" s="48"/>
      <c r="DR176" s="48"/>
      <c r="DS176" s="51"/>
      <c r="DT176" s="48"/>
      <c r="DU176" s="48"/>
      <c r="DV176" s="48"/>
      <c r="DW176" s="48"/>
      <c r="DX176" s="48"/>
      <c r="DY176" s="48"/>
      <c r="DZ176" s="48"/>
    </row>
    <row r="177" spans="1:130" ht="50.25" customHeight="1">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51"/>
      <c r="AP177" s="51"/>
      <c r="AQ177" s="48"/>
      <c r="AR177" s="48"/>
      <c r="AS177" s="48"/>
      <c r="AT177" s="48"/>
      <c r="AU177" s="48"/>
      <c r="AV177" s="48"/>
      <c r="AW177" s="48"/>
      <c r="AX177" s="48"/>
      <c r="AY177" s="48"/>
      <c r="AZ177" s="48"/>
      <c r="BA177" s="48"/>
      <c r="BB177" s="51"/>
      <c r="BC177" s="48"/>
      <c r="BD177" s="48"/>
      <c r="BE177" s="48"/>
      <c r="BF177" s="48"/>
      <c r="BG177" s="48"/>
      <c r="BH177" s="48"/>
      <c r="BI177" s="48"/>
      <c r="BJ177" s="48"/>
      <c r="BK177" s="48"/>
      <c r="BL177" s="116"/>
      <c r="BM177" s="116"/>
      <c r="BN177" s="51"/>
      <c r="BO177" s="48"/>
      <c r="BP177" s="48"/>
      <c r="BQ177" s="48"/>
      <c r="BR177" s="48"/>
      <c r="BS177" s="48"/>
      <c r="BT177" s="48"/>
      <c r="BU177" s="48"/>
      <c r="BV177" s="48"/>
      <c r="BW177" s="48"/>
      <c r="BX177" s="48"/>
      <c r="BY177" s="48"/>
      <c r="BZ177" s="48"/>
      <c r="CA177" s="48"/>
      <c r="CB177" s="48"/>
      <c r="CC177" s="48"/>
      <c r="CD177" s="52"/>
      <c r="CE177" s="48"/>
      <c r="CF177" s="48"/>
      <c r="CG177" s="48"/>
      <c r="CH177" s="48"/>
      <c r="CI177" s="48"/>
      <c r="CJ177" s="51"/>
      <c r="CK177" s="129"/>
      <c r="CL177" s="129"/>
      <c r="CM177" s="129"/>
      <c r="CN177" s="116"/>
      <c r="CO177" s="116"/>
      <c r="CP177" s="116"/>
      <c r="CQ177" s="116"/>
      <c r="CR177" s="116"/>
      <c r="CS177" s="116"/>
      <c r="CT177" s="116"/>
      <c r="CU177" s="116"/>
      <c r="CV177" s="116"/>
      <c r="CW177" s="116"/>
      <c r="CX177" s="116"/>
      <c r="CY177" s="116"/>
      <c r="CZ177" s="116"/>
      <c r="DA177" s="48"/>
      <c r="DB177" s="48"/>
      <c r="DC177" s="48"/>
      <c r="DD177" s="54"/>
      <c r="DE177" s="54"/>
      <c r="DF177" s="54"/>
      <c r="DG177" s="54"/>
      <c r="DH177" s="54"/>
      <c r="DI177" s="54"/>
      <c r="DJ177" s="48"/>
      <c r="DK177" s="48"/>
      <c r="DL177" s="51"/>
      <c r="DM177" s="48"/>
      <c r="DN177" s="52"/>
      <c r="DO177" s="52"/>
      <c r="DP177" s="48"/>
      <c r="DQ177" s="48"/>
      <c r="DR177" s="48"/>
      <c r="DS177" s="51"/>
      <c r="DT177" s="48"/>
      <c r="DU177" s="48"/>
      <c r="DV177" s="48"/>
      <c r="DW177" s="48"/>
      <c r="DX177" s="48"/>
      <c r="DY177" s="48"/>
      <c r="DZ177" s="48"/>
    </row>
    <row r="178" spans="1:130" ht="50.25" customHeight="1">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51"/>
      <c r="AP178" s="51"/>
      <c r="AQ178" s="48"/>
      <c r="AR178" s="48"/>
      <c r="AS178" s="48"/>
      <c r="AT178" s="48"/>
      <c r="AU178" s="48"/>
      <c r="AV178" s="48"/>
      <c r="AW178" s="48"/>
      <c r="AX178" s="48"/>
      <c r="AY178" s="48"/>
      <c r="AZ178" s="48"/>
      <c r="BA178" s="48"/>
      <c r="BB178" s="51"/>
      <c r="BC178" s="48"/>
      <c r="BD178" s="48"/>
      <c r="BE178" s="48"/>
      <c r="BF178" s="48"/>
      <c r="BG178" s="48"/>
      <c r="BH178" s="48"/>
      <c r="BI178" s="48"/>
      <c r="BJ178" s="48"/>
      <c r="BK178" s="48"/>
      <c r="BL178" s="116"/>
      <c r="BM178" s="116"/>
      <c r="BN178" s="51"/>
      <c r="BO178" s="48"/>
      <c r="BP178" s="48"/>
      <c r="BQ178" s="48"/>
      <c r="BR178" s="48"/>
      <c r="BS178" s="48"/>
      <c r="BT178" s="48"/>
      <c r="BU178" s="48"/>
      <c r="BV178" s="48"/>
      <c r="BW178" s="48"/>
      <c r="BX178" s="48"/>
      <c r="BY178" s="48"/>
      <c r="BZ178" s="48"/>
      <c r="CA178" s="48"/>
      <c r="CB178" s="48"/>
      <c r="CC178" s="48"/>
      <c r="CD178" s="52"/>
      <c r="CE178" s="48"/>
      <c r="CF178" s="48"/>
      <c r="CG178" s="48"/>
      <c r="CH178" s="48"/>
      <c r="CI178" s="48"/>
      <c r="CJ178" s="51"/>
      <c r="CK178" s="129"/>
      <c r="CL178" s="129"/>
      <c r="CM178" s="129"/>
      <c r="CN178" s="116"/>
      <c r="CO178" s="116"/>
      <c r="CP178" s="116"/>
      <c r="CQ178" s="116"/>
      <c r="CR178" s="116"/>
      <c r="CS178" s="116"/>
      <c r="CT178" s="116"/>
      <c r="CU178" s="116"/>
      <c r="CV178" s="116"/>
      <c r="CW178" s="116"/>
      <c r="CX178" s="116"/>
      <c r="CY178" s="116"/>
      <c r="CZ178" s="116"/>
      <c r="DA178" s="48"/>
      <c r="DB178" s="48"/>
      <c r="DC178" s="48"/>
      <c r="DD178" s="54"/>
      <c r="DE178" s="54"/>
      <c r="DF178" s="54"/>
      <c r="DG178" s="54"/>
      <c r="DH178" s="54"/>
      <c r="DI178" s="54"/>
      <c r="DJ178" s="48"/>
      <c r="DK178" s="48"/>
      <c r="DL178" s="51"/>
      <c r="DM178" s="48"/>
      <c r="DN178" s="52"/>
      <c r="DO178" s="52"/>
      <c r="DP178" s="48"/>
      <c r="DQ178" s="48"/>
      <c r="DR178" s="48"/>
      <c r="DS178" s="51"/>
      <c r="DT178" s="48"/>
      <c r="DU178" s="48"/>
      <c r="DV178" s="48"/>
      <c r="DW178" s="48"/>
      <c r="DX178" s="48"/>
      <c r="DY178" s="48"/>
      <c r="DZ178" s="48"/>
    </row>
    <row r="179" spans="1:130" ht="50.25" customHeight="1">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51"/>
      <c r="AP179" s="51"/>
      <c r="AQ179" s="48"/>
      <c r="AR179" s="48"/>
      <c r="AS179" s="48"/>
      <c r="AT179" s="48"/>
      <c r="AU179" s="48"/>
      <c r="AV179" s="48"/>
      <c r="AW179" s="48"/>
      <c r="AX179" s="48"/>
      <c r="AY179" s="48"/>
      <c r="AZ179" s="48"/>
      <c r="BA179" s="48"/>
      <c r="BB179" s="51"/>
      <c r="BC179" s="48"/>
      <c r="BD179" s="48"/>
      <c r="BE179" s="48"/>
      <c r="BF179" s="48"/>
      <c r="BG179" s="48"/>
      <c r="BH179" s="48"/>
      <c r="BI179" s="48"/>
      <c r="BJ179" s="48"/>
      <c r="BK179" s="48"/>
      <c r="BL179" s="116"/>
      <c r="BM179" s="116"/>
      <c r="BN179" s="51"/>
      <c r="BO179" s="48"/>
      <c r="BP179" s="48"/>
      <c r="BQ179" s="48"/>
      <c r="BR179" s="48"/>
      <c r="BS179" s="48"/>
      <c r="BT179" s="48"/>
      <c r="BU179" s="48"/>
      <c r="BV179" s="48"/>
      <c r="BW179" s="48"/>
      <c r="BX179" s="48"/>
      <c r="BY179" s="48"/>
      <c r="BZ179" s="48"/>
      <c r="CA179" s="48"/>
      <c r="CB179" s="48"/>
      <c r="CC179" s="48"/>
      <c r="CD179" s="52"/>
      <c r="CE179" s="48"/>
      <c r="CF179" s="48"/>
      <c r="CG179" s="48"/>
      <c r="CH179" s="48"/>
      <c r="CI179" s="48"/>
      <c r="CJ179" s="51"/>
      <c r="CK179" s="129"/>
      <c r="CL179" s="129"/>
      <c r="CM179" s="129"/>
      <c r="CN179" s="116"/>
      <c r="CO179" s="116"/>
      <c r="CP179" s="116"/>
      <c r="CQ179" s="116"/>
      <c r="CR179" s="116"/>
      <c r="CS179" s="116"/>
      <c r="CT179" s="116"/>
      <c r="CU179" s="116"/>
      <c r="CV179" s="116"/>
      <c r="CW179" s="116"/>
      <c r="CX179" s="116"/>
      <c r="CY179" s="116"/>
      <c r="CZ179" s="116"/>
      <c r="DA179" s="48"/>
      <c r="DB179" s="48"/>
      <c r="DC179" s="48"/>
      <c r="DD179" s="54"/>
      <c r="DE179" s="54"/>
      <c r="DF179" s="54"/>
      <c r="DG179" s="54"/>
      <c r="DH179" s="54"/>
      <c r="DI179" s="54"/>
      <c r="DJ179" s="48"/>
      <c r="DK179" s="48"/>
      <c r="DL179" s="51"/>
      <c r="DM179" s="48"/>
      <c r="DN179" s="52"/>
      <c r="DO179" s="52"/>
      <c r="DP179" s="48"/>
      <c r="DQ179" s="48"/>
      <c r="DR179" s="48"/>
      <c r="DS179" s="51"/>
      <c r="DT179" s="48"/>
      <c r="DU179" s="48"/>
      <c r="DV179" s="48"/>
      <c r="DW179" s="48"/>
      <c r="DX179" s="48"/>
      <c r="DY179" s="48"/>
      <c r="DZ179" s="48"/>
    </row>
    <row r="180" spans="1:130" ht="50.25" customHeight="1">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51"/>
      <c r="AP180" s="51"/>
      <c r="AQ180" s="48"/>
      <c r="AR180" s="48"/>
      <c r="AS180" s="48"/>
      <c r="AT180" s="48"/>
      <c r="AU180" s="48"/>
      <c r="AV180" s="48"/>
      <c r="AW180" s="48"/>
      <c r="AX180" s="48"/>
      <c r="AY180" s="48"/>
      <c r="AZ180" s="48"/>
      <c r="BA180" s="48"/>
      <c r="BB180" s="51"/>
      <c r="BC180" s="48"/>
      <c r="BD180" s="48"/>
      <c r="BE180" s="48"/>
      <c r="BF180" s="48"/>
      <c r="BG180" s="48"/>
      <c r="BH180" s="48"/>
      <c r="BI180" s="48"/>
      <c r="BJ180" s="48"/>
      <c r="BK180" s="48"/>
      <c r="BL180" s="116"/>
      <c r="BM180" s="116"/>
      <c r="BN180" s="51"/>
      <c r="BO180" s="48"/>
      <c r="BP180" s="48"/>
      <c r="BQ180" s="48"/>
      <c r="BR180" s="48"/>
      <c r="BS180" s="48"/>
      <c r="BT180" s="48"/>
      <c r="BU180" s="48"/>
      <c r="BV180" s="48"/>
      <c r="BW180" s="48"/>
      <c r="BX180" s="48"/>
      <c r="BY180" s="48"/>
      <c r="BZ180" s="48"/>
      <c r="CA180" s="48"/>
      <c r="CB180" s="48"/>
      <c r="CC180" s="48"/>
      <c r="CD180" s="52"/>
      <c r="CE180" s="48"/>
      <c r="CF180" s="48"/>
      <c r="CG180" s="48"/>
      <c r="CH180" s="48"/>
      <c r="CI180" s="48"/>
      <c r="CJ180" s="51"/>
      <c r="CK180" s="129"/>
      <c r="CL180" s="129"/>
      <c r="CM180" s="129"/>
      <c r="CN180" s="116"/>
      <c r="CO180" s="116"/>
      <c r="CP180" s="116"/>
      <c r="CQ180" s="116"/>
      <c r="CR180" s="116"/>
      <c r="CS180" s="116"/>
      <c r="CT180" s="116"/>
      <c r="CU180" s="116"/>
      <c r="CV180" s="116"/>
      <c r="CW180" s="116"/>
      <c r="CX180" s="116"/>
      <c r="CY180" s="116"/>
      <c r="CZ180" s="116"/>
      <c r="DA180" s="48"/>
      <c r="DB180" s="48"/>
      <c r="DC180" s="48"/>
      <c r="DD180" s="54"/>
      <c r="DE180" s="54"/>
      <c r="DF180" s="54"/>
      <c r="DG180" s="54"/>
      <c r="DH180" s="54"/>
      <c r="DI180" s="54"/>
      <c r="DJ180" s="48"/>
      <c r="DK180" s="48"/>
      <c r="DL180" s="51"/>
      <c r="DM180" s="48"/>
      <c r="DN180" s="52"/>
      <c r="DO180" s="52"/>
      <c r="DP180" s="48"/>
      <c r="DQ180" s="48"/>
      <c r="DR180" s="48"/>
      <c r="DS180" s="51"/>
      <c r="DT180" s="48"/>
      <c r="DU180" s="48"/>
      <c r="DV180" s="48"/>
      <c r="DW180" s="48"/>
      <c r="DX180" s="48"/>
      <c r="DY180" s="48"/>
      <c r="DZ180" s="48"/>
    </row>
    <row r="181" spans="1:130" ht="50.25" customHeight="1">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51"/>
      <c r="AP181" s="51"/>
      <c r="AQ181" s="48"/>
      <c r="AR181" s="48"/>
      <c r="AS181" s="48"/>
      <c r="AT181" s="48"/>
      <c r="AU181" s="48"/>
      <c r="AV181" s="48"/>
      <c r="AW181" s="48"/>
      <c r="AX181" s="48"/>
      <c r="AY181" s="48"/>
      <c r="AZ181" s="48"/>
      <c r="BA181" s="48"/>
      <c r="BB181" s="51"/>
      <c r="BC181" s="48"/>
      <c r="BD181" s="48"/>
      <c r="BE181" s="48"/>
      <c r="BF181" s="48"/>
      <c r="BG181" s="48"/>
      <c r="BH181" s="48"/>
      <c r="BI181" s="48"/>
      <c r="BJ181" s="48"/>
      <c r="BK181" s="48"/>
      <c r="BL181" s="116"/>
      <c r="BM181" s="116"/>
      <c r="BN181" s="51"/>
      <c r="BO181" s="48"/>
      <c r="BP181" s="48"/>
      <c r="BQ181" s="48"/>
      <c r="BR181" s="48"/>
      <c r="BS181" s="48"/>
      <c r="BT181" s="48"/>
      <c r="BU181" s="48"/>
      <c r="BV181" s="48"/>
      <c r="BW181" s="48"/>
      <c r="BX181" s="48"/>
      <c r="BY181" s="48"/>
      <c r="BZ181" s="48"/>
      <c r="CA181" s="48"/>
      <c r="CB181" s="48"/>
      <c r="CC181" s="48"/>
      <c r="CD181" s="52"/>
      <c r="CE181" s="48"/>
      <c r="CF181" s="48"/>
      <c r="CG181" s="48"/>
      <c r="CH181" s="48"/>
      <c r="CI181" s="48"/>
      <c r="CJ181" s="51"/>
      <c r="CK181" s="129"/>
      <c r="CL181" s="129"/>
      <c r="CM181" s="129"/>
      <c r="CN181" s="116"/>
      <c r="CO181" s="116"/>
      <c r="CP181" s="116"/>
      <c r="CQ181" s="116"/>
      <c r="CR181" s="116"/>
      <c r="CS181" s="116"/>
      <c r="CT181" s="116"/>
      <c r="CU181" s="116"/>
      <c r="CV181" s="116"/>
      <c r="CW181" s="116"/>
      <c r="CX181" s="116"/>
      <c r="CY181" s="116"/>
      <c r="CZ181" s="116"/>
      <c r="DA181" s="48"/>
      <c r="DB181" s="48"/>
      <c r="DC181" s="48"/>
      <c r="DD181" s="54"/>
      <c r="DE181" s="54"/>
      <c r="DF181" s="54"/>
      <c r="DG181" s="54"/>
      <c r="DH181" s="54"/>
      <c r="DI181" s="54"/>
      <c r="DJ181" s="48"/>
      <c r="DK181" s="48"/>
      <c r="DL181" s="51"/>
      <c r="DM181" s="48"/>
      <c r="DN181" s="52"/>
      <c r="DO181" s="52"/>
      <c r="DP181" s="48"/>
      <c r="DQ181" s="48"/>
      <c r="DR181" s="48"/>
      <c r="DS181" s="51"/>
      <c r="DT181" s="48"/>
      <c r="DU181" s="48"/>
      <c r="DV181" s="48"/>
      <c r="DW181" s="48"/>
      <c r="DX181" s="48"/>
      <c r="DY181" s="48"/>
      <c r="DZ181" s="48"/>
    </row>
    <row r="182" spans="1:130" ht="50.25" customHeight="1">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51"/>
      <c r="AP182" s="51"/>
      <c r="AQ182" s="48"/>
      <c r="AR182" s="48"/>
      <c r="AS182" s="48"/>
      <c r="AT182" s="48"/>
      <c r="AU182" s="48"/>
      <c r="AV182" s="48"/>
      <c r="AW182" s="48"/>
      <c r="AX182" s="48"/>
      <c r="AY182" s="48"/>
      <c r="AZ182" s="48"/>
      <c r="BA182" s="48"/>
      <c r="BB182" s="51"/>
      <c r="BC182" s="48"/>
      <c r="BD182" s="48"/>
      <c r="BE182" s="48"/>
      <c r="BF182" s="48"/>
      <c r="BG182" s="48"/>
      <c r="BH182" s="48"/>
      <c r="BI182" s="48"/>
      <c r="BJ182" s="48"/>
      <c r="BK182" s="48"/>
      <c r="BL182" s="116"/>
      <c r="BM182" s="116"/>
      <c r="BN182" s="51"/>
      <c r="BO182" s="48"/>
      <c r="BP182" s="48"/>
      <c r="BQ182" s="48"/>
      <c r="BR182" s="48"/>
      <c r="BS182" s="48"/>
      <c r="BT182" s="48"/>
      <c r="BU182" s="48"/>
      <c r="BV182" s="48"/>
      <c r="BW182" s="48"/>
      <c r="BX182" s="48"/>
      <c r="BY182" s="48"/>
      <c r="BZ182" s="48"/>
      <c r="CA182" s="48"/>
      <c r="CB182" s="48"/>
      <c r="CC182" s="48"/>
      <c r="CD182" s="52"/>
      <c r="CE182" s="48"/>
      <c r="CF182" s="48"/>
      <c r="CG182" s="48"/>
      <c r="CH182" s="48"/>
      <c r="CI182" s="48"/>
      <c r="CJ182" s="51"/>
      <c r="CK182" s="129"/>
      <c r="CL182" s="129"/>
      <c r="CM182" s="129"/>
      <c r="CN182" s="116"/>
      <c r="CO182" s="116"/>
      <c r="CP182" s="116"/>
      <c r="CQ182" s="116"/>
      <c r="CR182" s="116"/>
      <c r="CS182" s="116"/>
      <c r="CT182" s="116"/>
      <c r="CU182" s="116"/>
      <c r="CV182" s="116"/>
      <c r="CW182" s="116"/>
      <c r="CX182" s="116"/>
      <c r="CY182" s="116"/>
      <c r="CZ182" s="116"/>
      <c r="DA182" s="48"/>
      <c r="DB182" s="48"/>
      <c r="DC182" s="48"/>
      <c r="DD182" s="54"/>
      <c r="DE182" s="54"/>
      <c r="DF182" s="54"/>
      <c r="DG182" s="54"/>
      <c r="DH182" s="54"/>
      <c r="DI182" s="54"/>
      <c r="DJ182" s="48"/>
      <c r="DK182" s="48"/>
      <c r="DL182" s="51"/>
      <c r="DM182" s="48"/>
      <c r="DN182" s="52"/>
      <c r="DO182" s="52"/>
      <c r="DP182" s="48"/>
      <c r="DQ182" s="48"/>
      <c r="DR182" s="48"/>
      <c r="DS182" s="51"/>
      <c r="DT182" s="48"/>
      <c r="DU182" s="48"/>
      <c r="DV182" s="48"/>
      <c r="DW182" s="48"/>
      <c r="DX182" s="48"/>
      <c r="DY182" s="48"/>
      <c r="DZ182" s="48"/>
    </row>
    <row r="183" spans="1:130" ht="50.25" customHeight="1">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51"/>
      <c r="AP183" s="51"/>
      <c r="AQ183" s="48"/>
      <c r="AR183" s="48"/>
      <c r="AS183" s="48"/>
      <c r="AT183" s="48"/>
      <c r="AU183" s="48"/>
      <c r="AV183" s="48"/>
      <c r="AW183" s="48"/>
      <c r="AX183" s="48"/>
      <c r="AY183" s="48"/>
      <c r="AZ183" s="48"/>
      <c r="BA183" s="48"/>
      <c r="BB183" s="51"/>
      <c r="BC183" s="48"/>
      <c r="BD183" s="48"/>
      <c r="BE183" s="48"/>
      <c r="BF183" s="48"/>
      <c r="BG183" s="48"/>
      <c r="BH183" s="48"/>
      <c r="BI183" s="48"/>
      <c r="BJ183" s="48"/>
      <c r="BK183" s="48"/>
      <c r="BL183" s="116"/>
      <c r="BM183" s="116"/>
      <c r="BN183" s="51"/>
      <c r="BO183" s="48"/>
      <c r="BP183" s="48"/>
      <c r="BQ183" s="48"/>
      <c r="BR183" s="48"/>
      <c r="BS183" s="48"/>
      <c r="BT183" s="48"/>
      <c r="BU183" s="48"/>
      <c r="BV183" s="48"/>
      <c r="BW183" s="48"/>
      <c r="BX183" s="48"/>
      <c r="BY183" s="48"/>
      <c r="BZ183" s="48"/>
      <c r="CA183" s="48"/>
      <c r="CB183" s="48"/>
      <c r="CC183" s="48"/>
      <c r="CD183" s="52"/>
      <c r="CE183" s="48"/>
      <c r="CF183" s="48"/>
      <c r="CG183" s="48"/>
      <c r="CH183" s="48"/>
      <c r="CI183" s="48"/>
      <c r="CJ183" s="51"/>
      <c r="CK183" s="129"/>
      <c r="CL183" s="129"/>
      <c r="CM183" s="129"/>
      <c r="CN183" s="116"/>
      <c r="CO183" s="116"/>
      <c r="CP183" s="116"/>
      <c r="CQ183" s="116"/>
      <c r="CR183" s="116"/>
      <c r="CS183" s="116"/>
      <c r="CT183" s="116"/>
      <c r="CU183" s="116"/>
      <c r="CV183" s="116"/>
      <c r="CW183" s="116"/>
      <c r="CX183" s="116"/>
      <c r="CY183" s="116"/>
      <c r="CZ183" s="116"/>
      <c r="DA183" s="48"/>
      <c r="DB183" s="48"/>
      <c r="DC183" s="48"/>
      <c r="DD183" s="54"/>
      <c r="DE183" s="54"/>
      <c r="DF183" s="54"/>
      <c r="DG183" s="54"/>
      <c r="DH183" s="54"/>
      <c r="DI183" s="54"/>
      <c r="DJ183" s="48"/>
      <c r="DK183" s="48"/>
      <c r="DL183" s="51"/>
      <c r="DM183" s="48"/>
      <c r="DN183" s="52"/>
      <c r="DO183" s="52"/>
      <c r="DP183" s="48"/>
      <c r="DQ183" s="48"/>
      <c r="DR183" s="48"/>
      <c r="DS183" s="51"/>
      <c r="DT183" s="48"/>
      <c r="DU183" s="48"/>
      <c r="DV183" s="48"/>
      <c r="DW183" s="48"/>
      <c r="DX183" s="48"/>
      <c r="DY183" s="48"/>
      <c r="DZ183" s="48"/>
    </row>
    <row r="184" spans="1:130" ht="50.25" customHeight="1">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51"/>
      <c r="AP184" s="51"/>
      <c r="AQ184" s="48"/>
      <c r="AR184" s="48"/>
      <c r="AS184" s="48"/>
      <c r="AT184" s="48"/>
      <c r="AU184" s="48"/>
      <c r="AV184" s="48"/>
      <c r="AW184" s="48"/>
      <c r="AX184" s="48"/>
      <c r="AY184" s="48"/>
      <c r="AZ184" s="48"/>
      <c r="BA184" s="48"/>
      <c r="BB184" s="51"/>
      <c r="BC184" s="48"/>
      <c r="BD184" s="48"/>
      <c r="BE184" s="48"/>
      <c r="BF184" s="48"/>
      <c r="BG184" s="48"/>
      <c r="BH184" s="48"/>
      <c r="BI184" s="48"/>
      <c r="BJ184" s="48"/>
      <c r="BK184" s="48"/>
      <c r="BL184" s="116"/>
      <c r="BM184" s="116"/>
      <c r="BN184" s="51"/>
      <c r="BO184" s="48"/>
      <c r="BP184" s="48"/>
      <c r="BQ184" s="48"/>
      <c r="BR184" s="48"/>
      <c r="BS184" s="48"/>
      <c r="BT184" s="48"/>
      <c r="BU184" s="48"/>
      <c r="BV184" s="48"/>
      <c r="BW184" s="48"/>
      <c r="BX184" s="48"/>
      <c r="BY184" s="48"/>
      <c r="BZ184" s="48"/>
      <c r="CA184" s="48"/>
      <c r="CB184" s="48"/>
      <c r="CC184" s="48"/>
      <c r="CD184" s="52"/>
      <c r="CE184" s="48"/>
      <c r="CF184" s="48"/>
      <c r="CG184" s="48"/>
      <c r="CH184" s="48"/>
      <c r="CI184" s="48"/>
      <c r="CJ184" s="51"/>
      <c r="CK184" s="129"/>
      <c r="CL184" s="129"/>
      <c r="CM184" s="129"/>
      <c r="CN184" s="116"/>
      <c r="CO184" s="116"/>
      <c r="CP184" s="116"/>
      <c r="CQ184" s="116"/>
      <c r="CR184" s="116"/>
      <c r="CS184" s="116"/>
      <c r="CT184" s="116"/>
      <c r="CU184" s="116"/>
      <c r="CV184" s="116"/>
      <c r="CW184" s="116"/>
      <c r="CX184" s="116"/>
      <c r="CY184" s="116"/>
      <c r="CZ184" s="116"/>
      <c r="DA184" s="48"/>
      <c r="DB184" s="48"/>
      <c r="DC184" s="48"/>
      <c r="DD184" s="54"/>
      <c r="DE184" s="54"/>
      <c r="DF184" s="54"/>
      <c r="DG184" s="54"/>
      <c r="DH184" s="54"/>
      <c r="DI184" s="54"/>
      <c r="DJ184" s="48"/>
      <c r="DK184" s="48"/>
      <c r="DL184" s="51"/>
      <c r="DM184" s="48"/>
      <c r="DN184" s="52"/>
      <c r="DO184" s="52"/>
      <c r="DP184" s="48"/>
      <c r="DQ184" s="48"/>
      <c r="DR184" s="48"/>
      <c r="DS184" s="51"/>
      <c r="DT184" s="48"/>
      <c r="DU184" s="48"/>
      <c r="DV184" s="48"/>
      <c r="DW184" s="48"/>
      <c r="DX184" s="48"/>
      <c r="DY184" s="48"/>
      <c r="DZ184" s="48"/>
    </row>
    <row r="185" spans="1:130" ht="50.25" customHeight="1">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51"/>
      <c r="AP185" s="51"/>
      <c r="AQ185" s="48"/>
      <c r="AR185" s="48"/>
      <c r="AS185" s="48"/>
      <c r="AT185" s="48"/>
      <c r="AU185" s="48"/>
      <c r="AV185" s="48"/>
      <c r="AW185" s="48"/>
      <c r="AX185" s="48"/>
      <c r="AY185" s="48"/>
      <c r="AZ185" s="48"/>
      <c r="BA185" s="48"/>
      <c r="BB185" s="51"/>
      <c r="BC185" s="48"/>
      <c r="BD185" s="48"/>
      <c r="BE185" s="48"/>
      <c r="BF185" s="48"/>
      <c r="BG185" s="48"/>
      <c r="BH185" s="48"/>
      <c r="BI185" s="48"/>
      <c r="BJ185" s="48"/>
      <c r="BK185" s="48"/>
      <c r="BL185" s="116"/>
      <c r="BM185" s="116"/>
      <c r="BN185" s="51"/>
      <c r="BO185" s="48"/>
      <c r="BP185" s="48"/>
      <c r="BQ185" s="48"/>
      <c r="BR185" s="48"/>
      <c r="BS185" s="48"/>
      <c r="BT185" s="48"/>
      <c r="BU185" s="48"/>
      <c r="BV185" s="48"/>
      <c r="BW185" s="48"/>
      <c r="BX185" s="48"/>
      <c r="BY185" s="48"/>
      <c r="BZ185" s="48"/>
      <c r="CA185" s="48"/>
      <c r="CB185" s="48"/>
      <c r="CC185" s="48"/>
      <c r="CD185" s="52"/>
      <c r="CE185" s="48"/>
      <c r="CF185" s="48"/>
      <c r="CG185" s="48"/>
      <c r="CH185" s="48"/>
      <c r="CI185" s="48"/>
      <c r="CJ185" s="51"/>
      <c r="CK185" s="129"/>
      <c r="CL185" s="129"/>
      <c r="CM185" s="129"/>
      <c r="CN185" s="116"/>
      <c r="CO185" s="116"/>
      <c r="CP185" s="116"/>
      <c r="CQ185" s="116"/>
      <c r="CR185" s="116"/>
      <c r="CS185" s="116"/>
      <c r="CT185" s="116"/>
      <c r="CU185" s="116"/>
      <c r="CV185" s="116"/>
      <c r="CW185" s="116"/>
      <c r="CX185" s="116"/>
      <c r="CY185" s="116"/>
      <c r="CZ185" s="116"/>
      <c r="DA185" s="48"/>
      <c r="DB185" s="48"/>
      <c r="DC185" s="48"/>
      <c r="DD185" s="54"/>
      <c r="DE185" s="54"/>
      <c r="DF185" s="54"/>
      <c r="DG185" s="54"/>
      <c r="DH185" s="54"/>
      <c r="DI185" s="54"/>
      <c r="DJ185" s="48"/>
      <c r="DK185" s="48"/>
      <c r="DL185" s="51"/>
      <c r="DM185" s="48"/>
      <c r="DN185" s="52"/>
      <c r="DO185" s="52"/>
      <c r="DP185" s="48"/>
      <c r="DQ185" s="48"/>
      <c r="DR185" s="48"/>
      <c r="DS185" s="51"/>
      <c r="DT185" s="48"/>
      <c r="DU185" s="48"/>
      <c r="DV185" s="48"/>
      <c r="DW185" s="48"/>
      <c r="DX185" s="48"/>
      <c r="DY185" s="48"/>
      <c r="DZ185" s="48"/>
    </row>
    <row r="186" spans="1:130" ht="50.25" customHeight="1">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51"/>
      <c r="AP186" s="51"/>
      <c r="AQ186" s="48"/>
      <c r="AR186" s="48"/>
      <c r="AS186" s="48"/>
      <c r="AT186" s="48"/>
      <c r="AU186" s="48"/>
      <c r="AV186" s="48"/>
      <c r="AW186" s="48"/>
      <c r="AX186" s="48"/>
      <c r="AY186" s="48"/>
      <c r="AZ186" s="48"/>
      <c r="BA186" s="48"/>
      <c r="BB186" s="51"/>
      <c r="BC186" s="48"/>
      <c r="BD186" s="48"/>
      <c r="BE186" s="48"/>
      <c r="BF186" s="48"/>
      <c r="BG186" s="48"/>
      <c r="BH186" s="48"/>
      <c r="BI186" s="48"/>
      <c r="BJ186" s="48"/>
      <c r="BK186" s="48"/>
      <c r="BL186" s="116"/>
      <c r="BM186" s="116"/>
      <c r="BN186" s="51"/>
      <c r="BO186" s="48"/>
      <c r="BP186" s="48"/>
      <c r="BQ186" s="48"/>
      <c r="BR186" s="48"/>
      <c r="BS186" s="48"/>
      <c r="BT186" s="48"/>
      <c r="BU186" s="48"/>
      <c r="BV186" s="48"/>
      <c r="BW186" s="48"/>
      <c r="BX186" s="48"/>
      <c r="BY186" s="48"/>
      <c r="BZ186" s="48"/>
      <c r="CA186" s="48"/>
      <c r="CB186" s="48"/>
      <c r="CC186" s="48"/>
      <c r="CD186" s="52"/>
      <c r="CE186" s="48"/>
      <c r="CF186" s="48"/>
      <c r="CG186" s="48"/>
      <c r="CH186" s="48"/>
      <c r="CI186" s="48"/>
      <c r="CJ186" s="51"/>
      <c r="CK186" s="129"/>
      <c r="CL186" s="129"/>
      <c r="CM186" s="129"/>
      <c r="CN186" s="116"/>
      <c r="CO186" s="116"/>
      <c r="CP186" s="116"/>
      <c r="CQ186" s="116"/>
      <c r="CR186" s="116"/>
      <c r="CS186" s="116"/>
      <c r="CT186" s="116"/>
      <c r="CU186" s="116"/>
      <c r="CV186" s="116"/>
      <c r="CW186" s="116"/>
      <c r="CX186" s="116"/>
      <c r="CY186" s="116"/>
      <c r="CZ186" s="116"/>
      <c r="DA186" s="48"/>
      <c r="DB186" s="48"/>
      <c r="DC186" s="48"/>
      <c r="DD186" s="54"/>
      <c r="DE186" s="54"/>
      <c r="DF186" s="54"/>
      <c r="DG186" s="54"/>
      <c r="DH186" s="54"/>
      <c r="DI186" s="54"/>
      <c r="DJ186" s="48"/>
      <c r="DK186" s="48"/>
      <c r="DL186" s="51"/>
      <c r="DM186" s="48"/>
      <c r="DN186" s="52"/>
      <c r="DO186" s="52"/>
      <c r="DP186" s="48"/>
      <c r="DQ186" s="48"/>
      <c r="DR186" s="48"/>
      <c r="DS186" s="51"/>
      <c r="DT186" s="48"/>
      <c r="DU186" s="48"/>
      <c r="DV186" s="48"/>
      <c r="DW186" s="48"/>
      <c r="DX186" s="48"/>
      <c r="DY186" s="48"/>
      <c r="DZ186" s="48"/>
    </row>
    <row r="187" spans="1:130" ht="50.25" customHeight="1">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51"/>
      <c r="AP187" s="51"/>
      <c r="AQ187" s="48"/>
      <c r="AR187" s="48"/>
      <c r="AS187" s="48"/>
      <c r="AT187" s="48"/>
      <c r="AU187" s="48"/>
      <c r="AV187" s="48"/>
      <c r="AW187" s="48"/>
      <c r="AX187" s="48"/>
      <c r="AY187" s="48"/>
      <c r="AZ187" s="48"/>
      <c r="BA187" s="48"/>
      <c r="BB187" s="51"/>
      <c r="BC187" s="48"/>
      <c r="BD187" s="48"/>
      <c r="BE187" s="48"/>
      <c r="BF187" s="48"/>
      <c r="BG187" s="48"/>
      <c r="BH187" s="48"/>
      <c r="BI187" s="48"/>
      <c r="BJ187" s="48"/>
      <c r="BK187" s="48"/>
      <c r="BL187" s="116"/>
      <c r="BM187" s="116"/>
      <c r="BN187" s="51"/>
      <c r="BO187" s="48"/>
      <c r="BP187" s="48"/>
      <c r="BQ187" s="48"/>
      <c r="BR187" s="48"/>
      <c r="BS187" s="48"/>
      <c r="BT187" s="48"/>
      <c r="BU187" s="48"/>
      <c r="BV187" s="48"/>
      <c r="BW187" s="48"/>
      <c r="BX187" s="48"/>
      <c r="BY187" s="48"/>
      <c r="BZ187" s="48"/>
      <c r="CA187" s="48"/>
      <c r="CB187" s="48"/>
      <c r="CC187" s="48"/>
      <c r="CD187" s="52"/>
      <c r="CE187" s="48"/>
      <c r="CF187" s="48"/>
      <c r="CG187" s="48"/>
      <c r="CH187" s="48"/>
      <c r="CI187" s="48"/>
      <c r="CJ187" s="51"/>
      <c r="CK187" s="129"/>
      <c r="CL187" s="129"/>
      <c r="CM187" s="129"/>
      <c r="CN187" s="116"/>
      <c r="CO187" s="116"/>
      <c r="CP187" s="116"/>
      <c r="CQ187" s="116"/>
      <c r="CR187" s="116"/>
      <c r="CS187" s="116"/>
      <c r="CT187" s="116"/>
      <c r="CU187" s="116"/>
      <c r="CV187" s="116"/>
      <c r="CW187" s="116"/>
      <c r="CX187" s="116"/>
      <c r="CY187" s="116"/>
      <c r="CZ187" s="116"/>
      <c r="DA187" s="48"/>
      <c r="DB187" s="48"/>
      <c r="DC187" s="48"/>
      <c r="DD187" s="54"/>
      <c r="DE187" s="54"/>
      <c r="DF187" s="54"/>
      <c r="DG187" s="54"/>
      <c r="DH187" s="54"/>
      <c r="DI187" s="54"/>
      <c r="DJ187" s="48"/>
      <c r="DK187" s="48"/>
      <c r="DL187" s="51"/>
      <c r="DM187" s="48"/>
      <c r="DN187" s="52"/>
      <c r="DO187" s="52"/>
      <c r="DP187" s="48"/>
      <c r="DQ187" s="48"/>
      <c r="DR187" s="48"/>
      <c r="DS187" s="51"/>
      <c r="DT187" s="48"/>
      <c r="DU187" s="48"/>
      <c r="DV187" s="48"/>
      <c r="DW187" s="48"/>
      <c r="DX187" s="48"/>
      <c r="DY187" s="48"/>
      <c r="DZ187" s="48"/>
    </row>
    <row r="188" spans="1:130" ht="50.25" customHeight="1">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51"/>
      <c r="AP188" s="51"/>
      <c r="AQ188" s="48"/>
      <c r="AR188" s="48"/>
      <c r="AS188" s="48"/>
      <c r="AT188" s="48"/>
      <c r="AU188" s="48"/>
      <c r="AV188" s="48"/>
      <c r="AW188" s="48"/>
      <c r="AX188" s="48"/>
      <c r="AY188" s="48"/>
      <c r="AZ188" s="48"/>
      <c r="BA188" s="48"/>
      <c r="BB188" s="51"/>
      <c r="BC188" s="48"/>
      <c r="BD188" s="48"/>
      <c r="BE188" s="48"/>
      <c r="BF188" s="48"/>
      <c r="BG188" s="48"/>
      <c r="BH188" s="48"/>
      <c r="BI188" s="48"/>
      <c r="BJ188" s="48"/>
      <c r="BK188" s="48"/>
      <c r="BL188" s="116"/>
      <c r="BM188" s="116"/>
      <c r="BN188" s="51"/>
      <c r="BO188" s="48"/>
      <c r="BP188" s="48"/>
      <c r="BQ188" s="48"/>
      <c r="BR188" s="48"/>
      <c r="BS188" s="48"/>
      <c r="BT188" s="48"/>
      <c r="BU188" s="48"/>
      <c r="BV188" s="48"/>
      <c r="BW188" s="48"/>
      <c r="BX188" s="48"/>
      <c r="BY188" s="48"/>
      <c r="BZ188" s="48"/>
      <c r="CA188" s="48"/>
      <c r="CB188" s="48"/>
      <c r="CC188" s="48"/>
      <c r="CD188" s="52"/>
      <c r="CE188" s="48"/>
      <c r="CF188" s="48"/>
      <c r="CG188" s="48"/>
      <c r="CH188" s="48"/>
      <c r="CI188" s="48"/>
      <c r="CJ188" s="51"/>
      <c r="CK188" s="129"/>
      <c r="CL188" s="129"/>
      <c r="CM188" s="129"/>
      <c r="CN188" s="116"/>
      <c r="CO188" s="116"/>
      <c r="CP188" s="116"/>
      <c r="CQ188" s="116"/>
      <c r="CR188" s="116"/>
      <c r="CS188" s="116"/>
      <c r="CT188" s="116"/>
      <c r="CU188" s="116"/>
      <c r="CV188" s="116"/>
      <c r="CW188" s="116"/>
      <c r="CX188" s="116"/>
      <c r="CY188" s="116"/>
      <c r="CZ188" s="116"/>
      <c r="DA188" s="48"/>
      <c r="DB188" s="48"/>
      <c r="DC188" s="48"/>
      <c r="DD188" s="54"/>
      <c r="DE188" s="54"/>
      <c r="DF188" s="54"/>
      <c r="DG188" s="54"/>
      <c r="DH188" s="54"/>
      <c r="DI188" s="54"/>
      <c r="DJ188" s="48"/>
      <c r="DK188" s="48"/>
      <c r="DL188" s="51"/>
      <c r="DM188" s="48"/>
      <c r="DN188" s="52"/>
      <c r="DO188" s="52"/>
      <c r="DP188" s="48"/>
      <c r="DQ188" s="48"/>
      <c r="DR188" s="48"/>
      <c r="DS188" s="51"/>
      <c r="DT188" s="48"/>
      <c r="DU188" s="48"/>
      <c r="DV188" s="48"/>
      <c r="DW188" s="48"/>
      <c r="DX188" s="48"/>
      <c r="DY188" s="48"/>
      <c r="DZ188" s="48"/>
    </row>
    <row r="189" spans="1:130" ht="50.25" customHeight="1">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51"/>
      <c r="AP189" s="51"/>
      <c r="AQ189" s="48"/>
      <c r="AR189" s="48"/>
      <c r="AS189" s="48"/>
      <c r="AT189" s="48"/>
      <c r="AU189" s="48"/>
      <c r="AV189" s="48"/>
      <c r="AW189" s="48"/>
      <c r="AX189" s="48"/>
      <c r="AY189" s="48"/>
      <c r="AZ189" s="48"/>
      <c r="BA189" s="48"/>
      <c r="BB189" s="51"/>
      <c r="BC189" s="48"/>
      <c r="BD189" s="48"/>
      <c r="BE189" s="48"/>
      <c r="BF189" s="48"/>
      <c r="BG189" s="48"/>
      <c r="BH189" s="48"/>
      <c r="BI189" s="48"/>
      <c r="BJ189" s="48"/>
      <c r="BK189" s="48"/>
      <c r="BL189" s="116"/>
      <c r="BM189" s="116"/>
      <c r="BN189" s="51"/>
      <c r="BO189" s="48"/>
      <c r="BP189" s="48"/>
      <c r="BQ189" s="48"/>
      <c r="BR189" s="48"/>
      <c r="BS189" s="48"/>
      <c r="BT189" s="48"/>
      <c r="BU189" s="48"/>
      <c r="BV189" s="48"/>
      <c r="BW189" s="48"/>
      <c r="BX189" s="48"/>
      <c r="BY189" s="48"/>
      <c r="BZ189" s="48"/>
      <c r="CA189" s="48"/>
      <c r="CB189" s="48"/>
      <c r="CC189" s="48"/>
      <c r="CD189" s="52"/>
      <c r="CE189" s="48"/>
      <c r="CF189" s="48"/>
      <c r="CG189" s="48"/>
      <c r="CH189" s="48"/>
      <c r="CI189" s="48"/>
      <c r="CJ189" s="51"/>
      <c r="CK189" s="129"/>
      <c r="CL189" s="129"/>
      <c r="CM189" s="129"/>
      <c r="CN189" s="116"/>
      <c r="CO189" s="116"/>
      <c r="CP189" s="116"/>
      <c r="CQ189" s="116"/>
      <c r="CR189" s="116"/>
      <c r="CS189" s="116"/>
      <c r="CT189" s="116"/>
      <c r="CU189" s="116"/>
      <c r="CV189" s="116"/>
      <c r="CW189" s="116"/>
      <c r="CX189" s="116"/>
      <c r="CY189" s="116"/>
      <c r="CZ189" s="116"/>
      <c r="DA189" s="48"/>
      <c r="DB189" s="48"/>
      <c r="DC189" s="48"/>
      <c r="DD189" s="54"/>
      <c r="DE189" s="54"/>
      <c r="DF189" s="54"/>
      <c r="DG189" s="54"/>
      <c r="DH189" s="54"/>
      <c r="DI189" s="54"/>
      <c r="DJ189" s="48"/>
      <c r="DK189" s="48"/>
      <c r="DL189" s="51"/>
      <c r="DM189" s="48"/>
      <c r="DN189" s="52"/>
      <c r="DO189" s="52"/>
      <c r="DP189" s="48"/>
      <c r="DQ189" s="48"/>
      <c r="DR189" s="48"/>
      <c r="DS189" s="51"/>
      <c r="DT189" s="48"/>
      <c r="DU189" s="48"/>
      <c r="DV189" s="48"/>
      <c r="DW189" s="48"/>
      <c r="DX189" s="48"/>
      <c r="DY189" s="48"/>
      <c r="DZ189" s="48"/>
    </row>
    <row r="190" spans="1:130" ht="50.25" customHeight="1">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51"/>
      <c r="AP190" s="51"/>
      <c r="AQ190" s="48"/>
      <c r="AR190" s="48"/>
      <c r="AS190" s="48"/>
      <c r="AT190" s="48"/>
      <c r="AU190" s="48"/>
      <c r="AV190" s="48"/>
      <c r="AW190" s="48"/>
      <c r="AX190" s="48"/>
      <c r="AY190" s="48"/>
      <c r="AZ190" s="48"/>
      <c r="BA190" s="48"/>
      <c r="BB190" s="51"/>
      <c r="BC190" s="48"/>
      <c r="BD190" s="48"/>
      <c r="BE190" s="48"/>
      <c r="BF190" s="48"/>
      <c r="BG190" s="48"/>
      <c r="BH190" s="48"/>
      <c r="BI190" s="48"/>
      <c r="BJ190" s="48"/>
      <c r="BK190" s="48"/>
      <c r="BL190" s="116"/>
      <c r="BM190" s="116"/>
      <c r="BN190" s="51"/>
      <c r="BO190" s="48"/>
      <c r="BP190" s="48"/>
      <c r="BQ190" s="48"/>
      <c r="BR190" s="48"/>
      <c r="BS190" s="48"/>
      <c r="BT190" s="48"/>
      <c r="BU190" s="48"/>
      <c r="BV190" s="48"/>
      <c r="BW190" s="48"/>
      <c r="BX190" s="48"/>
      <c r="BY190" s="48"/>
      <c r="BZ190" s="48"/>
      <c r="CA190" s="48"/>
      <c r="CB190" s="48"/>
      <c r="CC190" s="48"/>
      <c r="CD190" s="52"/>
      <c r="CE190" s="48"/>
      <c r="CF190" s="48"/>
      <c r="CG190" s="48"/>
      <c r="CH190" s="48"/>
      <c r="CI190" s="48"/>
      <c r="CJ190" s="51"/>
      <c r="CK190" s="129"/>
      <c r="CL190" s="129"/>
      <c r="CM190" s="129"/>
      <c r="CN190" s="116"/>
      <c r="CO190" s="116"/>
      <c r="CP190" s="116"/>
      <c r="CQ190" s="116"/>
      <c r="CR190" s="116"/>
      <c r="CS190" s="116"/>
      <c r="CT190" s="116"/>
      <c r="CU190" s="116"/>
      <c r="CV190" s="116"/>
      <c r="CW190" s="116"/>
      <c r="CX190" s="116"/>
      <c r="CY190" s="116"/>
      <c r="CZ190" s="116"/>
      <c r="DA190" s="48"/>
      <c r="DB190" s="48"/>
      <c r="DC190" s="48"/>
      <c r="DD190" s="54"/>
      <c r="DE190" s="54"/>
      <c r="DF190" s="54"/>
      <c r="DG190" s="54"/>
      <c r="DH190" s="54"/>
      <c r="DI190" s="54"/>
      <c r="DJ190" s="48"/>
      <c r="DK190" s="48"/>
      <c r="DL190" s="51"/>
      <c r="DM190" s="48"/>
      <c r="DN190" s="52"/>
      <c r="DO190" s="52"/>
      <c r="DP190" s="48"/>
      <c r="DQ190" s="48"/>
      <c r="DR190" s="48"/>
      <c r="DS190" s="51"/>
      <c r="DT190" s="48"/>
      <c r="DU190" s="48"/>
      <c r="DV190" s="48"/>
      <c r="DW190" s="48"/>
      <c r="DX190" s="48"/>
      <c r="DY190" s="48"/>
      <c r="DZ190" s="48"/>
    </row>
    <row r="191" spans="1:130" ht="50.25" customHeight="1">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51"/>
      <c r="AP191" s="51"/>
      <c r="AQ191" s="48"/>
      <c r="AR191" s="48"/>
      <c r="AS191" s="48"/>
      <c r="AT191" s="48"/>
      <c r="AU191" s="48"/>
      <c r="AV191" s="48"/>
      <c r="AW191" s="48"/>
      <c r="AX191" s="48"/>
      <c r="AY191" s="48"/>
      <c r="AZ191" s="48"/>
      <c r="BA191" s="48"/>
      <c r="BB191" s="51"/>
      <c r="BC191" s="48"/>
      <c r="BD191" s="48"/>
      <c r="BE191" s="48"/>
      <c r="BF191" s="48"/>
      <c r="BG191" s="48"/>
      <c r="BH191" s="48"/>
      <c r="BI191" s="48"/>
      <c r="BJ191" s="48"/>
      <c r="BK191" s="48"/>
      <c r="BL191" s="116"/>
      <c r="BM191" s="116"/>
      <c r="BN191" s="51"/>
      <c r="BO191" s="48"/>
      <c r="BP191" s="48"/>
      <c r="BQ191" s="48"/>
      <c r="BR191" s="48"/>
      <c r="BS191" s="48"/>
      <c r="BT191" s="48"/>
      <c r="BU191" s="48"/>
      <c r="BV191" s="48"/>
      <c r="BW191" s="48"/>
      <c r="BX191" s="48"/>
      <c r="BY191" s="48"/>
      <c r="BZ191" s="48"/>
      <c r="CA191" s="48"/>
      <c r="CB191" s="48"/>
      <c r="CC191" s="48"/>
      <c r="CD191" s="52"/>
      <c r="CE191" s="48"/>
      <c r="CF191" s="48"/>
      <c r="CG191" s="48"/>
      <c r="CH191" s="48"/>
      <c r="CI191" s="48"/>
      <c r="CJ191" s="51"/>
      <c r="CK191" s="129"/>
      <c r="CL191" s="129"/>
      <c r="CM191" s="129"/>
      <c r="CN191" s="116"/>
      <c r="CO191" s="116"/>
      <c r="CP191" s="116"/>
      <c r="CQ191" s="116"/>
      <c r="CR191" s="116"/>
      <c r="CS191" s="116"/>
      <c r="CT191" s="116"/>
      <c r="CU191" s="116"/>
      <c r="CV191" s="116"/>
      <c r="CW191" s="116"/>
      <c r="CX191" s="116"/>
      <c r="CY191" s="116"/>
      <c r="CZ191" s="116"/>
      <c r="DA191" s="48"/>
      <c r="DB191" s="48"/>
      <c r="DC191" s="48"/>
      <c r="DD191" s="54"/>
      <c r="DE191" s="54"/>
      <c r="DF191" s="54"/>
      <c r="DG191" s="54"/>
      <c r="DH191" s="54"/>
      <c r="DI191" s="54"/>
      <c r="DJ191" s="48"/>
      <c r="DK191" s="48"/>
      <c r="DL191" s="51"/>
      <c r="DM191" s="48"/>
      <c r="DN191" s="52"/>
      <c r="DO191" s="52"/>
      <c r="DP191" s="48"/>
      <c r="DQ191" s="48"/>
      <c r="DR191" s="48"/>
      <c r="DS191" s="51"/>
      <c r="DT191" s="48"/>
      <c r="DU191" s="48"/>
      <c r="DV191" s="48"/>
      <c r="DW191" s="48"/>
      <c r="DX191" s="48"/>
      <c r="DY191" s="48"/>
      <c r="DZ191" s="48"/>
    </row>
    <row r="192" spans="1:130" ht="50.25" customHeight="1">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51"/>
      <c r="AP192" s="51"/>
      <c r="AQ192" s="48"/>
      <c r="AR192" s="48"/>
      <c r="AS192" s="48"/>
      <c r="AT192" s="48"/>
      <c r="AU192" s="48"/>
      <c r="AV192" s="48"/>
      <c r="AW192" s="48"/>
      <c r="AX192" s="48"/>
      <c r="AY192" s="48"/>
      <c r="AZ192" s="48"/>
      <c r="BA192" s="48"/>
      <c r="BB192" s="51"/>
      <c r="BC192" s="48"/>
      <c r="BD192" s="48"/>
      <c r="BE192" s="48"/>
      <c r="BF192" s="48"/>
      <c r="BG192" s="48"/>
      <c r="BH192" s="48"/>
      <c r="BI192" s="48"/>
      <c r="BJ192" s="48"/>
      <c r="BK192" s="48"/>
      <c r="BL192" s="116"/>
      <c r="BM192" s="116"/>
      <c r="BN192" s="51"/>
      <c r="BO192" s="48"/>
      <c r="BP192" s="48"/>
      <c r="BQ192" s="48"/>
      <c r="BR192" s="48"/>
      <c r="BS192" s="48"/>
      <c r="BT192" s="48"/>
      <c r="BU192" s="48"/>
      <c r="BV192" s="48"/>
      <c r="BW192" s="48"/>
      <c r="BX192" s="48"/>
      <c r="BY192" s="48"/>
      <c r="BZ192" s="48"/>
      <c r="CA192" s="48"/>
      <c r="CB192" s="48"/>
      <c r="CC192" s="48"/>
      <c r="CD192" s="52"/>
      <c r="CE192" s="48"/>
      <c r="CF192" s="48"/>
      <c r="CG192" s="48"/>
      <c r="CH192" s="48"/>
      <c r="CI192" s="48"/>
      <c r="CJ192" s="51"/>
      <c r="CK192" s="129"/>
      <c r="CL192" s="129"/>
      <c r="CM192" s="129"/>
      <c r="CN192" s="116"/>
      <c r="CO192" s="116"/>
      <c r="CP192" s="116"/>
      <c r="CQ192" s="116"/>
      <c r="CR192" s="116"/>
      <c r="CS192" s="116"/>
      <c r="CT192" s="116"/>
      <c r="CU192" s="116"/>
      <c r="CV192" s="116"/>
      <c r="CW192" s="116"/>
      <c r="CX192" s="116"/>
      <c r="CY192" s="116"/>
      <c r="CZ192" s="116"/>
      <c r="DA192" s="48"/>
      <c r="DB192" s="48"/>
      <c r="DC192" s="48"/>
      <c r="DD192" s="54"/>
      <c r="DE192" s="54"/>
      <c r="DF192" s="54"/>
      <c r="DG192" s="54"/>
      <c r="DH192" s="54"/>
      <c r="DI192" s="54"/>
      <c r="DJ192" s="48"/>
      <c r="DK192" s="48"/>
      <c r="DL192" s="51"/>
      <c r="DM192" s="48"/>
      <c r="DN192" s="52"/>
      <c r="DO192" s="52"/>
      <c r="DP192" s="48"/>
      <c r="DQ192" s="48"/>
      <c r="DR192" s="48"/>
      <c r="DS192" s="51"/>
      <c r="DT192" s="48"/>
      <c r="DU192" s="48"/>
      <c r="DV192" s="48"/>
      <c r="DW192" s="48"/>
      <c r="DX192" s="48"/>
      <c r="DY192" s="48"/>
      <c r="DZ192" s="48"/>
    </row>
    <row r="193" spans="1:130" ht="50.25" customHeight="1">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51"/>
      <c r="AP193" s="51"/>
      <c r="AQ193" s="48"/>
      <c r="AR193" s="48"/>
      <c r="AS193" s="48"/>
      <c r="AT193" s="48"/>
      <c r="AU193" s="48"/>
      <c r="AV193" s="48"/>
      <c r="AW193" s="48"/>
      <c r="AX193" s="48"/>
      <c r="AY193" s="48"/>
      <c r="AZ193" s="48"/>
      <c r="BA193" s="48"/>
      <c r="BB193" s="51"/>
      <c r="BC193" s="48"/>
      <c r="BD193" s="48"/>
      <c r="BE193" s="48"/>
      <c r="BF193" s="48"/>
      <c r="BG193" s="48"/>
      <c r="BH193" s="48"/>
      <c r="BI193" s="48"/>
      <c r="BJ193" s="48"/>
      <c r="BK193" s="48"/>
      <c r="BL193" s="116"/>
      <c r="BM193" s="116"/>
      <c r="BN193" s="51"/>
      <c r="BO193" s="48"/>
      <c r="BP193" s="48"/>
      <c r="BQ193" s="48"/>
      <c r="BR193" s="48"/>
      <c r="BS193" s="48"/>
      <c r="BT193" s="48"/>
      <c r="BU193" s="48"/>
      <c r="BV193" s="48"/>
      <c r="BW193" s="48"/>
      <c r="BX193" s="48"/>
      <c r="BY193" s="48"/>
      <c r="BZ193" s="48"/>
      <c r="CA193" s="48"/>
      <c r="CB193" s="48"/>
      <c r="CC193" s="48"/>
      <c r="CD193" s="52"/>
      <c r="CE193" s="48"/>
      <c r="CF193" s="48"/>
      <c r="CG193" s="48"/>
      <c r="CH193" s="48"/>
      <c r="CI193" s="48"/>
      <c r="CJ193" s="51"/>
      <c r="CK193" s="129"/>
      <c r="CL193" s="129"/>
      <c r="CM193" s="129"/>
      <c r="CN193" s="116"/>
      <c r="CO193" s="116"/>
      <c r="CP193" s="116"/>
      <c r="CQ193" s="116"/>
      <c r="CR193" s="116"/>
      <c r="CS193" s="116"/>
      <c r="CT193" s="116"/>
      <c r="CU193" s="116"/>
      <c r="CV193" s="116"/>
      <c r="CW193" s="116"/>
      <c r="CX193" s="116"/>
      <c r="CY193" s="116"/>
      <c r="CZ193" s="116"/>
      <c r="DA193" s="48"/>
      <c r="DB193" s="48"/>
      <c r="DC193" s="48"/>
      <c r="DD193" s="54"/>
      <c r="DE193" s="54"/>
      <c r="DF193" s="54"/>
      <c r="DG193" s="54"/>
      <c r="DH193" s="54"/>
      <c r="DI193" s="54"/>
      <c r="DJ193" s="48"/>
      <c r="DK193" s="48"/>
      <c r="DL193" s="51"/>
      <c r="DM193" s="48"/>
      <c r="DN193" s="52"/>
      <c r="DO193" s="52"/>
      <c r="DP193" s="48"/>
      <c r="DQ193" s="48"/>
      <c r="DR193" s="48"/>
      <c r="DS193" s="51"/>
      <c r="DT193" s="48"/>
      <c r="DU193" s="48"/>
      <c r="DV193" s="48"/>
      <c r="DW193" s="48"/>
      <c r="DX193" s="48"/>
      <c r="DY193" s="48"/>
      <c r="DZ193" s="48"/>
    </row>
    <row r="194" spans="1:130" ht="50.25" customHeight="1">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51"/>
      <c r="AP194" s="51"/>
      <c r="AQ194" s="48"/>
      <c r="AR194" s="48"/>
      <c r="AS194" s="48"/>
      <c r="AT194" s="48"/>
      <c r="AU194" s="48"/>
      <c r="AV194" s="48"/>
      <c r="AW194" s="48"/>
      <c r="AX194" s="48"/>
      <c r="AY194" s="48"/>
      <c r="AZ194" s="48"/>
      <c r="BA194" s="48"/>
      <c r="BB194" s="51"/>
      <c r="BC194" s="48"/>
      <c r="BD194" s="48"/>
      <c r="BE194" s="48"/>
      <c r="BF194" s="48"/>
      <c r="BG194" s="48"/>
      <c r="BH194" s="48"/>
      <c r="BI194" s="48"/>
      <c r="BJ194" s="48"/>
      <c r="BK194" s="48"/>
      <c r="BL194" s="116"/>
      <c r="BM194" s="116"/>
      <c r="BN194" s="51"/>
      <c r="BO194" s="48"/>
      <c r="BP194" s="48"/>
      <c r="BQ194" s="48"/>
      <c r="BR194" s="48"/>
      <c r="BS194" s="48"/>
      <c r="BT194" s="48"/>
      <c r="BU194" s="48"/>
      <c r="BV194" s="48"/>
      <c r="BW194" s="48"/>
      <c r="BX194" s="48"/>
      <c r="BY194" s="48"/>
      <c r="BZ194" s="48"/>
      <c r="CA194" s="48"/>
      <c r="CB194" s="48"/>
      <c r="CC194" s="48"/>
      <c r="CD194" s="52"/>
      <c r="CE194" s="48"/>
      <c r="CF194" s="48"/>
      <c r="CG194" s="48"/>
      <c r="CH194" s="48"/>
      <c r="CI194" s="48"/>
      <c r="CJ194" s="51"/>
      <c r="CK194" s="129"/>
      <c r="CL194" s="129"/>
      <c r="CM194" s="129"/>
      <c r="CN194" s="116"/>
      <c r="CO194" s="116"/>
      <c r="CP194" s="116"/>
      <c r="CQ194" s="116"/>
      <c r="CR194" s="116"/>
      <c r="CS194" s="116"/>
      <c r="CT194" s="116"/>
      <c r="CU194" s="116"/>
      <c r="CV194" s="116"/>
      <c r="CW194" s="116"/>
      <c r="CX194" s="116"/>
      <c r="CY194" s="116"/>
      <c r="CZ194" s="116"/>
      <c r="DA194" s="48"/>
      <c r="DB194" s="48"/>
      <c r="DC194" s="48"/>
      <c r="DD194" s="54"/>
      <c r="DE194" s="54"/>
      <c r="DF194" s="54"/>
      <c r="DG194" s="54"/>
      <c r="DH194" s="54"/>
      <c r="DI194" s="54"/>
      <c r="DJ194" s="48"/>
      <c r="DK194" s="48"/>
      <c r="DL194" s="51"/>
      <c r="DM194" s="48"/>
      <c r="DN194" s="52"/>
      <c r="DO194" s="52"/>
      <c r="DP194" s="48"/>
      <c r="DQ194" s="48"/>
      <c r="DR194" s="48"/>
      <c r="DS194" s="51"/>
      <c r="DT194" s="48"/>
      <c r="DU194" s="48"/>
      <c r="DV194" s="48"/>
      <c r="DW194" s="48"/>
      <c r="DX194" s="48"/>
      <c r="DY194" s="48"/>
      <c r="DZ194" s="48"/>
    </row>
    <row r="195" spans="1:130" ht="50.2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51"/>
      <c r="AP195" s="51"/>
      <c r="AQ195" s="48"/>
      <c r="AR195" s="48"/>
      <c r="AS195" s="48"/>
      <c r="AT195" s="48"/>
      <c r="AU195" s="48"/>
      <c r="AV195" s="48"/>
      <c r="AW195" s="48"/>
      <c r="AX195" s="48"/>
      <c r="AY195" s="48"/>
      <c r="AZ195" s="48"/>
      <c r="BA195" s="48"/>
      <c r="BB195" s="51"/>
      <c r="BC195" s="48"/>
      <c r="BD195" s="48"/>
      <c r="BE195" s="48"/>
      <c r="BF195" s="48"/>
      <c r="BG195" s="48"/>
      <c r="BH195" s="48"/>
      <c r="BI195" s="48"/>
      <c r="BJ195" s="48"/>
      <c r="BK195" s="48"/>
      <c r="BL195" s="116"/>
      <c r="BM195" s="116"/>
      <c r="BN195" s="51"/>
      <c r="BO195" s="48"/>
      <c r="BP195" s="48"/>
      <c r="BQ195" s="48"/>
      <c r="BR195" s="48"/>
      <c r="BS195" s="48"/>
      <c r="BT195" s="48"/>
      <c r="BU195" s="48"/>
      <c r="BV195" s="48"/>
      <c r="BW195" s="48"/>
      <c r="BX195" s="48"/>
      <c r="BY195" s="48"/>
      <c r="BZ195" s="48"/>
      <c r="CA195" s="48"/>
      <c r="CB195" s="48"/>
      <c r="CC195" s="48"/>
      <c r="CD195" s="52"/>
      <c r="CE195" s="48"/>
      <c r="CF195" s="48"/>
      <c r="CG195" s="48"/>
      <c r="CH195" s="48"/>
      <c r="CI195" s="48"/>
      <c r="CJ195" s="51"/>
      <c r="CK195" s="129"/>
      <c r="CL195" s="129"/>
      <c r="CM195" s="129"/>
      <c r="CN195" s="116"/>
      <c r="CO195" s="116"/>
      <c r="CP195" s="116"/>
      <c r="CQ195" s="116"/>
      <c r="CR195" s="116"/>
      <c r="CS195" s="116"/>
      <c r="CT195" s="116"/>
      <c r="CU195" s="116"/>
      <c r="CV195" s="116"/>
      <c r="CW195" s="116"/>
      <c r="CX195" s="116"/>
      <c r="CY195" s="116"/>
      <c r="CZ195" s="116"/>
      <c r="DA195" s="48"/>
      <c r="DB195" s="48"/>
      <c r="DC195" s="48"/>
      <c r="DD195" s="54"/>
      <c r="DE195" s="54"/>
      <c r="DF195" s="54"/>
      <c r="DG195" s="54"/>
      <c r="DH195" s="54"/>
      <c r="DI195" s="54"/>
      <c r="DJ195" s="48"/>
      <c r="DK195" s="48"/>
      <c r="DL195" s="51"/>
      <c r="DM195" s="48"/>
      <c r="DN195" s="52"/>
      <c r="DO195" s="52"/>
      <c r="DP195" s="48"/>
      <c r="DQ195" s="48"/>
      <c r="DR195" s="48"/>
      <c r="DS195" s="51"/>
      <c r="DT195" s="48"/>
      <c r="DU195" s="48"/>
      <c r="DV195" s="48"/>
      <c r="DW195" s="48"/>
      <c r="DX195" s="48"/>
      <c r="DY195" s="48"/>
      <c r="DZ195" s="48"/>
    </row>
    <row r="196" spans="1:130" ht="50.2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51"/>
      <c r="AP196" s="51"/>
      <c r="AQ196" s="48"/>
      <c r="AR196" s="48"/>
      <c r="AS196" s="48"/>
      <c r="AT196" s="48"/>
      <c r="AU196" s="48"/>
      <c r="AV196" s="48"/>
      <c r="AW196" s="48"/>
      <c r="AX196" s="48"/>
      <c r="AY196" s="48"/>
      <c r="AZ196" s="48"/>
      <c r="BA196" s="48"/>
      <c r="BB196" s="51"/>
      <c r="BC196" s="48"/>
      <c r="BD196" s="48"/>
      <c r="BE196" s="48"/>
      <c r="BF196" s="48"/>
      <c r="BG196" s="48"/>
      <c r="BH196" s="48"/>
      <c r="BI196" s="48"/>
      <c r="BJ196" s="48"/>
      <c r="BK196" s="48"/>
      <c r="BL196" s="116"/>
      <c r="BM196" s="116"/>
      <c r="BN196" s="51"/>
      <c r="BO196" s="48"/>
      <c r="BP196" s="48"/>
      <c r="BQ196" s="48"/>
      <c r="BR196" s="48"/>
      <c r="BS196" s="48"/>
      <c r="BT196" s="48"/>
      <c r="BU196" s="48"/>
      <c r="BV196" s="48"/>
      <c r="BW196" s="48"/>
      <c r="BX196" s="48"/>
      <c r="BY196" s="48"/>
      <c r="BZ196" s="48"/>
      <c r="CA196" s="48"/>
      <c r="CB196" s="48"/>
      <c r="CC196" s="48"/>
      <c r="CD196" s="52"/>
      <c r="CE196" s="48"/>
      <c r="CF196" s="48"/>
      <c r="CG196" s="48"/>
      <c r="CH196" s="48"/>
      <c r="CI196" s="48"/>
      <c r="CJ196" s="51"/>
      <c r="CK196" s="129"/>
      <c r="CL196" s="129"/>
      <c r="CM196" s="129"/>
      <c r="CN196" s="116"/>
      <c r="CO196" s="116"/>
      <c r="CP196" s="116"/>
      <c r="CQ196" s="116"/>
      <c r="CR196" s="116"/>
      <c r="CS196" s="116"/>
      <c r="CT196" s="116"/>
      <c r="CU196" s="116"/>
      <c r="CV196" s="116"/>
      <c r="CW196" s="116"/>
      <c r="CX196" s="116"/>
      <c r="CY196" s="116"/>
      <c r="CZ196" s="116"/>
      <c r="DA196" s="48"/>
      <c r="DB196" s="48"/>
      <c r="DC196" s="48"/>
      <c r="DD196" s="54"/>
      <c r="DE196" s="54"/>
      <c r="DF196" s="54"/>
      <c r="DG196" s="54"/>
      <c r="DH196" s="54"/>
      <c r="DI196" s="54"/>
      <c r="DJ196" s="48"/>
      <c r="DK196" s="48"/>
      <c r="DL196" s="51"/>
      <c r="DM196" s="48"/>
      <c r="DN196" s="52"/>
      <c r="DO196" s="52"/>
      <c r="DP196" s="48"/>
      <c r="DQ196" s="48"/>
      <c r="DR196" s="48"/>
      <c r="DS196" s="51"/>
      <c r="DT196" s="48"/>
      <c r="DU196" s="48"/>
      <c r="DV196" s="48"/>
      <c r="DW196" s="48"/>
      <c r="DX196" s="48"/>
      <c r="DY196" s="48"/>
      <c r="DZ196" s="48"/>
    </row>
    <row r="197" spans="1:130" ht="50.25" customHeight="1">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51"/>
      <c r="AP197" s="51"/>
      <c r="AQ197" s="48"/>
      <c r="AR197" s="48"/>
      <c r="AS197" s="48"/>
      <c r="AT197" s="48"/>
      <c r="AU197" s="48"/>
      <c r="AV197" s="48"/>
      <c r="AW197" s="48"/>
      <c r="AX197" s="48"/>
      <c r="AY197" s="48"/>
      <c r="AZ197" s="48"/>
      <c r="BA197" s="48"/>
      <c r="BB197" s="51"/>
      <c r="BC197" s="48"/>
      <c r="BD197" s="48"/>
      <c r="BE197" s="48"/>
      <c r="BF197" s="48"/>
      <c r="BG197" s="48"/>
      <c r="BH197" s="48"/>
      <c r="BI197" s="48"/>
      <c r="BJ197" s="48"/>
      <c r="BK197" s="48"/>
      <c r="BL197" s="116"/>
      <c r="BM197" s="116"/>
      <c r="BN197" s="51"/>
      <c r="BO197" s="48"/>
      <c r="BP197" s="48"/>
      <c r="BQ197" s="48"/>
      <c r="BR197" s="48"/>
      <c r="BS197" s="48"/>
      <c r="BT197" s="48"/>
      <c r="BU197" s="48"/>
      <c r="BV197" s="48"/>
      <c r="BW197" s="48"/>
      <c r="BX197" s="48"/>
      <c r="BY197" s="48"/>
      <c r="BZ197" s="48"/>
      <c r="CA197" s="48"/>
      <c r="CB197" s="48"/>
      <c r="CC197" s="48"/>
      <c r="CD197" s="52"/>
      <c r="CE197" s="48"/>
      <c r="CF197" s="48"/>
      <c r="CG197" s="48"/>
      <c r="CH197" s="48"/>
      <c r="CI197" s="48"/>
      <c r="CJ197" s="51"/>
      <c r="CK197" s="129"/>
      <c r="CL197" s="129"/>
      <c r="CM197" s="129"/>
      <c r="CN197" s="116"/>
      <c r="CO197" s="116"/>
      <c r="CP197" s="116"/>
      <c r="CQ197" s="116"/>
      <c r="CR197" s="116"/>
      <c r="CS197" s="116"/>
      <c r="CT197" s="116"/>
      <c r="CU197" s="116"/>
      <c r="CV197" s="116"/>
      <c r="CW197" s="116"/>
      <c r="CX197" s="116"/>
      <c r="CY197" s="116"/>
      <c r="CZ197" s="116"/>
      <c r="DA197" s="48"/>
      <c r="DB197" s="48"/>
      <c r="DC197" s="48"/>
      <c r="DD197" s="54"/>
      <c r="DE197" s="54"/>
      <c r="DF197" s="54"/>
      <c r="DG197" s="54"/>
      <c r="DH197" s="54"/>
      <c r="DI197" s="54"/>
      <c r="DJ197" s="48"/>
      <c r="DK197" s="48"/>
      <c r="DL197" s="51"/>
      <c r="DM197" s="48"/>
      <c r="DN197" s="52"/>
      <c r="DO197" s="52"/>
      <c r="DP197" s="48"/>
      <c r="DQ197" s="48"/>
      <c r="DR197" s="48"/>
      <c r="DS197" s="51"/>
      <c r="DT197" s="48"/>
      <c r="DU197" s="48"/>
      <c r="DV197" s="48"/>
      <c r="DW197" s="48"/>
      <c r="DX197" s="48"/>
      <c r="DY197" s="48"/>
      <c r="DZ197" s="48"/>
    </row>
    <row r="198" spans="1:130" ht="50.25" customHeight="1">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51"/>
      <c r="AP198" s="51"/>
      <c r="AQ198" s="48"/>
      <c r="AR198" s="48"/>
      <c r="AS198" s="48"/>
      <c r="AT198" s="48"/>
      <c r="AU198" s="48"/>
      <c r="AV198" s="48"/>
      <c r="AW198" s="48"/>
      <c r="AX198" s="48"/>
      <c r="AY198" s="48"/>
      <c r="AZ198" s="48"/>
      <c r="BA198" s="48"/>
      <c r="BB198" s="51"/>
      <c r="BC198" s="48"/>
      <c r="BD198" s="48"/>
      <c r="BE198" s="48"/>
      <c r="BF198" s="48"/>
      <c r="BG198" s="48"/>
      <c r="BH198" s="48"/>
      <c r="BI198" s="48"/>
      <c r="BJ198" s="48"/>
      <c r="BK198" s="48"/>
      <c r="BL198" s="116"/>
      <c r="BM198" s="116"/>
      <c r="BN198" s="51"/>
      <c r="BO198" s="48"/>
      <c r="BP198" s="48"/>
      <c r="BQ198" s="48"/>
      <c r="BR198" s="48"/>
      <c r="BS198" s="48"/>
      <c r="BT198" s="48"/>
      <c r="BU198" s="48"/>
      <c r="BV198" s="48"/>
      <c r="BW198" s="48"/>
      <c r="BX198" s="48"/>
      <c r="BY198" s="48"/>
      <c r="BZ198" s="48"/>
      <c r="CA198" s="48"/>
      <c r="CB198" s="48"/>
      <c r="CC198" s="48"/>
      <c r="CD198" s="52"/>
      <c r="CE198" s="48"/>
      <c r="CF198" s="48"/>
      <c r="CG198" s="48"/>
      <c r="CH198" s="48"/>
      <c r="CI198" s="48"/>
      <c r="CJ198" s="51"/>
      <c r="CK198" s="129"/>
      <c r="CL198" s="129"/>
      <c r="CM198" s="129"/>
      <c r="CN198" s="116"/>
      <c r="CO198" s="116"/>
      <c r="CP198" s="116"/>
      <c r="CQ198" s="116"/>
      <c r="CR198" s="116"/>
      <c r="CS198" s="116"/>
      <c r="CT198" s="116"/>
      <c r="CU198" s="116"/>
      <c r="CV198" s="116"/>
      <c r="CW198" s="116"/>
      <c r="CX198" s="116"/>
      <c r="CY198" s="116"/>
      <c r="CZ198" s="116"/>
      <c r="DA198" s="48"/>
      <c r="DB198" s="48"/>
      <c r="DC198" s="48"/>
      <c r="DD198" s="54"/>
      <c r="DE198" s="54"/>
      <c r="DF198" s="54"/>
      <c r="DG198" s="54"/>
      <c r="DH198" s="54"/>
      <c r="DI198" s="54"/>
      <c r="DJ198" s="48"/>
      <c r="DK198" s="48"/>
      <c r="DL198" s="51"/>
      <c r="DM198" s="48"/>
      <c r="DN198" s="52"/>
      <c r="DO198" s="52"/>
      <c r="DP198" s="48"/>
      <c r="DQ198" s="48"/>
      <c r="DR198" s="48"/>
      <c r="DS198" s="51"/>
      <c r="DT198" s="48"/>
      <c r="DU198" s="48"/>
      <c r="DV198" s="48"/>
      <c r="DW198" s="48"/>
      <c r="DX198" s="48"/>
      <c r="DY198" s="48"/>
      <c r="DZ198" s="48"/>
    </row>
    <row r="199" spans="1:130" ht="50.25" customHeight="1">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51"/>
      <c r="AP199" s="51"/>
      <c r="AQ199" s="48"/>
      <c r="AR199" s="48"/>
      <c r="AS199" s="48"/>
      <c r="AT199" s="48"/>
      <c r="AU199" s="48"/>
      <c r="AV199" s="48"/>
      <c r="AW199" s="48"/>
      <c r="AX199" s="48"/>
      <c r="AY199" s="48"/>
      <c r="AZ199" s="48"/>
      <c r="BA199" s="48"/>
      <c r="BB199" s="51"/>
      <c r="BC199" s="48"/>
      <c r="BD199" s="48"/>
      <c r="BE199" s="48"/>
      <c r="BF199" s="48"/>
      <c r="BG199" s="48"/>
      <c r="BH199" s="48"/>
      <c r="BI199" s="48"/>
      <c r="BJ199" s="48"/>
      <c r="BK199" s="48"/>
      <c r="BL199" s="116"/>
      <c r="BM199" s="116"/>
      <c r="BN199" s="51"/>
      <c r="BO199" s="48"/>
      <c r="BP199" s="48"/>
      <c r="BQ199" s="48"/>
      <c r="BR199" s="48"/>
      <c r="BS199" s="48"/>
      <c r="BT199" s="48"/>
      <c r="BU199" s="48"/>
      <c r="BV199" s="48"/>
      <c r="BW199" s="48"/>
      <c r="BX199" s="48"/>
      <c r="BY199" s="48"/>
      <c r="BZ199" s="48"/>
      <c r="CA199" s="48"/>
      <c r="CB199" s="48"/>
      <c r="CC199" s="48"/>
      <c r="CD199" s="52"/>
      <c r="CE199" s="48"/>
      <c r="CF199" s="48"/>
      <c r="CG199" s="48"/>
      <c r="CH199" s="48"/>
      <c r="CI199" s="48"/>
      <c r="CJ199" s="51"/>
      <c r="CK199" s="129"/>
      <c r="CL199" s="129"/>
      <c r="CM199" s="129"/>
      <c r="CN199" s="116"/>
      <c r="CO199" s="116"/>
      <c r="CP199" s="116"/>
      <c r="CQ199" s="116"/>
      <c r="CR199" s="116"/>
      <c r="CS199" s="116"/>
      <c r="CT199" s="116"/>
      <c r="CU199" s="116"/>
      <c r="CV199" s="116"/>
      <c r="CW199" s="116"/>
      <c r="CX199" s="116"/>
      <c r="CY199" s="116"/>
      <c r="CZ199" s="116"/>
      <c r="DA199" s="48"/>
      <c r="DB199" s="48"/>
      <c r="DC199" s="48"/>
      <c r="DD199" s="54"/>
      <c r="DE199" s="54"/>
      <c r="DF199" s="54"/>
      <c r="DG199" s="54"/>
      <c r="DH199" s="54"/>
      <c r="DI199" s="54"/>
      <c r="DJ199" s="48"/>
      <c r="DK199" s="48"/>
      <c r="DL199" s="51"/>
      <c r="DM199" s="48"/>
      <c r="DN199" s="52"/>
      <c r="DO199" s="52"/>
      <c r="DP199" s="48"/>
      <c r="DQ199" s="48"/>
      <c r="DR199" s="48"/>
      <c r="DS199" s="51"/>
      <c r="DT199" s="48"/>
      <c r="DU199" s="48"/>
      <c r="DV199" s="48"/>
      <c r="DW199" s="48"/>
      <c r="DX199" s="48"/>
      <c r="DY199" s="48"/>
      <c r="DZ199" s="48"/>
    </row>
    <row r="200" spans="1:130" ht="50.25" customHeight="1">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51"/>
      <c r="AP200" s="51"/>
      <c r="AQ200" s="48"/>
      <c r="AR200" s="48"/>
      <c r="AS200" s="48"/>
      <c r="AT200" s="48"/>
      <c r="AU200" s="48"/>
      <c r="AV200" s="48"/>
      <c r="AW200" s="48"/>
      <c r="AX200" s="48"/>
      <c r="AY200" s="48"/>
      <c r="AZ200" s="48"/>
      <c r="BA200" s="48"/>
      <c r="BB200" s="51"/>
      <c r="BC200" s="48"/>
      <c r="BD200" s="48"/>
      <c r="BE200" s="48"/>
      <c r="BF200" s="48"/>
      <c r="BG200" s="48"/>
      <c r="BH200" s="48"/>
      <c r="BI200" s="48"/>
      <c r="BJ200" s="48"/>
      <c r="BK200" s="48"/>
      <c r="BL200" s="116"/>
      <c r="BM200" s="116"/>
      <c r="BN200" s="51"/>
      <c r="BO200" s="48"/>
      <c r="BP200" s="48"/>
      <c r="BQ200" s="48"/>
      <c r="BR200" s="48"/>
      <c r="BS200" s="48"/>
      <c r="BT200" s="48"/>
      <c r="BU200" s="48"/>
      <c r="BV200" s="48"/>
      <c r="BW200" s="48"/>
      <c r="BX200" s="48"/>
      <c r="BY200" s="48"/>
      <c r="BZ200" s="48"/>
      <c r="CA200" s="48"/>
      <c r="CB200" s="48"/>
      <c r="CC200" s="48"/>
      <c r="CD200" s="52"/>
      <c r="CE200" s="48"/>
      <c r="CF200" s="48"/>
      <c r="CG200" s="48"/>
      <c r="CH200" s="48"/>
      <c r="CI200" s="48"/>
      <c r="CJ200" s="51"/>
      <c r="CK200" s="129"/>
      <c r="CL200" s="129"/>
      <c r="CM200" s="129"/>
      <c r="CN200" s="116"/>
      <c r="CO200" s="116"/>
      <c r="CP200" s="116"/>
      <c r="CQ200" s="116"/>
      <c r="CR200" s="116"/>
      <c r="CS200" s="116"/>
      <c r="CT200" s="116"/>
      <c r="CU200" s="116"/>
      <c r="CV200" s="116"/>
      <c r="CW200" s="116"/>
      <c r="CX200" s="116"/>
      <c r="CY200" s="116"/>
      <c r="CZ200" s="116"/>
      <c r="DA200" s="48"/>
      <c r="DB200" s="48"/>
      <c r="DC200" s="48"/>
      <c r="DD200" s="54"/>
      <c r="DE200" s="54"/>
      <c r="DF200" s="54"/>
      <c r="DG200" s="54"/>
      <c r="DH200" s="54"/>
      <c r="DI200" s="54"/>
      <c r="DJ200" s="48"/>
      <c r="DK200" s="48"/>
      <c r="DL200" s="51"/>
      <c r="DM200" s="48"/>
      <c r="DN200" s="52"/>
      <c r="DO200" s="52"/>
      <c r="DP200" s="48"/>
      <c r="DQ200" s="48"/>
      <c r="DR200" s="48"/>
      <c r="DS200" s="51"/>
      <c r="DT200" s="48"/>
      <c r="DU200" s="48"/>
      <c r="DV200" s="48"/>
      <c r="DW200" s="48"/>
      <c r="DX200" s="48"/>
      <c r="DY200" s="48"/>
      <c r="DZ200" s="48"/>
    </row>
    <row r="201" spans="1:130" ht="50.25" customHeight="1">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51"/>
      <c r="AP201" s="51"/>
      <c r="AQ201" s="48"/>
      <c r="AR201" s="48"/>
      <c r="AS201" s="48"/>
      <c r="AT201" s="48"/>
      <c r="AU201" s="48"/>
      <c r="AV201" s="48"/>
      <c r="AW201" s="48"/>
      <c r="AX201" s="48"/>
      <c r="AY201" s="48"/>
      <c r="AZ201" s="48"/>
      <c r="BA201" s="48"/>
      <c r="BB201" s="51"/>
      <c r="BC201" s="48"/>
      <c r="BD201" s="48"/>
      <c r="BE201" s="48"/>
      <c r="BF201" s="48"/>
      <c r="BG201" s="48"/>
      <c r="BH201" s="48"/>
      <c r="BI201" s="48"/>
      <c r="BJ201" s="48"/>
      <c r="BK201" s="48"/>
      <c r="BL201" s="116"/>
      <c r="BM201" s="116"/>
      <c r="BN201" s="51"/>
      <c r="BO201" s="48"/>
      <c r="BP201" s="48"/>
      <c r="BQ201" s="48"/>
      <c r="BR201" s="48"/>
      <c r="BS201" s="48"/>
      <c r="BT201" s="48"/>
      <c r="BU201" s="48"/>
      <c r="BV201" s="48"/>
      <c r="BW201" s="48"/>
      <c r="BX201" s="48"/>
      <c r="BY201" s="48"/>
      <c r="BZ201" s="48"/>
      <c r="CA201" s="48"/>
      <c r="CB201" s="48"/>
      <c r="CC201" s="48"/>
      <c r="CD201" s="52"/>
      <c r="CE201" s="48"/>
      <c r="CF201" s="48"/>
      <c r="CG201" s="48"/>
      <c r="CH201" s="48"/>
      <c r="CI201" s="48"/>
      <c r="CJ201" s="51"/>
      <c r="CK201" s="129"/>
      <c r="CL201" s="129"/>
      <c r="CM201" s="129"/>
      <c r="CN201" s="116"/>
      <c r="CO201" s="116"/>
      <c r="CP201" s="116"/>
      <c r="CQ201" s="116"/>
      <c r="CR201" s="116"/>
      <c r="CS201" s="116"/>
      <c r="CT201" s="116"/>
      <c r="CU201" s="116"/>
      <c r="CV201" s="116"/>
      <c r="CW201" s="116"/>
      <c r="CX201" s="116"/>
      <c r="CY201" s="116"/>
      <c r="CZ201" s="116"/>
      <c r="DA201" s="48"/>
      <c r="DB201" s="48"/>
      <c r="DC201" s="48"/>
      <c r="DD201" s="54"/>
      <c r="DE201" s="54"/>
      <c r="DF201" s="54"/>
      <c r="DG201" s="54"/>
      <c r="DH201" s="54"/>
      <c r="DI201" s="54"/>
      <c r="DJ201" s="48"/>
      <c r="DK201" s="48"/>
      <c r="DL201" s="51"/>
      <c r="DM201" s="48"/>
      <c r="DN201" s="52"/>
      <c r="DO201" s="52"/>
      <c r="DP201" s="48"/>
      <c r="DQ201" s="48"/>
      <c r="DR201" s="48"/>
      <c r="DS201" s="51"/>
      <c r="DT201" s="48"/>
      <c r="DU201" s="48"/>
      <c r="DV201" s="48"/>
      <c r="DW201" s="48"/>
      <c r="DX201" s="48"/>
      <c r="DY201" s="48"/>
      <c r="DZ201" s="48"/>
    </row>
    <row r="202" spans="1:130" ht="50.25" customHeight="1">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51"/>
      <c r="AP202" s="51"/>
      <c r="AQ202" s="48"/>
      <c r="AR202" s="48"/>
      <c r="AS202" s="48"/>
      <c r="AT202" s="48"/>
      <c r="AU202" s="48"/>
      <c r="AV202" s="48"/>
      <c r="AW202" s="48"/>
      <c r="AX202" s="48"/>
      <c r="AY202" s="48"/>
      <c r="AZ202" s="48"/>
      <c r="BA202" s="48"/>
      <c r="BB202" s="51"/>
      <c r="BC202" s="48"/>
      <c r="BD202" s="48"/>
      <c r="BE202" s="48"/>
      <c r="BF202" s="48"/>
      <c r="BG202" s="48"/>
      <c r="BH202" s="48"/>
      <c r="BI202" s="48"/>
      <c r="BJ202" s="48"/>
      <c r="BK202" s="48"/>
      <c r="BL202" s="116"/>
      <c r="BM202" s="116"/>
      <c r="BN202" s="51"/>
      <c r="BO202" s="48"/>
      <c r="BP202" s="48"/>
      <c r="BQ202" s="48"/>
      <c r="BR202" s="48"/>
      <c r="BS202" s="48"/>
      <c r="BT202" s="48"/>
      <c r="BU202" s="48"/>
      <c r="BV202" s="48"/>
      <c r="BW202" s="48"/>
      <c r="BX202" s="48"/>
      <c r="BY202" s="48"/>
      <c r="BZ202" s="48"/>
      <c r="CA202" s="48"/>
      <c r="CB202" s="48"/>
      <c r="CC202" s="48"/>
      <c r="CD202" s="52"/>
      <c r="CE202" s="48"/>
      <c r="CF202" s="48"/>
      <c r="CG202" s="48"/>
      <c r="CH202" s="48"/>
      <c r="CI202" s="48"/>
      <c r="CJ202" s="51"/>
      <c r="CK202" s="129"/>
      <c r="CL202" s="129"/>
      <c r="CM202" s="129"/>
      <c r="CN202" s="116"/>
      <c r="CO202" s="116"/>
      <c r="CP202" s="116"/>
      <c r="CQ202" s="116"/>
      <c r="CR202" s="116"/>
      <c r="CS202" s="116"/>
      <c r="CT202" s="116"/>
      <c r="CU202" s="116"/>
      <c r="CV202" s="116"/>
      <c r="CW202" s="116"/>
      <c r="CX202" s="116"/>
      <c r="CY202" s="116"/>
      <c r="CZ202" s="116"/>
      <c r="DA202" s="48"/>
      <c r="DB202" s="48"/>
      <c r="DC202" s="48"/>
      <c r="DD202" s="54"/>
      <c r="DE202" s="54"/>
      <c r="DF202" s="54"/>
      <c r="DG202" s="54"/>
      <c r="DH202" s="54"/>
      <c r="DI202" s="54"/>
      <c r="DJ202" s="48"/>
      <c r="DK202" s="48"/>
      <c r="DL202" s="51"/>
      <c r="DM202" s="48"/>
      <c r="DN202" s="52"/>
      <c r="DO202" s="52"/>
      <c r="DP202" s="48"/>
      <c r="DQ202" s="48"/>
      <c r="DR202" s="48"/>
      <c r="DS202" s="51"/>
      <c r="DT202" s="48"/>
      <c r="DU202" s="48"/>
      <c r="DV202" s="48"/>
      <c r="DW202" s="48"/>
      <c r="DX202" s="48"/>
      <c r="DY202" s="48"/>
      <c r="DZ202" s="48"/>
    </row>
    <row r="203" spans="1:130" ht="50.25" customHeight="1">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51"/>
      <c r="AP203" s="51"/>
      <c r="AQ203" s="48"/>
      <c r="AR203" s="48"/>
      <c r="AS203" s="48"/>
      <c r="AT203" s="48"/>
      <c r="AU203" s="48"/>
      <c r="AV203" s="48"/>
      <c r="AW203" s="48"/>
      <c r="AX203" s="48"/>
      <c r="AY203" s="48"/>
      <c r="AZ203" s="48"/>
      <c r="BA203" s="48"/>
      <c r="BB203" s="51"/>
      <c r="BC203" s="48"/>
      <c r="BD203" s="48"/>
      <c r="BE203" s="48"/>
      <c r="BF203" s="48"/>
      <c r="BG203" s="48"/>
      <c r="BH203" s="48"/>
      <c r="BI203" s="48"/>
      <c r="BJ203" s="48"/>
      <c r="BK203" s="48"/>
      <c r="BL203" s="116"/>
      <c r="BM203" s="116"/>
      <c r="BN203" s="51"/>
      <c r="BO203" s="48"/>
      <c r="BP203" s="48"/>
      <c r="BQ203" s="48"/>
      <c r="BR203" s="48"/>
      <c r="BS203" s="48"/>
      <c r="BT203" s="48"/>
      <c r="BU203" s="48"/>
      <c r="BV203" s="48"/>
      <c r="BW203" s="48"/>
      <c r="BX203" s="48"/>
      <c r="BY203" s="48"/>
      <c r="BZ203" s="48"/>
      <c r="CA203" s="48"/>
      <c r="CB203" s="48"/>
      <c r="CC203" s="48"/>
      <c r="CD203" s="52"/>
      <c r="CE203" s="48"/>
      <c r="CF203" s="48"/>
      <c r="CG203" s="48"/>
      <c r="CH203" s="48"/>
      <c r="CI203" s="48"/>
      <c r="CJ203" s="51"/>
      <c r="CK203" s="129"/>
      <c r="CL203" s="129"/>
      <c r="CM203" s="129"/>
      <c r="CN203" s="116"/>
      <c r="CO203" s="116"/>
      <c r="CP203" s="116"/>
      <c r="CQ203" s="116"/>
      <c r="CR203" s="116"/>
      <c r="CS203" s="116"/>
      <c r="CT203" s="116"/>
      <c r="CU203" s="116"/>
      <c r="CV203" s="116"/>
      <c r="CW203" s="116"/>
      <c r="CX203" s="116"/>
      <c r="CY203" s="116"/>
      <c r="CZ203" s="116"/>
      <c r="DA203" s="48"/>
      <c r="DB203" s="48"/>
      <c r="DC203" s="48"/>
      <c r="DD203" s="54"/>
      <c r="DE203" s="54"/>
      <c r="DF203" s="54"/>
      <c r="DG203" s="54"/>
      <c r="DH203" s="54"/>
      <c r="DI203" s="54"/>
      <c r="DJ203" s="48"/>
      <c r="DK203" s="48"/>
      <c r="DL203" s="51"/>
      <c r="DM203" s="48"/>
      <c r="DN203" s="52"/>
      <c r="DO203" s="52"/>
      <c r="DP203" s="48"/>
      <c r="DQ203" s="48"/>
      <c r="DR203" s="48"/>
      <c r="DS203" s="51"/>
      <c r="DT203" s="48"/>
      <c r="DU203" s="48"/>
      <c r="DV203" s="48"/>
      <c r="DW203" s="48"/>
      <c r="DX203" s="48"/>
      <c r="DY203" s="48"/>
      <c r="DZ203" s="48"/>
    </row>
    <row r="204" spans="1:130" ht="50.25" customHeight="1">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51"/>
      <c r="AP204" s="51"/>
      <c r="AQ204" s="48"/>
      <c r="AR204" s="48"/>
      <c r="AS204" s="48"/>
      <c r="AT204" s="48"/>
      <c r="AU204" s="48"/>
      <c r="AV204" s="48"/>
      <c r="AW204" s="48"/>
      <c r="AX204" s="48"/>
      <c r="AY204" s="48"/>
      <c r="AZ204" s="48"/>
      <c r="BA204" s="48"/>
      <c r="BB204" s="51"/>
      <c r="BC204" s="48"/>
      <c r="BD204" s="48"/>
      <c r="BE204" s="48"/>
      <c r="BF204" s="48"/>
      <c r="BG204" s="48"/>
      <c r="BH204" s="48"/>
      <c r="BI204" s="48"/>
      <c r="BJ204" s="48"/>
      <c r="BK204" s="48"/>
      <c r="BL204" s="116"/>
      <c r="BM204" s="116"/>
      <c r="BN204" s="51"/>
      <c r="BO204" s="48"/>
      <c r="BP204" s="48"/>
      <c r="BQ204" s="48"/>
      <c r="BR204" s="48"/>
      <c r="BS204" s="48"/>
      <c r="BT204" s="48"/>
      <c r="BU204" s="48"/>
      <c r="BV204" s="48"/>
      <c r="BW204" s="48"/>
      <c r="BX204" s="48"/>
      <c r="BY204" s="48"/>
      <c r="BZ204" s="48"/>
      <c r="CA204" s="48"/>
      <c r="CB204" s="48"/>
      <c r="CC204" s="48"/>
      <c r="CD204" s="52"/>
      <c r="CE204" s="48"/>
      <c r="CF204" s="48"/>
      <c r="CG204" s="48"/>
      <c r="CH204" s="48"/>
      <c r="CI204" s="48"/>
      <c r="CJ204" s="51"/>
      <c r="CK204" s="129"/>
      <c r="CL204" s="129"/>
      <c r="CM204" s="129"/>
      <c r="CN204" s="116"/>
      <c r="CO204" s="116"/>
      <c r="CP204" s="116"/>
      <c r="CQ204" s="116"/>
      <c r="CR204" s="116"/>
      <c r="CS204" s="116"/>
      <c r="CT204" s="116"/>
      <c r="CU204" s="116"/>
      <c r="CV204" s="116"/>
      <c r="CW204" s="116"/>
      <c r="CX204" s="116"/>
      <c r="CY204" s="116"/>
      <c r="CZ204" s="116"/>
      <c r="DA204" s="48"/>
      <c r="DB204" s="48"/>
      <c r="DC204" s="48"/>
      <c r="DD204" s="54"/>
      <c r="DE204" s="54"/>
      <c r="DF204" s="54"/>
      <c r="DG204" s="54"/>
      <c r="DH204" s="54"/>
      <c r="DI204" s="54"/>
      <c r="DJ204" s="48"/>
      <c r="DK204" s="48"/>
      <c r="DL204" s="51"/>
      <c r="DM204" s="48"/>
      <c r="DN204" s="52"/>
      <c r="DO204" s="52"/>
      <c r="DP204" s="48"/>
      <c r="DQ204" s="48"/>
      <c r="DR204" s="48"/>
      <c r="DS204" s="51"/>
      <c r="DT204" s="48"/>
      <c r="DU204" s="48"/>
      <c r="DV204" s="48"/>
      <c r="DW204" s="48"/>
      <c r="DX204" s="48"/>
      <c r="DY204" s="48"/>
      <c r="DZ204" s="48"/>
    </row>
    <row r="205" spans="1:130" ht="50.25" customHeight="1">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51"/>
      <c r="AP205" s="51"/>
      <c r="AQ205" s="48"/>
      <c r="AR205" s="48"/>
      <c r="AS205" s="48"/>
      <c r="AT205" s="48"/>
      <c r="AU205" s="48"/>
      <c r="AV205" s="48"/>
      <c r="AW205" s="48"/>
      <c r="AX205" s="48"/>
      <c r="AY205" s="48"/>
      <c r="AZ205" s="48"/>
      <c r="BA205" s="48"/>
      <c r="BB205" s="51"/>
      <c r="BC205" s="48"/>
      <c r="BD205" s="48"/>
      <c r="BE205" s="48"/>
      <c r="BF205" s="48"/>
      <c r="BG205" s="48"/>
      <c r="BH205" s="48"/>
      <c r="BI205" s="48"/>
      <c r="BJ205" s="48"/>
      <c r="BK205" s="48"/>
      <c r="BL205" s="116"/>
      <c r="BM205" s="116"/>
      <c r="BN205" s="51"/>
      <c r="BO205" s="48"/>
      <c r="BP205" s="48"/>
      <c r="BQ205" s="48"/>
      <c r="BR205" s="48"/>
      <c r="BS205" s="48"/>
      <c r="BT205" s="48"/>
      <c r="BU205" s="48"/>
      <c r="BV205" s="48"/>
      <c r="BW205" s="48"/>
      <c r="BX205" s="48"/>
      <c r="BY205" s="48"/>
      <c r="BZ205" s="48"/>
      <c r="CA205" s="48"/>
      <c r="CB205" s="48"/>
      <c r="CC205" s="48"/>
      <c r="CD205" s="52"/>
      <c r="CE205" s="48"/>
      <c r="CF205" s="48"/>
      <c r="CG205" s="48"/>
      <c r="CH205" s="48"/>
      <c r="CI205" s="48"/>
      <c r="CJ205" s="51"/>
      <c r="CK205" s="129"/>
      <c r="CL205" s="129"/>
      <c r="CM205" s="129"/>
      <c r="CN205" s="116"/>
      <c r="CO205" s="116"/>
      <c r="CP205" s="116"/>
      <c r="CQ205" s="116"/>
      <c r="CR205" s="116"/>
      <c r="CS205" s="116"/>
      <c r="CT205" s="116"/>
      <c r="CU205" s="116"/>
      <c r="CV205" s="116"/>
      <c r="CW205" s="116"/>
      <c r="CX205" s="116"/>
      <c r="CY205" s="116"/>
      <c r="CZ205" s="116"/>
      <c r="DA205" s="48"/>
      <c r="DB205" s="48"/>
      <c r="DC205" s="48"/>
      <c r="DD205" s="54"/>
      <c r="DE205" s="54"/>
      <c r="DF205" s="54"/>
      <c r="DG205" s="54"/>
      <c r="DH205" s="54"/>
      <c r="DI205" s="54"/>
      <c r="DJ205" s="48"/>
      <c r="DK205" s="48"/>
      <c r="DL205" s="51"/>
      <c r="DM205" s="48"/>
      <c r="DN205" s="52"/>
      <c r="DO205" s="52"/>
      <c r="DP205" s="48"/>
      <c r="DQ205" s="48"/>
      <c r="DR205" s="48"/>
      <c r="DS205" s="51"/>
      <c r="DT205" s="48"/>
      <c r="DU205" s="48"/>
      <c r="DV205" s="48"/>
      <c r="DW205" s="48"/>
      <c r="DX205" s="48"/>
      <c r="DY205" s="48"/>
      <c r="DZ205" s="48"/>
    </row>
    <row r="206" spans="1:130" ht="50.25" customHeight="1">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51"/>
      <c r="AP206" s="51"/>
      <c r="AQ206" s="48"/>
      <c r="AR206" s="48"/>
      <c r="AS206" s="48"/>
      <c r="AT206" s="48"/>
      <c r="AU206" s="48"/>
      <c r="AV206" s="48"/>
      <c r="AW206" s="48"/>
      <c r="AX206" s="48"/>
      <c r="AY206" s="48"/>
      <c r="AZ206" s="48"/>
      <c r="BA206" s="48"/>
      <c r="BB206" s="51"/>
      <c r="BC206" s="48"/>
      <c r="BD206" s="48"/>
      <c r="BE206" s="48"/>
      <c r="BF206" s="48"/>
      <c r="BG206" s="48"/>
      <c r="BH206" s="48"/>
      <c r="BI206" s="48"/>
      <c r="BJ206" s="48"/>
      <c r="BK206" s="48"/>
      <c r="BL206" s="116"/>
      <c r="BM206" s="116"/>
      <c r="BN206" s="51"/>
      <c r="BO206" s="48"/>
      <c r="BP206" s="48"/>
      <c r="BQ206" s="48"/>
      <c r="BR206" s="48"/>
      <c r="BS206" s="48"/>
      <c r="BT206" s="48"/>
      <c r="BU206" s="48"/>
      <c r="BV206" s="48"/>
      <c r="BW206" s="48"/>
      <c r="BX206" s="48"/>
      <c r="BY206" s="48"/>
      <c r="BZ206" s="48"/>
      <c r="CA206" s="48"/>
      <c r="CB206" s="48"/>
      <c r="CC206" s="48"/>
      <c r="CD206" s="52"/>
      <c r="CE206" s="48"/>
      <c r="CF206" s="48"/>
      <c r="CG206" s="48"/>
      <c r="CH206" s="48"/>
      <c r="CI206" s="48"/>
      <c r="CJ206" s="51"/>
      <c r="CK206" s="129"/>
      <c r="CL206" s="129"/>
      <c r="CM206" s="129"/>
      <c r="CN206" s="116"/>
      <c r="CO206" s="116"/>
      <c r="CP206" s="116"/>
      <c r="CQ206" s="116"/>
      <c r="CR206" s="116"/>
      <c r="CS206" s="116"/>
      <c r="CT206" s="116"/>
      <c r="CU206" s="116"/>
      <c r="CV206" s="116"/>
      <c r="CW206" s="116"/>
      <c r="CX206" s="116"/>
      <c r="CY206" s="116"/>
      <c r="CZ206" s="116"/>
      <c r="DA206" s="48"/>
      <c r="DB206" s="48"/>
      <c r="DC206" s="48"/>
      <c r="DD206" s="54"/>
      <c r="DE206" s="54"/>
      <c r="DF206" s="54"/>
      <c r="DG206" s="54"/>
      <c r="DH206" s="54"/>
      <c r="DI206" s="54"/>
      <c r="DJ206" s="48"/>
      <c r="DK206" s="48"/>
      <c r="DL206" s="51"/>
      <c r="DM206" s="48"/>
      <c r="DN206" s="52"/>
      <c r="DO206" s="52"/>
      <c r="DP206" s="48"/>
      <c r="DQ206" s="48"/>
      <c r="DR206" s="48"/>
      <c r="DS206" s="51"/>
      <c r="DT206" s="48"/>
      <c r="DU206" s="48"/>
      <c r="DV206" s="48"/>
      <c r="DW206" s="48"/>
      <c r="DX206" s="48"/>
      <c r="DY206" s="48"/>
      <c r="DZ206" s="48"/>
    </row>
    <row r="207" spans="1:130" ht="50.25" customHeight="1">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51"/>
      <c r="AP207" s="51"/>
      <c r="AQ207" s="48"/>
      <c r="AR207" s="48"/>
      <c r="AS207" s="48"/>
      <c r="AT207" s="48"/>
      <c r="AU207" s="48"/>
      <c r="AV207" s="48"/>
      <c r="AW207" s="48"/>
      <c r="AX207" s="48"/>
      <c r="AY207" s="48"/>
      <c r="AZ207" s="48"/>
      <c r="BA207" s="48"/>
      <c r="BB207" s="51"/>
      <c r="BC207" s="48"/>
      <c r="BD207" s="48"/>
      <c r="BE207" s="48"/>
      <c r="BF207" s="48"/>
      <c r="BG207" s="48"/>
      <c r="BH207" s="48"/>
      <c r="BI207" s="48"/>
      <c r="BJ207" s="48"/>
      <c r="BK207" s="48"/>
      <c r="BL207" s="116"/>
      <c r="BM207" s="116"/>
      <c r="BN207" s="51"/>
      <c r="BO207" s="48"/>
      <c r="BP207" s="48"/>
      <c r="BQ207" s="48"/>
      <c r="BR207" s="48"/>
      <c r="BS207" s="48"/>
      <c r="BT207" s="48"/>
      <c r="BU207" s="48"/>
      <c r="BV207" s="48"/>
      <c r="BW207" s="48"/>
      <c r="BX207" s="48"/>
      <c r="BY207" s="48"/>
      <c r="BZ207" s="48"/>
      <c r="CA207" s="48"/>
      <c r="CB207" s="48"/>
      <c r="CC207" s="48"/>
      <c r="CD207" s="52"/>
      <c r="CE207" s="48"/>
      <c r="CF207" s="48"/>
      <c r="CG207" s="48"/>
      <c r="CH207" s="48"/>
      <c r="CI207" s="48"/>
      <c r="CJ207" s="51"/>
      <c r="CK207" s="129"/>
      <c r="CL207" s="129"/>
      <c r="CM207" s="129"/>
      <c r="CN207" s="116"/>
      <c r="CO207" s="116"/>
      <c r="CP207" s="116"/>
      <c r="CQ207" s="116"/>
      <c r="CR207" s="116"/>
      <c r="CS207" s="116"/>
      <c r="CT207" s="116"/>
      <c r="CU207" s="116"/>
      <c r="CV207" s="116"/>
      <c r="CW207" s="116"/>
      <c r="CX207" s="116"/>
      <c r="CY207" s="116"/>
      <c r="CZ207" s="116"/>
      <c r="DA207" s="48"/>
      <c r="DB207" s="48"/>
      <c r="DC207" s="48"/>
      <c r="DD207" s="54"/>
      <c r="DE207" s="54"/>
      <c r="DF207" s="54"/>
      <c r="DG207" s="54"/>
      <c r="DH207" s="54"/>
      <c r="DI207" s="54"/>
      <c r="DJ207" s="48"/>
      <c r="DK207" s="48"/>
      <c r="DL207" s="51"/>
      <c r="DM207" s="48"/>
      <c r="DN207" s="52"/>
      <c r="DO207" s="52"/>
      <c r="DP207" s="48"/>
      <c r="DQ207" s="48"/>
      <c r="DR207" s="48"/>
      <c r="DS207" s="51"/>
      <c r="DT207" s="48"/>
      <c r="DU207" s="48"/>
      <c r="DV207" s="48"/>
      <c r="DW207" s="48"/>
      <c r="DX207" s="48"/>
      <c r="DY207" s="48"/>
      <c r="DZ207" s="48"/>
    </row>
    <row r="208" spans="1:130" ht="50.25" customHeight="1">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51"/>
      <c r="AP208" s="51"/>
      <c r="AQ208" s="48"/>
      <c r="AR208" s="48"/>
      <c r="AS208" s="48"/>
      <c r="AT208" s="48"/>
      <c r="AU208" s="48"/>
      <c r="AV208" s="48"/>
      <c r="AW208" s="48"/>
      <c r="AX208" s="48"/>
      <c r="AY208" s="48"/>
      <c r="AZ208" s="48"/>
      <c r="BA208" s="48"/>
      <c r="BB208" s="51"/>
      <c r="BC208" s="48"/>
      <c r="BD208" s="48"/>
      <c r="BE208" s="48"/>
      <c r="BF208" s="48"/>
      <c r="BG208" s="48"/>
      <c r="BH208" s="48"/>
      <c r="BI208" s="48"/>
      <c r="BJ208" s="48"/>
      <c r="BK208" s="48"/>
      <c r="BL208" s="116"/>
      <c r="BM208" s="116"/>
      <c r="BN208" s="51"/>
      <c r="BO208" s="48"/>
      <c r="BP208" s="48"/>
      <c r="BQ208" s="48"/>
      <c r="BR208" s="48"/>
      <c r="BS208" s="48"/>
      <c r="BT208" s="48"/>
      <c r="BU208" s="48"/>
      <c r="BV208" s="48"/>
      <c r="BW208" s="48"/>
      <c r="BX208" s="48"/>
      <c r="BY208" s="48"/>
      <c r="BZ208" s="48"/>
      <c r="CA208" s="48"/>
      <c r="CB208" s="48"/>
      <c r="CC208" s="48"/>
      <c r="CD208" s="52"/>
      <c r="CE208" s="48"/>
      <c r="CF208" s="48"/>
      <c r="CG208" s="48"/>
      <c r="CH208" s="48"/>
      <c r="CI208" s="48"/>
      <c r="CJ208" s="51"/>
      <c r="CK208" s="129"/>
      <c r="CL208" s="129"/>
      <c r="CM208" s="129"/>
      <c r="CN208" s="116"/>
      <c r="CO208" s="116"/>
      <c r="CP208" s="116"/>
      <c r="CQ208" s="116"/>
      <c r="CR208" s="116"/>
      <c r="CS208" s="116"/>
      <c r="CT208" s="116"/>
      <c r="CU208" s="116"/>
      <c r="CV208" s="116"/>
      <c r="CW208" s="116"/>
      <c r="CX208" s="116"/>
      <c r="CY208" s="116"/>
      <c r="CZ208" s="116"/>
      <c r="DA208" s="48"/>
      <c r="DB208" s="48"/>
      <c r="DC208" s="48"/>
      <c r="DD208" s="54"/>
      <c r="DE208" s="54"/>
      <c r="DF208" s="54"/>
      <c r="DG208" s="54"/>
      <c r="DH208" s="54"/>
      <c r="DI208" s="54"/>
      <c r="DJ208" s="48"/>
      <c r="DK208" s="48"/>
      <c r="DL208" s="51"/>
      <c r="DM208" s="48"/>
      <c r="DN208" s="52"/>
      <c r="DO208" s="52"/>
      <c r="DP208" s="48"/>
      <c r="DQ208" s="48"/>
      <c r="DR208" s="48"/>
      <c r="DS208" s="51"/>
      <c r="DT208" s="48"/>
      <c r="DU208" s="48"/>
      <c r="DV208" s="48"/>
      <c r="DW208" s="48"/>
      <c r="DX208" s="48"/>
      <c r="DY208" s="48"/>
      <c r="DZ208" s="48"/>
    </row>
    <row r="209" spans="1:130" ht="50.25" customHeight="1">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51"/>
      <c r="AP209" s="51"/>
      <c r="AQ209" s="48"/>
      <c r="AR209" s="48"/>
      <c r="AS209" s="48"/>
      <c r="AT209" s="48"/>
      <c r="AU209" s="48"/>
      <c r="AV209" s="48"/>
      <c r="AW209" s="48"/>
      <c r="AX209" s="48"/>
      <c r="AY209" s="48"/>
      <c r="AZ209" s="48"/>
      <c r="BA209" s="48"/>
      <c r="BB209" s="51"/>
      <c r="BC209" s="48"/>
      <c r="BD209" s="48"/>
      <c r="BE209" s="48"/>
      <c r="BF209" s="48"/>
      <c r="BG209" s="48"/>
      <c r="BH209" s="48"/>
      <c r="BI209" s="48"/>
      <c r="BJ209" s="48"/>
      <c r="BK209" s="48"/>
      <c r="BL209" s="116"/>
      <c r="BM209" s="116"/>
      <c r="BN209" s="51"/>
      <c r="BO209" s="48"/>
      <c r="BP209" s="48"/>
      <c r="BQ209" s="48"/>
      <c r="BR209" s="48"/>
      <c r="BS209" s="48"/>
      <c r="BT209" s="48"/>
      <c r="BU209" s="48"/>
      <c r="BV209" s="48"/>
      <c r="BW209" s="48"/>
      <c r="BX209" s="48"/>
      <c r="BY209" s="48"/>
      <c r="BZ209" s="48"/>
      <c r="CA209" s="48"/>
      <c r="CB209" s="48"/>
      <c r="CC209" s="48"/>
      <c r="CD209" s="52"/>
      <c r="CE209" s="48"/>
      <c r="CF209" s="48"/>
      <c r="CG209" s="48"/>
      <c r="CH209" s="48"/>
      <c r="CI209" s="48"/>
      <c r="CJ209" s="51"/>
      <c r="CK209" s="129"/>
      <c r="CL209" s="129"/>
      <c r="CM209" s="129"/>
      <c r="CN209" s="116"/>
      <c r="CO209" s="116"/>
      <c r="CP209" s="116"/>
      <c r="CQ209" s="116"/>
      <c r="CR209" s="116"/>
      <c r="CS209" s="116"/>
      <c r="CT209" s="116"/>
      <c r="CU209" s="116"/>
      <c r="CV209" s="116"/>
      <c r="CW209" s="116"/>
      <c r="CX209" s="116"/>
      <c r="CY209" s="116"/>
      <c r="CZ209" s="116"/>
      <c r="DA209" s="48"/>
      <c r="DB209" s="48"/>
      <c r="DC209" s="48"/>
      <c r="DD209" s="54"/>
      <c r="DE209" s="54"/>
      <c r="DF209" s="54"/>
      <c r="DG209" s="54"/>
      <c r="DH209" s="54"/>
      <c r="DI209" s="54"/>
      <c r="DJ209" s="48"/>
      <c r="DK209" s="48"/>
      <c r="DL209" s="51"/>
      <c r="DM209" s="48"/>
      <c r="DN209" s="52"/>
      <c r="DO209" s="52"/>
      <c r="DP209" s="48"/>
      <c r="DQ209" s="48"/>
      <c r="DR209" s="48"/>
      <c r="DS209" s="51"/>
      <c r="DT209" s="48"/>
      <c r="DU209" s="48"/>
      <c r="DV209" s="48"/>
      <c r="DW209" s="48"/>
      <c r="DX209" s="48"/>
      <c r="DY209" s="48"/>
      <c r="DZ209" s="48"/>
    </row>
    <row r="210" spans="1:130" ht="50.25" customHeight="1">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51"/>
      <c r="AP210" s="51"/>
      <c r="AQ210" s="48"/>
      <c r="AR210" s="48"/>
      <c r="AS210" s="48"/>
      <c r="AT210" s="48"/>
      <c r="AU210" s="48"/>
      <c r="AV210" s="48"/>
      <c r="AW210" s="48"/>
      <c r="AX210" s="48"/>
      <c r="AY210" s="48"/>
      <c r="AZ210" s="48"/>
      <c r="BA210" s="48"/>
      <c r="BB210" s="51"/>
      <c r="BC210" s="48"/>
      <c r="BD210" s="48"/>
      <c r="BE210" s="48"/>
      <c r="BF210" s="48"/>
      <c r="BG210" s="48"/>
      <c r="BH210" s="48"/>
      <c r="BI210" s="48"/>
      <c r="BJ210" s="48"/>
      <c r="BK210" s="48"/>
      <c r="BL210" s="116"/>
      <c r="BM210" s="116"/>
      <c r="BN210" s="51"/>
      <c r="BO210" s="48"/>
      <c r="BP210" s="48"/>
      <c r="BQ210" s="48"/>
      <c r="BR210" s="48"/>
      <c r="BS210" s="48"/>
      <c r="BT210" s="48"/>
      <c r="BU210" s="48"/>
      <c r="BV210" s="48"/>
      <c r="BW210" s="48"/>
      <c r="BX210" s="48"/>
      <c r="BY210" s="48"/>
      <c r="BZ210" s="48"/>
      <c r="CA210" s="48"/>
      <c r="CB210" s="48"/>
      <c r="CC210" s="48"/>
      <c r="CD210" s="52"/>
      <c r="CE210" s="48"/>
      <c r="CF210" s="48"/>
      <c r="CG210" s="48"/>
      <c r="CH210" s="48"/>
      <c r="CI210" s="48"/>
      <c r="CJ210" s="51"/>
      <c r="CK210" s="129"/>
      <c r="CL210" s="129"/>
      <c r="CM210" s="129"/>
      <c r="CN210" s="116"/>
      <c r="CO210" s="116"/>
      <c r="CP210" s="116"/>
      <c r="CQ210" s="116"/>
      <c r="CR210" s="116"/>
      <c r="CS210" s="116"/>
      <c r="CT210" s="116"/>
      <c r="CU210" s="116"/>
      <c r="CV210" s="116"/>
      <c r="CW210" s="116"/>
      <c r="CX210" s="116"/>
      <c r="CY210" s="116"/>
      <c r="CZ210" s="116"/>
      <c r="DA210" s="48"/>
      <c r="DB210" s="48"/>
      <c r="DC210" s="48"/>
      <c r="DD210" s="54"/>
      <c r="DE210" s="54"/>
      <c r="DF210" s="54"/>
      <c r="DG210" s="54"/>
      <c r="DH210" s="54"/>
      <c r="DI210" s="54"/>
      <c r="DJ210" s="48"/>
      <c r="DK210" s="48"/>
      <c r="DL210" s="51"/>
      <c r="DM210" s="48"/>
      <c r="DN210" s="52"/>
      <c r="DO210" s="52"/>
      <c r="DP210" s="48"/>
      <c r="DQ210" s="48"/>
      <c r="DR210" s="48"/>
      <c r="DS210" s="51"/>
      <c r="DT210" s="48"/>
      <c r="DU210" s="48"/>
      <c r="DV210" s="48"/>
      <c r="DW210" s="48"/>
      <c r="DX210" s="48"/>
      <c r="DY210" s="48"/>
      <c r="DZ210" s="48"/>
    </row>
    <row r="211" spans="1:130" ht="50.25" customHeight="1">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51"/>
      <c r="AP211" s="51"/>
      <c r="AQ211" s="48"/>
      <c r="AR211" s="48"/>
      <c r="AS211" s="48"/>
      <c r="AT211" s="48"/>
      <c r="AU211" s="48"/>
      <c r="AV211" s="48"/>
      <c r="AW211" s="48"/>
      <c r="AX211" s="48"/>
      <c r="AY211" s="48"/>
      <c r="AZ211" s="48"/>
      <c r="BA211" s="48"/>
      <c r="BB211" s="51"/>
      <c r="BC211" s="48"/>
      <c r="BD211" s="48"/>
      <c r="BE211" s="48"/>
      <c r="BF211" s="48"/>
      <c r="BG211" s="48"/>
      <c r="BH211" s="48"/>
      <c r="BI211" s="48"/>
      <c r="BJ211" s="48"/>
      <c r="BK211" s="48"/>
      <c r="BL211" s="116"/>
      <c r="BM211" s="116"/>
      <c r="BN211" s="51"/>
      <c r="BO211" s="48"/>
      <c r="BP211" s="48"/>
      <c r="BQ211" s="48"/>
      <c r="BR211" s="48"/>
      <c r="BS211" s="48"/>
      <c r="BT211" s="48"/>
      <c r="BU211" s="48"/>
      <c r="BV211" s="48"/>
      <c r="BW211" s="48"/>
      <c r="BX211" s="48"/>
      <c r="BY211" s="48"/>
      <c r="BZ211" s="48"/>
      <c r="CA211" s="48"/>
      <c r="CB211" s="48"/>
      <c r="CC211" s="48"/>
      <c r="CD211" s="52"/>
      <c r="CE211" s="48"/>
      <c r="CF211" s="48"/>
      <c r="CG211" s="48"/>
      <c r="CH211" s="48"/>
      <c r="CI211" s="48"/>
      <c r="CJ211" s="51"/>
      <c r="CK211" s="129"/>
      <c r="CL211" s="129"/>
      <c r="CM211" s="129"/>
      <c r="CN211" s="116"/>
      <c r="CO211" s="116"/>
      <c r="CP211" s="116"/>
      <c r="CQ211" s="116"/>
      <c r="CR211" s="116"/>
      <c r="CS211" s="116"/>
      <c r="CT211" s="116"/>
      <c r="CU211" s="116"/>
      <c r="CV211" s="116"/>
      <c r="CW211" s="116"/>
      <c r="CX211" s="116"/>
      <c r="CY211" s="116"/>
      <c r="CZ211" s="116"/>
      <c r="DA211" s="48"/>
      <c r="DB211" s="48"/>
      <c r="DC211" s="48"/>
      <c r="DD211" s="54"/>
      <c r="DE211" s="54"/>
      <c r="DF211" s="54"/>
      <c r="DG211" s="54"/>
      <c r="DH211" s="54"/>
      <c r="DI211" s="54"/>
      <c r="DJ211" s="48"/>
      <c r="DK211" s="48"/>
      <c r="DL211" s="51"/>
      <c r="DM211" s="48"/>
      <c r="DN211" s="52"/>
      <c r="DO211" s="52"/>
      <c r="DP211" s="48"/>
      <c r="DQ211" s="48"/>
      <c r="DR211" s="48"/>
      <c r="DS211" s="51"/>
      <c r="DT211" s="48"/>
      <c r="DU211" s="48"/>
      <c r="DV211" s="48"/>
      <c r="DW211" s="48"/>
      <c r="DX211" s="48"/>
      <c r="DY211" s="48"/>
      <c r="DZ211" s="48"/>
    </row>
    <row r="212" spans="1:130" ht="50.25" customHeight="1">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51"/>
      <c r="AP212" s="51"/>
      <c r="AQ212" s="48"/>
      <c r="AR212" s="48"/>
      <c r="AS212" s="48"/>
      <c r="AT212" s="48"/>
      <c r="AU212" s="48"/>
      <c r="AV212" s="48"/>
      <c r="AW212" s="48"/>
      <c r="AX212" s="48"/>
      <c r="AY212" s="48"/>
      <c r="AZ212" s="48"/>
      <c r="BA212" s="48"/>
      <c r="BB212" s="51"/>
      <c r="BC212" s="48"/>
      <c r="BD212" s="48"/>
      <c r="BE212" s="48"/>
      <c r="BF212" s="48"/>
      <c r="BG212" s="48"/>
      <c r="BH212" s="48"/>
      <c r="BI212" s="48"/>
      <c r="BJ212" s="48"/>
      <c r="BK212" s="48"/>
      <c r="BL212" s="116"/>
      <c r="BM212" s="116"/>
      <c r="BN212" s="51"/>
      <c r="BO212" s="48"/>
      <c r="BP212" s="48"/>
      <c r="BQ212" s="48"/>
      <c r="BR212" s="48"/>
      <c r="BS212" s="48"/>
      <c r="BT212" s="48"/>
      <c r="BU212" s="48"/>
      <c r="BV212" s="48"/>
      <c r="BW212" s="48"/>
      <c r="BX212" s="48"/>
      <c r="BY212" s="48"/>
      <c r="BZ212" s="48"/>
      <c r="CA212" s="48"/>
      <c r="CB212" s="48"/>
      <c r="CC212" s="48"/>
      <c r="CD212" s="52"/>
      <c r="CE212" s="48"/>
      <c r="CF212" s="48"/>
      <c r="CG212" s="48"/>
      <c r="CH212" s="48"/>
      <c r="CI212" s="48"/>
      <c r="CJ212" s="51"/>
      <c r="CK212" s="129"/>
      <c r="CL212" s="129"/>
      <c r="CM212" s="129"/>
      <c r="CN212" s="116"/>
      <c r="CO212" s="116"/>
      <c r="CP212" s="116"/>
      <c r="CQ212" s="116"/>
      <c r="CR212" s="116"/>
      <c r="CS212" s="116"/>
      <c r="CT212" s="116"/>
      <c r="CU212" s="116"/>
      <c r="CV212" s="116"/>
      <c r="CW212" s="116"/>
      <c r="CX212" s="116"/>
      <c r="CY212" s="116"/>
      <c r="CZ212" s="116"/>
      <c r="DA212" s="48"/>
      <c r="DB212" s="48"/>
      <c r="DC212" s="48"/>
      <c r="DD212" s="54"/>
      <c r="DE212" s="54"/>
      <c r="DF212" s="54"/>
      <c r="DG212" s="54"/>
      <c r="DH212" s="54"/>
      <c r="DI212" s="54"/>
      <c r="DJ212" s="48"/>
      <c r="DK212" s="48"/>
      <c r="DL212" s="51"/>
      <c r="DM212" s="48"/>
      <c r="DN212" s="52"/>
      <c r="DO212" s="52"/>
      <c r="DP212" s="48"/>
      <c r="DQ212" s="48"/>
      <c r="DR212" s="48"/>
      <c r="DS212" s="51"/>
      <c r="DT212" s="48"/>
      <c r="DU212" s="48"/>
      <c r="DV212" s="48"/>
      <c r="DW212" s="48"/>
      <c r="DX212" s="48"/>
      <c r="DY212" s="48"/>
      <c r="DZ212" s="48"/>
    </row>
    <row r="213" spans="1:130" ht="50.25" customHeight="1">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51"/>
      <c r="AP213" s="51"/>
      <c r="AQ213" s="48"/>
      <c r="AR213" s="48"/>
      <c r="AS213" s="48"/>
      <c r="AT213" s="48"/>
      <c r="AU213" s="48"/>
      <c r="AV213" s="48"/>
      <c r="AW213" s="48"/>
      <c r="AX213" s="48"/>
      <c r="AY213" s="48"/>
      <c r="AZ213" s="48"/>
      <c r="BA213" s="48"/>
      <c r="BB213" s="51"/>
      <c r="BC213" s="48"/>
      <c r="BD213" s="48"/>
      <c r="BE213" s="48"/>
      <c r="BF213" s="48"/>
      <c r="BG213" s="48"/>
      <c r="BH213" s="48"/>
      <c r="BI213" s="48"/>
      <c r="BJ213" s="48"/>
      <c r="BK213" s="48"/>
      <c r="BL213" s="116"/>
      <c r="BM213" s="116"/>
      <c r="BN213" s="51"/>
      <c r="BO213" s="48"/>
      <c r="BP213" s="48"/>
      <c r="BQ213" s="48"/>
      <c r="BR213" s="48"/>
      <c r="BS213" s="48"/>
      <c r="BT213" s="48"/>
      <c r="BU213" s="48"/>
      <c r="BV213" s="48"/>
      <c r="BW213" s="48"/>
      <c r="BX213" s="48"/>
      <c r="BY213" s="48"/>
      <c r="BZ213" s="48"/>
      <c r="CA213" s="48"/>
      <c r="CB213" s="48"/>
      <c r="CC213" s="48"/>
      <c r="CD213" s="52"/>
      <c r="CE213" s="48"/>
      <c r="CF213" s="48"/>
      <c r="CG213" s="48"/>
      <c r="CH213" s="48"/>
      <c r="CI213" s="48"/>
      <c r="CJ213" s="51"/>
      <c r="CK213" s="129"/>
      <c r="CL213" s="129"/>
      <c r="CM213" s="129"/>
      <c r="CN213" s="116"/>
      <c r="CO213" s="116"/>
      <c r="CP213" s="116"/>
      <c r="CQ213" s="116"/>
      <c r="CR213" s="116"/>
      <c r="CS213" s="116"/>
      <c r="CT213" s="116"/>
      <c r="CU213" s="116"/>
      <c r="CV213" s="116"/>
      <c r="CW213" s="116"/>
      <c r="CX213" s="116"/>
      <c r="CY213" s="116"/>
      <c r="CZ213" s="116"/>
      <c r="DA213" s="48"/>
      <c r="DB213" s="48"/>
      <c r="DC213" s="48"/>
      <c r="DD213" s="54"/>
      <c r="DE213" s="54"/>
      <c r="DF213" s="54"/>
      <c r="DG213" s="54"/>
      <c r="DH213" s="54"/>
      <c r="DI213" s="54"/>
      <c r="DJ213" s="48"/>
      <c r="DK213" s="48"/>
      <c r="DL213" s="51"/>
      <c r="DM213" s="48"/>
      <c r="DN213" s="52"/>
      <c r="DO213" s="52"/>
      <c r="DP213" s="48"/>
      <c r="DQ213" s="48"/>
      <c r="DR213" s="48"/>
      <c r="DS213" s="51"/>
      <c r="DT213" s="48"/>
      <c r="DU213" s="48"/>
      <c r="DV213" s="48"/>
      <c r="DW213" s="48"/>
      <c r="DX213" s="48"/>
      <c r="DY213" s="48"/>
      <c r="DZ213" s="48"/>
    </row>
    <row r="214" spans="1:130" ht="50.25" customHeight="1">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51"/>
      <c r="AP214" s="51"/>
      <c r="AQ214" s="48"/>
      <c r="AR214" s="48"/>
      <c r="AS214" s="48"/>
      <c r="AT214" s="48"/>
      <c r="AU214" s="48"/>
      <c r="AV214" s="48"/>
      <c r="AW214" s="48"/>
      <c r="AX214" s="48"/>
      <c r="AY214" s="48"/>
      <c r="AZ214" s="48"/>
      <c r="BA214" s="48"/>
      <c r="BB214" s="51"/>
      <c r="BC214" s="48"/>
      <c r="BD214" s="48"/>
      <c r="BE214" s="48"/>
      <c r="BF214" s="48"/>
      <c r="BG214" s="48"/>
      <c r="BH214" s="48"/>
      <c r="BI214" s="48"/>
      <c r="BJ214" s="48"/>
      <c r="BK214" s="48"/>
      <c r="BL214" s="116"/>
      <c r="BM214" s="116"/>
      <c r="BN214" s="51"/>
      <c r="BO214" s="48"/>
      <c r="BP214" s="48"/>
      <c r="BQ214" s="48"/>
      <c r="BR214" s="48"/>
      <c r="BS214" s="48"/>
      <c r="BT214" s="48"/>
      <c r="BU214" s="48"/>
      <c r="BV214" s="48"/>
      <c r="BW214" s="48"/>
      <c r="BX214" s="48"/>
      <c r="BY214" s="48"/>
      <c r="BZ214" s="48"/>
      <c r="CA214" s="48"/>
      <c r="CB214" s="48"/>
      <c r="CC214" s="48"/>
      <c r="CD214" s="52"/>
      <c r="CE214" s="48"/>
      <c r="CF214" s="48"/>
      <c r="CG214" s="48"/>
      <c r="CH214" s="48"/>
      <c r="CI214" s="48"/>
      <c r="CJ214" s="51"/>
      <c r="CK214" s="129"/>
      <c r="CL214" s="129"/>
      <c r="CM214" s="129"/>
      <c r="CN214" s="116"/>
      <c r="CO214" s="116"/>
      <c r="CP214" s="116"/>
      <c r="CQ214" s="116"/>
      <c r="CR214" s="116"/>
      <c r="CS214" s="116"/>
      <c r="CT214" s="116"/>
      <c r="CU214" s="116"/>
      <c r="CV214" s="116"/>
      <c r="CW214" s="116"/>
      <c r="CX214" s="116"/>
      <c r="CY214" s="116"/>
      <c r="CZ214" s="116"/>
      <c r="DA214" s="48"/>
      <c r="DB214" s="48"/>
      <c r="DC214" s="48"/>
      <c r="DD214" s="54"/>
      <c r="DE214" s="54"/>
      <c r="DF214" s="54"/>
      <c r="DG214" s="54"/>
      <c r="DH214" s="54"/>
      <c r="DI214" s="54"/>
      <c r="DJ214" s="48"/>
      <c r="DK214" s="48"/>
      <c r="DL214" s="51"/>
      <c r="DM214" s="48"/>
      <c r="DN214" s="52"/>
      <c r="DO214" s="52"/>
      <c r="DP214" s="48"/>
      <c r="DQ214" s="48"/>
      <c r="DR214" s="48"/>
      <c r="DS214" s="51"/>
      <c r="DT214" s="48"/>
      <c r="DU214" s="48"/>
      <c r="DV214" s="48"/>
      <c r="DW214" s="48"/>
      <c r="DX214" s="48"/>
      <c r="DY214" s="48"/>
      <c r="DZ214" s="48"/>
    </row>
    <row r="215" spans="1:130" ht="50.25" customHeight="1">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51"/>
      <c r="AP215" s="51"/>
      <c r="AQ215" s="48"/>
      <c r="AR215" s="48"/>
      <c r="AS215" s="48"/>
      <c r="AT215" s="48"/>
      <c r="AU215" s="48"/>
      <c r="AV215" s="48"/>
      <c r="AW215" s="48"/>
      <c r="AX215" s="48"/>
      <c r="AY215" s="48"/>
      <c r="AZ215" s="48"/>
      <c r="BA215" s="48"/>
      <c r="BB215" s="51"/>
      <c r="BC215" s="48"/>
      <c r="BD215" s="48"/>
      <c r="BE215" s="48"/>
      <c r="BF215" s="48"/>
      <c r="BG215" s="48"/>
      <c r="BH215" s="48"/>
      <c r="BI215" s="48"/>
      <c r="BJ215" s="48"/>
      <c r="BK215" s="48"/>
      <c r="BL215" s="116"/>
      <c r="BM215" s="116"/>
      <c r="BN215" s="51"/>
      <c r="BO215" s="48"/>
      <c r="BP215" s="48"/>
      <c r="BQ215" s="48"/>
      <c r="BR215" s="48"/>
      <c r="BS215" s="48"/>
      <c r="BT215" s="48"/>
      <c r="BU215" s="48"/>
      <c r="BV215" s="48"/>
      <c r="BW215" s="48"/>
      <c r="BX215" s="48"/>
      <c r="BY215" s="48"/>
      <c r="BZ215" s="48"/>
      <c r="CA215" s="48"/>
      <c r="CB215" s="48"/>
      <c r="CC215" s="48"/>
      <c r="CD215" s="52"/>
      <c r="CE215" s="48"/>
      <c r="CF215" s="48"/>
      <c r="CG215" s="48"/>
      <c r="CH215" s="48"/>
      <c r="CI215" s="48"/>
      <c r="CJ215" s="51"/>
      <c r="CK215" s="129"/>
      <c r="CL215" s="129"/>
      <c r="CM215" s="129"/>
      <c r="CN215" s="116"/>
      <c r="CO215" s="116"/>
      <c r="CP215" s="116"/>
      <c r="CQ215" s="116"/>
      <c r="CR215" s="116"/>
      <c r="CS215" s="116"/>
      <c r="CT215" s="116"/>
      <c r="CU215" s="116"/>
      <c r="CV215" s="116"/>
      <c r="CW215" s="116"/>
      <c r="CX215" s="116"/>
      <c r="CY215" s="116"/>
      <c r="CZ215" s="116"/>
      <c r="DA215" s="48"/>
      <c r="DB215" s="48"/>
      <c r="DC215" s="48"/>
      <c r="DD215" s="54"/>
      <c r="DE215" s="54"/>
      <c r="DF215" s="54"/>
      <c r="DG215" s="54"/>
      <c r="DH215" s="54"/>
      <c r="DI215" s="54"/>
      <c r="DJ215" s="48"/>
      <c r="DK215" s="48"/>
      <c r="DL215" s="51"/>
      <c r="DM215" s="48"/>
      <c r="DN215" s="52"/>
      <c r="DO215" s="52"/>
      <c r="DP215" s="48"/>
      <c r="DQ215" s="48"/>
      <c r="DR215" s="48"/>
      <c r="DS215" s="51"/>
      <c r="DT215" s="48"/>
      <c r="DU215" s="48"/>
      <c r="DV215" s="48"/>
      <c r="DW215" s="48"/>
      <c r="DX215" s="48"/>
      <c r="DY215" s="48"/>
      <c r="DZ215" s="48"/>
    </row>
    <row r="216" spans="1:130" ht="50.25" customHeight="1">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51"/>
      <c r="AP216" s="51"/>
      <c r="AQ216" s="48"/>
      <c r="AR216" s="48"/>
      <c r="AS216" s="48"/>
      <c r="AT216" s="48"/>
      <c r="AU216" s="48"/>
      <c r="AV216" s="48"/>
      <c r="AW216" s="48"/>
      <c r="AX216" s="48"/>
      <c r="AY216" s="48"/>
      <c r="AZ216" s="48"/>
      <c r="BA216" s="48"/>
      <c r="BB216" s="51"/>
      <c r="BC216" s="48"/>
      <c r="BD216" s="48"/>
      <c r="BE216" s="48"/>
      <c r="BF216" s="48"/>
      <c r="BG216" s="48"/>
      <c r="BH216" s="48"/>
      <c r="BI216" s="48"/>
      <c r="BJ216" s="48"/>
      <c r="BK216" s="48"/>
      <c r="BL216" s="116"/>
      <c r="BM216" s="116"/>
      <c r="BN216" s="51"/>
      <c r="BO216" s="48"/>
      <c r="BP216" s="48"/>
      <c r="BQ216" s="48"/>
      <c r="BR216" s="48"/>
      <c r="BS216" s="48"/>
      <c r="BT216" s="48"/>
      <c r="BU216" s="48"/>
      <c r="BV216" s="48"/>
      <c r="BW216" s="48"/>
      <c r="BX216" s="48"/>
      <c r="BY216" s="48"/>
      <c r="BZ216" s="48"/>
      <c r="CA216" s="48"/>
      <c r="CB216" s="48"/>
      <c r="CC216" s="48"/>
      <c r="CD216" s="52"/>
      <c r="CE216" s="48"/>
      <c r="CF216" s="48"/>
      <c r="CG216" s="48"/>
      <c r="CH216" s="48"/>
      <c r="CI216" s="48"/>
      <c r="CJ216" s="51"/>
      <c r="CK216" s="129"/>
      <c r="CL216" s="129"/>
      <c r="CM216" s="129"/>
      <c r="CN216" s="116"/>
      <c r="CO216" s="116"/>
      <c r="CP216" s="116"/>
      <c r="CQ216" s="116"/>
      <c r="CR216" s="116"/>
      <c r="CS216" s="116"/>
      <c r="CT216" s="116"/>
      <c r="CU216" s="116"/>
      <c r="CV216" s="116"/>
      <c r="CW216" s="116"/>
      <c r="CX216" s="116"/>
      <c r="CY216" s="116"/>
      <c r="CZ216" s="116"/>
      <c r="DA216" s="48"/>
      <c r="DB216" s="48"/>
      <c r="DC216" s="48"/>
      <c r="DD216" s="54"/>
      <c r="DE216" s="54"/>
      <c r="DF216" s="54"/>
      <c r="DG216" s="54"/>
      <c r="DH216" s="54"/>
      <c r="DI216" s="54"/>
      <c r="DJ216" s="48"/>
      <c r="DK216" s="48"/>
      <c r="DL216" s="51"/>
      <c r="DM216" s="48"/>
      <c r="DN216" s="52"/>
      <c r="DO216" s="52"/>
      <c r="DP216" s="48"/>
      <c r="DQ216" s="48"/>
      <c r="DR216" s="48"/>
      <c r="DS216" s="51"/>
      <c r="DT216" s="48"/>
      <c r="DU216" s="48"/>
      <c r="DV216" s="48"/>
      <c r="DW216" s="48"/>
      <c r="DX216" s="48"/>
      <c r="DY216" s="48"/>
      <c r="DZ216" s="48"/>
    </row>
    <row r="217" spans="1:130" ht="50.25" customHeight="1">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51"/>
      <c r="AP217" s="51"/>
      <c r="AQ217" s="48"/>
      <c r="AR217" s="48"/>
      <c r="AS217" s="48"/>
      <c r="AT217" s="48"/>
      <c r="AU217" s="48"/>
      <c r="AV217" s="48"/>
      <c r="AW217" s="48"/>
      <c r="AX217" s="48"/>
      <c r="AY217" s="48"/>
      <c r="AZ217" s="48"/>
      <c r="BA217" s="48"/>
      <c r="BB217" s="51"/>
      <c r="BC217" s="48"/>
      <c r="BD217" s="48"/>
      <c r="BE217" s="48"/>
      <c r="BF217" s="48"/>
      <c r="BG217" s="48"/>
      <c r="BH217" s="48"/>
      <c r="BI217" s="48"/>
      <c r="BJ217" s="48"/>
      <c r="BK217" s="48"/>
      <c r="BL217" s="116"/>
      <c r="BM217" s="116"/>
      <c r="BN217" s="51"/>
      <c r="BO217" s="48"/>
      <c r="BP217" s="48"/>
      <c r="BQ217" s="48"/>
      <c r="BR217" s="48"/>
      <c r="BS217" s="48"/>
      <c r="BT217" s="48"/>
      <c r="BU217" s="48"/>
      <c r="BV217" s="48"/>
      <c r="BW217" s="48"/>
      <c r="BX217" s="48"/>
      <c r="BY217" s="48"/>
      <c r="BZ217" s="48"/>
      <c r="CA217" s="48"/>
      <c r="CB217" s="48"/>
      <c r="CC217" s="48"/>
      <c r="CD217" s="52"/>
      <c r="CE217" s="48"/>
      <c r="CF217" s="48"/>
      <c r="CG217" s="48"/>
      <c r="CH217" s="48"/>
      <c r="CI217" s="48"/>
      <c r="CJ217" s="51"/>
      <c r="CK217" s="129"/>
      <c r="CL217" s="129"/>
      <c r="CM217" s="129"/>
      <c r="CN217" s="116"/>
      <c r="CO217" s="116"/>
      <c r="CP217" s="116"/>
      <c r="CQ217" s="116"/>
      <c r="CR217" s="116"/>
      <c r="CS217" s="116"/>
      <c r="CT217" s="116"/>
      <c r="CU217" s="116"/>
      <c r="CV217" s="116"/>
      <c r="CW217" s="116"/>
      <c r="CX217" s="116"/>
      <c r="CY217" s="116"/>
      <c r="CZ217" s="116"/>
      <c r="DA217" s="48"/>
      <c r="DB217" s="48"/>
      <c r="DC217" s="48"/>
      <c r="DD217" s="54"/>
      <c r="DE217" s="54"/>
      <c r="DF217" s="54"/>
      <c r="DG217" s="54"/>
      <c r="DH217" s="54"/>
      <c r="DI217" s="54"/>
      <c r="DJ217" s="48"/>
      <c r="DK217" s="48"/>
      <c r="DL217" s="51"/>
      <c r="DM217" s="48"/>
      <c r="DN217" s="52"/>
      <c r="DO217" s="52"/>
      <c r="DP217" s="48"/>
      <c r="DQ217" s="48"/>
      <c r="DR217" s="48"/>
      <c r="DS217" s="51"/>
      <c r="DT217" s="48"/>
      <c r="DU217" s="48"/>
      <c r="DV217" s="48"/>
      <c r="DW217" s="48"/>
      <c r="DX217" s="48"/>
      <c r="DY217" s="48"/>
      <c r="DZ217" s="48"/>
    </row>
    <row r="218" spans="1:130" ht="50.25" customHeight="1">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51"/>
      <c r="AP218" s="51"/>
      <c r="AQ218" s="48"/>
      <c r="AR218" s="48"/>
      <c r="AS218" s="48"/>
      <c r="AT218" s="48"/>
      <c r="AU218" s="48"/>
      <c r="AV218" s="48"/>
      <c r="AW218" s="48"/>
      <c r="AX218" s="48"/>
      <c r="AY218" s="48"/>
      <c r="AZ218" s="48"/>
      <c r="BA218" s="48"/>
      <c r="BB218" s="51"/>
      <c r="BC218" s="48"/>
      <c r="BD218" s="48"/>
      <c r="BE218" s="48"/>
      <c r="BF218" s="48"/>
      <c r="BG218" s="48"/>
      <c r="BH218" s="48"/>
      <c r="BI218" s="48"/>
      <c r="BJ218" s="48"/>
      <c r="BK218" s="48"/>
      <c r="BL218" s="116"/>
      <c r="BM218" s="116"/>
      <c r="BN218" s="51"/>
      <c r="BO218" s="48"/>
      <c r="BP218" s="48"/>
      <c r="BQ218" s="48"/>
      <c r="BR218" s="48"/>
      <c r="BS218" s="48"/>
      <c r="BT218" s="48"/>
      <c r="BU218" s="48"/>
      <c r="BV218" s="48"/>
      <c r="BW218" s="48"/>
      <c r="BX218" s="48"/>
      <c r="BY218" s="48"/>
      <c r="BZ218" s="48"/>
      <c r="CA218" s="48"/>
      <c r="CB218" s="48"/>
      <c r="CC218" s="48"/>
      <c r="CD218" s="52"/>
      <c r="CE218" s="48"/>
      <c r="CF218" s="48"/>
      <c r="CG218" s="48"/>
      <c r="CH218" s="48"/>
      <c r="CI218" s="48"/>
      <c r="CJ218" s="51"/>
      <c r="CK218" s="129"/>
      <c r="CL218" s="129"/>
      <c r="CM218" s="129"/>
      <c r="CN218" s="116"/>
      <c r="CO218" s="116"/>
      <c r="CP218" s="116"/>
      <c r="CQ218" s="116"/>
      <c r="CR218" s="116"/>
      <c r="CS218" s="116"/>
      <c r="CT218" s="116"/>
      <c r="CU218" s="116"/>
      <c r="CV218" s="116"/>
      <c r="CW218" s="116"/>
      <c r="CX218" s="116"/>
      <c r="CY218" s="116"/>
      <c r="CZ218" s="116"/>
      <c r="DA218" s="48"/>
      <c r="DB218" s="48"/>
      <c r="DC218" s="48"/>
      <c r="DD218" s="54"/>
      <c r="DE218" s="54"/>
      <c r="DF218" s="54"/>
      <c r="DG218" s="54"/>
      <c r="DH218" s="54"/>
      <c r="DI218" s="54"/>
      <c r="DJ218" s="48"/>
      <c r="DK218" s="48"/>
      <c r="DL218" s="51"/>
      <c r="DM218" s="48"/>
      <c r="DN218" s="52"/>
      <c r="DO218" s="52"/>
      <c r="DP218" s="48"/>
      <c r="DQ218" s="48"/>
      <c r="DR218" s="48"/>
      <c r="DS218" s="51"/>
      <c r="DT218" s="48"/>
      <c r="DU218" s="48"/>
      <c r="DV218" s="48"/>
      <c r="DW218" s="48"/>
      <c r="DX218" s="48"/>
      <c r="DY218" s="48"/>
      <c r="DZ218" s="48"/>
    </row>
    <row r="219" spans="1:130" ht="50.25" customHeight="1">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51"/>
      <c r="AP219" s="51"/>
      <c r="AQ219" s="48"/>
      <c r="AR219" s="48"/>
      <c r="AS219" s="48"/>
      <c r="AT219" s="48"/>
      <c r="AU219" s="48"/>
      <c r="AV219" s="48"/>
      <c r="AW219" s="48"/>
      <c r="AX219" s="48"/>
      <c r="AY219" s="48"/>
      <c r="AZ219" s="48"/>
      <c r="BA219" s="48"/>
      <c r="BB219" s="51"/>
      <c r="BC219" s="48"/>
      <c r="BD219" s="48"/>
      <c r="BE219" s="48"/>
      <c r="BF219" s="48"/>
      <c r="BG219" s="48"/>
      <c r="BH219" s="48"/>
      <c r="BI219" s="48"/>
      <c r="BJ219" s="48"/>
      <c r="BK219" s="48"/>
      <c r="BL219" s="116"/>
      <c r="BM219" s="116"/>
      <c r="BN219" s="51"/>
      <c r="BO219" s="48"/>
      <c r="BP219" s="48"/>
      <c r="BQ219" s="48"/>
      <c r="BR219" s="48"/>
      <c r="BS219" s="48"/>
      <c r="BT219" s="48"/>
      <c r="BU219" s="48"/>
      <c r="BV219" s="48"/>
      <c r="BW219" s="48"/>
      <c r="BX219" s="48"/>
      <c r="BY219" s="48"/>
      <c r="BZ219" s="48"/>
      <c r="CA219" s="48"/>
      <c r="CB219" s="48"/>
      <c r="CC219" s="48"/>
      <c r="CD219" s="52"/>
      <c r="CE219" s="48"/>
      <c r="CF219" s="48"/>
      <c r="CG219" s="48"/>
      <c r="CH219" s="48"/>
      <c r="CI219" s="48"/>
      <c r="CJ219" s="51"/>
      <c r="CK219" s="129"/>
      <c r="CL219" s="129"/>
      <c r="CM219" s="129"/>
      <c r="CN219" s="116"/>
      <c r="CO219" s="116"/>
      <c r="CP219" s="116"/>
      <c r="CQ219" s="116"/>
      <c r="CR219" s="116"/>
      <c r="CS219" s="116"/>
      <c r="CT219" s="116"/>
      <c r="CU219" s="116"/>
      <c r="CV219" s="116"/>
      <c r="CW219" s="116"/>
      <c r="CX219" s="116"/>
      <c r="CY219" s="116"/>
      <c r="CZ219" s="116"/>
      <c r="DA219" s="48"/>
      <c r="DB219" s="48"/>
      <c r="DC219" s="48"/>
      <c r="DD219" s="54"/>
      <c r="DE219" s="54"/>
      <c r="DF219" s="54"/>
      <c r="DG219" s="54"/>
      <c r="DH219" s="54"/>
      <c r="DI219" s="54"/>
      <c r="DJ219" s="48"/>
      <c r="DK219" s="48"/>
      <c r="DL219" s="51"/>
      <c r="DM219" s="48"/>
      <c r="DN219" s="52"/>
      <c r="DO219" s="52"/>
      <c r="DP219" s="48"/>
      <c r="DQ219" s="48"/>
      <c r="DR219" s="48"/>
      <c r="DS219" s="51"/>
      <c r="DT219" s="48"/>
      <c r="DU219" s="48"/>
      <c r="DV219" s="48"/>
      <c r="DW219" s="48"/>
      <c r="DX219" s="48"/>
      <c r="DY219" s="48"/>
      <c r="DZ219" s="48"/>
    </row>
    <row r="220" spans="1:130" ht="50.25" customHeight="1">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51"/>
      <c r="AP220" s="51"/>
      <c r="AQ220" s="48"/>
      <c r="AR220" s="48"/>
      <c r="AS220" s="48"/>
      <c r="AT220" s="48"/>
      <c r="AU220" s="48"/>
      <c r="AV220" s="48"/>
      <c r="AW220" s="48"/>
      <c r="AX220" s="48"/>
      <c r="AY220" s="48"/>
      <c r="AZ220" s="48"/>
      <c r="BA220" s="48"/>
      <c r="BB220" s="51"/>
      <c r="BC220" s="48"/>
      <c r="BD220" s="48"/>
      <c r="BE220" s="48"/>
      <c r="BF220" s="48"/>
      <c r="BG220" s="48"/>
      <c r="BH220" s="48"/>
      <c r="BI220" s="48"/>
      <c r="BJ220" s="48"/>
      <c r="BK220" s="48"/>
      <c r="BL220" s="116"/>
      <c r="BM220" s="116"/>
      <c r="BN220" s="51"/>
      <c r="BO220" s="48"/>
      <c r="BP220" s="48"/>
      <c r="BQ220" s="48"/>
      <c r="BR220" s="48"/>
      <c r="BS220" s="48"/>
      <c r="BT220" s="48"/>
      <c r="BU220" s="48"/>
      <c r="BV220" s="48"/>
      <c r="BW220" s="48"/>
      <c r="BX220" s="48"/>
      <c r="BY220" s="48"/>
      <c r="BZ220" s="48"/>
      <c r="CA220" s="48"/>
      <c r="CB220" s="48"/>
      <c r="CC220" s="48"/>
      <c r="CD220" s="52"/>
      <c r="CE220" s="48"/>
      <c r="CF220" s="48"/>
      <c r="CG220" s="48"/>
      <c r="CH220" s="48"/>
      <c r="CI220" s="48"/>
      <c r="CJ220" s="51"/>
      <c r="CK220" s="129"/>
      <c r="CL220" s="129"/>
      <c r="CM220" s="129"/>
      <c r="CN220" s="116"/>
      <c r="CO220" s="116"/>
      <c r="CP220" s="116"/>
      <c r="CQ220" s="116"/>
      <c r="CR220" s="116"/>
      <c r="CS220" s="116"/>
      <c r="CT220" s="116"/>
      <c r="CU220" s="116"/>
      <c r="CV220" s="116"/>
      <c r="CW220" s="116"/>
      <c r="CX220" s="116"/>
      <c r="CY220" s="116"/>
      <c r="CZ220" s="116"/>
      <c r="DA220" s="48"/>
      <c r="DB220" s="48"/>
      <c r="DC220" s="48"/>
      <c r="DD220" s="54"/>
      <c r="DE220" s="54"/>
      <c r="DF220" s="54"/>
      <c r="DG220" s="54"/>
      <c r="DH220" s="54"/>
      <c r="DI220" s="54"/>
      <c r="DJ220" s="48"/>
      <c r="DK220" s="48"/>
      <c r="DL220" s="51"/>
      <c r="DM220" s="48"/>
      <c r="DN220" s="52"/>
      <c r="DO220" s="52"/>
      <c r="DP220" s="48"/>
      <c r="DQ220" s="48"/>
      <c r="DR220" s="48"/>
      <c r="DS220" s="51"/>
      <c r="DT220" s="48"/>
      <c r="DU220" s="48"/>
      <c r="DV220" s="48"/>
      <c r="DW220" s="48"/>
      <c r="DX220" s="48"/>
      <c r="DY220" s="48"/>
      <c r="DZ220" s="48"/>
    </row>
    <row r="221" spans="1:130" ht="50.25" customHeight="1">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51"/>
      <c r="AP221" s="51"/>
      <c r="AQ221" s="48"/>
      <c r="AR221" s="48"/>
      <c r="AS221" s="48"/>
      <c r="AT221" s="48"/>
      <c r="AU221" s="48"/>
      <c r="AV221" s="48"/>
      <c r="AW221" s="48"/>
      <c r="AX221" s="48"/>
      <c r="AY221" s="48"/>
      <c r="AZ221" s="48"/>
      <c r="BA221" s="48"/>
      <c r="BB221" s="51"/>
      <c r="BC221" s="48"/>
      <c r="BD221" s="48"/>
      <c r="BE221" s="48"/>
      <c r="BF221" s="48"/>
      <c r="BG221" s="48"/>
      <c r="BH221" s="48"/>
      <c r="BI221" s="48"/>
      <c r="BJ221" s="48"/>
      <c r="BK221" s="48"/>
      <c r="BL221" s="116"/>
      <c r="BM221" s="116"/>
      <c r="BN221" s="51"/>
      <c r="BO221" s="48"/>
      <c r="BP221" s="48"/>
      <c r="BQ221" s="48"/>
      <c r="BR221" s="48"/>
      <c r="BS221" s="48"/>
      <c r="BT221" s="48"/>
      <c r="BU221" s="48"/>
      <c r="BV221" s="48"/>
      <c r="BW221" s="48"/>
      <c r="BX221" s="48"/>
      <c r="BY221" s="48"/>
      <c r="BZ221" s="48"/>
      <c r="CA221" s="48"/>
      <c r="CB221" s="48"/>
      <c r="CC221" s="48"/>
      <c r="CD221" s="52"/>
      <c r="CE221" s="48"/>
      <c r="CF221" s="48"/>
      <c r="CG221" s="48"/>
      <c r="CH221" s="48"/>
      <c r="CI221" s="48"/>
      <c r="CJ221" s="51"/>
      <c r="CK221" s="129"/>
      <c r="CL221" s="129"/>
      <c r="CM221" s="129"/>
      <c r="CN221" s="116"/>
      <c r="CO221" s="116"/>
      <c r="CP221" s="116"/>
      <c r="CQ221" s="116"/>
      <c r="CR221" s="116"/>
      <c r="CS221" s="116"/>
      <c r="CT221" s="116"/>
      <c r="CU221" s="116"/>
      <c r="CV221" s="116"/>
      <c r="CW221" s="116"/>
      <c r="CX221" s="116"/>
      <c r="CY221" s="116"/>
      <c r="CZ221" s="116"/>
      <c r="DA221" s="48"/>
      <c r="DB221" s="48"/>
      <c r="DC221" s="48"/>
      <c r="DD221" s="54"/>
      <c r="DE221" s="54"/>
      <c r="DF221" s="54"/>
      <c r="DG221" s="54"/>
      <c r="DH221" s="54"/>
      <c r="DI221" s="54"/>
      <c r="DJ221" s="48"/>
      <c r="DK221" s="48"/>
      <c r="DL221" s="51"/>
      <c r="DM221" s="48"/>
      <c r="DN221" s="52"/>
      <c r="DO221" s="52"/>
      <c r="DP221" s="48"/>
      <c r="DQ221" s="48"/>
      <c r="DR221" s="48"/>
      <c r="DS221" s="51"/>
      <c r="DT221" s="48"/>
      <c r="DU221" s="48"/>
      <c r="DV221" s="48"/>
      <c r="DW221" s="48"/>
      <c r="DX221" s="48"/>
      <c r="DY221" s="48"/>
      <c r="DZ221" s="48"/>
    </row>
    <row r="222" spans="1:130" ht="50.25" customHeight="1">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51"/>
      <c r="AP222" s="51"/>
      <c r="AQ222" s="48"/>
      <c r="AR222" s="48"/>
      <c r="AS222" s="48"/>
      <c r="AT222" s="48"/>
      <c r="AU222" s="48"/>
      <c r="AV222" s="48"/>
      <c r="AW222" s="48"/>
      <c r="AX222" s="48"/>
      <c r="AY222" s="48"/>
      <c r="AZ222" s="48"/>
      <c r="BA222" s="48"/>
      <c r="BB222" s="51"/>
      <c r="BC222" s="48"/>
      <c r="BD222" s="48"/>
      <c r="BE222" s="48"/>
      <c r="BF222" s="48"/>
      <c r="BG222" s="48"/>
      <c r="BH222" s="48"/>
      <c r="BI222" s="48"/>
      <c r="BJ222" s="48"/>
      <c r="BK222" s="48"/>
      <c r="BL222" s="116"/>
      <c r="BM222" s="116"/>
      <c r="BN222" s="51"/>
      <c r="BO222" s="48"/>
      <c r="BP222" s="48"/>
      <c r="BQ222" s="48"/>
      <c r="BR222" s="48"/>
      <c r="BS222" s="48"/>
      <c r="BT222" s="48"/>
      <c r="BU222" s="48"/>
      <c r="BV222" s="48"/>
      <c r="BW222" s="48"/>
      <c r="BX222" s="48"/>
      <c r="BY222" s="48"/>
      <c r="BZ222" s="48"/>
      <c r="CA222" s="48"/>
      <c r="CB222" s="48"/>
      <c r="CC222" s="48"/>
      <c r="CD222" s="52"/>
      <c r="CE222" s="48"/>
      <c r="CF222" s="48"/>
      <c r="CG222" s="48"/>
      <c r="CH222" s="48"/>
      <c r="CI222" s="48"/>
      <c r="CJ222" s="51"/>
      <c r="CK222" s="129"/>
      <c r="CL222" s="129"/>
      <c r="CM222" s="129"/>
      <c r="CN222" s="116"/>
      <c r="CO222" s="116"/>
      <c r="CP222" s="116"/>
      <c r="CQ222" s="116"/>
      <c r="CR222" s="116"/>
      <c r="CS222" s="116"/>
      <c r="CT222" s="116"/>
      <c r="CU222" s="116"/>
      <c r="CV222" s="116"/>
      <c r="CW222" s="116"/>
      <c r="CX222" s="116"/>
      <c r="CY222" s="116"/>
      <c r="CZ222" s="116"/>
      <c r="DA222" s="48"/>
      <c r="DB222" s="48"/>
      <c r="DC222" s="48"/>
      <c r="DD222" s="54"/>
      <c r="DE222" s="54"/>
      <c r="DF222" s="54"/>
      <c r="DG222" s="54"/>
      <c r="DH222" s="54"/>
      <c r="DI222" s="54"/>
      <c r="DJ222" s="48"/>
      <c r="DK222" s="48"/>
      <c r="DL222" s="51"/>
      <c r="DM222" s="48"/>
      <c r="DN222" s="52"/>
      <c r="DO222" s="52"/>
      <c r="DP222" s="48"/>
      <c r="DQ222" s="48"/>
      <c r="DR222" s="48"/>
      <c r="DS222" s="51"/>
      <c r="DT222" s="48"/>
      <c r="DU222" s="48"/>
      <c r="DV222" s="48"/>
      <c r="DW222" s="48"/>
      <c r="DX222" s="48"/>
      <c r="DY222" s="48"/>
      <c r="DZ222" s="48"/>
    </row>
    <row r="223" spans="1:130" ht="50.25" customHeight="1">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51"/>
      <c r="AP223" s="51"/>
      <c r="AQ223" s="48"/>
      <c r="AR223" s="48"/>
      <c r="AS223" s="48"/>
      <c r="AT223" s="48"/>
      <c r="AU223" s="48"/>
      <c r="AV223" s="48"/>
      <c r="AW223" s="48"/>
      <c r="AX223" s="48"/>
      <c r="AY223" s="48"/>
      <c r="AZ223" s="48"/>
      <c r="BA223" s="48"/>
      <c r="BB223" s="51"/>
      <c r="BC223" s="48"/>
      <c r="BD223" s="48"/>
      <c r="BE223" s="48"/>
      <c r="BF223" s="48"/>
      <c r="BG223" s="48"/>
      <c r="BH223" s="48"/>
      <c r="BI223" s="48"/>
      <c r="BJ223" s="48"/>
      <c r="BK223" s="48"/>
      <c r="BL223" s="116"/>
      <c r="BM223" s="116"/>
      <c r="BN223" s="51"/>
      <c r="BO223" s="48"/>
      <c r="BP223" s="48"/>
      <c r="BQ223" s="48"/>
      <c r="BR223" s="48"/>
      <c r="BS223" s="48"/>
      <c r="BT223" s="48"/>
      <c r="BU223" s="48"/>
      <c r="BV223" s="48"/>
      <c r="BW223" s="48"/>
      <c r="BX223" s="48"/>
      <c r="BY223" s="48"/>
      <c r="BZ223" s="48"/>
      <c r="CA223" s="48"/>
      <c r="CB223" s="48"/>
      <c r="CC223" s="48"/>
      <c r="CD223" s="52"/>
      <c r="CE223" s="48"/>
      <c r="CF223" s="48"/>
      <c r="CG223" s="48"/>
      <c r="CH223" s="48"/>
      <c r="CI223" s="48"/>
      <c r="CJ223" s="51"/>
      <c r="CK223" s="129"/>
      <c r="CL223" s="129"/>
      <c r="CM223" s="129"/>
      <c r="CN223" s="116"/>
      <c r="CO223" s="116"/>
      <c r="CP223" s="116"/>
      <c r="CQ223" s="116"/>
      <c r="CR223" s="116"/>
      <c r="CS223" s="116"/>
      <c r="CT223" s="116"/>
      <c r="CU223" s="116"/>
      <c r="CV223" s="116"/>
      <c r="CW223" s="116"/>
      <c r="CX223" s="116"/>
      <c r="CY223" s="116"/>
      <c r="CZ223" s="116"/>
      <c r="DA223" s="48"/>
      <c r="DB223" s="48"/>
      <c r="DC223" s="48"/>
      <c r="DD223" s="54"/>
      <c r="DE223" s="54"/>
      <c r="DF223" s="54"/>
      <c r="DG223" s="54"/>
      <c r="DH223" s="54"/>
      <c r="DI223" s="54"/>
      <c r="DJ223" s="48"/>
      <c r="DK223" s="48"/>
      <c r="DL223" s="51"/>
      <c r="DM223" s="48"/>
      <c r="DN223" s="52"/>
      <c r="DO223" s="52"/>
      <c r="DP223" s="48"/>
      <c r="DQ223" s="48"/>
      <c r="DR223" s="48"/>
      <c r="DS223" s="51"/>
      <c r="DT223" s="48"/>
      <c r="DU223" s="48"/>
      <c r="DV223" s="48"/>
      <c r="DW223" s="48"/>
      <c r="DX223" s="48"/>
      <c r="DY223" s="48"/>
      <c r="DZ223" s="48"/>
    </row>
    <row r="224" spans="1:130" ht="50.25" customHeight="1">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51"/>
      <c r="AP224" s="51"/>
      <c r="AQ224" s="48"/>
      <c r="AR224" s="48"/>
      <c r="AS224" s="48"/>
      <c r="AT224" s="48"/>
      <c r="AU224" s="48"/>
      <c r="AV224" s="48"/>
      <c r="AW224" s="48"/>
      <c r="AX224" s="48"/>
      <c r="AY224" s="48"/>
      <c r="AZ224" s="48"/>
      <c r="BA224" s="48"/>
      <c r="BB224" s="51"/>
      <c r="BC224" s="48"/>
      <c r="BD224" s="48"/>
      <c r="BE224" s="48"/>
      <c r="BF224" s="48"/>
      <c r="BG224" s="48"/>
      <c r="BH224" s="48"/>
      <c r="BI224" s="48"/>
      <c r="BJ224" s="48"/>
      <c r="BK224" s="48"/>
      <c r="BL224" s="116"/>
      <c r="BM224" s="116"/>
      <c r="BN224" s="51"/>
      <c r="BO224" s="48"/>
      <c r="BP224" s="48"/>
      <c r="BQ224" s="48"/>
      <c r="BR224" s="48"/>
      <c r="BS224" s="48"/>
      <c r="BT224" s="48"/>
      <c r="BU224" s="48"/>
      <c r="BV224" s="48"/>
      <c r="BW224" s="48"/>
      <c r="BX224" s="48"/>
      <c r="BY224" s="48"/>
      <c r="BZ224" s="48"/>
      <c r="CA224" s="48"/>
      <c r="CB224" s="48"/>
      <c r="CC224" s="48"/>
      <c r="CD224" s="52"/>
      <c r="CE224" s="48"/>
      <c r="CF224" s="48"/>
      <c r="CG224" s="48"/>
      <c r="CH224" s="48"/>
      <c r="CI224" s="48"/>
      <c r="CJ224" s="51"/>
      <c r="CK224" s="129"/>
      <c r="CL224" s="129"/>
      <c r="CM224" s="129"/>
      <c r="CN224" s="116"/>
      <c r="CO224" s="116"/>
      <c r="CP224" s="116"/>
      <c r="CQ224" s="116"/>
      <c r="CR224" s="116"/>
      <c r="CS224" s="116"/>
      <c r="CT224" s="116"/>
      <c r="CU224" s="116"/>
      <c r="CV224" s="116"/>
      <c r="CW224" s="116"/>
      <c r="CX224" s="116"/>
      <c r="CY224" s="116"/>
      <c r="CZ224" s="116"/>
      <c r="DA224" s="48"/>
      <c r="DB224" s="48"/>
      <c r="DC224" s="48"/>
      <c r="DD224" s="54"/>
      <c r="DE224" s="54"/>
      <c r="DF224" s="54"/>
      <c r="DG224" s="54"/>
      <c r="DH224" s="54"/>
      <c r="DI224" s="54"/>
      <c r="DJ224" s="48"/>
      <c r="DK224" s="48"/>
      <c r="DL224" s="51"/>
      <c r="DM224" s="48"/>
      <c r="DN224" s="52"/>
      <c r="DO224" s="52"/>
      <c r="DP224" s="48"/>
      <c r="DQ224" s="48"/>
      <c r="DR224" s="48"/>
      <c r="DS224" s="51"/>
      <c r="DT224" s="48"/>
      <c r="DU224" s="48"/>
      <c r="DV224" s="48"/>
      <c r="DW224" s="48"/>
      <c r="DX224" s="48"/>
      <c r="DY224" s="48"/>
      <c r="DZ224" s="48"/>
    </row>
    <row r="225" spans="1:130" ht="50.25" customHeight="1">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51"/>
      <c r="AP225" s="51"/>
      <c r="AQ225" s="48"/>
      <c r="AR225" s="48"/>
      <c r="AS225" s="48"/>
      <c r="AT225" s="48"/>
      <c r="AU225" s="48"/>
      <c r="AV225" s="48"/>
      <c r="AW225" s="48"/>
      <c r="AX225" s="48"/>
      <c r="AY225" s="48"/>
      <c r="AZ225" s="48"/>
      <c r="BA225" s="48"/>
      <c r="BB225" s="51"/>
      <c r="BC225" s="48"/>
      <c r="BD225" s="48"/>
      <c r="BE225" s="48"/>
      <c r="BF225" s="48"/>
      <c r="BG225" s="48"/>
      <c r="BH225" s="48"/>
      <c r="BI225" s="48"/>
      <c r="BJ225" s="48"/>
      <c r="BK225" s="48"/>
      <c r="BL225" s="116"/>
      <c r="BM225" s="116"/>
      <c r="BN225" s="51"/>
      <c r="BO225" s="48"/>
      <c r="BP225" s="48"/>
      <c r="BQ225" s="48"/>
      <c r="BR225" s="48"/>
      <c r="BS225" s="48"/>
      <c r="BT225" s="48"/>
      <c r="BU225" s="48"/>
      <c r="BV225" s="48"/>
      <c r="BW225" s="48"/>
      <c r="BX225" s="48"/>
      <c r="BY225" s="48"/>
      <c r="BZ225" s="48"/>
      <c r="CA225" s="48"/>
      <c r="CB225" s="48"/>
      <c r="CC225" s="48"/>
      <c r="CD225" s="52"/>
      <c r="CE225" s="48"/>
      <c r="CF225" s="48"/>
      <c r="CG225" s="48"/>
      <c r="CH225" s="48"/>
      <c r="CI225" s="48"/>
      <c r="CJ225" s="51"/>
      <c r="CK225" s="129"/>
      <c r="CL225" s="129"/>
      <c r="CM225" s="129"/>
      <c r="CN225" s="116"/>
      <c r="CO225" s="116"/>
      <c r="CP225" s="116"/>
      <c r="CQ225" s="116"/>
      <c r="CR225" s="116"/>
      <c r="CS225" s="116"/>
      <c r="CT225" s="116"/>
      <c r="CU225" s="116"/>
      <c r="CV225" s="116"/>
      <c r="CW225" s="116"/>
      <c r="CX225" s="116"/>
      <c r="CY225" s="116"/>
      <c r="CZ225" s="116"/>
      <c r="DA225" s="48"/>
      <c r="DB225" s="48"/>
      <c r="DC225" s="48"/>
      <c r="DD225" s="54"/>
      <c r="DE225" s="54"/>
      <c r="DF225" s="54"/>
      <c r="DG225" s="54"/>
      <c r="DH225" s="54"/>
      <c r="DI225" s="54"/>
      <c r="DJ225" s="48"/>
      <c r="DK225" s="48"/>
      <c r="DL225" s="51"/>
      <c r="DM225" s="48"/>
      <c r="DN225" s="52"/>
      <c r="DO225" s="52"/>
      <c r="DP225" s="48"/>
      <c r="DQ225" s="48"/>
      <c r="DR225" s="48"/>
      <c r="DS225" s="51"/>
      <c r="DT225" s="48"/>
      <c r="DU225" s="48"/>
      <c r="DV225" s="48"/>
      <c r="DW225" s="48"/>
      <c r="DX225" s="48"/>
      <c r="DY225" s="48"/>
      <c r="DZ225" s="48"/>
    </row>
    <row r="226" spans="1:130" ht="50.25" customHeight="1">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51"/>
      <c r="AP226" s="51"/>
      <c r="AQ226" s="48"/>
      <c r="AR226" s="48"/>
      <c r="AS226" s="48"/>
      <c r="AT226" s="48"/>
      <c r="AU226" s="48"/>
      <c r="AV226" s="48"/>
      <c r="AW226" s="48"/>
      <c r="AX226" s="48"/>
      <c r="AY226" s="48"/>
      <c r="AZ226" s="48"/>
      <c r="BA226" s="48"/>
      <c r="BB226" s="51"/>
      <c r="BC226" s="48"/>
      <c r="BD226" s="48"/>
      <c r="BE226" s="48"/>
      <c r="BF226" s="48"/>
      <c r="BG226" s="48"/>
      <c r="BH226" s="48"/>
      <c r="BI226" s="48"/>
      <c r="BJ226" s="48"/>
      <c r="BK226" s="48"/>
      <c r="BL226" s="116"/>
      <c r="BM226" s="116"/>
      <c r="BN226" s="51"/>
      <c r="BO226" s="48"/>
      <c r="BP226" s="48"/>
      <c r="BQ226" s="48"/>
      <c r="BR226" s="48"/>
      <c r="BS226" s="48"/>
      <c r="BT226" s="48"/>
      <c r="BU226" s="48"/>
      <c r="BV226" s="48"/>
      <c r="BW226" s="48"/>
      <c r="BX226" s="48"/>
      <c r="BY226" s="48"/>
      <c r="BZ226" s="48"/>
      <c r="CA226" s="48"/>
      <c r="CB226" s="48"/>
      <c r="CC226" s="48"/>
      <c r="CD226" s="52"/>
      <c r="CE226" s="48"/>
      <c r="CF226" s="48"/>
      <c r="CG226" s="48"/>
      <c r="CH226" s="48"/>
      <c r="CI226" s="48"/>
      <c r="CJ226" s="51"/>
      <c r="CK226" s="129"/>
      <c r="CL226" s="129"/>
      <c r="CM226" s="129"/>
      <c r="CN226" s="116"/>
      <c r="CO226" s="116"/>
      <c r="CP226" s="116"/>
      <c r="CQ226" s="116"/>
      <c r="CR226" s="116"/>
      <c r="CS226" s="116"/>
      <c r="CT226" s="116"/>
      <c r="CU226" s="116"/>
      <c r="CV226" s="116"/>
      <c r="CW226" s="116"/>
      <c r="CX226" s="116"/>
      <c r="CY226" s="116"/>
      <c r="CZ226" s="116"/>
      <c r="DA226" s="48"/>
      <c r="DB226" s="48"/>
      <c r="DC226" s="48"/>
      <c r="DD226" s="54"/>
      <c r="DE226" s="54"/>
      <c r="DF226" s="54"/>
      <c r="DG226" s="54"/>
      <c r="DH226" s="54"/>
      <c r="DI226" s="54"/>
      <c r="DJ226" s="48"/>
      <c r="DK226" s="48"/>
      <c r="DL226" s="51"/>
      <c r="DM226" s="48"/>
      <c r="DN226" s="52"/>
      <c r="DO226" s="52"/>
      <c r="DP226" s="48"/>
      <c r="DQ226" s="48"/>
      <c r="DR226" s="48"/>
      <c r="DS226" s="51"/>
      <c r="DT226" s="48"/>
      <c r="DU226" s="48"/>
      <c r="DV226" s="48"/>
      <c r="DW226" s="48"/>
      <c r="DX226" s="48"/>
      <c r="DY226" s="48"/>
      <c r="DZ226" s="48"/>
    </row>
    <row r="227" spans="1:130" ht="50.25" customHeight="1">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51"/>
      <c r="AP227" s="51"/>
      <c r="AQ227" s="48"/>
      <c r="AR227" s="48"/>
      <c r="AS227" s="48"/>
      <c r="AT227" s="48"/>
      <c r="AU227" s="48"/>
      <c r="AV227" s="48"/>
      <c r="AW227" s="48"/>
      <c r="AX227" s="48"/>
      <c r="AY227" s="48"/>
      <c r="AZ227" s="48"/>
      <c r="BA227" s="48"/>
      <c r="BB227" s="51"/>
      <c r="BC227" s="48"/>
      <c r="BD227" s="48"/>
      <c r="BE227" s="48"/>
      <c r="BF227" s="48"/>
      <c r="BG227" s="48"/>
      <c r="BH227" s="48"/>
      <c r="BI227" s="48"/>
      <c r="BJ227" s="48"/>
      <c r="BK227" s="48"/>
      <c r="BL227" s="116"/>
      <c r="BM227" s="116"/>
      <c r="BN227" s="51"/>
      <c r="BO227" s="48"/>
      <c r="BP227" s="48"/>
      <c r="BQ227" s="48"/>
      <c r="BR227" s="48"/>
      <c r="BS227" s="48"/>
      <c r="BT227" s="48"/>
      <c r="BU227" s="48"/>
      <c r="BV227" s="48"/>
      <c r="BW227" s="48"/>
      <c r="BX227" s="48"/>
      <c r="BY227" s="48"/>
      <c r="BZ227" s="48"/>
      <c r="CA227" s="48"/>
      <c r="CB227" s="48"/>
      <c r="CC227" s="48"/>
      <c r="CD227" s="52"/>
      <c r="CE227" s="48"/>
      <c r="CF227" s="48"/>
      <c r="CG227" s="48"/>
      <c r="CH227" s="48"/>
      <c r="CI227" s="48"/>
      <c r="CJ227" s="51"/>
      <c r="CK227" s="129"/>
      <c r="CL227" s="129"/>
      <c r="CM227" s="129"/>
      <c r="CN227" s="116"/>
      <c r="CO227" s="116"/>
      <c r="CP227" s="116"/>
      <c r="CQ227" s="116"/>
      <c r="CR227" s="116"/>
      <c r="CS227" s="116"/>
      <c r="CT227" s="116"/>
      <c r="CU227" s="116"/>
      <c r="CV227" s="116"/>
      <c r="CW227" s="116"/>
      <c r="CX227" s="116"/>
      <c r="CY227" s="116"/>
      <c r="CZ227" s="116"/>
      <c r="DA227" s="48"/>
      <c r="DB227" s="48"/>
      <c r="DC227" s="48"/>
      <c r="DD227" s="54"/>
      <c r="DE227" s="54"/>
      <c r="DF227" s="54"/>
      <c r="DG227" s="54"/>
      <c r="DH227" s="54"/>
      <c r="DI227" s="54"/>
      <c r="DJ227" s="48"/>
      <c r="DK227" s="48"/>
      <c r="DL227" s="51"/>
      <c r="DM227" s="48"/>
      <c r="DN227" s="52"/>
      <c r="DO227" s="52"/>
      <c r="DP227" s="48"/>
      <c r="DQ227" s="48"/>
      <c r="DR227" s="48"/>
      <c r="DS227" s="51"/>
      <c r="DT227" s="48"/>
      <c r="DU227" s="48"/>
      <c r="DV227" s="48"/>
      <c r="DW227" s="48"/>
      <c r="DX227" s="48"/>
      <c r="DY227" s="48"/>
      <c r="DZ227" s="48"/>
    </row>
    <row r="228" spans="1:130" ht="50.25" customHeight="1">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51"/>
      <c r="AP228" s="51"/>
      <c r="AQ228" s="48"/>
      <c r="AR228" s="48"/>
      <c r="AS228" s="48"/>
      <c r="AT228" s="48"/>
      <c r="AU228" s="48"/>
      <c r="AV228" s="48"/>
      <c r="AW228" s="48"/>
      <c r="AX228" s="48"/>
      <c r="AY228" s="48"/>
      <c r="AZ228" s="48"/>
      <c r="BA228" s="48"/>
      <c r="BB228" s="51"/>
      <c r="BC228" s="48"/>
      <c r="BD228" s="48"/>
      <c r="BE228" s="48"/>
      <c r="BF228" s="48"/>
      <c r="BG228" s="48"/>
      <c r="BH228" s="48"/>
      <c r="BI228" s="48"/>
      <c r="BJ228" s="48"/>
      <c r="BK228" s="48"/>
      <c r="BL228" s="116"/>
      <c r="BM228" s="116"/>
      <c r="BN228" s="51"/>
      <c r="BO228" s="48"/>
      <c r="BP228" s="48"/>
      <c r="BQ228" s="48"/>
      <c r="BR228" s="48"/>
      <c r="BS228" s="48"/>
      <c r="BT228" s="48"/>
      <c r="BU228" s="48"/>
      <c r="BV228" s="48"/>
      <c r="BW228" s="48"/>
      <c r="BX228" s="48"/>
      <c r="BY228" s="48"/>
      <c r="BZ228" s="48"/>
      <c r="CA228" s="48"/>
      <c r="CB228" s="48"/>
      <c r="CC228" s="48"/>
      <c r="CD228" s="52"/>
      <c r="CE228" s="48"/>
      <c r="CF228" s="48"/>
      <c r="CG228" s="48"/>
      <c r="CH228" s="48"/>
      <c r="CI228" s="48"/>
      <c r="CJ228" s="51"/>
      <c r="CK228" s="129"/>
      <c r="CL228" s="129"/>
      <c r="CM228" s="129"/>
      <c r="CN228" s="116"/>
      <c r="CO228" s="116"/>
      <c r="CP228" s="116"/>
      <c r="CQ228" s="116"/>
      <c r="CR228" s="116"/>
      <c r="CS228" s="116"/>
      <c r="CT228" s="116"/>
      <c r="CU228" s="116"/>
      <c r="CV228" s="116"/>
      <c r="CW228" s="116"/>
      <c r="CX228" s="116"/>
      <c r="CY228" s="116"/>
      <c r="CZ228" s="116"/>
      <c r="DA228" s="48"/>
      <c r="DB228" s="48"/>
      <c r="DC228" s="48"/>
      <c r="DD228" s="54"/>
      <c r="DE228" s="54"/>
      <c r="DF228" s="54"/>
      <c r="DG228" s="54"/>
      <c r="DH228" s="54"/>
      <c r="DI228" s="54"/>
      <c r="DJ228" s="48"/>
      <c r="DK228" s="48"/>
      <c r="DL228" s="51"/>
      <c r="DM228" s="48"/>
      <c r="DN228" s="52"/>
      <c r="DO228" s="52"/>
      <c r="DP228" s="48"/>
      <c r="DQ228" s="48"/>
      <c r="DR228" s="48"/>
      <c r="DS228" s="51"/>
      <c r="DT228" s="48"/>
      <c r="DU228" s="48"/>
      <c r="DV228" s="48"/>
      <c r="DW228" s="48"/>
      <c r="DX228" s="48"/>
      <c r="DY228" s="48"/>
      <c r="DZ228" s="48"/>
    </row>
    <row r="229" spans="1:130" ht="50.25" customHeight="1">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51"/>
      <c r="AP229" s="51"/>
      <c r="AQ229" s="48"/>
      <c r="AR229" s="48"/>
      <c r="AS229" s="48"/>
      <c r="AT229" s="48"/>
      <c r="AU229" s="48"/>
      <c r="AV229" s="48"/>
      <c r="AW229" s="48"/>
      <c r="AX229" s="48"/>
      <c r="AY229" s="48"/>
      <c r="AZ229" s="48"/>
      <c r="BA229" s="48"/>
      <c r="BB229" s="51"/>
      <c r="BC229" s="48"/>
      <c r="BD229" s="48"/>
      <c r="BE229" s="48"/>
      <c r="BF229" s="48"/>
      <c r="BG229" s="48"/>
      <c r="BH229" s="48"/>
      <c r="BI229" s="48"/>
      <c r="BJ229" s="48"/>
      <c r="BK229" s="48"/>
      <c r="BL229" s="116"/>
      <c r="BM229" s="116"/>
      <c r="BN229" s="51"/>
      <c r="BO229" s="48"/>
      <c r="BP229" s="48"/>
      <c r="BQ229" s="48"/>
      <c r="BR229" s="48"/>
      <c r="BS229" s="48"/>
      <c r="BT229" s="48"/>
      <c r="BU229" s="48"/>
      <c r="BV229" s="48"/>
      <c r="BW229" s="48"/>
      <c r="BX229" s="48"/>
      <c r="BY229" s="48"/>
      <c r="BZ229" s="48"/>
      <c r="CA229" s="48"/>
      <c r="CB229" s="48"/>
      <c r="CC229" s="48"/>
      <c r="CD229" s="52"/>
      <c r="CE229" s="48"/>
      <c r="CF229" s="48"/>
      <c r="CG229" s="48"/>
      <c r="CH229" s="48"/>
      <c r="CI229" s="48"/>
      <c r="CJ229" s="51"/>
      <c r="CK229" s="129"/>
      <c r="CL229" s="129"/>
      <c r="CM229" s="129"/>
      <c r="CN229" s="116"/>
      <c r="CO229" s="116"/>
      <c r="CP229" s="116"/>
      <c r="CQ229" s="116"/>
      <c r="CR229" s="116"/>
      <c r="CS229" s="116"/>
      <c r="CT229" s="116"/>
      <c r="CU229" s="116"/>
      <c r="CV229" s="116"/>
      <c r="CW229" s="116"/>
      <c r="CX229" s="116"/>
      <c r="CY229" s="116"/>
      <c r="CZ229" s="116"/>
      <c r="DA229" s="48"/>
      <c r="DB229" s="48"/>
      <c r="DC229" s="48"/>
      <c r="DD229" s="54"/>
      <c r="DE229" s="54"/>
      <c r="DF229" s="54"/>
      <c r="DG229" s="54"/>
      <c r="DH229" s="54"/>
      <c r="DI229" s="54"/>
      <c r="DJ229" s="48"/>
      <c r="DK229" s="48"/>
      <c r="DL229" s="51"/>
      <c r="DM229" s="48"/>
      <c r="DN229" s="52"/>
      <c r="DO229" s="52"/>
      <c r="DP229" s="48"/>
      <c r="DQ229" s="48"/>
      <c r="DR229" s="48"/>
      <c r="DS229" s="51"/>
      <c r="DT229" s="48"/>
      <c r="DU229" s="48"/>
      <c r="DV229" s="48"/>
      <c r="DW229" s="48"/>
      <c r="DX229" s="48"/>
      <c r="DY229" s="48"/>
      <c r="DZ229" s="48"/>
    </row>
    <row r="230" spans="1:130" ht="50.25" customHeight="1">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51"/>
      <c r="AP230" s="51"/>
      <c r="AQ230" s="48"/>
      <c r="AR230" s="48"/>
      <c r="AS230" s="48"/>
      <c r="AT230" s="48"/>
      <c r="AU230" s="48"/>
      <c r="AV230" s="48"/>
      <c r="AW230" s="48"/>
      <c r="AX230" s="48"/>
      <c r="AY230" s="48"/>
      <c r="AZ230" s="48"/>
      <c r="BA230" s="48"/>
      <c r="BB230" s="51"/>
      <c r="BC230" s="48"/>
      <c r="BD230" s="48"/>
      <c r="BE230" s="48"/>
      <c r="BF230" s="48"/>
      <c r="BG230" s="48"/>
      <c r="BH230" s="48"/>
      <c r="BI230" s="48"/>
      <c r="BJ230" s="48"/>
      <c r="BK230" s="48"/>
      <c r="BL230" s="116"/>
      <c r="BM230" s="116"/>
      <c r="BN230" s="51"/>
      <c r="BO230" s="48"/>
      <c r="BP230" s="48"/>
      <c r="BQ230" s="48"/>
      <c r="BR230" s="48"/>
      <c r="BS230" s="48"/>
      <c r="BT230" s="48"/>
      <c r="BU230" s="48"/>
      <c r="BV230" s="48"/>
      <c r="BW230" s="48"/>
      <c r="BX230" s="48"/>
      <c r="BY230" s="48"/>
      <c r="BZ230" s="48"/>
      <c r="CA230" s="48"/>
      <c r="CB230" s="48"/>
      <c r="CC230" s="48"/>
      <c r="CD230" s="52"/>
      <c r="CE230" s="48"/>
      <c r="CF230" s="48"/>
      <c r="CG230" s="48"/>
      <c r="CH230" s="48"/>
      <c r="CI230" s="48"/>
      <c r="CJ230" s="51"/>
      <c r="CK230" s="129"/>
      <c r="CL230" s="129"/>
      <c r="CM230" s="129"/>
      <c r="CN230" s="116"/>
      <c r="CO230" s="116"/>
      <c r="CP230" s="116"/>
      <c r="CQ230" s="116"/>
      <c r="CR230" s="116"/>
      <c r="CS230" s="116"/>
      <c r="CT230" s="116"/>
      <c r="CU230" s="116"/>
      <c r="CV230" s="116"/>
      <c r="CW230" s="116"/>
      <c r="CX230" s="116"/>
      <c r="CY230" s="116"/>
      <c r="CZ230" s="116"/>
      <c r="DA230" s="48"/>
      <c r="DB230" s="48"/>
      <c r="DC230" s="48"/>
      <c r="DD230" s="54"/>
      <c r="DE230" s="54"/>
      <c r="DF230" s="54"/>
      <c r="DG230" s="54"/>
      <c r="DH230" s="54"/>
      <c r="DI230" s="54"/>
      <c r="DJ230" s="48"/>
      <c r="DK230" s="48"/>
      <c r="DL230" s="51"/>
      <c r="DM230" s="48"/>
      <c r="DN230" s="52"/>
      <c r="DO230" s="52"/>
      <c r="DP230" s="48"/>
      <c r="DQ230" s="48"/>
      <c r="DR230" s="48"/>
      <c r="DS230" s="51"/>
      <c r="DT230" s="48"/>
      <c r="DU230" s="48"/>
      <c r="DV230" s="48"/>
      <c r="DW230" s="48"/>
      <c r="DX230" s="48"/>
      <c r="DY230" s="48"/>
      <c r="DZ230" s="48"/>
    </row>
    <row r="231" spans="1:130" ht="50.25" customHeight="1">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51"/>
      <c r="AP231" s="51"/>
      <c r="AQ231" s="48"/>
      <c r="AR231" s="48"/>
      <c r="AS231" s="48"/>
      <c r="AT231" s="48"/>
      <c r="AU231" s="48"/>
      <c r="AV231" s="48"/>
      <c r="AW231" s="48"/>
      <c r="AX231" s="48"/>
      <c r="AY231" s="48"/>
      <c r="AZ231" s="48"/>
      <c r="BA231" s="48"/>
      <c r="BB231" s="51"/>
      <c r="BC231" s="48"/>
      <c r="BD231" s="48"/>
      <c r="BE231" s="48"/>
      <c r="BF231" s="48"/>
      <c r="BG231" s="48"/>
      <c r="BH231" s="48"/>
      <c r="BI231" s="48"/>
      <c r="BJ231" s="48"/>
      <c r="BK231" s="48"/>
      <c r="BL231" s="116"/>
      <c r="BM231" s="116"/>
      <c r="BN231" s="51"/>
      <c r="BO231" s="48"/>
      <c r="BP231" s="48"/>
      <c r="BQ231" s="48"/>
      <c r="BR231" s="48"/>
      <c r="BS231" s="48"/>
      <c r="BT231" s="48"/>
      <c r="BU231" s="48"/>
      <c r="BV231" s="48"/>
      <c r="BW231" s="48"/>
      <c r="BX231" s="48"/>
      <c r="BY231" s="48"/>
      <c r="BZ231" s="48"/>
      <c r="CA231" s="48"/>
      <c r="CB231" s="48"/>
      <c r="CC231" s="48"/>
      <c r="CD231" s="52"/>
      <c r="CE231" s="48"/>
      <c r="CF231" s="48"/>
      <c r="CG231" s="48"/>
      <c r="CH231" s="48"/>
      <c r="CI231" s="48"/>
      <c r="CJ231" s="51"/>
      <c r="CK231" s="129"/>
      <c r="CL231" s="129"/>
      <c r="CM231" s="129"/>
      <c r="CN231" s="116"/>
      <c r="CO231" s="116"/>
      <c r="CP231" s="116"/>
      <c r="CQ231" s="116"/>
      <c r="CR231" s="116"/>
      <c r="CS231" s="116"/>
      <c r="CT231" s="116"/>
      <c r="CU231" s="116"/>
      <c r="CV231" s="116"/>
      <c r="CW231" s="116"/>
      <c r="CX231" s="116"/>
      <c r="CY231" s="116"/>
      <c r="CZ231" s="116"/>
      <c r="DA231" s="48"/>
      <c r="DB231" s="48"/>
      <c r="DC231" s="48"/>
      <c r="DD231" s="54"/>
      <c r="DE231" s="54"/>
      <c r="DF231" s="54"/>
      <c r="DG231" s="54"/>
      <c r="DH231" s="54"/>
      <c r="DI231" s="54"/>
      <c r="DJ231" s="48"/>
      <c r="DK231" s="48"/>
      <c r="DL231" s="51"/>
      <c r="DM231" s="48"/>
      <c r="DN231" s="52"/>
      <c r="DO231" s="52"/>
      <c r="DP231" s="48"/>
      <c r="DQ231" s="48"/>
      <c r="DR231" s="48"/>
      <c r="DS231" s="51"/>
      <c r="DT231" s="48"/>
      <c r="DU231" s="48"/>
      <c r="DV231" s="48"/>
      <c r="DW231" s="48"/>
      <c r="DX231" s="48"/>
      <c r="DY231" s="48"/>
      <c r="DZ231" s="48"/>
    </row>
    <row r="232" spans="1:130" ht="50.25" customHeight="1">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51"/>
      <c r="AP232" s="51"/>
      <c r="AQ232" s="48"/>
      <c r="AR232" s="48"/>
      <c r="AS232" s="48"/>
      <c r="AT232" s="48"/>
      <c r="AU232" s="48"/>
      <c r="AV232" s="48"/>
      <c r="AW232" s="48"/>
      <c r="AX232" s="48"/>
      <c r="AY232" s="48"/>
      <c r="AZ232" s="48"/>
      <c r="BA232" s="48"/>
      <c r="BB232" s="51"/>
      <c r="BC232" s="48"/>
      <c r="BD232" s="48"/>
      <c r="BE232" s="48"/>
      <c r="BF232" s="48"/>
      <c r="BG232" s="48"/>
      <c r="BH232" s="48"/>
      <c r="BI232" s="48"/>
      <c r="BJ232" s="48"/>
      <c r="BK232" s="48"/>
      <c r="BL232" s="116"/>
      <c r="BM232" s="116"/>
      <c r="BN232" s="51"/>
      <c r="BO232" s="48"/>
      <c r="BP232" s="48"/>
      <c r="BQ232" s="48"/>
      <c r="BR232" s="48"/>
      <c r="BS232" s="48"/>
      <c r="BT232" s="48"/>
      <c r="BU232" s="48"/>
      <c r="BV232" s="48"/>
      <c r="BW232" s="48"/>
      <c r="BX232" s="48"/>
      <c r="BY232" s="48"/>
      <c r="BZ232" s="48"/>
      <c r="CA232" s="48"/>
      <c r="CB232" s="48"/>
      <c r="CC232" s="48"/>
      <c r="CD232" s="52"/>
      <c r="CE232" s="48"/>
      <c r="CF232" s="48"/>
      <c r="CG232" s="48"/>
      <c r="CH232" s="48"/>
      <c r="CI232" s="48"/>
      <c r="CJ232" s="51"/>
      <c r="CK232" s="129"/>
      <c r="CL232" s="129"/>
      <c r="CM232" s="129"/>
      <c r="CN232" s="116"/>
      <c r="CO232" s="116"/>
      <c r="CP232" s="116"/>
      <c r="CQ232" s="116"/>
      <c r="CR232" s="116"/>
      <c r="CS232" s="116"/>
      <c r="CT232" s="116"/>
      <c r="CU232" s="116"/>
      <c r="CV232" s="116"/>
      <c r="CW232" s="116"/>
      <c r="CX232" s="116"/>
      <c r="CY232" s="116"/>
      <c r="CZ232" s="116"/>
      <c r="DA232" s="48"/>
      <c r="DB232" s="48"/>
      <c r="DC232" s="48"/>
      <c r="DD232" s="54"/>
      <c r="DE232" s="54"/>
      <c r="DF232" s="54"/>
      <c r="DG232" s="54"/>
      <c r="DH232" s="54"/>
      <c r="DI232" s="54"/>
      <c r="DJ232" s="48"/>
      <c r="DK232" s="48"/>
      <c r="DL232" s="51"/>
      <c r="DM232" s="48"/>
      <c r="DN232" s="52"/>
      <c r="DO232" s="52"/>
      <c r="DP232" s="48"/>
      <c r="DQ232" s="48"/>
      <c r="DR232" s="48"/>
      <c r="DS232" s="51"/>
      <c r="DT232" s="48"/>
      <c r="DU232" s="48"/>
      <c r="DV232" s="48"/>
      <c r="DW232" s="48"/>
      <c r="DX232" s="48"/>
      <c r="DY232" s="48"/>
      <c r="DZ232" s="48"/>
    </row>
    <row r="233" spans="1:130" ht="50.25" customHeight="1">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51"/>
      <c r="AP233" s="51"/>
      <c r="AQ233" s="48"/>
      <c r="AR233" s="48"/>
      <c r="AS233" s="48"/>
      <c r="AT233" s="48"/>
      <c r="AU233" s="48"/>
      <c r="AV233" s="48"/>
      <c r="AW233" s="48"/>
      <c r="AX233" s="48"/>
      <c r="AY233" s="48"/>
      <c r="AZ233" s="48"/>
      <c r="BA233" s="48"/>
      <c r="BB233" s="51"/>
      <c r="BC233" s="48"/>
      <c r="BD233" s="48"/>
      <c r="BE233" s="48"/>
      <c r="BF233" s="48"/>
      <c r="BG233" s="48"/>
      <c r="BH233" s="48"/>
      <c r="BI233" s="48"/>
      <c r="BJ233" s="48"/>
      <c r="BK233" s="48"/>
      <c r="BL233" s="116"/>
      <c r="BM233" s="116"/>
      <c r="BN233" s="51"/>
      <c r="BO233" s="48"/>
      <c r="BP233" s="48"/>
      <c r="BQ233" s="48"/>
      <c r="BR233" s="48"/>
      <c r="BS233" s="48"/>
      <c r="BT233" s="48"/>
      <c r="BU233" s="48"/>
      <c r="BV233" s="48"/>
      <c r="BW233" s="48"/>
      <c r="BX233" s="48"/>
      <c r="BY233" s="48"/>
      <c r="BZ233" s="48"/>
      <c r="CA233" s="48"/>
      <c r="CB233" s="48"/>
      <c r="CC233" s="48"/>
      <c r="CD233" s="52"/>
      <c r="CE233" s="48"/>
      <c r="CF233" s="48"/>
      <c r="CG233" s="48"/>
      <c r="CH233" s="48"/>
      <c r="CI233" s="48"/>
      <c r="CJ233" s="51"/>
      <c r="CK233" s="129"/>
      <c r="CL233" s="129"/>
      <c r="CM233" s="129"/>
      <c r="CN233" s="116"/>
      <c r="CO233" s="116"/>
      <c r="CP233" s="116"/>
      <c r="CQ233" s="116"/>
      <c r="CR233" s="116"/>
      <c r="CS233" s="116"/>
      <c r="CT233" s="116"/>
      <c r="CU233" s="116"/>
      <c r="CV233" s="116"/>
      <c r="CW233" s="116"/>
      <c r="CX233" s="116"/>
      <c r="CY233" s="116"/>
      <c r="CZ233" s="116"/>
      <c r="DA233" s="48"/>
      <c r="DB233" s="48"/>
      <c r="DC233" s="48"/>
      <c r="DD233" s="54"/>
      <c r="DE233" s="54"/>
      <c r="DF233" s="54"/>
      <c r="DG233" s="54"/>
      <c r="DH233" s="54"/>
      <c r="DI233" s="54"/>
      <c r="DJ233" s="48"/>
      <c r="DK233" s="48"/>
      <c r="DL233" s="51"/>
      <c r="DM233" s="48"/>
      <c r="DN233" s="52"/>
      <c r="DO233" s="52"/>
      <c r="DP233" s="48"/>
      <c r="DQ233" s="48"/>
      <c r="DR233" s="48"/>
      <c r="DS233" s="51"/>
      <c r="DT233" s="48"/>
      <c r="DU233" s="48"/>
      <c r="DV233" s="48"/>
      <c r="DW233" s="48"/>
      <c r="DX233" s="48"/>
      <c r="DY233" s="48"/>
      <c r="DZ233" s="48"/>
    </row>
    <row r="234" spans="1:130" ht="50.2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51"/>
      <c r="AP234" s="51"/>
      <c r="AQ234" s="48"/>
      <c r="AR234" s="48"/>
      <c r="AS234" s="48"/>
      <c r="AT234" s="48"/>
      <c r="AU234" s="48"/>
      <c r="AV234" s="48"/>
      <c r="AW234" s="48"/>
      <c r="AX234" s="48"/>
      <c r="AY234" s="48"/>
      <c r="AZ234" s="48"/>
      <c r="BA234" s="48"/>
      <c r="BB234" s="51"/>
      <c r="BC234" s="48"/>
      <c r="BD234" s="48"/>
      <c r="BE234" s="48"/>
      <c r="BF234" s="48"/>
      <c r="BG234" s="48"/>
      <c r="BH234" s="48"/>
      <c r="BI234" s="48"/>
      <c r="BJ234" s="48"/>
      <c r="BK234" s="48"/>
      <c r="BL234" s="116"/>
      <c r="BM234" s="116"/>
      <c r="BN234" s="51"/>
      <c r="BO234" s="48"/>
      <c r="BP234" s="48"/>
      <c r="BQ234" s="48"/>
      <c r="BR234" s="48"/>
      <c r="BS234" s="48"/>
      <c r="BT234" s="48"/>
      <c r="BU234" s="48"/>
      <c r="BV234" s="48"/>
      <c r="BW234" s="48"/>
      <c r="BX234" s="48"/>
      <c r="BY234" s="48"/>
      <c r="BZ234" s="48"/>
      <c r="CA234" s="48"/>
      <c r="CB234" s="48"/>
      <c r="CC234" s="48"/>
      <c r="CD234" s="52"/>
      <c r="CE234" s="48"/>
      <c r="CF234" s="48"/>
      <c r="CG234" s="48"/>
      <c r="CH234" s="48"/>
      <c r="CI234" s="48"/>
      <c r="CJ234" s="51"/>
      <c r="CK234" s="129"/>
      <c r="CL234" s="129"/>
      <c r="CM234" s="129"/>
      <c r="CN234" s="116"/>
      <c r="CO234" s="116"/>
      <c r="CP234" s="116"/>
      <c r="CQ234" s="116"/>
      <c r="CR234" s="116"/>
      <c r="CS234" s="116"/>
      <c r="CT234" s="116"/>
      <c r="CU234" s="116"/>
      <c r="CV234" s="116"/>
      <c r="CW234" s="116"/>
      <c r="CX234" s="116"/>
      <c r="CY234" s="116"/>
      <c r="CZ234" s="116"/>
      <c r="DA234" s="48"/>
      <c r="DB234" s="48"/>
      <c r="DC234" s="48"/>
      <c r="DD234" s="54"/>
      <c r="DE234" s="54"/>
      <c r="DF234" s="54"/>
      <c r="DG234" s="54"/>
      <c r="DH234" s="54"/>
      <c r="DI234" s="54"/>
      <c r="DJ234" s="48"/>
      <c r="DK234" s="48"/>
      <c r="DL234" s="51"/>
      <c r="DM234" s="48"/>
      <c r="DN234" s="52"/>
      <c r="DO234" s="52"/>
      <c r="DP234" s="48"/>
      <c r="DQ234" s="48"/>
      <c r="DR234" s="48"/>
      <c r="DS234" s="51"/>
      <c r="DT234" s="48"/>
      <c r="DU234" s="48"/>
      <c r="DV234" s="48"/>
      <c r="DW234" s="48"/>
      <c r="DX234" s="48"/>
      <c r="DY234" s="48"/>
      <c r="DZ234" s="48"/>
    </row>
    <row r="235" spans="1:130" ht="50.2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51"/>
      <c r="AP235" s="51"/>
      <c r="AQ235" s="48"/>
      <c r="AR235" s="48"/>
      <c r="AS235" s="48"/>
      <c r="AT235" s="48"/>
      <c r="AU235" s="48"/>
      <c r="AV235" s="48"/>
      <c r="AW235" s="48"/>
      <c r="AX235" s="48"/>
      <c r="AY235" s="48"/>
      <c r="AZ235" s="48"/>
      <c r="BA235" s="48"/>
      <c r="BB235" s="51"/>
      <c r="BC235" s="48"/>
      <c r="BD235" s="48"/>
      <c r="BE235" s="48"/>
      <c r="BF235" s="48"/>
      <c r="BG235" s="48"/>
      <c r="BH235" s="48"/>
      <c r="BI235" s="48"/>
      <c r="BJ235" s="48"/>
      <c r="BK235" s="48"/>
      <c r="BL235" s="116"/>
      <c r="BM235" s="116"/>
      <c r="BN235" s="51"/>
      <c r="BO235" s="48"/>
      <c r="BP235" s="48"/>
      <c r="BQ235" s="48"/>
      <c r="BR235" s="48"/>
      <c r="BS235" s="48"/>
      <c r="BT235" s="48"/>
      <c r="BU235" s="48"/>
      <c r="BV235" s="48"/>
      <c r="BW235" s="48"/>
      <c r="BX235" s="48"/>
      <c r="BY235" s="48"/>
      <c r="BZ235" s="48"/>
      <c r="CA235" s="48"/>
      <c r="CB235" s="48"/>
      <c r="CC235" s="48"/>
      <c r="CD235" s="52"/>
      <c r="CE235" s="48"/>
      <c r="CF235" s="48"/>
      <c r="CG235" s="48"/>
      <c r="CH235" s="48"/>
      <c r="CI235" s="48"/>
      <c r="CJ235" s="51"/>
      <c r="CK235" s="129"/>
      <c r="CL235" s="129"/>
      <c r="CM235" s="129"/>
      <c r="CN235" s="116"/>
      <c r="CO235" s="116"/>
      <c r="CP235" s="116"/>
      <c r="CQ235" s="116"/>
      <c r="CR235" s="116"/>
      <c r="CS235" s="116"/>
      <c r="CT235" s="116"/>
      <c r="CU235" s="116"/>
      <c r="CV235" s="116"/>
      <c r="CW235" s="116"/>
      <c r="CX235" s="116"/>
      <c r="CY235" s="116"/>
      <c r="CZ235" s="116"/>
      <c r="DA235" s="48"/>
      <c r="DB235" s="48"/>
      <c r="DC235" s="48"/>
      <c r="DD235" s="54"/>
      <c r="DE235" s="54"/>
      <c r="DF235" s="54"/>
      <c r="DG235" s="54"/>
      <c r="DH235" s="54"/>
      <c r="DI235" s="54"/>
      <c r="DJ235" s="48"/>
      <c r="DK235" s="48"/>
      <c r="DL235" s="51"/>
      <c r="DM235" s="48"/>
      <c r="DN235" s="52"/>
      <c r="DO235" s="52"/>
      <c r="DP235" s="48"/>
      <c r="DQ235" s="48"/>
      <c r="DR235" s="48"/>
      <c r="DS235" s="51"/>
      <c r="DT235" s="48"/>
      <c r="DU235" s="48"/>
      <c r="DV235" s="48"/>
      <c r="DW235" s="48"/>
      <c r="DX235" s="48"/>
      <c r="DY235" s="48"/>
      <c r="DZ235" s="48"/>
    </row>
    <row r="236" spans="1:130" ht="50.25" customHeight="1">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51"/>
      <c r="AP236" s="51"/>
      <c r="AQ236" s="48"/>
      <c r="AR236" s="48"/>
      <c r="AS236" s="48"/>
      <c r="AT236" s="48"/>
      <c r="AU236" s="48"/>
      <c r="AV236" s="48"/>
      <c r="AW236" s="48"/>
      <c r="AX236" s="48"/>
      <c r="AY236" s="48"/>
      <c r="AZ236" s="48"/>
      <c r="BA236" s="48"/>
      <c r="BB236" s="51"/>
      <c r="BC236" s="48"/>
      <c r="BD236" s="48"/>
      <c r="BE236" s="48"/>
      <c r="BF236" s="48"/>
      <c r="BG236" s="48"/>
      <c r="BH236" s="48"/>
      <c r="BI236" s="48"/>
      <c r="BJ236" s="48"/>
      <c r="BK236" s="48"/>
      <c r="BL236" s="116"/>
      <c r="BM236" s="116"/>
      <c r="BN236" s="51"/>
      <c r="BO236" s="48"/>
      <c r="BP236" s="48"/>
      <c r="BQ236" s="48"/>
      <c r="BR236" s="48"/>
      <c r="BS236" s="48"/>
      <c r="BT236" s="48"/>
      <c r="BU236" s="48"/>
      <c r="BV236" s="48"/>
      <c r="BW236" s="48"/>
      <c r="BX236" s="48"/>
      <c r="BY236" s="48"/>
      <c r="BZ236" s="48"/>
      <c r="CA236" s="48"/>
      <c r="CB236" s="48"/>
      <c r="CC236" s="48"/>
      <c r="CD236" s="52"/>
      <c r="CE236" s="48"/>
      <c r="CF236" s="48"/>
      <c r="CG236" s="48"/>
      <c r="CH236" s="48"/>
      <c r="CI236" s="48"/>
      <c r="CJ236" s="51"/>
      <c r="CK236" s="129"/>
      <c r="CL236" s="129"/>
      <c r="CM236" s="129"/>
      <c r="CN236" s="116"/>
      <c r="CO236" s="116"/>
      <c r="CP236" s="116"/>
      <c r="CQ236" s="116"/>
      <c r="CR236" s="116"/>
      <c r="CS236" s="116"/>
      <c r="CT236" s="116"/>
      <c r="CU236" s="116"/>
      <c r="CV236" s="116"/>
      <c r="CW236" s="116"/>
      <c r="CX236" s="116"/>
      <c r="CY236" s="116"/>
      <c r="CZ236" s="116"/>
      <c r="DA236" s="48"/>
      <c r="DB236" s="48"/>
      <c r="DC236" s="48"/>
      <c r="DD236" s="54"/>
      <c r="DE236" s="54"/>
      <c r="DF236" s="54"/>
      <c r="DG236" s="54"/>
      <c r="DH236" s="54"/>
      <c r="DI236" s="54"/>
      <c r="DJ236" s="48"/>
      <c r="DK236" s="48"/>
      <c r="DL236" s="51"/>
      <c r="DM236" s="48"/>
      <c r="DN236" s="52"/>
      <c r="DO236" s="52"/>
      <c r="DP236" s="48"/>
      <c r="DQ236" s="48"/>
      <c r="DR236" s="48"/>
      <c r="DS236" s="51"/>
      <c r="DT236" s="48"/>
      <c r="DU236" s="48"/>
      <c r="DV236" s="48"/>
      <c r="DW236" s="48"/>
      <c r="DX236" s="48"/>
      <c r="DY236" s="48"/>
      <c r="DZ236" s="48"/>
    </row>
    <row r="237" spans="1:130" ht="50.25" customHeight="1">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51"/>
      <c r="AP237" s="51"/>
      <c r="AQ237" s="48"/>
      <c r="AR237" s="48"/>
      <c r="AS237" s="48"/>
      <c r="AT237" s="48"/>
      <c r="AU237" s="48"/>
      <c r="AV237" s="48"/>
      <c r="AW237" s="48"/>
      <c r="AX237" s="48"/>
      <c r="AY237" s="48"/>
      <c r="AZ237" s="48"/>
      <c r="BA237" s="48"/>
      <c r="BB237" s="51"/>
      <c r="BC237" s="48"/>
      <c r="BD237" s="48"/>
      <c r="BE237" s="48"/>
      <c r="BF237" s="48"/>
      <c r="BG237" s="48"/>
      <c r="BH237" s="48"/>
      <c r="BI237" s="48"/>
      <c r="BJ237" s="48"/>
      <c r="BK237" s="48"/>
      <c r="BL237" s="116"/>
      <c r="BM237" s="116"/>
      <c r="BN237" s="51"/>
      <c r="BO237" s="48"/>
      <c r="BP237" s="48"/>
      <c r="BQ237" s="48"/>
      <c r="BR237" s="48"/>
      <c r="BS237" s="48"/>
      <c r="BT237" s="48"/>
      <c r="BU237" s="48"/>
      <c r="BV237" s="48"/>
      <c r="BW237" s="48"/>
      <c r="BX237" s="48"/>
      <c r="BY237" s="48"/>
      <c r="BZ237" s="48"/>
      <c r="CA237" s="48"/>
      <c r="CB237" s="48"/>
      <c r="CC237" s="48"/>
      <c r="CD237" s="52"/>
      <c r="CE237" s="48"/>
      <c r="CF237" s="48"/>
      <c r="CG237" s="48"/>
      <c r="CH237" s="48"/>
      <c r="CI237" s="48"/>
      <c r="CJ237" s="51"/>
      <c r="CK237" s="129"/>
      <c r="CL237" s="129"/>
      <c r="CM237" s="129"/>
      <c r="CN237" s="116"/>
      <c r="CO237" s="116"/>
      <c r="CP237" s="116"/>
      <c r="CQ237" s="116"/>
      <c r="CR237" s="116"/>
      <c r="CS237" s="116"/>
      <c r="CT237" s="116"/>
      <c r="CU237" s="116"/>
      <c r="CV237" s="116"/>
      <c r="CW237" s="116"/>
      <c r="CX237" s="116"/>
      <c r="CY237" s="116"/>
      <c r="CZ237" s="116"/>
      <c r="DA237" s="48"/>
      <c r="DB237" s="48"/>
      <c r="DC237" s="48"/>
      <c r="DD237" s="54"/>
      <c r="DE237" s="54"/>
      <c r="DF237" s="54"/>
      <c r="DG237" s="54"/>
      <c r="DH237" s="54"/>
      <c r="DI237" s="54"/>
      <c r="DJ237" s="48"/>
      <c r="DK237" s="48"/>
      <c r="DL237" s="51"/>
      <c r="DM237" s="48"/>
      <c r="DN237" s="52"/>
      <c r="DO237" s="52"/>
      <c r="DP237" s="48"/>
      <c r="DQ237" s="48"/>
      <c r="DR237" s="48"/>
      <c r="DS237" s="51"/>
      <c r="DT237" s="48"/>
      <c r="DU237" s="48"/>
      <c r="DV237" s="48"/>
      <c r="DW237" s="48"/>
      <c r="DX237" s="48"/>
      <c r="DY237" s="48"/>
      <c r="DZ237" s="48"/>
    </row>
    <row r="238" spans="1:130" ht="50.25" customHeight="1">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51"/>
      <c r="AP238" s="51"/>
      <c r="AQ238" s="48"/>
      <c r="AR238" s="48"/>
      <c r="AS238" s="48"/>
      <c r="AT238" s="48"/>
      <c r="AU238" s="48"/>
      <c r="AV238" s="48"/>
      <c r="AW238" s="48"/>
      <c r="AX238" s="48"/>
      <c r="AY238" s="48"/>
      <c r="AZ238" s="48"/>
      <c r="BA238" s="48"/>
      <c r="BB238" s="51"/>
      <c r="BC238" s="48"/>
      <c r="BD238" s="48"/>
      <c r="BE238" s="48"/>
      <c r="BF238" s="48"/>
      <c r="BG238" s="48"/>
      <c r="BH238" s="48"/>
      <c r="BI238" s="48"/>
      <c r="BJ238" s="48"/>
      <c r="BK238" s="48"/>
      <c r="BL238" s="116"/>
      <c r="BM238" s="116"/>
      <c r="BN238" s="51"/>
      <c r="BO238" s="48"/>
      <c r="BP238" s="48"/>
      <c r="BQ238" s="48"/>
      <c r="BR238" s="48"/>
      <c r="BS238" s="48"/>
      <c r="BT238" s="48"/>
      <c r="BU238" s="48"/>
      <c r="BV238" s="48"/>
      <c r="BW238" s="48"/>
      <c r="BX238" s="48"/>
      <c r="BY238" s="48"/>
      <c r="BZ238" s="48"/>
      <c r="CA238" s="48"/>
      <c r="CB238" s="48"/>
      <c r="CC238" s="48"/>
      <c r="CD238" s="52"/>
      <c r="CE238" s="48"/>
      <c r="CF238" s="48"/>
      <c r="CG238" s="48"/>
      <c r="CH238" s="48"/>
      <c r="CI238" s="48"/>
      <c r="CJ238" s="51"/>
      <c r="CK238" s="129"/>
      <c r="CL238" s="129"/>
      <c r="CM238" s="129"/>
      <c r="CN238" s="116"/>
      <c r="CO238" s="116"/>
      <c r="CP238" s="116"/>
      <c r="CQ238" s="116"/>
      <c r="CR238" s="116"/>
      <c r="CS238" s="116"/>
      <c r="CT238" s="116"/>
      <c r="CU238" s="116"/>
      <c r="CV238" s="116"/>
      <c r="CW238" s="116"/>
      <c r="CX238" s="116"/>
      <c r="CY238" s="116"/>
      <c r="CZ238" s="116"/>
      <c r="DA238" s="48"/>
      <c r="DB238" s="48"/>
      <c r="DC238" s="48"/>
      <c r="DD238" s="54"/>
      <c r="DE238" s="54"/>
      <c r="DF238" s="54"/>
      <c r="DG238" s="54"/>
      <c r="DH238" s="54"/>
      <c r="DI238" s="54"/>
      <c r="DJ238" s="48"/>
      <c r="DK238" s="48"/>
      <c r="DL238" s="51"/>
      <c r="DM238" s="48"/>
      <c r="DN238" s="52"/>
      <c r="DO238" s="52"/>
      <c r="DP238" s="48"/>
      <c r="DQ238" s="48"/>
      <c r="DR238" s="48"/>
      <c r="DS238" s="51"/>
      <c r="DT238" s="48"/>
      <c r="DU238" s="48"/>
      <c r="DV238" s="48"/>
      <c r="DW238" s="48"/>
      <c r="DX238" s="48"/>
      <c r="DY238" s="48"/>
      <c r="DZ238" s="48"/>
    </row>
    <row r="239" spans="1:130" ht="50.25" customHeight="1">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51"/>
      <c r="AP239" s="51"/>
      <c r="AQ239" s="48"/>
      <c r="AR239" s="48"/>
      <c r="AS239" s="48"/>
      <c r="AT239" s="48"/>
      <c r="AU239" s="48"/>
      <c r="AV239" s="48"/>
      <c r="AW239" s="48"/>
      <c r="AX239" s="48"/>
      <c r="AY239" s="48"/>
      <c r="AZ239" s="48"/>
      <c r="BA239" s="48"/>
      <c r="BB239" s="51"/>
      <c r="BC239" s="48"/>
      <c r="BD239" s="48"/>
      <c r="BE239" s="48"/>
      <c r="BF239" s="48"/>
      <c r="BG239" s="48"/>
      <c r="BH239" s="48"/>
      <c r="BI239" s="48"/>
      <c r="BJ239" s="48"/>
      <c r="BK239" s="48"/>
      <c r="BL239" s="116"/>
      <c r="BM239" s="116"/>
      <c r="BN239" s="51"/>
      <c r="BO239" s="48"/>
      <c r="BP239" s="48"/>
      <c r="BQ239" s="48"/>
      <c r="BR239" s="48"/>
      <c r="BS239" s="48"/>
      <c r="BT239" s="48"/>
      <c r="BU239" s="48"/>
      <c r="BV239" s="48"/>
      <c r="BW239" s="48"/>
      <c r="BX239" s="48"/>
      <c r="BY239" s="48"/>
      <c r="BZ239" s="48"/>
      <c r="CA239" s="48"/>
      <c r="CB239" s="48"/>
      <c r="CC239" s="48"/>
      <c r="CD239" s="52"/>
      <c r="CE239" s="48"/>
      <c r="CF239" s="48"/>
      <c r="CG239" s="48"/>
      <c r="CH239" s="48"/>
      <c r="CI239" s="48"/>
      <c r="CJ239" s="51"/>
      <c r="CK239" s="129"/>
      <c r="CL239" s="129"/>
      <c r="CM239" s="129"/>
      <c r="CN239" s="116"/>
      <c r="CO239" s="116"/>
      <c r="CP239" s="116"/>
      <c r="CQ239" s="116"/>
      <c r="CR239" s="116"/>
      <c r="CS239" s="116"/>
      <c r="CT239" s="116"/>
      <c r="CU239" s="116"/>
      <c r="CV239" s="116"/>
      <c r="CW239" s="116"/>
      <c r="CX239" s="116"/>
      <c r="CY239" s="116"/>
      <c r="CZ239" s="116"/>
      <c r="DA239" s="48"/>
      <c r="DB239" s="48"/>
      <c r="DC239" s="48"/>
      <c r="DD239" s="54"/>
      <c r="DE239" s="54"/>
      <c r="DF239" s="54"/>
      <c r="DG239" s="54"/>
      <c r="DH239" s="54"/>
      <c r="DI239" s="54"/>
      <c r="DJ239" s="48"/>
      <c r="DK239" s="48"/>
      <c r="DL239" s="51"/>
      <c r="DM239" s="48"/>
      <c r="DN239" s="52"/>
      <c r="DO239" s="52"/>
      <c r="DP239" s="48"/>
      <c r="DQ239" s="48"/>
      <c r="DR239" s="48"/>
      <c r="DS239" s="51"/>
      <c r="DT239" s="48"/>
      <c r="DU239" s="48"/>
      <c r="DV239" s="48"/>
      <c r="DW239" s="48"/>
      <c r="DX239" s="48"/>
      <c r="DY239" s="48"/>
      <c r="DZ239" s="48"/>
    </row>
    <row r="240" spans="1:130" ht="50.25" customHeight="1">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51"/>
      <c r="AP240" s="51"/>
      <c r="AQ240" s="48"/>
      <c r="AR240" s="48"/>
      <c r="AS240" s="48"/>
      <c r="AT240" s="48"/>
      <c r="AU240" s="48"/>
      <c r="AV240" s="48"/>
      <c r="AW240" s="48"/>
      <c r="AX240" s="48"/>
      <c r="AY240" s="48"/>
      <c r="AZ240" s="48"/>
      <c r="BA240" s="48"/>
      <c r="BB240" s="51"/>
      <c r="BC240" s="48"/>
      <c r="BD240" s="48"/>
      <c r="BE240" s="48"/>
      <c r="BF240" s="48"/>
      <c r="BG240" s="48"/>
      <c r="BH240" s="48"/>
      <c r="BI240" s="48"/>
      <c r="BJ240" s="48"/>
      <c r="BK240" s="48"/>
      <c r="BL240" s="116"/>
      <c r="BM240" s="116"/>
      <c r="BN240" s="51"/>
      <c r="BO240" s="48"/>
      <c r="BP240" s="48"/>
      <c r="BQ240" s="48"/>
      <c r="BR240" s="48"/>
      <c r="BS240" s="48"/>
      <c r="BT240" s="48"/>
      <c r="BU240" s="48"/>
      <c r="BV240" s="48"/>
      <c r="BW240" s="48"/>
      <c r="BX240" s="48"/>
      <c r="BY240" s="48"/>
      <c r="BZ240" s="48"/>
      <c r="CA240" s="48"/>
      <c r="CB240" s="48"/>
      <c r="CC240" s="48"/>
      <c r="CD240" s="52"/>
      <c r="CE240" s="48"/>
      <c r="CF240" s="48"/>
      <c r="CG240" s="48"/>
      <c r="CH240" s="48"/>
      <c r="CI240" s="48"/>
      <c r="CJ240" s="51"/>
      <c r="CK240" s="129"/>
      <c r="CL240" s="129"/>
      <c r="CM240" s="129"/>
      <c r="CN240" s="116"/>
      <c r="CO240" s="116"/>
      <c r="CP240" s="116"/>
      <c r="CQ240" s="116"/>
      <c r="CR240" s="116"/>
      <c r="CS240" s="116"/>
      <c r="CT240" s="116"/>
      <c r="CU240" s="116"/>
      <c r="CV240" s="116"/>
      <c r="CW240" s="116"/>
      <c r="CX240" s="116"/>
      <c r="CY240" s="116"/>
      <c r="CZ240" s="116"/>
      <c r="DA240" s="48"/>
      <c r="DB240" s="48"/>
      <c r="DC240" s="48"/>
      <c r="DD240" s="54"/>
      <c r="DE240" s="54"/>
      <c r="DF240" s="54"/>
      <c r="DG240" s="54"/>
      <c r="DH240" s="54"/>
      <c r="DI240" s="54"/>
      <c r="DJ240" s="48"/>
      <c r="DK240" s="48"/>
      <c r="DL240" s="51"/>
      <c r="DM240" s="48"/>
      <c r="DN240" s="52"/>
      <c r="DO240" s="52"/>
      <c r="DP240" s="48"/>
      <c r="DQ240" s="48"/>
      <c r="DR240" s="48"/>
      <c r="DS240" s="51"/>
      <c r="DT240" s="48"/>
      <c r="DU240" s="48"/>
      <c r="DV240" s="48"/>
      <c r="DW240" s="48"/>
      <c r="DX240" s="48"/>
      <c r="DY240" s="48"/>
      <c r="DZ240" s="48"/>
    </row>
    <row r="241" spans="1:130" ht="50.25" customHeight="1">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51"/>
      <c r="AP241" s="51"/>
      <c r="AQ241" s="48"/>
      <c r="AR241" s="48"/>
      <c r="AS241" s="48"/>
      <c r="AT241" s="48"/>
      <c r="AU241" s="48"/>
      <c r="AV241" s="48"/>
      <c r="AW241" s="48"/>
      <c r="AX241" s="48"/>
      <c r="AY241" s="48"/>
      <c r="AZ241" s="48"/>
      <c r="BA241" s="48"/>
      <c r="BB241" s="51"/>
      <c r="BC241" s="48"/>
      <c r="BD241" s="48"/>
      <c r="BE241" s="48"/>
      <c r="BF241" s="48"/>
      <c r="BG241" s="48"/>
      <c r="BH241" s="48"/>
      <c r="BI241" s="48"/>
      <c r="BJ241" s="48"/>
      <c r="BK241" s="48"/>
      <c r="BL241" s="116"/>
      <c r="BM241" s="116"/>
      <c r="BN241" s="51"/>
      <c r="BO241" s="48"/>
      <c r="BP241" s="48"/>
      <c r="BQ241" s="48"/>
      <c r="BR241" s="48"/>
      <c r="BS241" s="48"/>
      <c r="BT241" s="48"/>
      <c r="BU241" s="48"/>
      <c r="BV241" s="48"/>
      <c r="BW241" s="48"/>
      <c r="BX241" s="48"/>
      <c r="BY241" s="48"/>
      <c r="BZ241" s="48"/>
      <c r="CA241" s="48"/>
      <c r="CB241" s="48"/>
      <c r="CC241" s="48"/>
      <c r="CD241" s="52"/>
      <c r="CE241" s="48"/>
      <c r="CF241" s="48"/>
      <c r="CG241" s="48"/>
      <c r="CH241" s="48"/>
      <c r="CI241" s="48"/>
      <c r="CJ241" s="51"/>
      <c r="CK241" s="129"/>
      <c r="CL241" s="129"/>
      <c r="CM241" s="129"/>
      <c r="CN241" s="116"/>
      <c r="CO241" s="116"/>
      <c r="CP241" s="116"/>
      <c r="CQ241" s="116"/>
      <c r="CR241" s="116"/>
      <c r="CS241" s="116"/>
      <c r="CT241" s="116"/>
      <c r="CU241" s="116"/>
      <c r="CV241" s="116"/>
      <c r="CW241" s="116"/>
      <c r="CX241" s="116"/>
      <c r="CY241" s="116"/>
      <c r="CZ241" s="116"/>
      <c r="DA241" s="48"/>
      <c r="DB241" s="48"/>
      <c r="DC241" s="48"/>
      <c r="DD241" s="54"/>
      <c r="DE241" s="54"/>
      <c r="DF241" s="54"/>
      <c r="DG241" s="54"/>
      <c r="DH241" s="54"/>
      <c r="DI241" s="54"/>
      <c r="DJ241" s="48"/>
      <c r="DK241" s="48"/>
      <c r="DL241" s="51"/>
      <c r="DM241" s="48"/>
      <c r="DN241" s="52"/>
      <c r="DO241" s="52"/>
      <c r="DP241" s="48"/>
      <c r="DQ241" s="48"/>
      <c r="DR241" s="48"/>
      <c r="DS241" s="51"/>
      <c r="DT241" s="48"/>
      <c r="DU241" s="48"/>
      <c r="DV241" s="48"/>
      <c r="DW241" s="48"/>
      <c r="DX241" s="48"/>
      <c r="DY241" s="48"/>
      <c r="DZ241" s="48"/>
    </row>
    <row r="242" spans="1:130" ht="50.25" customHeight="1">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51"/>
      <c r="AP242" s="51"/>
      <c r="AQ242" s="48"/>
      <c r="AR242" s="48"/>
      <c r="AS242" s="48"/>
      <c r="AT242" s="48"/>
      <c r="AU242" s="48"/>
      <c r="AV242" s="48"/>
      <c r="AW242" s="48"/>
      <c r="AX242" s="48"/>
      <c r="AY242" s="48"/>
      <c r="AZ242" s="48"/>
      <c r="BA242" s="48"/>
      <c r="BB242" s="51"/>
      <c r="BC242" s="48"/>
      <c r="BD242" s="48"/>
      <c r="BE242" s="48"/>
      <c r="BF242" s="48"/>
      <c r="BG242" s="48"/>
      <c r="BH242" s="48"/>
      <c r="BI242" s="48"/>
      <c r="BJ242" s="48"/>
      <c r="BK242" s="48"/>
      <c r="BL242" s="116"/>
      <c r="BM242" s="116"/>
      <c r="BN242" s="51"/>
      <c r="BO242" s="48"/>
      <c r="BP242" s="48"/>
      <c r="BQ242" s="48"/>
      <c r="BR242" s="48"/>
      <c r="BS242" s="48"/>
      <c r="BT242" s="48"/>
      <c r="BU242" s="48"/>
      <c r="BV242" s="48"/>
      <c r="BW242" s="48"/>
      <c r="BX242" s="48"/>
      <c r="BY242" s="48"/>
      <c r="BZ242" s="48"/>
      <c r="CA242" s="48"/>
      <c r="CB242" s="48"/>
      <c r="CC242" s="48"/>
      <c r="CD242" s="52"/>
      <c r="CE242" s="48"/>
      <c r="CF242" s="48"/>
      <c r="CG242" s="48"/>
      <c r="CH242" s="48"/>
      <c r="CI242" s="48"/>
      <c r="CJ242" s="51"/>
      <c r="CK242" s="129"/>
      <c r="CL242" s="129"/>
      <c r="CM242" s="129"/>
      <c r="CN242" s="116"/>
      <c r="CO242" s="116"/>
      <c r="CP242" s="116"/>
      <c r="CQ242" s="116"/>
      <c r="CR242" s="116"/>
      <c r="CS242" s="116"/>
      <c r="CT242" s="116"/>
      <c r="CU242" s="116"/>
      <c r="CV242" s="116"/>
      <c r="CW242" s="116"/>
      <c r="CX242" s="116"/>
      <c r="CY242" s="116"/>
      <c r="CZ242" s="116"/>
      <c r="DA242" s="48"/>
      <c r="DB242" s="48"/>
      <c r="DC242" s="48"/>
      <c r="DD242" s="54"/>
      <c r="DE242" s="54"/>
      <c r="DF242" s="54"/>
      <c r="DG242" s="54"/>
      <c r="DH242" s="54"/>
      <c r="DI242" s="54"/>
      <c r="DJ242" s="48"/>
      <c r="DK242" s="48"/>
      <c r="DL242" s="51"/>
      <c r="DM242" s="48"/>
      <c r="DN242" s="52"/>
      <c r="DO242" s="52"/>
      <c r="DP242" s="48"/>
      <c r="DQ242" s="48"/>
      <c r="DR242" s="48"/>
      <c r="DS242" s="51"/>
      <c r="DT242" s="48"/>
      <c r="DU242" s="48"/>
      <c r="DV242" s="48"/>
      <c r="DW242" s="48"/>
      <c r="DX242" s="48"/>
      <c r="DY242" s="48"/>
      <c r="DZ242" s="48"/>
    </row>
    <row r="243" spans="1:130" ht="50.25" customHeight="1">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51"/>
      <c r="AP243" s="51"/>
      <c r="AQ243" s="48"/>
      <c r="AR243" s="48"/>
      <c r="AS243" s="48"/>
      <c r="AT243" s="48"/>
      <c r="AU243" s="48"/>
      <c r="AV243" s="48"/>
      <c r="AW243" s="48"/>
      <c r="AX243" s="48"/>
      <c r="AY243" s="48"/>
      <c r="AZ243" s="48"/>
      <c r="BA243" s="48"/>
      <c r="BB243" s="51"/>
      <c r="BC243" s="48"/>
      <c r="BD243" s="48"/>
      <c r="BE243" s="48"/>
      <c r="BF243" s="48"/>
      <c r="BG243" s="48"/>
      <c r="BH243" s="48"/>
      <c r="BI243" s="48"/>
      <c r="BJ243" s="48"/>
      <c r="BK243" s="48"/>
      <c r="BL243" s="116"/>
      <c r="BM243" s="116"/>
      <c r="BN243" s="51"/>
      <c r="BO243" s="48"/>
      <c r="BP243" s="48"/>
      <c r="BQ243" s="48"/>
      <c r="BR243" s="48"/>
      <c r="BS243" s="48"/>
      <c r="BT243" s="48"/>
      <c r="BU243" s="48"/>
      <c r="BV243" s="48"/>
      <c r="BW243" s="48"/>
      <c r="BX243" s="48"/>
      <c r="BY243" s="48"/>
      <c r="BZ243" s="48"/>
      <c r="CA243" s="48"/>
      <c r="CB243" s="48"/>
      <c r="CC243" s="48"/>
      <c r="CD243" s="52"/>
      <c r="CE243" s="48"/>
      <c r="CF243" s="48"/>
      <c r="CG243" s="48"/>
      <c r="CH243" s="48"/>
      <c r="CI243" s="48"/>
      <c r="CJ243" s="51"/>
      <c r="CK243" s="129"/>
      <c r="CL243" s="129"/>
      <c r="CM243" s="129"/>
      <c r="CN243" s="116"/>
      <c r="CO243" s="116"/>
      <c r="CP243" s="116"/>
      <c r="CQ243" s="116"/>
      <c r="CR243" s="116"/>
      <c r="CS243" s="116"/>
      <c r="CT243" s="116"/>
      <c r="CU243" s="116"/>
      <c r="CV243" s="116"/>
      <c r="CW243" s="116"/>
      <c r="CX243" s="116"/>
      <c r="CY243" s="116"/>
      <c r="CZ243" s="116"/>
      <c r="DA243" s="48"/>
      <c r="DB243" s="48"/>
      <c r="DC243" s="48"/>
      <c r="DD243" s="54"/>
      <c r="DE243" s="54"/>
      <c r="DF243" s="54"/>
      <c r="DG243" s="54"/>
      <c r="DH243" s="54"/>
      <c r="DI243" s="54"/>
      <c r="DJ243" s="48"/>
      <c r="DK243" s="48"/>
      <c r="DL243" s="51"/>
      <c r="DM243" s="48"/>
      <c r="DN243" s="52"/>
      <c r="DO243" s="52"/>
      <c r="DP243" s="48"/>
      <c r="DQ243" s="48"/>
      <c r="DR243" s="48"/>
      <c r="DS243" s="51"/>
      <c r="DT243" s="48"/>
      <c r="DU243" s="48"/>
      <c r="DV243" s="48"/>
      <c r="DW243" s="48"/>
      <c r="DX243" s="48"/>
      <c r="DY243" s="48"/>
      <c r="DZ243" s="48"/>
    </row>
    <row r="244" spans="1:130" ht="50.25" customHeight="1">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51"/>
      <c r="AP244" s="51"/>
      <c r="AQ244" s="48"/>
      <c r="AR244" s="48"/>
      <c r="AS244" s="48"/>
      <c r="AT244" s="48"/>
      <c r="AU244" s="48"/>
      <c r="AV244" s="48"/>
      <c r="AW244" s="48"/>
      <c r="AX244" s="48"/>
      <c r="AY244" s="48"/>
      <c r="AZ244" s="48"/>
      <c r="BA244" s="48"/>
      <c r="BB244" s="51"/>
      <c r="BC244" s="48"/>
      <c r="BD244" s="48"/>
      <c r="BE244" s="48"/>
      <c r="BF244" s="48"/>
      <c r="BG244" s="48"/>
      <c r="BH244" s="48"/>
      <c r="BI244" s="48"/>
      <c r="BJ244" s="48"/>
      <c r="BK244" s="48"/>
      <c r="BL244" s="116"/>
      <c r="BM244" s="116"/>
      <c r="BN244" s="51"/>
      <c r="BO244" s="48"/>
      <c r="BP244" s="48"/>
      <c r="BQ244" s="48"/>
      <c r="BR244" s="48"/>
      <c r="BS244" s="48"/>
      <c r="BT244" s="48"/>
      <c r="BU244" s="48"/>
      <c r="BV244" s="48"/>
      <c r="BW244" s="48"/>
      <c r="BX244" s="48"/>
      <c r="BY244" s="48"/>
      <c r="BZ244" s="48"/>
      <c r="CA244" s="48"/>
      <c r="CB244" s="48"/>
      <c r="CC244" s="48"/>
      <c r="CD244" s="52"/>
      <c r="CE244" s="48"/>
      <c r="CF244" s="48"/>
      <c r="CG244" s="48"/>
      <c r="CH244" s="48"/>
      <c r="CI244" s="48"/>
      <c r="CJ244" s="51"/>
      <c r="CK244" s="129"/>
      <c r="CL244" s="129"/>
      <c r="CM244" s="129"/>
      <c r="CN244" s="116"/>
      <c r="CO244" s="116"/>
      <c r="CP244" s="116"/>
      <c r="CQ244" s="116"/>
      <c r="CR244" s="116"/>
      <c r="CS244" s="116"/>
      <c r="CT244" s="116"/>
      <c r="CU244" s="116"/>
      <c r="CV244" s="116"/>
      <c r="CW244" s="116"/>
      <c r="CX244" s="116"/>
      <c r="CY244" s="116"/>
      <c r="CZ244" s="116"/>
      <c r="DA244" s="48"/>
      <c r="DB244" s="48"/>
      <c r="DC244" s="48"/>
      <c r="DD244" s="54"/>
      <c r="DE244" s="54"/>
      <c r="DF244" s="54"/>
      <c r="DG244" s="54"/>
      <c r="DH244" s="54"/>
      <c r="DI244" s="54"/>
      <c r="DJ244" s="48"/>
      <c r="DK244" s="48"/>
      <c r="DL244" s="51"/>
      <c r="DM244" s="48"/>
      <c r="DN244" s="52"/>
      <c r="DO244" s="52"/>
      <c r="DP244" s="48"/>
      <c r="DQ244" s="48"/>
      <c r="DR244" s="48"/>
      <c r="DS244" s="51"/>
      <c r="DT244" s="48"/>
      <c r="DU244" s="48"/>
      <c r="DV244" s="48"/>
      <c r="DW244" s="48"/>
      <c r="DX244" s="48"/>
      <c r="DY244" s="48"/>
      <c r="DZ244" s="48"/>
    </row>
    <row r="245" spans="1:130" ht="50.25" customHeight="1">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51"/>
      <c r="AP245" s="51"/>
      <c r="AQ245" s="48"/>
      <c r="AR245" s="48"/>
      <c r="AS245" s="48"/>
      <c r="AT245" s="48"/>
      <c r="AU245" s="48"/>
      <c r="AV245" s="48"/>
      <c r="AW245" s="48"/>
      <c r="AX245" s="48"/>
      <c r="AY245" s="48"/>
      <c r="AZ245" s="48"/>
      <c r="BA245" s="48"/>
      <c r="BB245" s="51"/>
      <c r="BC245" s="48"/>
      <c r="BD245" s="48"/>
      <c r="BE245" s="48"/>
      <c r="BF245" s="48"/>
      <c r="BG245" s="48"/>
      <c r="BH245" s="48"/>
      <c r="BI245" s="48"/>
      <c r="BJ245" s="48"/>
      <c r="BK245" s="48"/>
      <c r="BL245" s="116"/>
      <c r="BM245" s="116"/>
      <c r="BN245" s="51"/>
      <c r="BO245" s="48"/>
      <c r="BP245" s="48"/>
      <c r="BQ245" s="48"/>
      <c r="BR245" s="48"/>
      <c r="BS245" s="48"/>
      <c r="BT245" s="48"/>
      <c r="BU245" s="48"/>
      <c r="BV245" s="48"/>
      <c r="BW245" s="48"/>
      <c r="BX245" s="48"/>
      <c r="BY245" s="48"/>
      <c r="BZ245" s="48"/>
      <c r="CA245" s="48"/>
      <c r="CB245" s="48"/>
      <c r="CC245" s="48"/>
      <c r="CD245" s="52"/>
      <c r="CE245" s="48"/>
      <c r="CF245" s="48"/>
      <c r="CG245" s="48"/>
      <c r="CH245" s="48"/>
      <c r="CI245" s="48"/>
      <c r="CJ245" s="51"/>
      <c r="CK245" s="129"/>
      <c r="CL245" s="129"/>
      <c r="CM245" s="129"/>
      <c r="CN245" s="116"/>
      <c r="CO245" s="116"/>
      <c r="CP245" s="116"/>
      <c r="CQ245" s="116"/>
      <c r="CR245" s="116"/>
      <c r="CS245" s="116"/>
      <c r="CT245" s="116"/>
      <c r="CU245" s="116"/>
      <c r="CV245" s="116"/>
      <c r="CW245" s="116"/>
      <c r="CX245" s="116"/>
      <c r="CY245" s="116"/>
      <c r="CZ245" s="116"/>
      <c r="DA245" s="48"/>
      <c r="DB245" s="48"/>
      <c r="DC245" s="48"/>
      <c r="DD245" s="54"/>
      <c r="DE245" s="54"/>
      <c r="DF245" s="54"/>
      <c r="DG245" s="54"/>
      <c r="DH245" s="54"/>
      <c r="DI245" s="54"/>
      <c r="DJ245" s="48"/>
      <c r="DK245" s="48"/>
      <c r="DL245" s="51"/>
      <c r="DM245" s="48"/>
      <c r="DN245" s="52"/>
      <c r="DO245" s="52"/>
      <c r="DP245" s="48"/>
      <c r="DQ245" s="48"/>
      <c r="DR245" s="48"/>
      <c r="DS245" s="51"/>
      <c r="DT245" s="48"/>
      <c r="DU245" s="48"/>
      <c r="DV245" s="48"/>
      <c r="DW245" s="48"/>
      <c r="DX245" s="48"/>
      <c r="DY245" s="48"/>
      <c r="DZ245" s="48"/>
    </row>
    <row r="246" spans="1:130" ht="50.25" customHeight="1">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51"/>
      <c r="AP246" s="51"/>
      <c r="AQ246" s="48"/>
      <c r="AR246" s="48"/>
      <c r="AS246" s="48"/>
      <c r="AT246" s="48"/>
      <c r="AU246" s="48"/>
      <c r="AV246" s="48"/>
      <c r="AW246" s="48"/>
      <c r="AX246" s="48"/>
      <c r="AY246" s="48"/>
      <c r="AZ246" s="48"/>
      <c r="BA246" s="48"/>
      <c r="BB246" s="51"/>
      <c r="BC246" s="48"/>
      <c r="BD246" s="48"/>
      <c r="BE246" s="48"/>
      <c r="BF246" s="48"/>
      <c r="BG246" s="48"/>
      <c r="BH246" s="48"/>
      <c r="BI246" s="48"/>
      <c r="BJ246" s="48"/>
      <c r="BK246" s="48"/>
      <c r="BL246" s="116"/>
      <c r="BM246" s="116"/>
      <c r="BN246" s="51"/>
      <c r="BO246" s="48"/>
      <c r="BP246" s="48"/>
      <c r="BQ246" s="48"/>
      <c r="BR246" s="48"/>
      <c r="BS246" s="48"/>
      <c r="BT246" s="48"/>
      <c r="BU246" s="48"/>
      <c r="BV246" s="48"/>
      <c r="BW246" s="48"/>
      <c r="BX246" s="48"/>
      <c r="BY246" s="48"/>
      <c r="BZ246" s="48"/>
      <c r="CA246" s="48"/>
      <c r="CB246" s="48"/>
      <c r="CC246" s="48"/>
      <c r="CD246" s="52"/>
      <c r="CE246" s="48"/>
      <c r="CF246" s="48"/>
      <c r="CG246" s="48"/>
      <c r="CH246" s="48"/>
      <c r="CI246" s="48"/>
      <c r="CJ246" s="51"/>
      <c r="CK246" s="129"/>
      <c r="CL246" s="129"/>
      <c r="CM246" s="129"/>
      <c r="CN246" s="116"/>
      <c r="CO246" s="116"/>
      <c r="CP246" s="116"/>
      <c r="CQ246" s="116"/>
      <c r="CR246" s="116"/>
      <c r="CS246" s="116"/>
      <c r="CT246" s="116"/>
      <c r="CU246" s="116"/>
      <c r="CV246" s="116"/>
      <c r="CW246" s="116"/>
      <c r="CX246" s="116"/>
      <c r="CY246" s="116"/>
      <c r="CZ246" s="116"/>
      <c r="DA246" s="48"/>
      <c r="DB246" s="48"/>
      <c r="DC246" s="48"/>
      <c r="DD246" s="54"/>
      <c r="DE246" s="54"/>
      <c r="DF246" s="54"/>
      <c r="DG246" s="54"/>
      <c r="DH246" s="54"/>
      <c r="DI246" s="54"/>
      <c r="DJ246" s="48"/>
      <c r="DK246" s="48"/>
      <c r="DL246" s="51"/>
      <c r="DM246" s="48"/>
      <c r="DN246" s="52"/>
      <c r="DO246" s="52"/>
      <c r="DP246" s="48"/>
      <c r="DQ246" s="48"/>
      <c r="DR246" s="48"/>
      <c r="DS246" s="51"/>
      <c r="DT246" s="48"/>
      <c r="DU246" s="48"/>
      <c r="DV246" s="48"/>
      <c r="DW246" s="48"/>
      <c r="DX246" s="48"/>
      <c r="DY246" s="48"/>
      <c r="DZ246" s="48"/>
    </row>
    <row r="247" spans="1:130" ht="50.25" customHeight="1">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51"/>
      <c r="AP247" s="51"/>
      <c r="AQ247" s="48"/>
      <c r="AR247" s="48"/>
      <c r="AS247" s="48"/>
      <c r="AT247" s="48"/>
      <c r="AU247" s="48"/>
      <c r="AV247" s="48"/>
      <c r="AW247" s="48"/>
      <c r="AX247" s="48"/>
      <c r="AY247" s="48"/>
      <c r="AZ247" s="48"/>
      <c r="BA247" s="48"/>
      <c r="BB247" s="51"/>
      <c r="BC247" s="48"/>
      <c r="BD247" s="48"/>
      <c r="BE247" s="48"/>
      <c r="BF247" s="48"/>
      <c r="BG247" s="48"/>
      <c r="BH247" s="48"/>
      <c r="BI247" s="48"/>
      <c r="BJ247" s="48"/>
      <c r="BK247" s="48"/>
      <c r="BL247" s="116"/>
      <c r="BM247" s="116"/>
      <c r="BN247" s="51"/>
      <c r="BO247" s="48"/>
      <c r="BP247" s="48"/>
      <c r="BQ247" s="48"/>
      <c r="BR247" s="48"/>
      <c r="BS247" s="48"/>
      <c r="BT247" s="48"/>
      <c r="BU247" s="48"/>
      <c r="BV247" s="48"/>
      <c r="BW247" s="48"/>
      <c r="BX247" s="48"/>
      <c r="BY247" s="48"/>
      <c r="BZ247" s="48"/>
      <c r="CA247" s="48"/>
      <c r="CB247" s="48"/>
      <c r="CC247" s="48"/>
      <c r="CD247" s="52"/>
      <c r="CE247" s="48"/>
      <c r="CF247" s="48"/>
      <c r="CG247" s="48"/>
      <c r="CH247" s="48"/>
      <c r="CI247" s="48"/>
      <c r="CJ247" s="51"/>
      <c r="CK247" s="129"/>
      <c r="CL247" s="129"/>
      <c r="CM247" s="129"/>
      <c r="CN247" s="116"/>
      <c r="CO247" s="116"/>
      <c r="CP247" s="116"/>
      <c r="CQ247" s="116"/>
      <c r="CR247" s="116"/>
      <c r="CS247" s="116"/>
      <c r="CT247" s="116"/>
      <c r="CU247" s="116"/>
      <c r="CV247" s="116"/>
      <c r="CW247" s="116"/>
      <c r="CX247" s="116"/>
      <c r="CY247" s="116"/>
      <c r="CZ247" s="116"/>
      <c r="DA247" s="48"/>
      <c r="DB247" s="48"/>
      <c r="DC247" s="48"/>
      <c r="DD247" s="54"/>
      <c r="DE247" s="54"/>
      <c r="DF247" s="54"/>
      <c r="DG247" s="54"/>
      <c r="DH247" s="54"/>
      <c r="DI247" s="54"/>
      <c r="DJ247" s="48"/>
      <c r="DK247" s="48"/>
      <c r="DL247" s="51"/>
      <c r="DM247" s="48"/>
      <c r="DN247" s="52"/>
      <c r="DO247" s="52"/>
      <c r="DP247" s="48"/>
      <c r="DQ247" s="48"/>
      <c r="DR247" s="48"/>
      <c r="DS247" s="51"/>
      <c r="DT247" s="48"/>
      <c r="DU247" s="48"/>
      <c r="DV247" s="48"/>
      <c r="DW247" s="48"/>
      <c r="DX247" s="48"/>
      <c r="DY247" s="48"/>
      <c r="DZ247" s="48"/>
    </row>
    <row r="248" spans="1:130" ht="50.25" customHeight="1">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51"/>
      <c r="AP248" s="51"/>
      <c r="AQ248" s="48"/>
      <c r="AR248" s="48"/>
      <c r="AS248" s="48"/>
      <c r="AT248" s="48"/>
      <c r="AU248" s="48"/>
      <c r="AV248" s="48"/>
      <c r="AW248" s="48"/>
      <c r="AX248" s="48"/>
      <c r="AY248" s="48"/>
      <c r="AZ248" s="48"/>
      <c r="BA248" s="48"/>
      <c r="BB248" s="51"/>
      <c r="BC248" s="48"/>
      <c r="BD248" s="48"/>
      <c r="BE248" s="48"/>
      <c r="BF248" s="48"/>
      <c r="BG248" s="48"/>
      <c r="BH248" s="48"/>
      <c r="BI248" s="48"/>
      <c r="BJ248" s="48"/>
      <c r="BK248" s="48"/>
      <c r="BL248" s="116"/>
      <c r="BM248" s="116"/>
      <c r="BN248" s="51"/>
      <c r="BO248" s="48"/>
      <c r="BP248" s="48"/>
      <c r="BQ248" s="48"/>
      <c r="BR248" s="48"/>
      <c r="BS248" s="48"/>
      <c r="BT248" s="48"/>
      <c r="BU248" s="48"/>
      <c r="BV248" s="48"/>
      <c r="BW248" s="48"/>
      <c r="BX248" s="48"/>
      <c r="BY248" s="48"/>
      <c r="BZ248" s="48"/>
      <c r="CA248" s="48"/>
      <c r="CB248" s="48"/>
      <c r="CC248" s="48"/>
      <c r="CD248" s="52"/>
      <c r="CE248" s="48"/>
      <c r="CF248" s="48"/>
      <c r="CG248" s="48"/>
      <c r="CH248" s="48"/>
      <c r="CI248" s="48"/>
      <c r="CJ248" s="51"/>
      <c r="CK248" s="129"/>
      <c r="CL248" s="129"/>
      <c r="CM248" s="129"/>
      <c r="CN248" s="116"/>
      <c r="CO248" s="116"/>
      <c r="CP248" s="116"/>
      <c r="CQ248" s="116"/>
      <c r="CR248" s="116"/>
      <c r="CS248" s="116"/>
      <c r="CT248" s="116"/>
      <c r="CU248" s="116"/>
      <c r="CV248" s="116"/>
      <c r="CW248" s="116"/>
      <c r="CX248" s="116"/>
      <c r="CY248" s="116"/>
      <c r="CZ248" s="116"/>
      <c r="DA248" s="48"/>
      <c r="DB248" s="48"/>
      <c r="DC248" s="48"/>
      <c r="DD248" s="54"/>
      <c r="DE248" s="54"/>
      <c r="DF248" s="54"/>
      <c r="DG248" s="54"/>
      <c r="DH248" s="54"/>
      <c r="DI248" s="54"/>
      <c r="DJ248" s="48"/>
      <c r="DK248" s="48"/>
      <c r="DL248" s="51"/>
      <c r="DM248" s="48"/>
      <c r="DN248" s="52"/>
      <c r="DO248" s="52"/>
      <c r="DP248" s="48"/>
      <c r="DQ248" s="48"/>
      <c r="DR248" s="48"/>
      <c r="DS248" s="51"/>
      <c r="DT248" s="48"/>
      <c r="DU248" s="48"/>
      <c r="DV248" s="48"/>
      <c r="DW248" s="48"/>
      <c r="DX248" s="48"/>
      <c r="DY248" s="48"/>
      <c r="DZ248" s="48"/>
    </row>
    <row r="249" spans="1:130" ht="50.25" customHeight="1">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51"/>
      <c r="AP249" s="51"/>
      <c r="AQ249" s="48"/>
      <c r="AR249" s="48"/>
      <c r="AS249" s="48"/>
      <c r="AT249" s="48"/>
      <c r="AU249" s="48"/>
      <c r="AV249" s="48"/>
      <c r="AW249" s="48"/>
      <c r="AX249" s="48"/>
      <c r="AY249" s="48"/>
      <c r="AZ249" s="48"/>
      <c r="BA249" s="48"/>
      <c r="BB249" s="51"/>
      <c r="BC249" s="48"/>
      <c r="BD249" s="48"/>
      <c r="BE249" s="48"/>
      <c r="BF249" s="48"/>
      <c r="BG249" s="48"/>
      <c r="BH249" s="48"/>
      <c r="BI249" s="48"/>
      <c r="BJ249" s="48"/>
      <c r="BK249" s="48"/>
      <c r="BL249" s="116"/>
      <c r="BM249" s="116"/>
      <c r="BN249" s="51"/>
      <c r="BO249" s="48"/>
      <c r="BP249" s="48"/>
      <c r="BQ249" s="48"/>
      <c r="BR249" s="48"/>
      <c r="BS249" s="48"/>
      <c r="BT249" s="48"/>
      <c r="BU249" s="48"/>
      <c r="BV249" s="48"/>
      <c r="BW249" s="48"/>
      <c r="BX249" s="48"/>
      <c r="BY249" s="48"/>
      <c r="BZ249" s="48"/>
      <c r="CA249" s="48"/>
      <c r="CB249" s="48"/>
      <c r="CC249" s="48"/>
      <c r="CD249" s="52"/>
      <c r="CE249" s="48"/>
      <c r="CF249" s="48"/>
      <c r="CG249" s="48"/>
      <c r="CH249" s="48"/>
      <c r="CI249" s="48"/>
      <c r="CJ249" s="51"/>
      <c r="CK249" s="129"/>
      <c r="CL249" s="129"/>
      <c r="CM249" s="129"/>
      <c r="CN249" s="116"/>
      <c r="CO249" s="116"/>
      <c r="CP249" s="116"/>
      <c r="CQ249" s="116"/>
      <c r="CR249" s="116"/>
      <c r="CS249" s="116"/>
      <c r="CT249" s="116"/>
      <c r="CU249" s="116"/>
      <c r="CV249" s="116"/>
      <c r="CW249" s="116"/>
      <c r="CX249" s="116"/>
      <c r="CY249" s="116"/>
      <c r="CZ249" s="116"/>
      <c r="DA249" s="48"/>
      <c r="DB249" s="48"/>
      <c r="DC249" s="48"/>
      <c r="DD249" s="54"/>
      <c r="DE249" s="54"/>
      <c r="DF249" s="54"/>
      <c r="DG249" s="54"/>
      <c r="DH249" s="54"/>
      <c r="DI249" s="54"/>
      <c r="DJ249" s="48"/>
      <c r="DK249" s="48"/>
      <c r="DL249" s="51"/>
      <c r="DM249" s="48"/>
      <c r="DN249" s="52"/>
      <c r="DO249" s="52"/>
      <c r="DP249" s="48"/>
      <c r="DQ249" s="48"/>
      <c r="DR249" s="48"/>
      <c r="DS249" s="51"/>
      <c r="DT249" s="48"/>
      <c r="DU249" s="48"/>
      <c r="DV249" s="48"/>
      <c r="DW249" s="48"/>
      <c r="DX249" s="48"/>
      <c r="DY249" s="48"/>
      <c r="DZ249" s="48"/>
    </row>
    <row r="250" spans="1:130" ht="50.25" customHeight="1">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51"/>
      <c r="AP250" s="51"/>
      <c r="AQ250" s="48"/>
      <c r="AR250" s="48"/>
      <c r="AS250" s="48"/>
      <c r="AT250" s="48"/>
      <c r="AU250" s="48"/>
      <c r="AV250" s="48"/>
      <c r="AW250" s="48"/>
      <c r="AX250" s="48"/>
      <c r="AY250" s="48"/>
      <c r="AZ250" s="48"/>
      <c r="BA250" s="48"/>
      <c r="BB250" s="51"/>
      <c r="BC250" s="48"/>
      <c r="BD250" s="48"/>
      <c r="BE250" s="48"/>
      <c r="BF250" s="48"/>
      <c r="BG250" s="48"/>
      <c r="BH250" s="48"/>
      <c r="BI250" s="48"/>
      <c r="BJ250" s="48"/>
      <c r="BK250" s="48"/>
      <c r="BL250" s="116"/>
      <c r="BM250" s="116"/>
      <c r="BN250" s="51"/>
      <c r="BO250" s="48"/>
      <c r="BP250" s="48"/>
      <c r="BQ250" s="48"/>
      <c r="BR250" s="48"/>
      <c r="BS250" s="48"/>
      <c r="BT250" s="48"/>
      <c r="BU250" s="48"/>
      <c r="BV250" s="48"/>
      <c r="BW250" s="48"/>
      <c r="BX250" s="48"/>
      <c r="BY250" s="48"/>
      <c r="BZ250" s="48"/>
      <c r="CA250" s="48"/>
      <c r="CB250" s="48"/>
      <c r="CC250" s="48"/>
      <c r="CD250" s="52"/>
      <c r="CE250" s="48"/>
      <c r="CF250" s="48"/>
      <c r="CG250" s="48"/>
      <c r="CH250" s="48"/>
      <c r="CI250" s="48"/>
      <c r="CJ250" s="51"/>
      <c r="CK250" s="129"/>
      <c r="CL250" s="129"/>
      <c r="CM250" s="129"/>
      <c r="CN250" s="116"/>
      <c r="CO250" s="116"/>
      <c r="CP250" s="116"/>
      <c r="CQ250" s="116"/>
      <c r="CR250" s="116"/>
      <c r="CS250" s="116"/>
      <c r="CT250" s="116"/>
      <c r="CU250" s="116"/>
      <c r="CV250" s="116"/>
      <c r="CW250" s="116"/>
      <c r="CX250" s="116"/>
      <c r="CY250" s="116"/>
      <c r="CZ250" s="116"/>
      <c r="DA250" s="48"/>
      <c r="DB250" s="48"/>
      <c r="DC250" s="48"/>
      <c r="DD250" s="54"/>
      <c r="DE250" s="54"/>
      <c r="DF250" s="54"/>
      <c r="DG250" s="54"/>
      <c r="DH250" s="54"/>
      <c r="DI250" s="54"/>
      <c r="DJ250" s="48"/>
      <c r="DK250" s="48"/>
      <c r="DL250" s="51"/>
      <c r="DM250" s="48"/>
      <c r="DN250" s="52"/>
      <c r="DO250" s="52"/>
      <c r="DP250" s="48"/>
      <c r="DQ250" s="48"/>
      <c r="DR250" s="48"/>
      <c r="DS250" s="51"/>
      <c r="DT250" s="48"/>
      <c r="DU250" s="48"/>
      <c r="DV250" s="48"/>
      <c r="DW250" s="48"/>
      <c r="DX250" s="48"/>
      <c r="DY250" s="48"/>
      <c r="DZ250" s="48"/>
    </row>
    <row r="251" spans="1:130" ht="50.25" customHeight="1">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51"/>
      <c r="AP251" s="51"/>
      <c r="AQ251" s="48"/>
      <c r="AR251" s="48"/>
      <c r="AS251" s="48"/>
      <c r="AT251" s="48"/>
      <c r="AU251" s="48"/>
      <c r="AV251" s="48"/>
      <c r="AW251" s="48"/>
      <c r="AX251" s="48"/>
      <c r="AY251" s="48"/>
      <c r="AZ251" s="48"/>
      <c r="BA251" s="48"/>
      <c r="BB251" s="51"/>
      <c r="BC251" s="48"/>
      <c r="BD251" s="48"/>
      <c r="BE251" s="48"/>
      <c r="BF251" s="48"/>
      <c r="BG251" s="48"/>
      <c r="BH251" s="48"/>
      <c r="BI251" s="48"/>
      <c r="BJ251" s="48"/>
      <c r="BK251" s="48"/>
      <c r="BL251" s="116"/>
      <c r="BM251" s="116"/>
      <c r="BN251" s="51"/>
      <c r="BO251" s="48"/>
      <c r="BP251" s="48"/>
      <c r="BQ251" s="48"/>
      <c r="BR251" s="48"/>
      <c r="BS251" s="48"/>
      <c r="BT251" s="48"/>
      <c r="BU251" s="48"/>
      <c r="BV251" s="48"/>
      <c r="BW251" s="48"/>
      <c r="BX251" s="48"/>
      <c r="BY251" s="48"/>
      <c r="BZ251" s="48"/>
      <c r="CA251" s="48"/>
      <c r="CB251" s="48"/>
      <c r="CC251" s="48"/>
      <c r="CD251" s="52"/>
      <c r="CE251" s="48"/>
      <c r="CF251" s="48"/>
      <c r="CG251" s="48"/>
      <c r="CH251" s="48"/>
      <c r="CI251" s="48"/>
      <c r="CJ251" s="51"/>
      <c r="CK251" s="129"/>
      <c r="CL251" s="129"/>
      <c r="CM251" s="129"/>
      <c r="CN251" s="116"/>
      <c r="CO251" s="116"/>
      <c r="CP251" s="116"/>
      <c r="CQ251" s="116"/>
      <c r="CR251" s="116"/>
      <c r="CS251" s="116"/>
      <c r="CT251" s="116"/>
      <c r="CU251" s="116"/>
      <c r="CV251" s="116"/>
      <c r="CW251" s="116"/>
      <c r="CX251" s="116"/>
      <c r="CY251" s="116"/>
      <c r="CZ251" s="116"/>
      <c r="DA251" s="48"/>
      <c r="DB251" s="48"/>
      <c r="DC251" s="48"/>
      <c r="DD251" s="54"/>
      <c r="DE251" s="54"/>
      <c r="DF251" s="54"/>
      <c r="DG251" s="54"/>
      <c r="DH251" s="54"/>
      <c r="DI251" s="54"/>
      <c r="DJ251" s="48"/>
      <c r="DK251" s="48"/>
      <c r="DL251" s="51"/>
      <c r="DM251" s="48"/>
      <c r="DN251" s="52"/>
      <c r="DO251" s="52"/>
      <c r="DP251" s="48"/>
      <c r="DQ251" s="48"/>
      <c r="DR251" s="48"/>
      <c r="DS251" s="51"/>
      <c r="DT251" s="48"/>
      <c r="DU251" s="48"/>
      <c r="DV251" s="48"/>
      <c r="DW251" s="48"/>
      <c r="DX251" s="48"/>
      <c r="DY251" s="48"/>
      <c r="DZ251" s="48"/>
    </row>
    <row r="252" spans="1:130" ht="50.25" customHeight="1">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51"/>
      <c r="AP252" s="51"/>
      <c r="AQ252" s="48"/>
      <c r="AR252" s="48"/>
      <c r="AS252" s="48"/>
      <c r="AT252" s="48"/>
      <c r="AU252" s="48"/>
      <c r="AV252" s="48"/>
      <c r="AW252" s="48"/>
      <c r="AX252" s="48"/>
      <c r="AY252" s="48"/>
      <c r="AZ252" s="48"/>
      <c r="BA252" s="48"/>
      <c r="BB252" s="51"/>
      <c r="BC252" s="48"/>
      <c r="BD252" s="48"/>
      <c r="BE252" s="48"/>
      <c r="BF252" s="48"/>
      <c r="BG252" s="48"/>
      <c r="BH252" s="48"/>
      <c r="BI252" s="48"/>
      <c r="BJ252" s="48"/>
      <c r="BK252" s="48"/>
      <c r="BL252" s="116"/>
      <c r="BM252" s="116"/>
      <c r="BN252" s="51"/>
      <c r="BO252" s="48"/>
      <c r="BP252" s="48"/>
      <c r="BQ252" s="48"/>
      <c r="BR252" s="48"/>
      <c r="BS252" s="48"/>
      <c r="BT252" s="48"/>
      <c r="BU252" s="48"/>
      <c r="BV252" s="48"/>
      <c r="BW252" s="48"/>
      <c r="BX252" s="48"/>
      <c r="BY252" s="48"/>
      <c r="BZ252" s="48"/>
      <c r="CA252" s="48"/>
      <c r="CB252" s="48"/>
      <c r="CC252" s="48"/>
      <c r="CD252" s="52"/>
      <c r="CE252" s="48"/>
      <c r="CF252" s="48"/>
      <c r="CG252" s="48"/>
      <c r="CH252" s="48"/>
      <c r="CI252" s="48"/>
      <c r="CJ252" s="51"/>
      <c r="CK252" s="129"/>
      <c r="CL252" s="129"/>
      <c r="CM252" s="129"/>
      <c r="CN252" s="116"/>
      <c r="CO252" s="116"/>
      <c r="CP252" s="116"/>
      <c r="CQ252" s="116"/>
      <c r="CR252" s="116"/>
      <c r="CS252" s="116"/>
      <c r="CT252" s="116"/>
      <c r="CU252" s="116"/>
      <c r="CV252" s="116"/>
      <c r="CW252" s="116"/>
      <c r="CX252" s="116"/>
      <c r="CY252" s="116"/>
      <c r="CZ252" s="116"/>
      <c r="DA252" s="48"/>
      <c r="DB252" s="48"/>
      <c r="DC252" s="48"/>
      <c r="DD252" s="54"/>
      <c r="DE252" s="54"/>
      <c r="DF252" s="54"/>
      <c r="DG252" s="54"/>
      <c r="DH252" s="54"/>
      <c r="DI252" s="54"/>
      <c r="DJ252" s="48"/>
      <c r="DK252" s="48"/>
      <c r="DL252" s="51"/>
      <c r="DM252" s="48"/>
      <c r="DN252" s="52"/>
      <c r="DO252" s="52"/>
      <c r="DP252" s="48"/>
      <c r="DQ252" s="48"/>
      <c r="DR252" s="48"/>
      <c r="DS252" s="51"/>
      <c r="DT252" s="48"/>
      <c r="DU252" s="48"/>
      <c r="DV252" s="48"/>
      <c r="DW252" s="48"/>
      <c r="DX252" s="48"/>
      <c r="DY252" s="48"/>
      <c r="DZ252" s="48"/>
    </row>
    <row r="253" spans="1:130" ht="50.25" customHeight="1">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51"/>
      <c r="AP253" s="51"/>
      <c r="AQ253" s="48"/>
      <c r="AR253" s="48"/>
      <c r="AS253" s="48"/>
      <c r="AT253" s="48"/>
      <c r="AU253" s="48"/>
      <c r="AV253" s="48"/>
      <c r="AW253" s="48"/>
      <c r="AX253" s="48"/>
      <c r="AY253" s="48"/>
      <c r="AZ253" s="48"/>
      <c r="BA253" s="48"/>
      <c r="BB253" s="51"/>
      <c r="BC253" s="48"/>
      <c r="BD253" s="48"/>
      <c r="BE253" s="48"/>
      <c r="BF253" s="48"/>
      <c r="BG253" s="48"/>
      <c r="BH253" s="48"/>
      <c r="BI253" s="48"/>
      <c r="BJ253" s="48"/>
      <c r="BK253" s="48"/>
      <c r="BL253" s="116"/>
      <c r="BM253" s="116"/>
      <c r="BN253" s="51"/>
      <c r="BO253" s="48"/>
      <c r="BP253" s="48"/>
      <c r="BQ253" s="48"/>
      <c r="BR253" s="48"/>
      <c r="BS253" s="48"/>
      <c r="BT253" s="48"/>
      <c r="BU253" s="48"/>
      <c r="BV253" s="48"/>
      <c r="BW253" s="48"/>
      <c r="BX253" s="48"/>
      <c r="BY253" s="48"/>
      <c r="BZ253" s="48"/>
      <c r="CA253" s="48"/>
      <c r="CB253" s="48"/>
      <c r="CC253" s="48"/>
      <c r="CD253" s="52"/>
      <c r="CE253" s="48"/>
      <c r="CF253" s="48"/>
      <c r="CG253" s="48"/>
      <c r="CH253" s="48"/>
      <c r="CI253" s="48"/>
      <c r="CJ253" s="51"/>
      <c r="CK253" s="129"/>
      <c r="CL253" s="129"/>
      <c r="CM253" s="129"/>
      <c r="CN253" s="116"/>
      <c r="CO253" s="116"/>
      <c r="CP253" s="116"/>
      <c r="CQ253" s="116"/>
      <c r="CR253" s="116"/>
      <c r="CS253" s="116"/>
      <c r="CT253" s="116"/>
      <c r="CU253" s="116"/>
      <c r="CV253" s="116"/>
      <c r="CW253" s="116"/>
      <c r="CX253" s="116"/>
      <c r="CY253" s="116"/>
      <c r="CZ253" s="116"/>
      <c r="DA253" s="48"/>
      <c r="DB253" s="48"/>
      <c r="DC253" s="48"/>
      <c r="DD253" s="54"/>
      <c r="DE253" s="54"/>
      <c r="DF253" s="54"/>
      <c r="DG253" s="54"/>
      <c r="DH253" s="54"/>
      <c r="DI253" s="54"/>
      <c r="DJ253" s="48"/>
      <c r="DK253" s="48"/>
      <c r="DL253" s="51"/>
      <c r="DM253" s="48"/>
      <c r="DN253" s="52"/>
      <c r="DO253" s="52"/>
      <c r="DP253" s="48"/>
      <c r="DQ253" s="48"/>
      <c r="DR253" s="48"/>
      <c r="DS253" s="51"/>
      <c r="DT253" s="48"/>
      <c r="DU253" s="48"/>
      <c r="DV253" s="48"/>
      <c r="DW253" s="48"/>
      <c r="DX253" s="48"/>
      <c r="DY253" s="48"/>
      <c r="DZ253" s="48"/>
    </row>
    <row r="254" spans="1:130" ht="50.25" customHeight="1">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51"/>
      <c r="AP254" s="51"/>
      <c r="AQ254" s="48"/>
      <c r="AR254" s="48"/>
      <c r="AS254" s="48"/>
      <c r="AT254" s="48"/>
      <c r="AU254" s="48"/>
      <c r="AV254" s="48"/>
      <c r="AW254" s="48"/>
      <c r="AX254" s="48"/>
      <c r="AY254" s="48"/>
      <c r="AZ254" s="48"/>
      <c r="BA254" s="48"/>
      <c r="BB254" s="51"/>
      <c r="BC254" s="48"/>
      <c r="BD254" s="48"/>
      <c r="BE254" s="48"/>
      <c r="BF254" s="48"/>
      <c r="BG254" s="48"/>
      <c r="BH254" s="48"/>
      <c r="BI254" s="48"/>
      <c r="BJ254" s="48"/>
      <c r="BK254" s="48"/>
      <c r="BL254" s="116"/>
      <c r="BM254" s="116"/>
      <c r="BN254" s="51"/>
      <c r="BO254" s="48"/>
      <c r="BP254" s="48"/>
      <c r="BQ254" s="48"/>
      <c r="BR254" s="48"/>
      <c r="BS254" s="48"/>
      <c r="BT254" s="48"/>
      <c r="BU254" s="48"/>
      <c r="BV254" s="48"/>
      <c r="BW254" s="48"/>
      <c r="BX254" s="48"/>
      <c r="BY254" s="48"/>
      <c r="BZ254" s="48"/>
      <c r="CA254" s="48"/>
      <c r="CB254" s="48"/>
      <c r="CC254" s="48"/>
      <c r="CD254" s="52"/>
      <c r="CE254" s="48"/>
      <c r="CF254" s="48"/>
      <c r="CG254" s="48"/>
      <c r="CH254" s="48"/>
      <c r="CI254" s="48"/>
      <c r="CJ254" s="51"/>
      <c r="CK254" s="129"/>
      <c r="CL254" s="129"/>
      <c r="CM254" s="129"/>
      <c r="CN254" s="116"/>
      <c r="CO254" s="116"/>
      <c r="CP254" s="116"/>
      <c r="CQ254" s="116"/>
      <c r="CR254" s="116"/>
      <c r="CS254" s="116"/>
      <c r="CT254" s="116"/>
      <c r="CU254" s="116"/>
      <c r="CV254" s="116"/>
      <c r="CW254" s="116"/>
      <c r="CX254" s="116"/>
      <c r="CY254" s="116"/>
      <c r="CZ254" s="116"/>
      <c r="DA254" s="48"/>
      <c r="DB254" s="48"/>
      <c r="DC254" s="48"/>
      <c r="DD254" s="54"/>
      <c r="DE254" s="54"/>
      <c r="DF254" s="54"/>
      <c r="DG254" s="54"/>
      <c r="DH254" s="54"/>
      <c r="DI254" s="54"/>
      <c r="DJ254" s="48"/>
      <c r="DK254" s="48"/>
      <c r="DL254" s="51"/>
      <c r="DM254" s="48"/>
      <c r="DN254" s="52"/>
      <c r="DO254" s="52"/>
      <c r="DP254" s="48"/>
      <c r="DQ254" s="48"/>
      <c r="DR254" s="48"/>
      <c r="DS254" s="51"/>
      <c r="DT254" s="48"/>
      <c r="DU254" s="48"/>
      <c r="DV254" s="48"/>
      <c r="DW254" s="48"/>
      <c r="DX254" s="48"/>
      <c r="DY254" s="48"/>
      <c r="DZ254" s="48"/>
    </row>
    <row r="255" spans="1:130" ht="50.25" customHeight="1">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51"/>
      <c r="AP255" s="51"/>
      <c r="AQ255" s="48"/>
      <c r="AR255" s="48"/>
      <c r="AS255" s="48"/>
      <c r="AT255" s="48"/>
      <c r="AU255" s="48"/>
      <c r="AV255" s="48"/>
      <c r="AW255" s="48"/>
      <c r="AX255" s="48"/>
      <c r="AY255" s="48"/>
      <c r="AZ255" s="48"/>
      <c r="BA255" s="48"/>
      <c r="BB255" s="51"/>
      <c r="BC255" s="48"/>
      <c r="BD255" s="48"/>
      <c r="BE255" s="48"/>
      <c r="BF255" s="48"/>
      <c r="BG255" s="48"/>
      <c r="BH255" s="48"/>
      <c r="BI255" s="48"/>
      <c r="BJ255" s="48"/>
      <c r="BK255" s="48"/>
      <c r="BL255" s="116"/>
      <c r="BM255" s="116"/>
      <c r="BN255" s="51"/>
      <c r="BO255" s="48"/>
      <c r="BP255" s="48"/>
      <c r="BQ255" s="48"/>
      <c r="BR255" s="48"/>
      <c r="BS255" s="48"/>
      <c r="BT255" s="48"/>
      <c r="BU255" s="48"/>
      <c r="BV255" s="48"/>
      <c r="BW255" s="48"/>
      <c r="BX255" s="48"/>
      <c r="BY255" s="48"/>
      <c r="BZ255" s="48"/>
      <c r="CA255" s="48"/>
      <c r="CB255" s="48"/>
      <c r="CC255" s="48"/>
      <c r="CD255" s="52"/>
      <c r="CE255" s="48"/>
      <c r="CF255" s="48"/>
      <c r="CG255" s="48"/>
      <c r="CH255" s="48"/>
      <c r="CI255" s="48"/>
      <c r="CJ255" s="51"/>
      <c r="CK255" s="129"/>
      <c r="CL255" s="129"/>
      <c r="CM255" s="129"/>
      <c r="CN255" s="116"/>
      <c r="CO255" s="116"/>
      <c r="CP255" s="116"/>
      <c r="CQ255" s="116"/>
      <c r="CR255" s="116"/>
      <c r="CS255" s="116"/>
      <c r="CT255" s="116"/>
      <c r="CU255" s="116"/>
      <c r="CV255" s="116"/>
      <c r="CW255" s="116"/>
      <c r="CX255" s="116"/>
      <c r="CY255" s="116"/>
      <c r="CZ255" s="116"/>
      <c r="DA255" s="48"/>
      <c r="DB255" s="48"/>
      <c r="DC255" s="48"/>
      <c r="DD255" s="54"/>
      <c r="DE255" s="54"/>
      <c r="DF255" s="54"/>
      <c r="DG255" s="54"/>
      <c r="DH255" s="54"/>
      <c r="DI255" s="54"/>
      <c r="DJ255" s="48"/>
      <c r="DK255" s="48"/>
      <c r="DL255" s="51"/>
      <c r="DM255" s="48"/>
      <c r="DN255" s="52"/>
      <c r="DO255" s="52"/>
      <c r="DP255" s="48"/>
      <c r="DQ255" s="48"/>
      <c r="DR255" s="48"/>
      <c r="DS255" s="51"/>
      <c r="DT255" s="48"/>
      <c r="DU255" s="48"/>
      <c r="DV255" s="48"/>
      <c r="DW255" s="48"/>
      <c r="DX255" s="48"/>
      <c r="DY255" s="48"/>
      <c r="DZ255" s="48"/>
    </row>
    <row r="256" spans="1:130" ht="50.25" customHeight="1">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51"/>
      <c r="AP256" s="51"/>
      <c r="AQ256" s="48"/>
      <c r="AR256" s="48"/>
      <c r="AS256" s="48"/>
      <c r="AT256" s="48"/>
      <c r="AU256" s="48"/>
      <c r="AV256" s="48"/>
      <c r="AW256" s="48"/>
      <c r="AX256" s="48"/>
      <c r="AY256" s="48"/>
      <c r="AZ256" s="48"/>
      <c r="BA256" s="48"/>
      <c r="BB256" s="51"/>
      <c r="BC256" s="48"/>
      <c r="BD256" s="48"/>
      <c r="BE256" s="48"/>
      <c r="BF256" s="48"/>
      <c r="BG256" s="48"/>
      <c r="BH256" s="48"/>
      <c r="BI256" s="48"/>
      <c r="BJ256" s="48"/>
      <c r="BK256" s="48"/>
      <c r="BL256" s="116"/>
      <c r="BM256" s="116"/>
      <c r="BN256" s="51"/>
      <c r="BO256" s="48"/>
      <c r="BP256" s="48"/>
      <c r="BQ256" s="48"/>
      <c r="BR256" s="48"/>
      <c r="BS256" s="48"/>
      <c r="BT256" s="48"/>
      <c r="BU256" s="48"/>
      <c r="BV256" s="48"/>
      <c r="BW256" s="48"/>
      <c r="BX256" s="48"/>
      <c r="BY256" s="48"/>
      <c r="BZ256" s="48"/>
      <c r="CA256" s="48"/>
      <c r="CB256" s="48"/>
      <c r="CC256" s="48"/>
      <c r="CD256" s="52"/>
      <c r="CE256" s="48"/>
      <c r="CF256" s="48"/>
      <c r="CG256" s="48"/>
      <c r="CH256" s="48"/>
      <c r="CI256" s="48"/>
      <c r="CJ256" s="51"/>
      <c r="CK256" s="129"/>
      <c r="CL256" s="129"/>
      <c r="CM256" s="129"/>
      <c r="CN256" s="116"/>
      <c r="CO256" s="116"/>
      <c r="CP256" s="116"/>
      <c r="CQ256" s="116"/>
      <c r="CR256" s="116"/>
      <c r="CS256" s="116"/>
      <c r="CT256" s="116"/>
      <c r="CU256" s="116"/>
      <c r="CV256" s="116"/>
      <c r="CW256" s="116"/>
      <c r="CX256" s="116"/>
      <c r="CY256" s="116"/>
      <c r="CZ256" s="116"/>
      <c r="DA256" s="48"/>
      <c r="DB256" s="48"/>
      <c r="DC256" s="48"/>
      <c r="DD256" s="54"/>
      <c r="DE256" s="54"/>
      <c r="DF256" s="54"/>
      <c r="DG256" s="54"/>
      <c r="DH256" s="54"/>
      <c r="DI256" s="54"/>
      <c r="DJ256" s="48"/>
      <c r="DK256" s="48"/>
      <c r="DL256" s="51"/>
      <c r="DM256" s="48"/>
      <c r="DN256" s="52"/>
      <c r="DO256" s="52"/>
      <c r="DP256" s="48"/>
      <c r="DQ256" s="48"/>
      <c r="DR256" s="48"/>
      <c r="DS256" s="51"/>
      <c r="DT256" s="48"/>
      <c r="DU256" s="48"/>
      <c r="DV256" s="48"/>
      <c r="DW256" s="48"/>
      <c r="DX256" s="48"/>
      <c r="DY256" s="48"/>
      <c r="DZ256" s="48"/>
    </row>
    <row r="257" spans="1:130" ht="50.25" customHeight="1">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51"/>
      <c r="AP257" s="51"/>
      <c r="AQ257" s="48"/>
      <c r="AR257" s="48"/>
      <c r="AS257" s="48"/>
      <c r="AT257" s="48"/>
      <c r="AU257" s="48"/>
      <c r="AV257" s="48"/>
      <c r="AW257" s="48"/>
      <c r="AX257" s="48"/>
      <c r="AY257" s="48"/>
      <c r="AZ257" s="48"/>
      <c r="BA257" s="48"/>
      <c r="BB257" s="51"/>
      <c r="BC257" s="48"/>
      <c r="BD257" s="48"/>
      <c r="BE257" s="48"/>
      <c r="BF257" s="48"/>
      <c r="BG257" s="48"/>
      <c r="BH257" s="48"/>
      <c r="BI257" s="48"/>
      <c r="BJ257" s="48"/>
      <c r="BK257" s="48"/>
      <c r="BL257" s="116"/>
      <c r="BM257" s="116"/>
      <c r="BN257" s="51"/>
      <c r="BO257" s="48"/>
      <c r="BP257" s="48"/>
      <c r="BQ257" s="48"/>
      <c r="BR257" s="48"/>
      <c r="BS257" s="48"/>
      <c r="BT257" s="48"/>
      <c r="BU257" s="48"/>
      <c r="BV257" s="48"/>
      <c r="BW257" s="48"/>
      <c r="BX257" s="48"/>
      <c r="BY257" s="48"/>
      <c r="BZ257" s="48"/>
      <c r="CA257" s="48"/>
      <c r="CB257" s="48"/>
      <c r="CC257" s="48"/>
      <c r="CD257" s="52"/>
      <c r="CE257" s="48"/>
      <c r="CF257" s="48"/>
      <c r="CG257" s="48"/>
      <c r="CH257" s="48"/>
      <c r="CI257" s="48"/>
      <c r="CJ257" s="51"/>
      <c r="CK257" s="129"/>
      <c r="CL257" s="129"/>
      <c r="CM257" s="129"/>
      <c r="CN257" s="116"/>
      <c r="CO257" s="116"/>
      <c r="CP257" s="116"/>
      <c r="CQ257" s="116"/>
      <c r="CR257" s="116"/>
      <c r="CS257" s="116"/>
      <c r="CT257" s="116"/>
      <c r="CU257" s="116"/>
      <c r="CV257" s="116"/>
      <c r="CW257" s="116"/>
      <c r="CX257" s="116"/>
      <c r="CY257" s="116"/>
      <c r="CZ257" s="116"/>
      <c r="DA257" s="48"/>
      <c r="DB257" s="48"/>
      <c r="DC257" s="48"/>
      <c r="DD257" s="54"/>
      <c r="DE257" s="54"/>
      <c r="DF257" s="54"/>
      <c r="DG257" s="54"/>
      <c r="DH257" s="54"/>
      <c r="DI257" s="54"/>
      <c r="DJ257" s="48"/>
      <c r="DK257" s="48"/>
      <c r="DL257" s="51"/>
      <c r="DM257" s="48"/>
      <c r="DN257" s="52"/>
      <c r="DO257" s="52"/>
      <c r="DP257" s="48"/>
      <c r="DQ257" s="48"/>
      <c r="DR257" s="48"/>
      <c r="DS257" s="51"/>
      <c r="DT257" s="48"/>
      <c r="DU257" s="48"/>
      <c r="DV257" s="48"/>
      <c r="DW257" s="48"/>
      <c r="DX257" s="48"/>
      <c r="DY257" s="48"/>
      <c r="DZ257" s="48"/>
    </row>
    <row r="258" spans="1:130" ht="50.25" customHeight="1">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51"/>
      <c r="AP258" s="51"/>
      <c r="AQ258" s="48"/>
      <c r="AR258" s="48"/>
      <c r="AS258" s="48"/>
      <c r="AT258" s="48"/>
      <c r="AU258" s="48"/>
      <c r="AV258" s="48"/>
      <c r="AW258" s="48"/>
      <c r="AX258" s="48"/>
      <c r="AY258" s="48"/>
      <c r="AZ258" s="48"/>
      <c r="BA258" s="48"/>
      <c r="BB258" s="51"/>
      <c r="BC258" s="48"/>
      <c r="BD258" s="48"/>
      <c r="BE258" s="48"/>
      <c r="BF258" s="48"/>
      <c r="BG258" s="48"/>
      <c r="BH258" s="48"/>
      <c r="BI258" s="48"/>
      <c r="BJ258" s="48"/>
      <c r="BK258" s="48"/>
      <c r="BL258" s="116"/>
      <c r="BM258" s="116"/>
      <c r="BN258" s="51"/>
      <c r="BO258" s="48"/>
      <c r="BP258" s="48"/>
      <c r="BQ258" s="48"/>
      <c r="BR258" s="48"/>
      <c r="BS258" s="48"/>
      <c r="BT258" s="48"/>
      <c r="BU258" s="48"/>
      <c r="BV258" s="48"/>
      <c r="BW258" s="48"/>
      <c r="BX258" s="48"/>
      <c r="BY258" s="48"/>
      <c r="BZ258" s="48"/>
      <c r="CA258" s="48"/>
      <c r="CB258" s="48"/>
      <c r="CC258" s="48"/>
      <c r="CD258" s="52"/>
      <c r="CE258" s="48"/>
      <c r="CF258" s="48"/>
      <c r="CG258" s="48"/>
      <c r="CH258" s="48"/>
      <c r="CI258" s="48"/>
      <c r="CJ258" s="51"/>
      <c r="CK258" s="129"/>
      <c r="CL258" s="129"/>
      <c r="CM258" s="129"/>
      <c r="CN258" s="116"/>
      <c r="CO258" s="116"/>
      <c r="CP258" s="116"/>
      <c r="CQ258" s="116"/>
      <c r="CR258" s="116"/>
      <c r="CS258" s="116"/>
      <c r="CT258" s="116"/>
      <c r="CU258" s="116"/>
      <c r="CV258" s="116"/>
      <c r="CW258" s="116"/>
      <c r="CX258" s="116"/>
      <c r="CY258" s="116"/>
      <c r="CZ258" s="116"/>
      <c r="DA258" s="48"/>
      <c r="DB258" s="48"/>
      <c r="DC258" s="48"/>
      <c r="DD258" s="54"/>
      <c r="DE258" s="54"/>
      <c r="DF258" s="54"/>
      <c r="DG258" s="54"/>
      <c r="DH258" s="54"/>
      <c r="DI258" s="54"/>
      <c r="DJ258" s="48"/>
      <c r="DK258" s="48"/>
      <c r="DL258" s="51"/>
      <c r="DM258" s="48"/>
      <c r="DN258" s="52"/>
      <c r="DO258" s="52"/>
      <c r="DP258" s="48"/>
      <c r="DQ258" s="48"/>
      <c r="DR258" s="48"/>
      <c r="DS258" s="51"/>
      <c r="DT258" s="48"/>
      <c r="DU258" s="48"/>
      <c r="DV258" s="48"/>
      <c r="DW258" s="48"/>
      <c r="DX258" s="48"/>
      <c r="DY258" s="48"/>
      <c r="DZ258" s="48"/>
    </row>
    <row r="259" spans="1:130" ht="50.25" customHeight="1">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51"/>
      <c r="AP259" s="51"/>
      <c r="AQ259" s="48"/>
      <c r="AR259" s="48"/>
      <c r="AS259" s="48"/>
      <c r="AT259" s="48"/>
      <c r="AU259" s="48"/>
      <c r="AV259" s="48"/>
      <c r="AW259" s="48"/>
      <c r="AX259" s="48"/>
      <c r="AY259" s="48"/>
      <c r="AZ259" s="48"/>
      <c r="BA259" s="48"/>
      <c r="BB259" s="51"/>
      <c r="BC259" s="48"/>
      <c r="BD259" s="48"/>
      <c r="BE259" s="48"/>
      <c r="BF259" s="48"/>
      <c r="BG259" s="48"/>
      <c r="BH259" s="48"/>
      <c r="BI259" s="48"/>
      <c r="BJ259" s="48"/>
      <c r="BK259" s="48"/>
      <c r="BL259" s="116"/>
      <c r="BM259" s="116"/>
      <c r="BN259" s="51"/>
      <c r="BO259" s="48"/>
      <c r="BP259" s="48"/>
      <c r="BQ259" s="48"/>
      <c r="BR259" s="48"/>
      <c r="BS259" s="48"/>
      <c r="BT259" s="48"/>
      <c r="BU259" s="48"/>
      <c r="BV259" s="48"/>
      <c r="BW259" s="48"/>
      <c r="BX259" s="48"/>
      <c r="BY259" s="48"/>
      <c r="BZ259" s="48"/>
      <c r="CA259" s="48"/>
      <c r="CB259" s="48"/>
      <c r="CC259" s="48"/>
      <c r="CD259" s="52"/>
      <c r="CE259" s="48"/>
      <c r="CF259" s="48"/>
      <c r="CG259" s="48"/>
      <c r="CH259" s="48"/>
      <c r="CI259" s="48"/>
      <c r="CJ259" s="51"/>
      <c r="CK259" s="129"/>
      <c r="CL259" s="129"/>
      <c r="CM259" s="129"/>
      <c r="CN259" s="116"/>
      <c r="CO259" s="116"/>
      <c r="CP259" s="116"/>
      <c r="CQ259" s="116"/>
      <c r="CR259" s="116"/>
      <c r="CS259" s="116"/>
      <c r="CT259" s="116"/>
      <c r="CU259" s="116"/>
      <c r="CV259" s="116"/>
      <c r="CW259" s="116"/>
      <c r="CX259" s="116"/>
      <c r="CY259" s="116"/>
      <c r="CZ259" s="116"/>
      <c r="DA259" s="48"/>
      <c r="DB259" s="48"/>
      <c r="DC259" s="48"/>
      <c r="DD259" s="54"/>
      <c r="DE259" s="54"/>
      <c r="DF259" s="54"/>
      <c r="DG259" s="54"/>
      <c r="DH259" s="54"/>
      <c r="DI259" s="54"/>
      <c r="DJ259" s="48"/>
      <c r="DK259" s="48"/>
      <c r="DL259" s="51"/>
      <c r="DM259" s="48"/>
      <c r="DN259" s="52"/>
      <c r="DO259" s="52"/>
      <c r="DP259" s="48"/>
      <c r="DQ259" s="48"/>
      <c r="DR259" s="48"/>
      <c r="DS259" s="51"/>
      <c r="DT259" s="48"/>
      <c r="DU259" s="48"/>
      <c r="DV259" s="48"/>
      <c r="DW259" s="48"/>
      <c r="DX259" s="48"/>
      <c r="DY259" s="48"/>
      <c r="DZ259" s="48"/>
    </row>
    <row r="260" spans="1:130" ht="50.25" customHeight="1">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51"/>
      <c r="AP260" s="51"/>
      <c r="AQ260" s="48"/>
      <c r="AR260" s="48"/>
      <c r="AS260" s="48"/>
      <c r="AT260" s="48"/>
      <c r="AU260" s="48"/>
      <c r="AV260" s="48"/>
      <c r="AW260" s="48"/>
      <c r="AX260" s="48"/>
      <c r="AY260" s="48"/>
      <c r="AZ260" s="48"/>
      <c r="BA260" s="48"/>
      <c r="BB260" s="51"/>
      <c r="BC260" s="48"/>
      <c r="BD260" s="48"/>
      <c r="BE260" s="48"/>
      <c r="BF260" s="48"/>
      <c r="BG260" s="48"/>
      <c r="BH260" s="48"/>
      <c r="BI260" s="48"/>
      <c r="BJ260" s="48"/>
      <c r="BK260" s="48"/>
      <c r="BL260" s="116"/>
      <c r="BM260" s="116"/>
      <c r="BN260" s="51"/>
      <c r="BO260" s="48"/>
      <c r="BP260" s="48"/>
      <c r="BQ260" s="48"/>
      <c r="BR260" s="48"/>
      <c r="BS260" s="48"/>
      <c r="BT260" s="48"/>
      <c r="BU260" s="48"/>
      <c r="BV260" s="48"/>
      <c r="BW260" s="48"/>
      <c r="BX260" s="48"/>
      <c r="BY260" s="48"/>
      <c r="BZ260" s="48"/>
      <c r="CA260" s="48"/>
      <c r="CB260" s="48"/>
      <c r="CC260" s="48"/>
      <c r="CD260" s="52"/>
      <c r="CE260" s="48"/>
      <c r="CF260" s="48"/>
      <c r="CG260" s="48"/>
      <c r="CH260" s="48"/>
      <c r="CI260" s="48"/>
      <c r="CJ260" s="51"/>
      <c r="CK260" s="129"/>
      <c r="CL260" s="129"/>
      <c r="CM260" s="129"/>
      <c r="CN260" s="116"/>
      <c r="CO260" s="116"/>
      <c r="CP260" s="116"/>
      <c r="CQ260" s="116"/>
      <c r="CR260" s="116"/>
      <c r="CS260" s="116"/>
      <c r="CT260" s="116"/>
      <c r="CU260" s="116"/>
      <c r="CV260" s="116"/>
      <c r="CW260" s="116"/>
      <c r="CX260" s="116"/>
      <c r="CY260" s="116"/>
      <c r="CZ260" s="116"/>
      <c r="DA260" s="48"/>
      <c r="DB260" s="48"/>
      <c r="DC260" s="48"/>
      <c r="DD260" s="54"/>
      <c r="DE260" s="54"/>
      <c r="DF260" s="54"/>
      <c r="DG260" s="54"/>
      <c r="DH260" s="54"/>
      <c r="DI260" s="54"/>
      <c r="DJ260" s="48"/>
      <c r="DK260" s="48"/>
      <c r="DL260" s="51"/>
      <c r="DM260" s="48"/>
      <c r="DN260" s="52"/>
      <c r="DO260" s="52"/>
      <c r="DP260" s="48"/>
      <c r="DQ260" s="48"/>
      <c r="DR260" s="48"/>
      <c r="DS260" s="51"/>
      <c r="DT260" s="48"/>
      <c r="DU260" s="48"/>
      <c r="DV260" s="48"/>
      <c r="DW260" s="48"/>
      <c r="DX260" s="48"/>
      <c r="DY260" s="48"/>
      <c r="DZ260" s="48"/>
    </row>
    <row r="261" spans="1:130" ht="50.25" customHeight="1">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51"/>
      <c r="AP261" s="51"/>
      <c r="AQ261" s="48"/>
      <c r="AR261" s="48"/>
      <c r="AS261" s="48"/>
      <c r="AT261" s="48"/>
      <c r="AU261" s="48"/>
      <c r="AV261" s="48"/>
      <c r="AW261" s="48"/>
      <c r="AX261" s="48"/>
      <c r="AY261" s="48"/>
      <c r="AZ261" s="48"/>
      <c r="BA261" s="48"/>
      <c r="BB261" s="51"/>
      <c r="BC261" s="48"/>
      <c r="BD261" s="48"/>
      <c r="BE261" s="48"/>
      <c r="BF261" s="48"/>
      <c r="BG261" s="48"/>
      <c r="BH261" s="48"/>
      <c r="BI261" s="48"/>
      <c r="BJ261" s="48"/>
      <c r="BK261" s="48"/>
      <c r="BL261" s="116"/>
      <c r="BM261" s="116"/>
      <c r="BN261" s="51"/>
      <c r="BO261" s="48"/>
      <c r="BP261" s="48"/>
      <c r="BQ261" s="48"/>
      <c r="BR261" s="48"/>
      <c r="BS261" s="48"/>
      <c r="BT261" s="48"/>
      <c r="BU261" s="48"/>
      <c r="BV261" s="48"/>
      <c r="BW261" s="48"/>
      <c r="BX261" s="48"/>
      <c r="BY261" s="48"/>
      <c r="BZ261" s="48"/>
      <c r="CA261" s="48"/>
      <c r="CB261" s="48"/>
      <c r="CC261" s="48"/>
      <c r="CD261" s="52"/>
      <c r="CE261" s="48"/>
      <c r="CF261" s="48"/>
      <c r="CG261" s="48"/>
      <c r="CH261" s="48"/>
      <c r="CI261" s="48"/>
      <c r="CJ261" s="51"/>
      <c r="CK261" s="129"/>
      <c r="CL261" s="129"/>
      <c r="CM261" s="129"/>
      <c r="CN261" s="116"/>
      <c r="CO261" s="116"/>
      <c r="CP261" s="116"/>
      <c r="CQ261" s="116"/>
      <c r="CR261" s="116"/>
      <c r="CS261" s="116"/>
      <c r="CT261" s="116"/>
      <c r="CU261" s="116"/>
      <c r="CV261" s="116"/>
      <c r="CW261" s="116"/>
      <c r="CX261" s="116"/>
      <c r="CY261" s="116"/>
      <c r="CZ261" s="116"/>
      <c r="DA261" s="48"/>
      <c r="DB261" s="48"/>
      <c r="DC261" s="48"/>
      <c r="DD261" s="54"/>
      <c r="DE261" s="54"/>
      <c r="DF261" s="54"/>
      <c r="DG261" s="54"/>
      <c r="DH261" s="54"/>
      <c r="DI261" s="54"/>
      <c r="DJ261" s="48"/>
      <c r="DK261" s="48"/>
      <c r="DL261" s="51"/>
      <c r="DM261" s="48"/>
      <c r="DN261" s="52"/>
      <c r="DO261" s="52"/>
      <c r="DP261" s="48"/>
      <c r="DQ261" s="48"/>
      <c r="DR261" s="48"/>
      <c r="DS261" s="51"/>
      <c r="DT261" s="48"/>
      <c r="DU261" s="48"/>
      <c r="DV261" s="48"/>
      <c r="DW261" s="48"/>
      <c r="DX261" s="48"/>
      <c r="DY261" s="48"/>
      <c r="DZ261" s="48"/>
    </row>
    <row r="262" spans="1:130" ht="50.25" customHeight="1">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51"/>
      <c r="AP262" s="51"/>
      <c r="AQ262" s="48"/>
      <c r="AR262" s="48"/>
      <c r="AS262" s="48"/>
      <c r="AT262" s="48"/>
      <c r="AU262" s="48"/>
      <c r="AV262" s="48"/>
      <c r="AW262" s="48"/>
      <c r="AX262" s="48"/>
      <c r="AY262" s="48"/>
      <c r="AZ262" s="48"/>
      <c r="BA262" s="48"/>
      <c r="BB262" s="51"/>
      <c r="BC262" s="48"/>
      <c r="BD262" s="48"/>
      <c r="BE262" s="48"/>
      <c r="BF262" s="48"/>
      <c r="BG262" s="48"/>
      <c r="BH262" s="48"/>
      <c r="BI262" s="48"/>
      <c r="BJ262" s="48"/>
      <c r="BK262" s="48"/>
      <c r="BL262" s="116"/>
      <c r="BM262" s="116"/>
      <c r="BN262" s="51"/>
      <c r="BO262" s="48"/>
      <c r="BP262" s="48"/>
      <c r="BQ262" s="48"/>
      <c r="BR262" s="48"/>
      <c r="BS262" s="48"/>
      <c r="BT262" s="48"/>
      <c r="BU262" s="48"/>
      <c r="BV262" s="48"/>
      <c r="BW262" s="48"/>
      <c r="BX262" s="48"/>
      <c r="BY262" s="48"/>
      <c r="BZ262" s="48"/>
      <c r="CA262" s="48"/>
      <c r="CB262" s="48"/>
      <c r="CC262" s="48"/>
      <c r="CD262" s="52"/>
      <c r="CE262" s="48"/>
      <c r="CF262" s="48"/>
      <c r="CG262" s="48"/>
      <c r="CH262" s="48"/>
      <c r="CI262" s="48"/>
      <c r="CJ262" s="51"/>
      <c r="CK262" s="129"/>
      <c r="CL262" s="129"/>
      <c r="CM262" s="129"/>
      <c r="CN262" s="116"/>
      <c r="CO262" s="116"/>
      <c r="CP262" s="116"/>
      <c r="CQ262" s="116"/>
      <c r="CR262" s="116"/>
      <c r="CS262" s="116"/>
      <c r="CT262" s="116"/>
      <c r="CU262" s="116"/>
      <c r="CV262" s="116"/>
      <c r="CW262" s="116"/>
      <c r="CX262" s="116"/>
      <c r="CY262" s="116"/>
      <c r="CZ262" s="116"/>
      <c r="DA262" s="48"/>
      <c r="DB262" s="48"/>
      <c r="DC262" s="48"/>
      <c r="DD262" s="54"/>
      <c r="DE262" s="54"/>
      <c r="DF262" s="54"/>
      <c r="DG262" s="54"/>
      <c r="DH262" s="54"/>
      <c r="DI262" s="54"/>
      <c r="DJ262" s="48"/>
      <c r="DK262" s="48"/>
      <c r="DL262" s="51"/>
      <c r="DM262" s="48"/>
      <c r="DN262" s="52"/>
      <c r="DO262" s="52"/>
      <c r="DP262" s="48"/>
      <c r="DQ262" s="48"/>
      <c r="DR262" s="48"/>
      <c r="DS262" s="51"/>
      <c r="DT262" s="48"/>
      <c r="DU262" s="48"/>
      <c r="DV262" s="48"/>
      <c r="DW262" s="48"/>
      <c r="DX262" s="48"/>
      <c r="DY262" s="48"/>
      <c r="DZ262" s="48"/>
    </row>
    <row r="263" spans="1:130" ht="50.25" customHeight="1">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51"/>
      <c r="AP263" s="51"/>
      <c r="AQ263" s="48"/>
      <c r="AR263" s="48"/>
      <c r="AS263" s="48"/>
      <c r="AT263" s="48"/>
      <c r="AU263" s="48"/>
      <c r="AV263" s="48"/>
      <c r="AW263" s="48"/>
      <c r="AX263" s="48"/>
      <c r="AY263" s="48"/>
      <c r="AZ263" s="48"/>
      <c r="BA263" s="48"/>
      <c r="BB263" s="51"/>
      <c r="BC263" s="48"/>
      <c r="BD263" s="48"/>
      <c r="BE263" s="48"/>
      <c r="BF263" s="48"/>
      <c r="BG263" s="48"/>
      <c r="BH263" s="48"/>
      <c r="BI263" s="48"/>
      <c r="BJ263" s="48"/>
      <c r="BK263" s="48"/>
      <c r="BL263" s="116"/>
      <c r="BM263" s="116"/>
      <c r="BN263" s="51"/>
      <c r="BO263" s="48"/>
      <c r="BP263" s="48"/>
      <c r="BQ263" s="48"/>
      <c r="BR263" s="48"/>
      <c r="BS263" s="48"/>
      <c r="BT263" s="48"/>
      <c r="BU263" s="48"/>
      <c r="BV263" s="48"/>
      <c r="BW263" s="48"/>
      <c r="BX263" s="48"/>
      <c r="BY263" s="48"/>
      <c r="BZ263" s="48"/>
      <c r="CA263" s="48"/>
      <c r="CB263" s="48"/>
      <c r="CC263" s="48"/>
      <c r="CD263" s="52"/>
      <c r="CE263" s="48"/>
      <c r="CF263" s="48"/>
      <c r="CG263" s="48"/>
      <c r="CH263" s="48"/>
      <c r="CI263" s="48"/>
      <c r="CJ263" s="51"/>
      <c r="CK263" s="129"/>
      <c r="CL263" s="129"/>
      <c r="CM263" s="129"/>
      <c r="CN263" s="116"/>
      <c r="CO263" s="116"/>
      <c r="CP263" s="116"/>
      <c r="CQ263" s="116"/>
      <c r="CR263" s="116"/>
      <c r="CS263" s="116"/>
      <c r="CT263" s="116"/>
      <c r="CU263" s="116"/>
      <c r="CV263" s="116"/>
      <c r="CW263" s="116"/>
      <c r="CX263" s="116"/>
      <c r="CY263" s="116"/>
      <c r="CZ263" s="116"/>
      <c r="DA263" s="48"/>
      <c r="DB263" s="48"/>
      <c r="DC263" s="48"/>
      <c r="DD263" s="54"/>
      <c r="DE263" s="54"/>
      <c r="DF263" s="54"/>
      <c r="DG263" s="54"/>
      <c r="DH263" s="54"/>
      <c r="DI263" s="54"/>
      <c r="DJ263" s="48"/>
      <c r="DK263" s="48"/>
      <c r="DL263" s="51"/>
      <c r="DM263" s="48"/>
      <c r="DN263" s="52"/>
      <c r="DO263" s="52"/>
      <c r="DP263" s="48"/>
      <c r="DQ263" s="48"/>
      <c r="DR263" s="48"/>
      <c r="DS263" s="51"/>
      <c r="DT263" s="48"/>
      <c r="DU263" s="48"/>
      <c r="DV263" s="48"/>
      <c r="DW263" s="48"/>
      <c r="DX263" s="48"/>
      <c r="DY263" s="48"/>
      <c r="DZ263" s="48"/>
    </row>
    <row r="264" spans="1:130" ht="50.25" customHeight="1">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51"/>
      <c r="AP264" s="51"/>
      <c r="AQ264" s="48"/>
      <c r="AR264" s="48"/>
      <c r="AS264" s="48"/>
      <c r="AT264" s="48"/>
      <c r="AU264" s="48"/>
      <c r="AV264" s="48"/>
      <c r="AW264" s="48"/>
      <c r="AX264" s="48"/>
      <c r="AY264" s="48"/>
      <c r="AZ264" s="48"/>
      <c r="BA264" s="48"/>
      <c r="BB264" s="51"/>
      <c r="BC264" s="48"/>
      <c r="BD264" s="48"/>
      <c r="BE264" s="48"/>
      <c r="BF264" s="48"/>
      <c r="BG264" s="48"/>
      <c r="BH264" s="48"/>
      <c r="BI264" s="48"/>
      <c r="BJ264" s="48"/>
      <c r="BK264" s="48"/>
      <c r="BL264" s="116"/>
      <c r="BM264" s="116"/>
      <c r="BN264" s="51"/>
      <c r="BO264" s="48"/>
      <c r="BP264" s="48"/>
      <c r="BQ264" s="48"/>
      <c r="BR264" s="48"/>
      <c r="BS264" s="48"/>
      <c r="BT264" s="48"/>
      <c r="BU264" s="48"/>
      <c r="BV264" s="48"/>
      <c r="BW264" s="48"/>
      <c r="BX264" s="48"/>
      <c r="BY264" s="48"/>
      <c r="BZ264" s="48"/>
      <c r="CA264" s="48"/>
      <c r="CB264" s="48"/>
      <c r="CC264" s="48"/>
      <c r="CD264" s="52"/>
      <c r="CE264" s="48"/>
      <c r="CF264" s="48"/>
      <c r="CG264" s="48"/>
      <c r="CH264" s="48"/>
      <c r="CI264" s="48"/>
      <c r="CJ264" s="51"/>
      <c r="CK264" s="129"/>
      <c r="CL264" s="129"/>
      <c r="CM264" s="129"/>
      <c r="CN264" s="116"/>
      <c r="CO264" s="116"/>
      <c r="CP264" s="116"/>
      <c r="CQ264" s="116"/>
      <c r="CR264" s="116"/>
      <c r="CS264" s="116"/>
      <c r="CT264" s="116"/>
      <c r="CU264" s="116"/>
      <c r="CV264" s="116"/>
      <c r="CW264" s="116"/>
      <c r="CX264" s="116"/>
      <c r="CY264" s="116"/>
      <c r="CZ264" s="116"/>
      <c r="DA264" s="48"/>
      <c r="DB264" s="48"/>
      <c r="DC264" s="48"/>
      <c r="DD264" s="54"/>
      <c r="DE264" s="54"/>
      <c r="DF264" s="54"/>
      <c r="DG264" s="54"/>
      <c r="DH264" s="54"/>
      <c r="DI264" s="54"/>
      <c r="DJ264" s="48"/>
      <c r="DK264" s="48"/>
      <c r="DL264" s="51"/>
      <c r="DM264" s="48"/>
      <c r="DN264" s="52"/>
      <c r="DO264" s="52"/>
      <c r="DP264" s="48"/>
      <c r="DQ264" s="48"/>
      <c r="DR264" s="48"/>
      <c r="DS264" s="51"/>
      <c r="DT264" s="48"/>
      <c r="DU264" s="48"/>
      <c r="DV264" s="48"/>
      <c r="DW264" s="48"/>
      <c r="DX264" s="48"/>
      <c r="DY264" s="48"/>
      <c r="DZ264" s="48"/>
    </row>
    <row r="265" spans="1:130" ht="50.25" customHeight="1">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51"/>
      <c r="AP265" s="51"/>
      <c r="AQ265" s="48"/>
      <c r="AR265" s="48"/>
      <c r="AS265" s="48"/>
      <c r="AT265" s="48"/>
      <c r="AU265" s="48"/>
      <c r="AV265" s="48"/>
      <c r="AW265" s="48"/>
      <c r="AX265" s="48"/>
      <c r="AY265" s="48"/>
      <c r="AZ265" s="48"/>
      <c r="BA265" s="48"/>
      <c r="BB265" s="51"/>
      <c r="BC265" s="48"/>
      <c r="BD265" s="48"/>
      <c r="BE265" s="48"/>
      <c r="BF265" s="48"/>
      <c r="BG265" s="48"/>
      <c r="BH265" s="48"/>
      <c r="BI265" s="48"/>
      <c r="BJ265" s="48"/>
      <c r="BK265" s="48"/>
      <c r="BL265" s="116"/>
      <c r="BM265" s="116"/>
      <c r="BN265" s="51"/>
      <c r="BO265" s="48"/>
      <c r="BP265" s="48"/>
      <c r="BQ265" s="48"/>
      <c r="BR265" s="48"/>
      <c r="BS265" s="48"/>
      <c r="BT265" s="48"/>
      <c r="BU265" s="48"/>
      <c r="BV265" s="48"/>
      <c r="BW265" s="48"/>
      <c r="BX265" s="48"/>
      <c r="BY265" s="48"/>
      <c r="BZ265" s="48"/>
      <c r="CA265" s="48"/>
      <c r="CB265" s="48"/>
      <c r="CC265" s="48"/>
      <c r="CD265" s="52"/>
      <c r="CE265" s="48"/>
      <c r="CF265" s="48"/>
      <c r="CG265" s="48"/>
      <c r="CH265" s="48"/>
      <c r="CI265" s="48"/>
      <c r="CJ265" s="51"/>
      <c r="CK265" s="129"/>
      <c r="CL265" s="129"/>
      <c r="CM265" s="129"/>
      <c r="CN265" s="116"/>
      <c r="CO265" s="116"/>
      <c r="CP265" s="116"/>
      <c r="CQ265" s="116"/>
      <c r="CR265" s="116"/>
      <c r="CS265" s="116"/>
      <c r="CT265" s="116"/>
      <c r="CU265" s="116"/>
      <c r="CV265" s="116"/>
      <c r="CW265" s="116"/>
      <c r="CX265" s="116"/>
      <c r="CY265" s="116"/>
      <c r="CZ265" s="116"/>
      <c r="DA265" s="48"/>
      <c r="DB265" s="48"/>
      <c r="DC265" s="48"/>
      <c r="DD265" s="54"/>
      <c r="DE265" s="54"/>
      <c r="DF265" s="54"/>
      <c r="DG265" s="54"/>
      <c r="DH265" s="54"/>
      <c r="DI265" s="54"/>
      <c r="DJ265" s="48"/>
      <c r="DK265" s="48"/>
      <c r="DL265" s="51"/>
      <c r="DM265" s="48"/>
      <c r="DN265" s="52"/>
      <c r="DO265" s="52"/>
      <c r="DP265" s="48"/>
      <c r="DQ265" s="48"/>
      <c r="DR265" s="48"/>
      <c r="DS265" s="51"/>
      <c r="DT265" s="48"/>
      <c r="DU265" s="48"/>
      <c r="DV265" s="48"/>
      <c r="DW265" s="48"/>
      <c r="DX265" s="48"/>
      <c r="DY265" s="48"/>
      <c r="DZ265" s="48"/>
    </row>
    <row r="266" spans="1:130" ht="50.25" customHeight="1">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51"/>
      <c r="AP266" s="51"/>
      <c r="AQ266" s="48"/>
      <c r="AR266" s="48"/>
      <c r="AS266" s="48"/>
      <c r="AT266" s="48"/>
      <c r="AU266" s="48"/>
      <c r="AV266" s="48"/>
      <c r="AW266" s="48"/>
      <c r="AX266" s="48"/>
      <c r="AY266" s="48"/>
      <c r="AZ266" s="48"/>
      <c r="BA266" s="48"/>
      <c r="BB266" s="51"/>
      <c r="BC266" s="48"/>
      <c r="BD266" s="48"/>
      <c r="BE266" s="48"/>
      <c r="BF266" s="48"/>
      <c r="BG266" s="48"/>
      <c r="BH266" s="48"/>
      <c r="BI266" s="48"/>
      <c r="BJ266" s="48"/>
      <c r="BK266" s="48"/>
      <c r="BL266" s="116"/>
      <c r="BM266" s="116"/>
      <c r="BN266" s="51"/>
      <c r="BO266" s="48"/>
      <c r="BP266" s="48"/>
      <c r="BQ266" s="48"/>
      <c r="BR266" s="48"/>
      <c r="BS266" s="48"/>
      <c r="BT266" s="48"/>
      <c r="BU266" s="48"/>
      <c r="BV266" s="48"/>
      <c r="BW266" s="48"/>
      <c r="BX266" s="48"/>
      <c r="BY266" s="48"/>
      <c r="BZ266" s="48"/>
      <c r="CA266" s="48"/>
      <c r="CB266" s="48"/>
      <c r="CC266" s="48"/>
      <c r="CD266" s="52"/>
      <c r="CE266" s="48"/>
      <c r="CF266" s="48"/>
      <c r="CG266" s="48"/>
      <c r="CH266" s="48"/>
      <c r="CI266" s="48"/>
      <c r="CJ266" s="51"/>
      <c r="CK266" s="129"/>
      <c r="CL266" s="129"/>
      <c r="CM266" s="129"/>
      <c r="CN266" s="116"/>
      <c r="CO266" s="116"/>
      <c r="CP266" s="116"/>
      <c r="CQ266" s="116"/>
      <c r="CR266" s="116"/>
      <c r="CS266" s="116"/>
      <c r="CT266" s="116"/>
      <c r="CU266" s="116"/>
      <c r="CV266" s="116"/>
      <c r="CW266" s="116"/>
      <c r="CX266" s="116"/>
      <c r="CY266" s="116"/>
      <c r="CZ266" s="116"/>
      <c r="DA266" s="48"/>
      <c r="DB266" s="48"/>
      <c r="DC266" s="48"/>
      <c r="DD266" s="54"/>
      <c r="DE266" s="54"/>
      <c r="DF266" s="54"/>
      <c r="DG266" s="54"/>
      <c r="DH266" s="54"/>
      <c r="DI266" s="54"/>
      <c r="DJ266" s="48"/>
      <c r="DK266" s="48"/>
      <c r="DL266" s="51"/>
      <c r="DM266" s="48"/>
      <c r="DN266" s="52"/>
      <c r="DO266" s="52"/>
      <c r="DP266" s="48"/>
      <c r="DQ266" s="48"/>
      <c r="DR266" s="48"/>
      <c r="DS266" s="51"/>
      <c r="DT266" s="48"/>
      <c r="DU266" s="48"/>
      <c r="DV266" s="48"/>
      <c r="DW266" s="48"/>
      <c r="DX266" s="48"/>
      <c r="DY266" s="48"/>
      <c r="DZ266" s="48"/>
    </row>
    <row r="267" spans="1:130" ht="50.25" customHeight="1">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51"/>
      <c r="AP267" s="51"/>
      <c r="AQ267" s="48"/>
      <c r="AR267" s="48"/>
      <c r="AS267" s="48"/>
      <c r="AT267" s="48"/>
      <c r="AU267" s="48"/>
      <c r="AV267" s="48"/>
      <c r="AW267" s="48"/>
      <c r="AX267" s="48"/>
      <c r="AY267" s="48"/>
      <c r="AZ267" s="48"/>
      <c r="BA267" s="48"/>
      <c r="BB267" s="51"/>
      <c r="BC267" s="48"/>
      <c r="BD267" s="48"/>
      <c r="BE267" s="48"/>
      <c r="BF267" s="48"/>
      <c r="BG267" s="48"/>
      <c r="BH267" s="48"/>
      <c r="BI267" s="48"/>
      <c r="BJ267" s="48"/>
      <c r="BK267" s="48"/>
      <c r="BL267" s="116"/>
      <c r="BM267" s="116"/>
      <c r="BN267" s="51"/>
      <c r="BO267" s="48"/>
      <c r="BP267" s="48"/>
      <c r="BQ267" s="48"/>
      <c r="BR267" s="48"/>
      <c r="BS267" s="48"/>
      <c r="BT267" s="48"/>
      <c r="BU267" s="48"/>
      <c r="BV267" s="48"/>
      <c r="BW267" s="48"/>
      <c r="BX267" s="48"/>
      <c r="BY267" s="48"/>
      <c r="BZ267" s="48"/>
      <c r="CA267" s="48"/>
      <c r="CB267" s="48"/>
      <c r="CC267" s="48"/>
      <c r="CD267" s="52"/>
      <c r="CE267" s="48"/>
      <c r="CF267" s="48"/>
      <c r="CG267" s="48"/>
      <c r="CH267" s="48"/>
      <c r="CI267" s="48"/>
      <c r="CJ267" s="51"/>
      <c r="CK267" s="129"/>
      <c r="CL267" s="129"/>
      <c r="CM267" s="129"/>
      <c r="CN267" s="116"/>
      <c r="CO267" s="116"/>
      <c r="CP267" s="116"/>
      <c r="CQ267" s="116"/>
      <c r="CR267" s="116"/>
      <c r="CS267" s="116"/>
      <c r="CT267" s="116"/>
      <c r="CU267" s="116"/>
      <c r="CV267" s="116"/>
      <c r="CW267" s="116"/>
      <c r="CX267" s="116"/>
      <c r="CY267" s="116"/>
      <c r="CZ267" s="116"/>
      <c r="DA267" s="48"/>
      <c r="DB267" s="48"/>
      <c r="DC267" s="48"/>
      <c r="DD267" s="54"/>
      <c r="DE267" s="54"/>
      <c r="DF267" s="54"/>
      <c r="DG267" s="54"/>
      <c r="DH267" s="54"/>
      <c r="DI267" s="54"/>
      <c r="DJ267" s="48"/>
      <c r="DK267" s="48"/>
      <c r="DL267" s="51"/>
      <c r="DM267" s="48"/>
      <c r="DN267" s="52"/>
      <c r="DO267" s="52"/>
      <c r="DP267" s="48"/>
      <c r="DQ267" s="48"/>
      <c r="DR267" s="48"/>
      <c r="DS267" s="51"/>
      <c r="DT267" s="48"/>
      <c r="DU267" s="48"/>
      <c r="DV267" s="48"/>
      <c r="DW267" s="48"/>
      <c r="DX267" s="48"/>
      <c r="DY267" s="48"/>
      <c r="DZ267" s="48"/>
    </row>
    <row r="268" spans="1:130" ht="50.25" customHeight="1">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51"/>
      <c r="AP268" s="51"/>
      <c r="AQ268" s="48"/>
      <c r="AR268" s="48"/>
      <c r="AS268" s="48"/>
      <c r="AT268" s="48"/>
      <c r="AU268" s="48"/>
      <c r="AV268" s="48"/>
      <c r="AW268" s="48"/>
      <c r="AX268" s="48"/>
      <c r="AY268" s="48"/>
      <c r="AZ268" s="48"/>
      <c r="BA268" s="48"/>
      <c r="BB268" s="51"/>
      <c r="BC268" s="48"/>
      <c r="BD268" s="48"/>
      <c r="BE268" s="48"/>
      <c r="BF268" s="48"/>
      <c r="BG268" s="48"/>
      <c r="BH268" s="48"/>
      <c r="BI268" s="48"/>
      <c r="BJ268" s="48"/>
      <c r="BK268" s="48"/>
      <c r="BL268" s="116"/>
      <c r="BM268" s="116"/>
      <c r="BN268" s="51"/>
      <c r="BO268" s="48"/>
      <c r="BP268" s="48"/>
      <c r="BQ268" s="48"/>
      <c r="BR268" s="48"/>
      <c r="BS268" s="48"/>
      <c r="BT268" s="48"/>
      <c r="BU268" s="48"/>
      <c r="BV268" s="48"/>
      <c r="BW268" s="48"/>
      <c r="BX268" s="48"/>
      <c r="BY268" s="48"/>
      <c r="BZ268" s="48"/>
      <c r="CA268" s="48"/>
      <c r="CB268" s="48"/>
      <c r="CC268" s="48"/>
      <c r="CD268" s="52"/>
      <c r="CE268" s="48"/>
      <c r="CF268" s="48"/>
      <c r="CG268" s="48"/>
      <c r="CH268" s="48"/>
      <c r="CI268" s="48"/>
      <c r="CJ268" s="51"/>
      <c r="CK268" s="129"/>
      <c r="CL268" s="129"/>
      <c r="CM268" s="129"/>
      <c r="CN268" s="116"/>
      <c r="CO268" s="116"/>
      <c r="CP268" s="116"/>
      <c r="CQ268" s="116"/>
      <c r="CR268" s="116"/>
      <c r="CS268" s="116"/>
      <c r="CT268" s="116"/>
      <c r="CU268" s="116"/>
      <c r="CV268" s="116"/>
      <c r="CW268" s="116"/>
      <c r="CX268" s="116"/>
      <c r="CY268" s="116"/>
      <c r="CZ268" s="116"/>
      <c r="DA268" s="48"/>
      <c r="DB268" s="48"/>
      <c r="DC268" s="48"/>
      <c r="DD268" s="54"/>
      <c r="DE268" s="54"/>
      <c r="DF268" s="54"/>
      <c r="DG268" s="54"/>
      <c r="DH268" s="54"/>
      <c r="DI268" s="54"/>
      <c r="DJ268" s="48"/>
      <c r="DK268" s="48"/>
      <c r="DL268" s="51"/>
      <c r="DM268" s="48"/>
      <c r="DN268" s="52"/>
      <c r="DO268" s="52"/>
      <c r="DP268" s="48"/>
      <c r="DQ268" s="48"/>
      <c r="DR268" s="48"/>
      <c r="DS268" s="51"/>
      <c r="DT268" s="48"/>
      <c r="DU268" s="48"/>
      <c r="DV268" s="48"/>
      <c r="DW268" s="48"/>
      <c r="DX268" s="48"/>
      <c r="DY268" s="48"/>
      <c r="DZ268" s="48"/>
    </row>
    <row r="269" spans="1:130" ht="50.25" customHeight="1">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51"/>
      <c r="AP269" s="51"/>
      <c r="AQ269" s="48"/>
      <c r="AR269" s="48"/>
      <c r="AS269" s="48"/>
      <c r="AT269" s="48"/>
      <c r="AU269" s="48"/>
      <c r="AV269" s="48"/>
      <c r="AW269" s="48"/>
      <c r="AX269" s="48"/>
      <c r="AY269" s="48"/>
      <c r="AZ269" s="48"/>
      <c r="BA269" s="48"/>
      <c r="BB269" s="51"/>
      <c r="BC269" s="48"/>
      <c r="BD269" s="48"/>
      <c r="BE269" s="48"/>
      <c r="BF269" s="48"/>
      <c r="BG269" s="48"/>
      <c r="BH269" s="48"/>
      <c r="BI269" s="48"/>
      <c r="BJ269" s="48"/>
      <c r="BK269" s="48"/>
      <c r="BL269" s="116"/>
      <c r="BM269" s="116"/>
      <c r="BN269" s="51"/>
      <c r="BO269" s="48"/>
      <c r="BP269" s="48"/>
      <c r="BQ269" s="48"/>
      <c r="BR269" s="48"/>
      <c r="BS269" s="48"/>
      <c r="BT269" s="48"/>
      <c r="BU269" s="48"/>
      <c r="BV269" s="48"/>
      <c r="BW269" s="48"/>
      <c r="BX269" s="48"/>
      <c r="BY269" s="48"/>
      <c r="BZ269" s="48"/>
      <c r="CA269" s="48"/>
      <c r="CB269" s="48"/>
      <c r="CC269" s="48"/>
      <c r="CD269" s="52"/>
      <c r="CE269" s="48"/>
      <c r="CF269" s="48"/>
      <c r="CG269" s="48"/>
      <c r="CH269" s="48"/>
      <c r="CI269" s="48"/>
      <c r="CJ269" s="51"/>
      <c r="CK269" s="129"/>
      <c r="CL269" s="129"/>
      <c r="CM269" s="129"/>
      <c r="CN269" s="116"/>
      <c r="CO269" s="116"/>
      <c r="CP269" s="116"/>
      <c r="CQ269" s="116"/>
      <c r="CR269" s="116"/>
      <c r="CS269" s="116"/>
      <c r="CT269" s="116"/>
      <c r="CU269" s="116"/>
      <c r="CV269" s="116"/>
      <c r="CW269" s="116"/>
      <c r="CX269" s="116"/>
      <c r="CY269" s="116"/>
      <c r="CZ269" s="116"/>
      <c r="DA269" s="48"/>
      <c r="DB269" s="48"/>
      <c r="DC269" s="48"/>
      <c r="DD269" s="54"/>
      <c r="DE269" s="54"/>
      <c r="DF269" s="54"/>
      <c r="DG269" s="54"/>
      <c r="DH269" s="54"/>
      <c r="DI269" s="54"/>
      <c r="DJ269" s="48"/>
      <c r="DK269" s="48"/>
      <c r="DL269" s="51"/>
      <c r="DM269" s="48"/>
      <c r="DN269" s="52"/>
      <c r="DO269" s="52"/>
      <c r="DP269" s="48"/>
      <c r="DQ269" s="48"/>
      <c r="DR269" s="48"/>
      <c r="DS269" s="51"/>
      <c r="DT269" s="48"/>
      <c r="DU269" s="48"/>
      <c r="DV269" s="48"/>
      <c r="DW269" s="48"/>
      <c r="DX269" s="48"/>
      <c r="DY269" s="48"/>
      <c r="DZ269" s="48"/>
    </row>
    <row r="270" spans="1:130" ht="50.25" customHeight="1">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51"/>
      <c r="AP270" s="51"/>
      <c r="AQ270" s="48"/>
      <c r="AR270" s="48"/>
      <c r="AS270" s="48"/>
      <c r="AT270" s="48"/>
      <c r="AU270" s="48"/>
      <c r="AV270" s="48"/>
      <c r="AW270" s="48"/>
      <c r="AX270" s="48"/>
      <c r="AY270" s="48"/>
      <c r="AZ270" s="48"/>
      <c r="BA270" s="48"/>
      <c r="BB270" s="51"/>
      <c r="BC270" s="48"/>
      <c r="BD270" s="48"/>
      <c r="BE270" s="48"/>
      <c r="BF270" s="48"/>
      <c r="BG270" s="48"/>
      <c r="BH270" s="48"/>
      <c r="BI270" s="48"/>
      <c r="BJ270" s="48"/>
      <c r="BK270" s="48"/>
      <c r="BL270" s="116"/>
      <c r="BM270" s="116"/>
      <c r="BN270" s="51"/>
      <c r="BO270" s="48"/>
      <c r="BP270" s="48"/>
      <c r="BQ270" s="48"/>
      <c r="BR270" s="48"/>
      <c r="BS270" s="48"/>
      <c r="BT270" s="48"/>
      <c r="BU270" s="48"/>
      <c r="BV270" s="48"/>
      <c r="BW270" s="48"/>
      <c r="BX270" s="48"/>
      <c r="BY270" s="48"/>
      <c r="BZ270" s="48"/>
      <c r="CA270" s="48"/>
      <c r="CB270" s="48"/>
      <c r="CC270" s="48"/>
      <c r="CD270" s="52"/>
      <c r="CE270" s="48"/>
      <c r="CF270" s="48"/>
      <c r="CG270" s="48"/>
      <c r="CH270" s="48"/>
      <c r="CI270" s="48"/>
      <c r="CJ270" s="51"/>
      <c r="CK270" s="129"/>
      <c r="CL270" s="129"/>
      <c r="CM270" s="129"/>
      <c r="CN270" s="116"/>
      <c r="CO270" s="116"/>
      <c r="CP270" s="116"/>
      <c r="CQ270" s="116"/>
      <c r="CR270" s="116"/>
      <c r="CS270" s="116"/>
      <c r="CT270" s="116"/>
      <c r="CU270" s="116"/>
      <c r="CV270" s="116"/>
      <c r="CW270" s="116"/>
      <c r="CX270" s="116"/>
      <c r="CY270" s="116"/>
      <c r="CZ270" s="116"/>
      <c r="DA270" s="48"/>
      <c r="DB270" s="48"/>
      <c r="DC270" s="48"/>
      <c r="DD270" s="54"/>
      <c r="DE270" s="54"/>
      <c r="DF270" s="54"/>
      <c r="DG270" s="54"/>
      <c r="DH270" s="54"/>
      <c r="DI270" s="54"/>
      <c r="DJ270" s="48"/>
      <c r="DK270" s="48"/>
      <c r="DL270" s="51"/>
      <c r="DM270" s="48"/>
      <c r="DN270" s="52"/>
      <c r="DO270" s="52"/>
      <c r="DP270" s="48"/>
      <c r="DQ270" s="48"/>
      <c r="DR270" s="48"/>
      <c r="DS270" s="51"/>
      <c r="DT270" s="48"/>
      <c r="DU270" s="48"/>
      <c r="DV270" s="48"/>
      <c r="DW270" s="48"/>
      <c r="DX270" s="48"/>
      <c r="DY270" s="48"/>
      <c r="DZ270" s="48"/>
    </row>
    <row r="271" spans="1:130" ht="50.25" customHeight="1">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51"/>
      <c r="AP271" s="51"/>
      <c r="AQ271" s="48"/>
      <c r="AR271" s="48"/>
      <c r="AS271" s="48"/>
      <c r="AT271" s="48"/>
      <c r="AU271" s="48"/>
      <c r="AV271" s="48"/>
      <c r="AW271" s="48"/>
      <c r="AX271" s="48"/>
      <c r="AY271" s="48"/>
      <c r="AZ271" s="48"/>
      <c r="BA271" s="48"/>
      <c r="BB271" s="51"/>
      <c r="BC271" s="48"/>
      <c r="BD271" s="48"/>
      <c r="BE271" s="48"/>
      <c r="BF271" s="48"/>
      <c r="BG271" s="48"/>
      <c r="BH271" s="48"/>
      <c r="BI271" s="48"/>
      <c r="BJ271" s="48"/>
      <c r="BK271" s="48"/>
      <c r="BL271" s="116"/>
      <c r="BM271" s="116"/>
      <c r="BN271" s="51"/>
      <c r="BO271" s="48"/>
      <c r="BP271" s="48"/>
      <c r="BQ271" s="48"/>
      <c r="BR271" s="48"/>
      <c r="BS271" s="48"/>
      <c r="BT271" s="48"/>
      <c r="BU271" s="48"/>
      <c r="BV271" s="48"/>
      <c r="BW271" s="48"/>
      <c r="BX271" s="48"/>
      <c r="BY271" s="48"/>
      <c r="BZ271" s="48"/>
      <c r="CA271" s="48"/>
      <c r="CB271" s="48"/>
      <c r="CC271" s="48"/>
      <c r="CD271" s="52"/>
      <c r="CE271" s="48"/>
      <c r="CF271" s="48"/>
      <c r="CG271" s="48"/>
      <c r="CH271" s="48"/>
      <c r="CI271" s="48"/>
      <c r="CJ271" s="51"/>
      <c r="CK271" s="129"/>
      <c r="CL271" s="129"/>
      <c r="CM271" s="129"/>
      <c r="CN271" s="116"/>
      <c r="CO271" s="116"/>
      <c r="CP271" s="116"/>
      <c r="CQ271" s="116"/>
      <c r="CR271" s="116"/>
      <c r="CS271" s="116"/>
      <c r="CT271" s="116"/>
      <c r="CU271" s="116"/>
      <c r="CV271" s="116"/>
      <c r="CW271" s="116"/>
      <c r="CX271" s="116"/>
      <c r="CY271" s="116"/>
      <c r="CZ271" s="116"/>
      <c r="DA271" s="48"/>
      <c r="DB271" s="48"/>
      <c r="DC271" s="48"/>
      <c r="DD271" s="54"/>
      <c r="DE271" s="54"/>
      <c r="DF271" s="54"/>
      <c r="DG271" s="54"/>
      <c r="DH271" s="54"/>
      <c r="DI271" s="54"/>
      <c r="DJ271" s="48"/>
      <c r="DK271" s="48"/>
      <c r="DL271" s="51"/>
      <c r="DM271" s="48"/>
      <c r="DN271" s="52"/>
      <c r="DO271" s="52"/>
      <c r="DP271" s="48"/>
      <c r="DQ271" s="48"/>
      <c r="DR271" s="48"/>
      <c r="DS271" s="51"/>
      <c r="DT271" s="48"/>
      <c r="DU271" s="48"/>
      <c r="DV271" s="48"/>
      <c r="DW271" s="48"/>
      <c r="DX271" s="48"/>
      <c r="DY271" s="48"/>
      <c r="DZ271" s="48"/>
    </row>
    <row r="272" spans="1:130" ht="50.25" customHeight="1">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51"/>
      <c r="AP272" s="51"/>
      <c r="AQ272" s="48"/>
      <c r="AR272" s="48"/>
      <c r="AS272" s="48"/>
      <c r="AT272" s="48"/>
      <c r="AU272" s="48"/>
      <c r="AV272" s="48"/>
      <c r="AW272" s="48"/>
      <c r="AX272" s="48"/>
      <c r="AY272" s="48"/>
      <c r="AZ272" s="48"/>
      <c r="BA272" s="48"/>
      <c r="BB272" s="51"/>
      <c r="BC272" s="48"/>
      <c r="BD272" s="48"/>
      <c r="BE272" s="48"/>
      <c r="BF272" s="48"/>
      <c r="BG272" s="48"/>
      <c r="BH272" s="48"/>
      <c r="BI272" s="48"/>
      <c r="BJ272" s="48"/>
      <c r="BK272" s="48"/>
      <c r="BL272" s="116"/>
      <c r="BM272" s="116"/>
      <c r="BN272" s="51"/>
      <c r="BO272" s="48"/>
      <c r="BP272" s="48"/>
      <c r="BQ272" s="48"/>
      <c r="BR272" s="48"/>
      <c r="BS272" s="48"/>
      <c r="BT272" s="48"/>
      <c r="BU272" s="48"/>
      <c r="BV272" s="48"/>
      <c r="BW272" s="48"/>
      <c r="BX272" s="48"/>
      <c r="BY272" s="48"/>
      <c r="BZ272" s="48"/>
      <c r="CA272" s="48"/>
      <c r="CB272" s="48"/>
      <c r="CC272" s="48"/>
      <c r="CD272" s="52"/>
      <c r="CE272" s="48"/>
      <c r="CF272" s="48"/>
      <c r="CG272" s="48"/>
      <c r="CH272" s="48"/>
      <c r="CI272" s="48"/>
      <c r="CJ272" s="51"/>
      <c r="CK272" s="129"/>
      <c r="CL272" s="129"/>
      <c r="CM272" s="129"/>
      <c r="CN272" s="116"/>
      <c r="CO272" s="116"/>
      <c r="CP272" s="116"/>
      <c r="CQ272" s="116"/>
      <c r="CR272" s="116"/>
      <c r="CS272" s="116"/>
      <c r="CT272" s="116"/>
      <c r="CU272" s="116"/>
      <c r="CV272" s="116"/>
      <c r="CW272" s="116"/>
      <c r="CX272" s="116"/>
      <c r="CY272" s="116"/>
      <c r="CZ272" s="116"/>
      <c r="DA272" s="48"/>
      <c r="DB272" s="48"/>
      <c r="DC272" s="48"/>
      <c r="DD272" s="54"/>
      <c r="DE272" s="54"/>
      <c r="DF272" s="54"/>
      <c r="DG272" s="54"/>
      <c r="DH272" s="54"/>
      <c r="DI272" s="54"/>
      <c r="DJ272" s="48"/>
      <c r="DK272" s="48"/>
      <c r="DL272" s="51"/>
      <c r="DM272" s="48"/>
      <c r="DN272" s="52"/>
      <c r="DO272" s="52"/>
      <c r="DP272" s="48"/>
      <c r="DQ272" s="48"/>
      <c r="DR272" s="48"/>
      <c r="DS272" s="51"/>
      <c r="DT272" s="48"/>
      <c r="DU272" s="48"/>
      <c r="DV272" s="48"/>
      <c r="DW272" s="48"/>
      <c r="DX272" s="48"/>
      <c r="DY272" s="48"/>
      <c r="DZ272" s="48"/>
    </row>
    <row r="273" spans="1:130" ht="50.2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51"/>
      <c r="AP273" s="51"/>
      <c r="AQ273" s="48"/>
      <c r="AR273" s="48"/>
      <c r="AS273" s="48"/>
      <c r="AT273" s="48"/>
      <c r="AU273" s="48"/>
      <c r="AV273" s="48"/>
      <c r="AW273" s="48"/>
      <c r="AX273" s="48"/>
      <c r="AY273" s="48"/>
      <c r="AZ273" s="48"/>
      <c r="BA273" s="48"/>
      <c r="BB273" s="51"/>
      <c r="BC273" s="48"/>
      <c r="BD273" s="48"/>
      <c r="BE273" s="48"/>
      <c r="BF273" s="48"/>
      <c r="BG273" s="48"/>
      <c r="BH273" s="48"/>
      <c r="BI273" s="48"/>
      <c r="BJ273" s="48"/>
      <c r="BK273" s="48"/>
      <c r="BL273" s="116"/>
      <c r="BM273" s="116"/>
      <c r="BN273" s="51"/>
      <c r="BO273" s="48"/>
      <c r="BP273" s="48"/>
      <c r="BQ273" s="48"/>
      <c r="BR273" s="48"/>
      <c r="BS273" s="48"/>
      <c r="BT273" s="48"/>
      <c r="BU273" s="48"/>
      <c r="BV273" s="48"/>
      <c r="BW273" s="48"/>
      <c r="BX273" s="48"/>
      <c r="BY273" s="48"/>
      <c r="BZ273" s="48"/>
      <c r="CA273" s="48"/>
      <c r="CB273" s="48"/>
      <c r="CC273" s="48"/>
      <c r="CD273" s="52"/>
      <c r="CE273" s="48"/>
      <c r="CF273" s="48"/>
      <c r="CG273" s="48"/>
      <c r="CH273" s="48"/>
      <c r="CI273" s="48"/>
      <c r="CJ273" s="51"/>
      <c r="CK273" s="129"/>
      <c r="CL273" s="129"/>
      <c r="CM273" s="129"/>
      <c r="CN273" s="116"/>
      <c r="CO273" s="116"/>
      <c r="CP273" s="116"/>
      <c r="CQ273" s="116"/>
      <c r="CR273" s="116"/>
      <c r="CS273" s="116"/>
      <c r="CT273" s="116"/>
      <c r="CU273" s="116"/>
      <c r="CV273" s="116"/>
      <c r="CW273" s="116"/>
      <c r="CX273" s="116"/>
      <c r="CY273" s="116"/>
      <c r="CZ273" s="116"/>
      <c r="DA273" s="48"/>
      <c r="DB273" s="48"/>
      <c r="DC273" s="48"/>
      <c r="DD273" s="54"/>
      <c r="DE273" s="54"/>
      <c r="DF273" s="54"/>
      <c r="DG273" s="54"/>
      <c r="DH273" s="54"/>
      <c r="DI273" s="54"/>
      <c r="DJ273" s="48"/>
      <c r="DK273" s="48"/>
      <c r="DL273" s="51"/>
      <c r="DM273" s="48"/>
      <c r="DN273" s="52"/>
      <c r="DO273" s="52"/>
      <c r="DP273" s="48"/>
      <c r="DQ273" s="48"/>
      <c r="DR273" s="48"/>
      <c r="DS273" s="51"/>
      <c r="DT273" s="48"/>
      <c r="DU273" s="48"/>
      <c r="DV273" s="48"/>
      <c r="DW273" s="48"/>
      <c r="DX273" s="48"/>
      <c r="DY273" s="48"/>
      <c r="DZ273" s="48"/>
    </row>
    <row r="274" spans="1:130" ht="50.2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51"/>
      <c r="AP274" s="51"/>
      <c r="AQ274" s="48"/>
      <c r="AR274" s="48"/>
      <c r="AS274" s="48"/>
      <c r="AT274" s="48"/>
      <c r="AU274" s="48"/>
      <c r="AV274" s="48"/>
      <c r="AW274" s="48"/>
      <c r="AX274" s="48"/>
      <c r="AY274" s="48"/>
      <c r="AZ274" s="48"/>
      <c r="BA274" s="48"/>
      <c r="BB274" s="51"/>
      <c r="BC274" s="48"/>
      <c r="BD274" s="48"/>
      <c r="BE274" s="48"/>
      <c r="BF274" s="48"/>
      <c r="BG274" s="48"/>
      <c r="BH274" s="48"/>
      <c r="BI274" s="48"/>
      <c r="BJ274" s="48"/>
      <c r="BK274" s="48"/>
      <c r="BL274" s="116"/>
      <c r="BM274" s="116"/>
      <c r="BN274" s="51"/>
      <c r="BO274" s="48"/>
      <c r="BP274" s="48"/>
      <c r="BQ274" s="48"/>
      <c r="BR274" s="48"/>
      <c r="BS274" s="48"/>
      <c r="BT274" s="48"/>
      <c r="BU274" s="48"/>
      <c r="BV274" s="48"/>
      <c r="BW274" s="48"/>
      <c r="BX274" s="48"/>
      <c r="BY274" s="48"/>
      <c r="BZ274" s="48"/>
      <c r="CA274" s="48"/>
      <c r="CB274" s="48"/>
      <c r="CC274" s="48"/>
      <c r="CD274" s="52"/>
      <c r="CE274" s="48"/>
      <c r="CF274" s="48"/>
      <c r="CG274" s="48"/>
      <c r="CH274" s="48"/>
      <c r="CI274" s="48"/>
      <c r="CJ274" s="51"/>
      <c r="CK274" s="129"/>
      <c r="CL274" s="129"/>
      <c r="CM274" s="129"/>
      <c r="CN274" s="116"/>
      <c r="CO274" s="116"/>
      <c r="CP274" s="116"/>
      <c r="CQ274" s="116"/>
      <c r="CR274" s="116"/>
      <c r="CS274" s="116"/>
      <c r="CT274" s="116"/>
      <c r="CU274" s="116"/>
      <c r="CV274" s="116"/>
      <c r="CW274" s="116"/>
      <c r="CX274" s="116"/>
      <c r="CY274" s="116"/>
      <c r="CZ274" s="116"/>
      <c r="DA274" s="48"/>
      <c r="DB274" s="48"/>
      <c r="DC274" s="48"/>
      <c r="DD274" s="54"/>
      <c r="DE274" s="54"/>
      <c r="DF274" s="54"/>
      <c r="DG274" s="54"/>
      <c r="DH274" s="54"/>
      <c r="DI274" s="54"/>
      <c r="DJ274" s="48"/>
      <c r="DK274" s="48"/>
      <c r="DL274" s="51"/>
      <c r="DM274" s="48"/>
      <c r="DN274" s="52"/>
      <c r="DO274" s="52"/>
      <c r="DP274" s="48"/>
      <c r="DQ274" s="48"/>
      <c r="DR274" s="48"/>
      <c r="DS274" s="51"/>
      <c r="DT274" s="48"/>
      <c r="DU274" s="48"/>
      <c r="DV274" s="48"/>
      <c r="DW274" s="48"/>
      <c r="DX274" s="48"/>
      <c r="DY274" s="48"/>
      <c r="DZ274" s="48"/>
    </row>
    <row r="275" spans="1:130" ht="50.25" customHeight="1">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51"/>
      <c r="AP275" s="51"/>
      <c r="AQ275" s="48"/>
      <c r="AR275" s="48"/>
      <c r="AS275" s="48"/>
      <c r="AT275" s="48"/>
      <c r="AU275" s="48"/>
      <c r="AV275" s="48"/>
      <c r="AW275" s="48"/>
      <c r="AX275" s="48"/>
      <c r="AY275" s="48"/>
      <c r="AZ275" s="48"/>
      <c r="BA275" s="48"/>
      <c r="BB275" s="51"/>
      <c r="BC275" s="48"/>
      <c r="BD275" s="48"/>
      <c r="BE275" s="48"/>
      <c r="BF275" s="48"/>
      <c r="BG275" s="48"/>
      <c r="BH275" s="48"/>
      <c r="BI275" s="48"/>
      <c r="BJ275" s="48"/>
      <c r="BK275" s="48"/>
      <c r="BL275" s="116"/>
      <c r="BM275" s="116"/>
      <c r="BN275" s="51"/>
      <c r="BO275" s="48"/>
      <c r="BP275" s="48"/>
      <c r="BQ275" s="48"/>
      <c r="BR275" s="48"/>
      <c r="BS275" s="48"/>
      <c r="BT275" s="48"/>
      <c r="BU275" s="48"/>
      <c r="BV275" s="48"/>
      <c r="BW275" s="48"/>
      <c r="BX275" s="48"/>
      <c r="BY275" s="48"/>
      <c r="BZ275" s="48"/>
      <c r="CA275" s="48"/>
      <c r="CB275" s="48"/>
      <c r="CC275" s="48"/>
      <c r="CD275" s="52"/>
      <c r="CE275" s="48"/>
      <c r="CF275" s="48"/>
      <c r="CG275" s="48"/>
      <c r="CH275" s="48"/>
      <c r="CI275" s="48"/>
      <c r="CJ275" s="51"/>
      <c r="CK275" s="129"/>
      <c r="CL275" s="129"/>
      <c r="CM275" s="129"/>
      <c r="CN275" s="116"/>
      <c r="CO275" s="116"/>
      <c r="CP275" s="116"/>
      <c r="CQ275" s="116"/>
      <c r="CR275" s="116"/>
      <c r="CS275" s="116"/>
      <c r="CT275" s="116"/>
      <c r="CU275" s="116"/>
      <c r="CV275" s="116"/>
      <c r="CW275" s="116"/>
      <c r="CX275" s="116"/>
      <c r="CY275" s="116"/>
      <c r="CZ275" s="116"/>
      <c r="DA275" s="48"/>
      <c r="DB275" s="48"/>
      <c r="DC275" s="48"/>
      <c r="DD275" s="54"/>
      <c r="DE275" s="54"/>
      <c r="DF275" s="54"/>
      <c r="DG275" s="54"/>
      <c r="DH275" s="54"/>
      <c r="DI275" s="54"/>
      <c r="DJ275" s="48"/>
      <c r="DK275" s="48"/>
      <c r="DL275" s="51"/>
      <c r="DM275" s="48"/>
      <c r="DN275" s="52"/>
      <c r="DO275" s="52"/>
      <c r="DP275" s="48"/>
      <c r="DQ275" s="48"/>
      <c r="DR275" s="48"/>
      <c r="DS275" s="51"/>
      <c r="DT275" s="48"/>
      <c r="DU275" s="48"/>
      <c r="DV275" s="48"/>
      <c r="DW275" s="48"/>
      <c r="DX275" s="48"/>
      <c r="DY275" s="48"/>
      <c r="DZ275" s="48"/>
    </row>
    <row r="276" spans="1:130" ht="50.25" customHeight="1">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51"/>
      <c r="AP276" s="51"/>
      <c r="AQ276" s="48"/>
      <c r="AR276" s="48"/>
      <c r="AS276" s="48"/>
      <c r="AT276" s="48"/>
      <c r="AU276" s="48"/>
      <c r="AV276" s="48"/>
      <c r="AW276" s="48"/>
      <c r="AX276" s="48"/>
      <c r="AY276" s="48"/>
      <c r="AZ276" s="48"/>
      <c r="BA276" s="48"/>
      <c r="BB276" s="51"/>
      <c r="BC276" s="48"/>
      <c r="BD276" s="48"/>
      <c r="BE276" s="48"/>
      <c r="BF276" s="48"/>
      <c r="BG276" s="48"/>
      <c r="BH276" s="48"/>
      <c r="BI276" s="48"/>
      <c r="BJ276" s="48"/>
      <c r="BK276" s="48"/>
      <c r="BL276" s="116"/>
      <c r="BM276" s="116"/>
      <c r="BN276" s="51"/>
      <c r="BO276" s="48"/>
      <c r="BP276" s="48"/>
      <c r="BQ276" s="48"/>
      <c r="BR276" s="48"/>
      <c r="BS276" s="48"/>
      <c r="BT276" s="48"/>
      <c r="BU276" s="48"/>
      <c r="BV276" s="48"/>
      <c r="BW276" s="48"/>
      <c r="BX276" s="48"/>
      <c r="BY276" s="48"/>
      <c r="BZ276" s="48"/>
      <c r="CA276" s="48"/>
      <c r="CB276" s="48"/>
      <c r="CC276" s="48"/>
      <c r="CD276" s="52"/>
      <c r="CE276" s="48"/>
      <c r="CF276" s="48"/>
      <c r="CG276" s="48"/>
      <c r="CH276" s="48"/>
      <c r="CI276" s="48"/>
      <c r="CJ276" s="51"/>
      <c r="CK276" s="129"/>
      <c r="CL276" s="129"/>
      <c r="CM276" s="129"/>
      <c r="CN276" s="116"/>
      <c r="CO276" s="116"/>
      <c r="CP276" s="116"/>
      <c r="CQ276" s="116"/>
      <c r="CR276" s="116"/>
      <c r="CS276" s="116"/>
      <c r="CT276" s="116"/>
      <c r="CU276" s="116"/>
      <c r="CV276" s="116"/>
      <c r="CW276" s="116"/>
      <c r="CX276" s="116"/>
      <c r="CY276" s="116"/>
      <c r="CZ276" s="116"/>
      <c r="DA276" s="48"/>
      <c r="DB276" s="48"/>
      <c r="DC276" s="48"/>
      <c r="DD276" s="54"/>
      <c r="DE276" s="54"/>
      <c r="DF276" s="54"/>
      <c r="DG276" s="54"/>
      <c r="DH276" s="54"/>
      <c r="DI276" s="54"/>
      <c r="DJ276" s="48"/>
      <c r="DK276" s="48"/>
      <c r="DL276" s="51"/>
      <c r="DM276" s="48"/>
      <c r="DN276" s="52"/>
      <c r="DO276" s="52"/>
      <c r="DP276" s="48"/>
      <c r="DQ276" s="48"/>
      <c r="DR276" s="48"/>
      <c r="DS276" s="51"/>
      <c r="DT276" s="48"/>
      <c r="DU276" s="48"/>
      <c r="DV276" s="48"/>
      <c r="DW276" s="48"/>
      <c r="DX276" s="48"/>
      <c r="DY276" s="48"/>
      <c r="DZ276" s="48"/>
    </row>
    <row r="277" spans="1:130" ht="50.25" customHeight="1">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51"/>
      <c r="AP277" s="51"/>
      <c r="AQ277" s="48"/>
      <c r="AR277" s="48"/>
      <c r="AS277" s="48"/>
      <c r="AT277" s="48"/>
      <c r="AU277" s="48"/>
      <c r="AV277" s="48"/>
      <c r="AW277" s="48"/>
      <c r="AX277" s="48"/>
      <c r="AY277" s="48"/>
      <c r="AZ277" s="48"/>
      <c r="BA277" s="48"/>
      <c r="BB277" s="51"/>
      <c r="BC277" s="48"/>
      <c r="BD277" s="48"/>
      <c r="BE277" s="48"/>
      <c r="BF277" s="48"/>
      <c r="BG277" s="48"/>
      <c r="BH277" s="48"/>
      <c r="BI277" s="48"/>
      <c r="BJ277" s="48"/>
      <c r="BK277" s="48"/>
      <c r="BL277" s="116"/>
      <c r="BM277" s="116"/>
      <c r="BN277" s="51"/>
      <c r="BO277" s="48"/>
      <c r="BP277" s="48"/>
      <c r="BQ277" s="48"/>
      <c r="BR277" s="48"/>
      <c r="BS277" s="48"/>
      <c r="BT277" s="48"/>
      <c r="BU277" s="48"/>
      <c r="BV277" s="48"/>
      <c r="BW277" s="48"/>
      <c r="BX277" s="48"/>
      <c r="BY277" s="48"/>
      <c r="BZ277" s="48"/>
      <c r="CA277" s="48"/>
      <c r="CB277" s="48"/>
      <c r="CC277" s="48"/>
      <c r="CD277" s="52"/>
      <c r="CE277" s="48"/>
      <c r="CF277" s="48"/>
      <c r="CG277" s="48"/>
      <c r="CH277" s="48"/>
      <c r="CI277" s="48"/>
      <c r="CJ277" s="51"/>
      <c r="CK277" s="129"/>
      <c r="CL277" s="129"/>
      <c r="CM277" s="129"/>
      <c r="CN277" s="116"/>
      <c r="CO277" s="116"/>
      <c r="CP277" s="116"/>
      <c r="CQ277" s="116"/>
      <c r="CR277" s="116"/>
      <c r="CS277" s="116"/>
      <c r="CT277" s="116"/>
      <c r="CU277" s="116"/>
      <c r="CV277" s="116"/>
      <c r="CW277" s="116"/>
      <c r="CX277" s="116"/>
      <c r="CY277" s="116"/>
      <c r="CZ277" s="116"/>
      <c r="DA277" s="48"/>
      <c r="DB277" s="48"/>
      <c r="DC277" s="48"/>
      <c r="DD277" s="54"/>
      <c r="DE277" s="54"/>
      <c r="DF277" s="54"/>
      <c r="DG277" s="54"/>
      <c r="DH277" s="54"/>
      <c r="DI277" s="54"/>
      <c r="DJ277" s="48"/>
      <c r="DK277" s="48"/>
      <c r="DL277" s="51"/>
      <c r="DM277" s="48"/>
      <c r="DN277" s="52"/>
      <c r="DO277" s="52"/>
      <c r="DP277" s="48"/>
      <c r="DQ277" s="48"/>
      <c r="DR277" s="48"/>
      <c r="DS277" s="51"/>
      <c r="DT277" s="48"/>
      <c r="DU277" s="48"/>
      <c r="DV277" s="48"/>
      <c r="DW277" s="48"/>
      <c r="DX277" s="48"/>
      <c r="DY277" s="48"/>
      <c r="DZ277" s="48"/>
    </row>
    <row r="278" spans="1:130" ht="50.25" customHeight="1">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51"/>
      <c r="AP278" s="51"/>
      <c r="AQ278" s="48"/>
      <c r="AR278" s="48"/>
      <c r="AS278" s="48"/>
      <c r="AT278" s="48"/>
      <c r="AU278" s="48"/>
      <c r="AV278" s="48"/>
      <c r="AW278" s="48"/>
      <c r="AX278" s="48"/>
      <c r="AY278" s="48"/>
      <c r="AZ278" s="48"/>
      <c r="BA278" s="48"/>
      <c r="BB278" s="51"/>
      <c r="BC278" s="48"/>
      <c r="BD278" s="48"/>
      <c r="BE278" s="48"/>
      <c r="BF278" s="48"/>
      <c r="BG278" s="48"/>
      <c r="BH278" s="48"/>
      <c r="BI278" s="48"/>
      <c r="BJ278" s="48"/>
      <c r="BK278" s="48"/>
      <c r="BL278" s="116"/>
      <c r="BM278" s="116"/>
      <c r="BN278" s="51"/>
      <c r="BO278" s="48"/>
      <c r="BP278" s="48"/>
      <c r="BQ278" s="48"/>
      <c r="BR278" s="48"/>
      <c r="BS278" s="48"/>
      <c r="BT278" s="48"/>
      <c r="BU278" s="48"/>
      <c r="BV278" s="48"/>
      <c r="BW278" s="48"/>
      <c r="BX278" s="48"/>
      <c r="BY278" s="48"/>
      <c r="BZ278" s="48"/>
      <c r="CA278" s="48"/>
      <c r="CB278" s="48"/>
      <c r="CC278" s="48"/>
      <c r="CD278" s="52"/>
      <c r="CE278" s="48"/>
      <c r="CF278" s="48"/>
      <c r="CG278" s="48"/>
      <c r="CH278" s="48"/>
      <c r="CI278" s="48"/>
      <c r="CJ278" s="51"/>
      <c r="CK278" s="129"/>
      <c r="CL278" s="129"/>
      <c r="CM278" s="129"/>
      <c r="CN278" s="116"/>
      <c r="CO278" s="116"/>
      <c r="CP278" s="116"/>
      <c r="CQ278" s="116"/>
      <c r="CR278" s="116"/>
      <c r="CS278" s="116"/>
      <c r="CT278" s="116"/>
      <c r="CU278" s="116"/>
      <c r="CV278" s="116"/>
      <c r="CW278" s="116"/>
      <c r="CX278" s="116"/>
      <c r="CY278" s="116"/>
      <c r="CZ278" s="116"/>
      <c r="DA278" s="48"/>
      <c r="DB278" s="48"/>
      <c r="DC278" s="48"/>
      <c r="DD278" s="54"/>
      <c r="DE278" s="54"/>
      <c r="DF278" s="54"/>
      <c r="DG278" s="54"/>
      <c r="DH278" s="54"/>
      <c r="DI278" s="54"/>
      <c r="DJ278" s="48"/>
      <c r="DK278" s="48"/>
      <c r="DL278" s="51"/>
      <c r="DM278" s="48"/>
      <c r="DN278" s="52"/>
      <c r="DO278" s="52"/>
      <c r="DP278" s="48"/>
      <c r="DQ278" s="48"/>
      <c r="DR278" s="48"/>
      <c r="DS278" s="51"/>
      <c r="DT278" s="48"/>
      <c r="DU278" s="48"/>
      <c r="DV278" s="48"/>
      <c r="DW278" s="48"/>
      <c r="DX278" s="48"/>
      <c r="DY278" s="48"/>
      <c r="DZ278" s="48"/>
    </row>
    <row r="279" spans="1:130" ht="50.25" customHeight="1">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51"/>
      <c r="AP279" s="51"/>
      <c r="AQ279" s="48"/>
      <c r="AR279" s="48"/>
      <c r="AS279" s="48"/>
      <c r="AT279" s="48"/>
      <c r="AU279" s="48"/>
      <c r="AV279" s="48"/>
      <c r="AW279" s="48"/>
      <c r="AX279" s="48"/>
      <c r="AY279" s="48"/>
      <c r="AZ279" s="48"/>
      <c r="BA279" s="48"/>
      <c r="BB279" s="51"/>
      <c r="BC279" s="48"/>
      <c r="BD279" s="48"/>
      <c r="BE279" s="48"/>
      <c r="BF279" s="48"/>
      <c r="BG279" s="48"/>
      <c r="BH279" s="48"/>
      <c r="BI279" s="48"/>
      <c r="BJ279" s="48"/>
      <c r="BK279" s="48"/>
      <c r="BL279" s="116"/>
      <c r="BM279" s="116"/>
      <c r="BN279" s="51"/>
      <c r="BO279" s="48"/>
      <c r="BP279" s="48"/>
      <c r="BQ279" s="48"/>
      <c r="BR279" s="48"/>
      <c r="BS279" s="48"/>
      <c r="BT279" s="48"/>
      <c r="BU279" s="48"/>
      <c r="BV279" s="48"/>
      <c r="BW279" s="48"/>
      <c r="BX279" s="48"/>
      <c r="BY279" s="48"/>
      <c r="BZ279" s="48"/>
      <c r="CA279" s="48"/>
      <c r="CB279" s="48"/>
      <c r="CC279" s="48"/>
      <c r="CD279" s="52"/>
      <c r="CE279" s="48"/>
      <c r="CF279" s="48"/>
      <c r="CG279" s="48"/>
      <c r="CH279" s="48"/>
      <c r="CI279" s="48"/>
      <c r="CJ279" s="51"/>
      <c r="CK279" s="129"/>
      <c r="CL279" s="129"/>
      <c r="CM279" s="129"/>
      <c r="CN279" s="116"/>
      <c r="CO279" s="116"/>
      <c r="CP279" s="116"/>
      <c r="CQ279" s="116"/>
      <c r="CR279" s="116"/>
      <c r="CS279" s="116"/>
      <c r="CT279" s="116"/>
      <c r="CU279" s="116"/>
      <c r="CV279" s="116"/>
      <c r="CW279" s="116"/>
      <c r="CX279" s="116"/>
      <c r="CY279" s="116"/>
      <c r="CZ279" s="116"/>
      <c r="DA279" s="48"/>
      <c r="DB279" s="48"/>
      <c r="DC279" s="48"/>
      <c r="DD279" s="54"/>
      <c r="DE279" s="54"/>
      <c r="DF279" s="54"/>
      <c r="DG279" s="54"/>
      <c r="DH279" s="54"/>
      <c r="DI279" s="54"/>
      <c r="DJ279" s="48"/>
      <c r="DK279" s="48"/>
      <c r="DL279" s="51"/>
      <c r="DM279" s="48"/>
      <c r="DN279" s="52"/>
      <c r="DO279" s="52"/>
      <c r="DP279" s="48"/>
      <c r="DQ279" s="48"/>
      <c r="DR279" s="48"/>
      <c r="DS279" s="51"/>
      <c r="DT279" s="48"/>
      <c r="DU279" s="48"/>
      <c r="DV279" s="48"/>
      <c r="DW279" s="48"/>
      <c r="DX279" s="48"/>
      <c r="DY279" s="48"/>
      <c r="DZ279" s="48"/>
    </row>
    <row r="280" spans="1:130" ht="50.25" customHeight="1">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51"/>
      <c r="AP280" s="51"/>
      <c r="AQ280" s="48"/>
      <c r="AR280" s="48"/>
      <c r="AS280" s="48"/>
      <c r="AT280" s="48"/>
      <c r="AU280" s="48"/>
      <c r="AV280" s="48"/>
      <c r="AW280" s="48"/>
      <c r="AX280" s="48"/>
      <c r="AY280" s="48"/>
      <c r="AZ280" s="48"/>
      <c r="BA280" s="48"/>
      <c r="BB280" s="51"/>
      <c r="BC280" s="48"/>
      <c r="BD280" s="48"/>
      <c r="BE280" s="48"/>
      <c r="BF280" s="48"/>
      <c r="BG280" s="48"/>
      <c r="BH280" s="48"/>
      <c r="BI280" s="48"/>
      <c r="BJ280" s="48"/>
      <c r="BK280" s="48"/>
      <c r="BL280" s="116"/>
      <c r="BM280" s="116"/>
      <c r="BN280" s="51"/>
      <c r="BO280" s="48"/>
      <c r="BP280" s="48"/>
      <c r="BQ280" s="48"/>
      <c r="BR280" s="48"/>
      <c r="BS280" s="48"/>
      <c r="BT280" s="48"/>
      <c r="BU280" s="48"/>
      <c r="BV280" s="48"/>
      <c r="BW280" s="48"/>
      <c r="BX280" s="48"/>
      <c r="BY280" s="48"/>
      <c r="BZ280" s="48"/>
      <c r="CA280" s="48"/>
      <c r="CB280" s="48"/>
      <c r="CC280" s="48"/>
      <c r="CD280" s="52"/>
      <c r="CE280" s="48"/>
      <c r="CF280" s="48"/>
      <c r="CG280" s="48"/>
      <c r="CH280" s="48"/>
      <c r="CI280" s="48"/>
      <c r="CJ280" s="51"/>
      <c r="CK280" s="129"/>
      <c r="CL280" s="129"/>
      <c r="CM280" s="129"/>
      <c r="CN280" s="116"/>
      <c r="CO280" s="116"/>
      <c r="CP280" s="116"/>
      <c r="CQ280" s="116"/>
      <c r="CR280" s="116"/>
      <c r="CS280" s="116"/>
      <c r="CT280" s="116"/>
      <c r="CU280" s="116"/>
      <c r="CV280" s="116"/>
      <c r="CW280" s="116"/>
      <c r="CX280" s="116"/>
      <c r="CY280" s="116"/>
      <c r="CZ280" s="116"/>
      <c r="DA280" s="48"/>
      <c r="DB280" s="48"/>
      <c r="DC280" s="48"/>
      <c r="DD280" s="54"/>
      <c r="DE280" s="54"/>
      <c r="DF280" s="54"/>
      <c r="DG280" s="54"/>
      <c r="DH280" s="54"/>
      <c r="DI280" s="54"/>
      <c r="DJ280" s="48"/>
      <c r="DK280" s="48"/>
      <c r="DL280" s="51"/>
      <c r="DM280" s="48"/>
      <c r="DN280" s="52"/>
      <c r="DO280" s="52"/>
      <c r="DP280" s="48"/>
      <c r="DQ280" s="48"/>
      <c r="DR280" s="48"/>
      <c r="DS280" s="51"/>
      <c r="DT280" s="48"/>
      <c r="DU280" s="48"/>
      <c r="DV280" s="48"/>
      <c r="DW280" s="48"/>
      <c r="DX280" s="48"/>
      <c r="DY280" s="48"/>
      <c r="DZ280" s="48"/>
    </row>
    <row r="281" spans="1:130" ht="50.25" customHeight="1">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51"/>
      <c r="AP281" s="51"/>
      <c r="AQ281" s="48"/>
      <c r="AR281" s="48"/>
      <c r="AS281" s="48"/>
      <c r="AT281" s="48"/>
      <c r="AU281" s="48"/>
      <c r="AV281" s="48"/>
      <c r="AW281" s="48"/>
      <c r="AX281" s="48"/>
      <c r="AY281" s="48"/>
      <c r="AZ281" s="48"/>
      <c r="BA281" s="48"/>
      <c r="BB281" s="51"/>
      <c r="BC281" s="48"/>
      <c r="BD281" s="48"/>
      <c r="BE281" s="48"/>
      <c r="BF281" s="48"/>
      <c r="BG281" s="48"/>
      <c r="BH281" s="48"/>
      <c r="BI281" s="48"/>
      <c r="BJ281" s="48"/>
      <c r="BK281" s="48"/>
      <c r="BL281" s="116"/>
      <c r="BM281" s="116"/>
      <c r="BN281" s="51"/>
      <c r="BO281" s="48"/>
      <c r="BP281" s="48"/>
      <c r="BQ281" s="48"/>
      <c r="BR281" s="48"/>
      <c r="BS281" s="48"/>
      <c r="BT281" s="48"/>
      <c r="BU281" s="48"/>
      <c r="BV281" s="48"/>
      <c r="BW281" s="48"/>
      <c r="BX281" s="48"/>
      <c r="BY281" s="48"/>
      <c r="BZ281" s="48"/>
      <c r="CA281" s="48"/>
      <c r="CB281" s="48"/>
      <c r="CC281" s="48"/>
      <c r="CD281" s="52"/>
      <c r="CE281" s="48"/>
      <c r="CF281" s="48"/>
      <c r="CG281" s="48"/>
      <c r="CH281" s="48"/>
      <c r="CI281" s="48"/>
      <c r="CJ281" s="51"/>
      <c r="CK281" s="129"/>
      <c r="CL281" s="129"/>
      <c r="CM281" s="129"/>
      <c r="CN281" s="116"/>
      <c r="CO281" s="116"/>
      <c r="CP281" s="116"/>
      <c r="CQ281" s="116"/>
      <c r="CR281" s="116"/>
      <c r="CS281" s="116"/>
      <c r="CT281" s="116"/>
      <c r="CU281" s="116"/>
      <c r="CV281" s="116"/>
      <c r="CW281" s="116"/>
      <c r="CX281" s="116"/>
      <c r="CY281" s="116"/>
      <c r="CZ281" s="116"/>
      <c r="DA281" s="48"/>
      <c r="DB281" s="48"/>
      <c r="DC281" s="48"/>
      <c r="DD281" s="54"/>
      <c r="DE281" s="54"/>
      <c r="DF281" s="54"/>
      <c r="DG281" s="54"/>
      <c r="DH281" s="54"/>
      <c r="DI281" s="54"/>
      <c r="DJ281" s="48"/>
      <c r="DK281" s="48"/>
      <c r="DL281" s="51"/>
      <c r="DM281" s="48"/>
      <c r="DN281" s="52"/>
      <c r="DO281" s="52"/>
      <c r="DP281" s="48"/>
      <c r="DQ281" s="48"/>
      <c r="DR281" s="48"/>
      <c r="DS281" s="51"/>
      <c r="DT281" s="48"/>
      <c r="DU281" s="48"/>
      <c r="DV281" s="48"/>
      <c r="DW281" s="48"/>
      <c r="DX281" s="48"/>
      <c r="DY281" s="48"/>
      <c r="DZ281" s="48"/>
    </row>
    <row r="282" spans="1:130" ht="50.25" customHeight="1">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51"/>
      <c r="AP282" s="51"/>
      <c r="AQ282" s="48"/>
      <c r="AR282" s="48"/>
      <c r="AS282" s="48"/>
      <c r="AT282" s="48"/>
      <c r="AU282" s="48"/>
      <c r="AV282" s="48"/>
      <c r="AW282" s="48"/>
      <c r="AX282" s="48"/>
      <c r="AY282" s="48"/>
      <c r="AZ282" s="48"/>
      <c r="BA282" s="48"/>
      <c r="BB282" s="51"/>
      <c r="BC282" s="48"/>
      <c r="BD282" s="48"/>
      <c r="BE282" s="48"/>
      <c r="BF282" s="48"/>
      <c r="BG282" s="48"/>
      <c r="BH282" s="48"/>
      <c r="BI282" s="48"/>
      <c r="BJ282" s="48"/>
      <c r="BK282" s="48"/>
      <c r="BL282" s="116"/>
      <c r="BM282" s="116"/>
      <c r="BN282" s="51"/>
      <c r="BO282" s="48"/>
      <c r="BP282" s="48"/>
      <c r="BQ282" s="48"/>
      <c r="BR282" s="48"/>
      <c r="BS282" s="48"/>
      <c r="BT282" s="48"/>
      <c r="BU282" s="48"/>
      <c r="BV282" s="48"/>
      <c r="BW282" s="48"/>
      <c r="BX282" s="48"/>
      <c r="BY282" s="48"/>
      <c r="BZ282" s="48"/>
      <c r="CA282" s="48"/>
      <c r="CB282" s="48"/>
      <c r="CC282" s="48"/>
      <c r="CD282" s="52"/>
      <c r="CE282" s="48"/>
      <c r="CF282" s="48"/>
      <c r="CG282" s="48"/>
      <c r="CH282" s="48"/>
      <c r="CI282" s="48"/>
      <c r="CJ282" s="51"/>
      <c r="CK282" s="129"/>
      <c r="CL282" s="129"/>
      <c r="CM282" s="129"/>
      <c r="CN282" s="116"/>
      <c r="CO282" s="116"/>
      <c r="CP282" s="116"/>
      <c r="CQ282" s="116"/>
      <c r="CR282" s="116"/>
      <c r="CS282" s="116"/>
      <c r="CT282" s="116"/>
      <c r="CU282" s="116"/>
      <c r="CV282" s="116"/>
      <c r="CW282" s="116"/>
      <c r="CX282" s="116"/>
      <c r="CY282" s="116"/>
      <c r="CZ282" s="116"/>
      <c r="DA282" s="48"/>
      <c r="DB282" s="48"/>
      <c r="DC282" s="48"/>
      <c r="DD282" s="54"/>
      <c r="DE282" s="54"/>
      <c r="DF282" s="54"/>
      <c r="DG282" s="54"/>
      <c r="DH282" s="54"/>
      <c r="DI282" s="54"/>
      <c r="DJ282" s="48"/>
      <c r="DK282" s="48"/>
      <c r="DL282" s="51"/>
      <c r="DM282" s="48"/>
      <c r="DN282" s="52"/>
      <c r="DO282" s="52"/>
      <c r="DP282" s="48"/>
      <c r="DQ282" s="48"/>
      <c r="DR282" s="48"/>
      <c r="DS282" s="51"/>
      <c r="DT282" s="48"/>
      <c r="DU282" s="48"/>
      <c r="DV282" s="48"/>
      <c r="DW282" s="48"/>
      <c r="DX282" s="48"/>
      <c r="DY282" s="48"/>
      <c r="DZ282" s="48"/>
    </row>
    <row r="283" spans="1:130" ht="50.25" customHeight="1">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51"/>
      <c r="AP283" s="51"/>
      <c r="AQ283" s="48"/>
      <c r="AR283" s="48"/>
      <c r="AS283" s="48"/>
      <c r="AT283" s="48"/>
      <c r="AU283" s="48"/>
      <c r="AV283" s="48"/>
      <c r="AW283" s="48"/>
      <c r="AX283" s="48"/>
      <c r="AY283" s="48"/>
      <c r="AZ283" s="48"/>
      <c r="BA283" s="48"/>
      <c r="BB283" s="51"/>
      <c r="BC283" s="48"/>
      <c r="BD283" s="48"/>
      <c r="BE283" s="48"/>
      <c r="BF283" s="48"/>
      <c r="BG283" s="48"/>
      <c r="BH283" s="48"/>
      <c r="BI283" s="48"/>
      <c r="BJ283" s="48"/>
      <c r="BK283" s="48"/>
      <c r="BL283" s="116"/>
      <c r="BM283" s="116"/>
      <c r="BN283" s="51"/>
      <c r="BO283" s="48"/>
      <c r="BP283" s="48"/>
      <c r="BQ283" s="48"/>
      <c r="BR283" s="48"/>
      <c r="BS283" s="48"/>
      <c r="BT283" s="48"/>
      <c r="BU283" s="48"/>
      <c r="BV283" s="48"/>
      <c r="BW283" s="48"/>
      <c r="BX283" s="48"/>
      <c r="BY283" s="48"/>
      <c r="BZ283" s="48"/>
      <c r="CA283" s="48"/>
      <c r="CB283" s="48"/>
      <c r="CC283" s="48"/>
      <c r="CD283" s="52"/>
      <c r="CE283" s="48"/>
      <c r="CF283" s="48"/>
      <c r="CG283" s="48"/>
      <c r="CH283" s="48"/>
      <c r="CI283" s="48"/>
      <c r="CJ283" s="51"/>
      <c r="CK283" s="129"/>
      <c r="CL283" s="129"/>
      <c r="CM283" s="129"/>
      <c r="CN283" s="116"/>
      <c r="CO283" s="116"/>
      <c r="CP283" s="116"/>
      <c r="CQ283" s="116"/>
      <c r="CR283" s="116"/>
      <c r="CS283" s="116"/>
      <c r="CT283" s="116"/>
      <c r="CU283" s="116"/>
      <c r="CV283" s="116"/>
      <c r="CW283" s="116"/>
      <c r="CX283" s="116"/>
      <c r="CY283" s="116"/>
      <c r="CZ283" s="116"/>
      <c r="DA283" s="48"/>
      <c r="DB283" s="48"/>
      <c r="DC283" s="48"/>
      <c r="DD283" s="54"/>
      <c r="DE283" s="54"/>
      <c r="DF283" s="54"/>
      <c r="DG283" s="54"/>
      <c r="DH283" s="54"/>
      <c r="DI283" s="54"/>
      <c r="DJ283" s="48"/>
      <c r="DK283" s="48"/>
      <c r="DL283" s="51"/>
      <c r="DM283" s="48"/>
      <c r="DN283" s="52"/>
      <c r="DO283" s="52"/>
      <c r="DP283" s="48"/>
      <c r="DQ283" s="48"/>
      <c r="DR283" s="48"/>
      <c r="DS283" s="51"/>
      <c r="DT283" s="48"/>
      <c r="DU283" s="48"/>
      <c r="DV283" s="48"/>
      <c r="DW283" s="48"/>
      <c r="DX283" s="48"/>
      <c r="DY283" s="48"/>
      <c r="DZ283" s="48"/>
    </row>
    <row r="284" spans="1:130" ht="50.25" customHeight="1">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51"/>
      <c r="AP284" s="51"/>
      <c r="AQ284" s="48"/>
      <c r="AR284" s="48"/>
      <c r="AS284" s="48"/>
      <c r="AT284" s="48"/>
      <c r="AU284" s="48"/>
      <c r="AV284" s="48"/>
      <c r="AW284" s="48"/>
      <c r="AX284" s="48"/>
      <c r="AY284" s="48"/>
      <c r="AZ284" s="48"/>
      <c r="BA284" s="48"/>
      <c r="BB284" s="51"/>
      <c r="BC284" s="48"/>
      <c r="BD284" s="48"/>
      <c r="BE284" s="48"/>
      <c r="BF284" s="48"/>
      <c r="BG284" s="48"/>
      <c r="BH284" s="48"/>
      <c r="BI284" s="48"/>
      <c r="BJ284" s="48"/>
      <c r="BK284" s="48"/>
      <c r="BL284" s="116"/>
      <c r="BM284" s="116"/>
      <c r="BN284" s="51"/>
      <c r="BO284" s="48"/>
      <c r="BP284" s="48"/>
      <c r="BQ284" s="48"/>
      <c r="BR284" s="48"/>
      <c r="BS284" s="48"/>
      <c r="BT284" s="48"/>
      <c r="BU284" s="48"/>
      <c r="BV284" s="48"/>
      <c r="BW284" s="48"/>
      <c r="BX284" s="48"/>
      <c r="BY284" s="48"/>
      <c r="BZ284" s="48"/>
      <c r="CA284" s="48"/>
      <c r="CB284" s="48"/>
      <c r="CC284" s="48"/>
      <c r="CD284" s="52"/>
      <c r="CE284" s="48"/>
      <c r="CF284" s="48"/>
      <c r="CG284" s="48"/>
      <c r="CH284" s="48"/>
      <c r="CI284" s="48"/>
      <c r="CJ284" s="51"/>
      <c r="CK284" s="129"/>
      <c r="CL284" s="129"/>
      <c r="CM284" s="129"/>
      <c r="CN284" s="116"/>
      <c r="CO284" s="116"/>
      <c r="CP284" s="116"/>
      <c r="CQ284" s="116"/>
      <c r="CR284" s="116"/>
      <c r="CS284" s="116"/>
      <c r="CT284" s="116"/>
      <c r="CU284" s="116"/>
      <c r="CV284" s="116"/>
      <c r="CW284" s="116"/>
      <c r="CX284" s="116"/>
      <c r="CY284" s="116"/>
      <c r="CZ284" s="116"/>
      <c r="DA284" s="48"/>
      <c r="DB284" s="48"/>
      <c r="DC284" s="48"/>
      <c r="DD284" s="54"/>
      <c r="DE284" s="54"/>
      <c r="DF284" s="54"/>
      <c r="DG284" s="54"/>
      <c r="DH284" s="54"/>
      <c r="DI284" s="54"/>
      <c r="DJ284" s="48"/>
      <c r="DK284" s="48"/>
      <c r="DL284" s="51"/>
      <c r="DM284" s="48"/>
      <c r="DN284" s="52"/>
      <c r="DO284" s="52"/>
      <c r="DP284" s="48"/>
      <c r="DQ284" s="48"/>
      <c r="DR284" s="48"/>
      <c r="DS284" s="51"/>
      <c r="DT284" s="48"/>
      <c r="DU284" s="48"/>
      <c r="DV284" s="48"/>
      <c r="DW284" s="48"/>
      <c r="DX284" s="48"/>
      <c r="DY284" s="48"/>
      <c r="DZ284" s="48"/>
    </row>
    <row r="285" spans="1:130" ht="50.25" customHeight="1">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51"/>
      <c r="AP285" s="51"/>
      <c r="AQ285" s="48"/>
      <c r="AR285" s="48"/>
      <c r="AS285" s="48"/>
      <c r="AT285" s="48"/>
      <c r="AU285" s="48"/>
      <c r="AV285" s="48"/>
      <c r="AW285" s="48"/>
      <c r="AX285" s="48"/>
      <c r="AY285" s="48"/>
      <c r="AZ285" s="48"/>
      <c r="BA285" s="48"/>
      <c r="BB285" s="51"/>
      <c r="BC285" s="48"/>
      <c r="BD285" s="48"/>
      <c r="BE285" s="48"/>
      <c r="BF285" s="48"/>
      <c r="BG285" s="48"/>
      <c r="BH285" s="48"/>
      <c r="BI285" s="48"/>
      <c r="BJ285" s="48"/>
      <c r="BK285" s="48"/>
      <c r="BL285" s="116"/>
      <c r="BM285" s="116"/>
      <c r="BN285" s="51"/>
      <c r="BO285" s="48"/>
      <c r="BP285" s="48"/>
      <c r="BQ285" s="48"/>
      <c r="BR285" s="48"/>
      <c r="BS285" s="48"/>
      <c r="BT285" s="48"/>
      <c r="BU285" s="48"/>
      <c r="BV285" s="48"/>
      <c r="BW285" s="48"/>
      <c r="BX285" s="48"/>
      <c r="BY285" s="48"/>
      <c r="BZ285" s="48"/>
      <c r="CA285" s="48"/>
      <c r="CB285" s="48"/>
      <c r="CC285" s="48"/>
      <c r="CD285" s="52"/>
      <c r="CE285" s="48"/>
      <c r="CF285" s="48"/>
      <c r="CG285" s="48"/>
      <c r="CH285" s="48"/>
      <c r="CI285" s="48"/>
      <c r="CJ285" s="51"/>
      <c r="CK285" s="129"/>
      <c r="CL285" s="129"/>
      <c r="CM285" s="129"/>
      <c r="CN285" s="116"/>
      <c r="CO285" s="116"/>
      <c r="CP285" s="116"/>
      <c r="CQ285" s="116"/>
      <c r="CR285" s="116"/>
      <c r="CS285" s="116"/>
      <c r="CT285" s="116"/>
      <c r="CU285" s="116"/>
      <c r="CV285" s="116"/>
      <c r="CW285" s="116"/>
      <c r="CX285" s="116"/>
      <c r="CY285" s="116"/>
      <c r="CZ285" s="116"/>
      <c r="DA285" s="48"/>
      <c r="DB285" s="48"/>
      <c r="DC285" s="48"/>
      <c r="DD285" s="54"/>
      <c r="DE285" s="54"/>
      <c r="DF285" s="54"/>
      <c r="DG285" s="54"/>
      <c r="DH285" s="54"/>
      <c r="DI285" s="54"/>
      <c r="DJ285" s="48"/>
      <c r="DK285" s="48"/>
      <c r="DL285" s="51"/>
      <c r="DM285" s="48"/>
      <c r="DN285" s="52"/>
      <c r="DO285" s="52"/>
      <c r="DP285" s="48"/>
      <c r="DQ285" s="48"/>
      <c r="DR285" s="48"/>
      <c r="DS285" s="51"/>
      <c r="DT285" s="48"/>
      <c r="DU285" s="48"/>
      <c r="DV285" s="48"/>
      <c r="DW285" s="48"/>
      <c r="DX285" s="48"/>
      <c r="DY285" s="48"/>
      <c r="DZ285" s="48"/>
    </row>
    <row r="286" spans="1:130" ht="50.25" customHeight="1">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51"/>
      <c r="AP286" s="51"/>
      <c r="AQ286" s="48"/>
      <c r="AR286" s="48"/>
      <c r="AS286" s="48"/>
      <c r="AT286" s="48"/>
      <c r="AU286" s="48"/>
      <c r="AV286" s="48"/>
      <c r="AW286" s="48"/>
      <c r="AX286" s="48"/>
      <c r="AY286" s="48"/>
      <c r="AZ286" s="48"/>
      <c r="BA286" s="48"/>
      <c r="BB286" s="51"/>
      <c r="BC286" s="48"/>
      <c r="BD286" s="48"/>
      <c r="BE286" s="48"/>
      <c r="BF286" s="48"/>
      <c r="BG286" s="48"/>
      <c r="BH286" s="48"/>
      <c r="BI286" s="48"/>
      <c r="BJ286" s="48"/>
      <c r="BK286" s="48"/>
      <c r="BL286" s="116"/>
      <c r="BM286" s="116"/>
      <c r="BN286" s="51"/>
      <c r="BO286" s="48"/>
      <c r="BP286" s="48"/>
      <c r="BQ286" s="48"/>
      <c r="BR286" s="48"/>
      <c r="BS286" s="48"/>
      <c r="BT286" s="48"/>
      <c r="BU286" s="48"/>
      <c r="BV286" s="48"/>
      <c r="BW286" s="48"/>
      <c r="BX286" s="48"/>
      <c r="BY286" s="48"/>
      <c r="BZ286" s="48"/>
      <c r="CA286" s="48"/>
      <c r="CB286" s="48"/>
      <c r="CC286" s="48"/>
      <c r="CD286" s="52"/>
      <c r="CE286" s="48"/>
      <c r="CF286" s="48"/>
      <c r="CG286" s="48"/>
      <c r="CH286" s="48"/>
      <c r="CI286" s="48"/>
      <c r="CJ286" s="51"/>
      <c r="CK286" s="129"/>
      <c r="CL286" s="129"/>
      <c r="CM286" s="129"/>
      <c r="CN286" s="116"/>
      <c r="CO286" s="116"/>
      <c r="CP286" s="116"/>
      <c r="CQ286" s="116"/>
      <c r="CR286" s="116"/>
      <c r="CS286" s="116"/>
      <c r="CT286" s="116"/>
      <c r="CU286" s="116"/>
      <c r="CV286" s="116"/>
      <c r="CW286" s="116"/>
      <c r="CX286" s="116"/>
      <c r="CY286" s="116"/>
      <c r="CZ286" s="116"/>
      <c r="DA286" s="48"/>
      <c r="DB286" s="48"/>
      <c r="DC286" s="48"/>
      <c r="DD286" s="54"/>
      <c r="DE286" s="54"/>
      <c r="DF286" s="54"/>
      <c r="DG286" s="54"/>
      <c r="DH286" s="54"/>
      <c r="DI286" s="54"/>
      <c r="DJ286" s="48"/>
      <c r="DK286" s="48"/>
      <c r="DL286" s="51"/>
      <c r="DM286" s="48"/>
      <c r="DN286" s="52"/>
      <c r="DO286" s="52"/>
      <c r="DP286" s="48"/>
      <c r="DQ286" s="48"/>
      <c r="DR286" s="48"/>
      <c r="DS286" s="51"/>
      <c r="DT286" s="48"/>
      <c r="DU286" s="48"/>
      <c r="DV286" s="48"/>
      <c r="DW286" s="48"/>
      <c r="DX286" s="48"/>
      <c r="DY286" s="48"/>
      <c r="DZ286" s="48"/>
    </row>
    <row r="287" spans="1:130" ht="50.25" customHeight="1">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51"/>
      <c r="AP287" s="51"/>
      <c r="AQ287" s="48"/>
      <c r="AR287" s="48"/>
      <c r="AS287" s="48"/>
      <c r="AT287" s="48"/>
      <c r="AU287" s="48"/>
      <c r="AV287" s="48"/>
      <c r="AW287" s="48"/>
      <c r="AX287" s="48"/>
      <c r="AY287" s="48"/>
      <c r="AZ287" s="48"/>
      <c r="BA287" s="48"/>
      <c r="BB287" s="51"/>
      <c r="BC287" s="48"/>
      <c r="BD287" s="48"/>
      <c r="BE287" s="48"/>
      <c r="BF287" s="48"/>
      <c r="BG287" s="48"/>
      <c r="BH287" s="48"/>
      <c r="BI287" s="48"/>
      <c r="BJ287" s="48"/>
      <c r="BK287" s="48"/>
      <c r="BL287" s="116"/>
      <c r="BM287" s="116"/>
      <c r="BN287" s="51"/>
      <c r="BO287" s="48"/>
      <c r="BP287" s="48"/>
      <c r="BQ287" s="48"/>
      <c r="BR287" s="48"/>
      <c r="BS287" s="48"/>
      <c r="BT287" s="48"/>
      <c r="BU287" s="48"/>
      <c r="BV287" s="48"/>
      <c r="BW287" s="48"/>
      <c r="BX287" s="48"/>
      <c r="BY287" s="48"/>
      <c r="BZ287" s="48"/>
      <c r="CA287" s="48"/>
      <c r="CB287" s="48"/>
      <c r="CC287" s="48"/>
      <c r="CD287" s="52"/>
      <c r="CE287" s="48"/>
      <c r="CF287" s="48"/>
      <c r="CG287" s="48"/>
      <c r="CH287" s="48"/>
      <c r="CI287" s="48"/>
      <c r="CJ287" s="51"/>
      <c r="CK287" s="129"/>
      <c r="CL287" s="129"/>
      <c r="CM287" s="129"/>
      <c r="CN287" s="116"/>
      <c r="CO287" s="116"/>
      <c r="CP287" s="116"/>
      <c r="CQ287" s="116"/>
      <c r="CR287" s="116"/>
      <c r="CS287" s="116"/>
      <c r="CT287" s="116"/>
      <c r="CU287" s="116"/>
      <c r="CV287" s="116"/>
      <c r="CW287" s="116"/>
      <c r="CX287" s="116"/>
      <c r="CY287" s="116"/>
      <c r="CZ287" s="116"/>
      <c r="DA287" s="48"/>
      <c r="DB287" s="48"/>
      <c r="DC287" s="48"/>
      <c r="DD287" s="54"/>
      <c r="DE287" s="54"/>
      <c r="DF287" s="54"/>
      <c r="DG287" s="54"/>
      <c r="DH287" s="54"/>
      <c r="DI287" s="54"/>
      <c r="DJ287" s="48"/>
      <c r="DK287" s="48"/>
      <c r="DL287" s="51"/>
      <c r="DM287" s="48"/>
      <c r="DN287" s="52"/>
      <c r="DO287" s="52"/>
      <c r="DP287" s="48"/>
      <c r="DQ287" s="48"/>
      <c r="DR287" s="48"/>
      <c r="DS287" s="51"/>
      <c r="DT287" s="48"/>
      <c r="DU287" s="48"/>
      <c r="DV287" s="48"/>
      <c r="DW287" s="48"/>
      <c r="DX287" s="48"/>
      <c r="DY287" s="48"/>
      <c r="DZ287" s="48"/>
    </row>
    <row r="288" spans="1:130" ht="50.25" customHeight="1">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51"/>
      <c r="AP288" s="51"/>
      <c r="AQ288" s="48"/>
      <c r="AR288" s="48"/>
      <c r="AS288" s="48"/>
      <c r="AT288" s="48"/>
      <c r="AU288" s="48"/>
      <c r="AV288" s="48"/>
      <c r="AW288" s="48"/>
      <c r="AX288" s="48"/>
      <c r="AY288" s="48"/>
      <c r="AZ288" s="48"/>
      <c r="BA288" s="48"/>
      <c r="BB288" s="51"/>
      <c r="BC288" s="48"/>
      <c r="BD288" s="48"/>
      <c r="BE288" s="48"/>
      <c r="BF288" s="48"/>
      <c r="BG288" s="48"/>
      <c r="BH288" s="48"/>
      <c r="BI288" s="48"/>
      <c r="BJ288" s="48"/>
      <c r="BK288" s="48"/>
      <c r="BL288" s="116"/>
      <c r="BM288" s="116"/>
      <c r="BN288" s="51"/>
      <c r="BO288" s="48"/>
      <c r="BP288" s="48"/>
      <c r="BQ288" s="48"/>
      <c r="BR288" s="48"/>
      <c r="BS288" s="48"/>
      <c r="BT288" s="48"/>
      <c r="BU288" s="48"/>
      <c r="BV288" s="48"/>
      <c r="BW288" s="48"/>
      <c r="BX288" s="48"/>
      <c r="BY288" s="48"/>
      <c r="BZ288" s="48"/>
      <c r="CA288" s="48"/>
      <c r="CB288" s="48"/>
      <c r="CC288" s="48"/>
      <c r="CD288" s="52"/>
      <c r="CE288" s="48"/>
      <c r="CF288" s="48"/>
      <c r="CG288" s="48"/>
      <c r="CH288" s="48"/>
      <c r="CI288" s="48"/>
      <c r="CJ288" s="51"/>
      <c r="CK288" s="129"/>
      <c r="CL288" s="129"/>
      <c r="CM288" s="129"/>
      <c r="CN288" s="116"/>
      <c r="CO288" s="116"/>
      <c r="CP288" s="116"/>
      <c r="CQ288" s="116"/>
      <c r="CR288" s="116"/>
      <c r="CS288" s="116"/>
      <c r="CT288" s="116"/>
      <c r="CU288" s="116"/>
      <c r="CV288" s="116"/>
      <c r="CW288" s="116"/>
      <c r="CX288" s="116"/>
      <c r="CY288" s="116"/>
      <c r="CZ288" s="116"/>
      <c r="DA288" s="48"/>
      <c r="DB288" s="48"/>
      <c r="DC288" s="48"/>
      <c r="DD288" s="54"/>
      <c r="DE288" s="54"/>
      <c r="DF288" s="54"/>
      <c r="DG288" s="54"/>
      <c r="DH288" s="54"/>
      <c r="DI288" s="54"/>
      <c r="DJ288" s="48"/>
      <c r="DK288" s="48"/>
      <c r="DL288" s="51"/>
      <c r="DM288" s="48"/>
      <c r="DN288" s="52"/>
      <c r="DO288" s="52"/>
      <c r="DP288" s="48"/>
      <c r="DQ288" s="48"/>
      <c r="DR288" s="48"/>
      <c r="DS288" s="51"/>
      <c r="DT288" s="48"/>
      <c r="DU288" s="48"/>
      <c r="DV288" s="48"/>
      <c r="DW288" s="48"/>
      <c r="DX288" s="48"/>
      <c r="DY288" s="48"/>
      <c r="DZ288" s="48"/>
    </row>
    <row r="289" spans="1:130" ht="50.25" customHeight="1">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51"/>
      <c r="AP289" s="51"/>
      <c r="AQ289" s="48"/>
      <c r="AR289" s="48"/>
      <c r="AS289" s="48"/>
      <c r="AT289" s="48"/>
      <c r="AU289" s="48"/>
      <c r="AV289" s="48"/>
      <c r="AW289" s="48"/>
      <c r="AX289" s="48"/>
      <c r="AY289" s="48"/>
      <c r="AZ289" s="48"/>
      <c r="BA289" s="48"/>
      <c r="BB289" s="51"/>
      <c r="BC289" s="48"/>
      <c r="BD289" s="48"/>
      <c r="BE289" s="48"/>
      <c r="BF289" s="48"/>
      <c r="BG289" s="48"/>
      <c r="BH289" s="48"/>
      <c r="BI289" s="48"/>
      <c r="BJ289" s="48"/>
      <c r="BK289" s="48"/>
      <c r="BL289" s="116"/>
      <c r="BM289" s="116"/>
      <c r="BN289" s="51"/>
      <c r="BO289" s="48"/>
      <c r="BP289" s="48"/>
      <c r="BQ289" s="48"/>
      <c r="BR289" s="48"/>
      <c r="BS289" s="48"/>
      <c r="BT289" s="48"/>
      <c r="BU289" s="48"/>
      <c r="BV289" s="48"/>
      <c r="BW289" s="48"/>
      <c r="BX289" s="48"/>
      <c r="BY289" s="48"/>
      <c r="BZ289" s="48"/>
      <c r="CA289" s="48"/>
      <c r="CB289" s="48"/>
      <c r="CC289" s="48"/>
      <c r="CD289" s="52"/>
      <c r="CE289" s="48"/>
      <c r="CF289" s="48"/>
      <c r="CG289" s="48"/>
      <c r="CH289" s="48"/>
      <c r="CI289" s="48"/>
      <c r="CJ289" s="51"/>
      <c r="CK289" s="129"/>
      <c r="CL289" s="129"/>
      <c r="CM289" s="129"/>
      <c r="CN289" s="116"/>
      <c r="CO289" s="116"/>
      <c r="CP289" s="116"/>
      <c r="CQ289" s="116"/>
      <c r="CR289" s="116"/>
      <c r="CS289" s="116"/>
      <c r="CT289" s="116"/>
      <c r="CU289" s="116"/>
      <c r="CV289" s="116"/>
      <c r="CW289" s="116"/>
      <c r="CX289" s="116"/>
      <c r="CY289" s="116"/>
      <c r="CZ289" s="116"/>
      <c r="DA289" s="48"/>
      <c r="DB289" s="48"/>
      <c r="DC289" s="48"/>
      <c r="DD289" s="54"/>
      <c r="DE289" s="54"/>
      <c r="DF289" s="54"/>
      <c r="DG289" s="54"/>
      <c r="DH289" s="54"/>
      <c r="DI289" s="54"/>
      <c r="DJ289" s="48"/>
      <c r="DK289" s="48"/>
      <c r="DL289" s="51"/>
      <c r="DM289" s="48"/>
      <c r="DN289" s="52"/>
      <c r="DO289" s="52"/>
      <c r="DP289" s="48"/>
      <c r="DQ289" s="48"/>
      <c r="DR289" s="48"/>
      <c r="DS289" s="51"/>
      <c r="DT289" s="48"/>
      <c r="DU289" s="48"/>
      <c r="DV289" s="48"/>
      <c r="DW289" s="48"/>
      <c r="DX289" s="48"/>
      <c r="DY289" s="48"/>
      <c r="DZ289" s="48"/>
    </row>
    <row r="290" spans="1:130" ht="50.25" customHeight="1">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51"/>
      <c r="AP290" s="51"/>
      <c r="AQ290" s="48"/>
      <c r="AR290" s="48"/>
      <c r="AS290" s="48"/>
      <c r="AT290" s="48"/>
      <c r="AU290" s="48"/>
      <c r="AV290" s="48"/>
      <c r="AW290" s="48"/>
      <c r="AX290" s="48"/>
      <c r="AY290" s="48"/>
      <c r="AZ290" s="48"/>
      <c r="BA290" s="48"/>
      <c r="BB290" s="51"/>
      <c r="BC290" s="48"/>
      <c r="BD290" s="48"/>
      <c r="BE290" s="48"/>
      <c r="BF290" s="48"/>
      <c r="BG290" s="48"/>
      <c r="BH290" s="48"/>
      <c r="BI290" s="48"/>
      <c r="BJ290" s="48"/>
      <c r="BK290" s="48"/>
      <c r="BL290" s="116"/>
      <c r="BM290" s="116"/>
      <c r="BN290" s="51"/>
      <c r="BO290" s="48"/>
      <c r="BP290" s="48"/>
      <c r="BQ290" s="48"/>
      <c r="BR290" s="48"/>
      <c r="BS290" s="48"/>
      <c r="BT290" s="48"/>
      <c r="BU290" s="48"/>
      <c r="BV290" s="48"/>
      <c r="BW290" s="48"/>
      <c r="BX290" s="48"/>
      <c r="BY290" s="48"/>
      <c r="BZ290" s="48"/>
      <c r="CA290" s="48"/>
      <c r="CB290" s="48"/>
      <c r="CC290" s="48"/>
      <c r="CD290" s="52"/>
      <c r="CE290" s="48"/>
      <c r="CF290" s="48"/>
      <c r="CG290" s="48"/>
      <c r="CH290" s="48"/>
      <c r="CI290" s="48"/>
      <c r="CJ290" s="51"/>
      <c r="CK290" s="129"/>
      <c r="CL290" s="129"/>
      <c r="CM290" s="129"/>
      <c r="CN290" s="116"/>
      <c r="CO290" s="116"/>
      <c r="CP290" s="116"/>
      <c r="CQ290" s="116"/>
      <c r="CR290" s="116"/>
      <c r="CS290" s="116"/>
      <c r="CT290" s="116"/>
      <c r="CU290" s="116"/>
      <c r="CV290" s="116"/>
      <c r="CW290" s="116"/>
      <c r="CX290" s="116"/>
      <c r="CY290" s="116"/>
      <c r="CZ290" s="116"/>
      <c r="DA290" s="48"/>
      <c r="DB290" s="48"/>
      <c r="DC290" s="48"/>
      <c r="DD290" s="54"/>
      <c r="DE290" s="54"/>
      <c r="DF290" s="54"/>
      <c r="DG290" s="54"/>
      <c r="DH290" s="54"/>
      <c r="DI290" s="54"/>
      <c r="DJ290" s="48"/>
      <c r="DK290" s="48"/>
      <c r="DL290" s="51"/>
      <c r="DM290" s="48"/>
      <c r="DN290" s="52"/>
      <c r="DO290" s="52"/>
      <c r="DP290" s="48"/>
      <c r="DQ290" s="48"/>
      <c r="DR290" s="48"/>
      <c r="DS290" s="51"/>
      <c r="DT290" s="48"/>
      <c r="DU290" s="48"/>
      <c r="DV290" s="48"/>
      <c r="DW290" s="48"/>
      <c r="DX290" s="48"/>
      <c r="DY290" s="48"/>
      <c r="DZ290" s="48"/>
    </row>
    <row r="291" spans="1:130" ht="50.25" customHeight="1">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51"/>
      <c r="AP291" s="51"/>
      <c r="AQ291" s="48"/>
      <c r="AR291" s="48"/>
      <c r="AS291" s="48"/>
      <c r="AT291" s="48"/>
      <c r="AU291" s="48"/>
      <c r="AV291" s="48"/>
      <c r="AW291" s="48"/>
      <c r="AX291" s="48"/>
      <c r="AY291" s="48"/>
      <c r="AZ291" s="48"/>
      <c r="BA291" s="48"/>
      <c r="BB291" s="51"/>
      <c r="BC291" s="48"/>
      <c r="BD291" s="48"/>
      <c r="BE291" s="48"/>
      <c r="BF291" s="48"/>
      <c r="BG291" s="48"/>
      <c r="BH291" s="48"/>
      <c r="BI291" s="48"/>
      <c r="BJ291" s="48"/>
      <c r="BK291" s="48"/>
      <c r="BL291" s="116"/>
      <c r="BM291" s="116"/>
      <c r="BN291" s="51"/>
      <c r="BO291" s="48"/>
      <c r="BP291" s="48"/>
      <c r="BQ291" s="48"/>
      <c r="BR291" s="48"/>
      <c r="BS291" s="48"/>
      <c r="BT291" s="48"/>
      <c r="BU291" s="48"/>
      <c r="BV291" s="48"/>
      <c r="BW291" s="48"/>
      <c r="BX291" s="48"/>
      <c r="BY291" s="48"/>
      <c r="BZ291" s="48"/>
      <c r="CA291" s="48"/>
      <c r="CB291" s="48"/>
      <c r="CC291" s="48"/>
      <c r="CD291" s="52"/>
      <c r="CE291" s="48"/>
      <c r="CF291" s="48"/>
      <c r="CG291" s="48"/>
      <c r="CH291" s="48"/>
      <c r="CI291" s="48"/>
      <c r="CJ291" s="51"/>
      <c r="CK291" s="129"/>
      <c r="CL291" s="129"/>
      <c r="CM291" s="129"/>
      <c r="CN291" s="116"/>
      <c r="CO291" s="116"/>
      <c r="CP291" s="116"/>
      <c r="CQ291" s="116"/>
      <c r="CR291" s="116"/>
      <c r="CS291" s="116"/>
      <c r="CT291" s="116"/>
      <c r="CU291" s="116"/>
      <c r="CV291" s="116"/>
      <c r="CW291" s="116"/>
      <c r="CX291" s="116"/>
      <c r="CY291" s="116"/>
      <c r="CZ291" s="116"/>
      <c r="DA291" s="48"/>
      <c r="DB291" s="48"/>
      <c r="DC291" s="48"/>
      <c r="DD291" s="54"/>
      <c r="DE291" s="54"/>
      <c r="DF291" s="54"/>
      <c r="DG291" s="54"/>
      <c r="DH291" s="54"/>
      <c r="DI291" s="54"/>
      <c r="DJ291" s="48"/>
      <c r="DK291" s="48"/>
      <c r="DL291" s="51"/>
      <c r="DM291" s="48"/>
      <c r="DN291" s="52"/>
      <c r="DO291" s="52"/>
      <c r="DP291" s="48"/>
      <c r="DQ291" s="48"/>
      <c r="DR291" s="48"/>
      <c r="DS291" s="51"/>
      <c r="DT291" s="48"/>
      <c r="DU291" s="48"/>
      <c r="DV291" s="48"/>
      <c r="DW291" s="48"/>
      <c r="DX291" s="48"/>
      <c r="DY291" s="48"/>
      <c r="DZ291" s="48"/>
    </row>
    <row r="292" spans="1:130" ht="50.25" customHeight="1">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51"/>
      <c r="AP292" s="51"/>
      <c r="AQ292" s="48"/>
      <c r="AR292" s="48"/>
      <c r="AS292" s="48"/>
      <c r="AT292" s="48"/>
      <c r="AU292" s="48"/>
      <c r="AV292" s="48"/>
      <c r="AW292" s="48"/>
      <c r="AX292" s="48"/>
      <c r="AY292" s="48"/>
      <c r="AZ292" s="48"/>
      <c r="BA292" s="48"/>
      <c r="BB292" s="51"/>
      <c r="BC292" s="48"/>
      <c r="BD292" s="48"/>
      <c r="BE292" s="48"/>
      <c r="BF292" s="48"/>
      <c r="BG292" s="48"/>
      <c r="BH292" s="48"/>
      <c r="BI292" s="48"/>
      <c r="BJ292" s="48"/>
      <c r="BK292" s="48"/>
      <c r="BL292" s="116"/>
      <c r="BM292" s="116"/>
      <c r="BN292" s="51"/>
      <c r="BO292" s="48"/>
      <c r="BP292" s="48"/>
      <c r="BQ292" s="48"/>
      <c r="BR292" s="48"/>
      <c r="BS292" s="48"/>
      <c r="BT292" s="48"/>
      <c r="BU292" s="48"/>
      <c r="BV292" s="48"/>
      <c r="BW292" s="48"/>
      <c r="BX292" s="48"/>
      <c r="BY292" s="48"/>
      <c r="BZ292" s="48"/>
      <c r="CA292" s="48"/>
      <c r="CB292" s="48"/>
      <c r="CC292" s="48"/>
      <c r="CD292" s="52"/>
      <c r="CE292" s="48"/>
      <c r="CF292" s="48"/>
      <c r="CG292" s="48"/>
      <c r="CH292" s="48"/>
      <c r="CI292" s="48"/>
      <c r="CJ292" s="51"/>
      <c r="CK292" s="129"/>
      <c r="CL292" s="129"/>
      <c r="CM292" s="129"/>
      <c r="CN292" s="116"/>
      <c r="CO292" s="116"/>
      <c r="CP292" s="116"/>
      <c r="CQ292" s="116"/>
      <c r="CR292" s="116"/>
      <c r="CS292" s="116"/>
      <c r="CT292" s="116"/>
      <c r="CU292" s="116"/>
      <c r="CV292" s="116"/>
      <c r="CW292" s="116"/>
      <c r="CX292" s="116"/>
      <c r="CY292" s="116"/>
      <c r="CZ292" s="116"/>
      <c r="DA292" s="48"/>
      <c r="DB292" s="48"/>
      <c r="DC292" s="48"/>
      <c r="DD292" s="54"/>
      <c r="DE292" s="54"/>
      <c r="DF292" s="54"/>
      <c r="DG292" s="54"/>
      <c r="DH292" s="54"/>
      <c r="DI292" s="54"/>
      <c r="DJ292" s="48"/>
      <c r="DK292" s="48"/>
      <c r="DL292" s="51"/>
      <c r="DM292" s="48"/>
      <c r="DN292" s="52"/>
      <c r="DO292" s="52"/>
      <c r="DP292" s="48"/>
      <c r="DQ292" s="48"/>
      <c r="DR292" s="48"/>
      <c r="DS292" s="51"/>
      <c r="DT292" s="48"/>
      <c r="DU292" s="48"/>
      <c r="DV292" s="48"/>
      <c r="DW292" s="48"/>
      <c r="DX292" s="48"/>
      <c r="DY292" s="48"/>
      <c r="DZ292" s="48"/>
    </row>
    <row r="293" spans="1:130" ht="50.25" customHeight="1">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51"/>
      <c r="AP293" s="51"/>
      <c r="AQ293" s="48"/>
      <c r="AR293" s="48"/>
      <c r="AS293" s="48"/>
      <c r="AT293" s="48"/>
      <c r="AU293" s="48"/>
      <c r="AV293" s="48"/>
      <c r="AW293" s="48"/>
      <c r="AX293" s="48"/>
      <c r="AY293" s="48"/>
      <c r="AZ293" s="48"/>
      <c r="BA293" s="48"/>
      <c r="BB293" s="51"/>
      <c r="BC293" s="48"/>
      <c r="BD293" s="48"/>
      <c r="BE293" s="48"/>
      <c r="BF293" s="48"/>
      <c r="BG293" s="48"/>
      <c r="BH293" s="48"/>
      <c r="BI293" s="48"/>
      <c r="BJ293" s="48"/>
      <c r="BK293" s="48"/>
      <c r="BL293" s="116"/>
      <c r="BM293" s="116"/>
      <c r="BN293" s="51"/>
      <c r="BO293" s="48"/>
      <c r="BP293" s="48"/>
      <c r="BQ293" s="48"/>
      <c r="BR293" s="48"/>
      <c r="BS293" s="48"/>
      <c r="BT293" s="48"/>
      <c r="BU293" s="48"/>
      <c r="BV293" s="48"/>
      <c r="BW293" s="48"/>
      <c r="BX293" s="48"/>
      <c r="BY293" s="48"/>
      <c r="BZ293" s="48"/>
      <c r="CA293" s="48"/>
      <c r="CB293" s="48"/>
      <c r="CC293" s="48"/>
      <c r="CD293" s="52"/>
      <c r="CE293" s="48"/>
      <c r="CF293" s="48"/>
      <c r="CG293" s="48"/>
      <c r="CH293" s="48"/>
      <c r="CI293" s="48"/>
      <c r="CJ293" s="51"/>
      <c r="CK293" s="129"/>
      <c r="CL293" s="129"/>
      <c r="CM293" s="129"/>
      <c r="CN293" s="116"/>
      <c r="CO293" s="116"/>
      <c r="CP293" s="116"/>
      <c r="CQ293" s="116"/>
      <c r="CR293" s="116"/>
      <c r="CS293" s="116"/>
      <c r="CT293" s="116"/>
      <c r="CU293" s="116"/>
      <c r="CV293" s="116"/>
      <c r="CW293" s="116"/>
      <c r="CX293" s="116"/>
      <c r="CY293" s="116"/>
      <c r="CZ293" s="116"/>
      <c r="DA293" s="48"/>
      <c r="DB293" s="48"/>
      <c r="DC293" s="48"/>
      <c r="DD293" s="54"/>
      <c r="DE293" s="54"/>
      <c r="DF293" s="54"/>
      <c r="DG293" s="54"/>
      <c r="DH293" s="54"/>
      <c r="DI293" s="54"/>
      <c r="DJ293" s="48"/>
      <c r="DK293" s="48"/>
      <c r="DL293" s="51"/>
      <c r="DM293" s="48"/>
      <c r="DN293" s="52"/>
      <c r="DO293" s="52"/>
      <c r="DP293" s="48"/>
      <c r="DQ293" s="48"/>
      <c r="DR293" s="48"/>
      <c r="DS293" s="51"/>
      <c r="DT293" s="48"/>
      <c r="DU293" s="48"/>
      <c r="DV293" s="48"/>
      <c r="DW293" s="48"/>
      <c r="DX293" s="48"/>
      <c r="DY293" s="48"/>
      <c r="DZ293" s="48"/>
    </row>
    <row r="294" spans="1:130" ht="50.25" customHeight="1">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51"/>
      <c r="AP294" s="51"/>
      <c r="AQ294" s="48"/>
      <c r="AR294" s="48"/>
      <c r="AS294" s="48"/>
      <c r="AT294" s="48"/>
      <c r="AU294" s="48"/>
      <c r="AV294" s="48"/>
      <c r="AW294" s="48"/>
      <c r="AX294" s="48"/>
      <c r="AY294" s="48"/>
      <c r="AZ294" s="48"/>
      <c r="BA294" s="48"/>
      <c r="BB294" s="51"/>
      <c r="BC294" s="48"/>
      <c r="BD294" s="48"/>
      <c r="BE294" s="48"/>
      <c r="BF294" s="48"/>
      <c r="BG294" s="48"/>
      <c r="BH294" s="48"/>
      <c r="BI294" s="48"/>
      <c r="BJ294" s="48"/>
      <c r="BK294" s="48"/>
      <c r="BL294" s="116"/>
      <c r="BM294" s="116"/>
      <c r="BN294" s="51"/>
      <c r="BO294" s="48"/>
      <c r="BP294" s="48"/>
      <c r="BQ294" s="48"/>
      <c r="BR294" s="48"/>
      <c r="BS294" s="48"/>
      <c r="BT294" s="48"/>
      <c r="BU294" s="48"/>
      <c r="BV294" s="48"/>
      <c r="BW294" s="48"/>
      <c r="BX294" s="48"/>
      <c r="BY294" s="48"/>
      <c r="BZ294" s="48"/>
      <c r="CA294" s="48"/>
      <c r="CB294" s="48"/>
      <c r="CC294" s="48"/>
      <c r="CD294" s="52"/>
      <c r="CE294" s="48"/>
      <c r="CF294" s="48"/>
      <c r="CG294" s="48"/>
      <c r="CH294" s="48"/>
      <c r="CI294" s="48"/>
      <c r="CJ294" s="51"/>
      <c r="CK294" s="129"/>
      <c r="CL294" s="129"/>
      <c r="CM294" s="129"/>
      <c r="CN294" s="116"/>
      <c r="CO294" s="116"/>
      <c r="CP294" s="116"/>
      <c r="CQ294" s="116"/>
      <c r="CR294" s="116"/>
      <c r="CS294" s="116"/>
      <c r="CT294" s="116"/>
      <c r="CU294" s="116"/>
      <c r="CV294" s="116"/>
      <c r="CW294" s="116"/>
      <c r="CX294" s="116"/>
      <c r="CY294" s="116"/>
      <c r="CZ294" s="116"/>
      <c r="DA294" s="48"/>
      <c r="DB294" s="48"/>
      <c r="DC294" s="48"/>
      <c r="DD294" s="54"/>
      <c r="DE294" s="54"/>
      <c r="DF294" s="54"/>
      <c r="DG294" s="54"/>
      <c r="DH294" s="54"/>
      <c r="DI294" s="54"/>
      <c r="DJ294" s="48"/>
      <c r="DK294" s="48"/>
      <c r="DL294" s="51"/>
      <c r="DM294" s="48"/>
      <c r="DN294" s="52"/>
      <c r="DO294" s="52"/>
      <c r="DP294" s="48"/>
      <c r="DQ294" s="48"/>
      <c r="DR294" s="48"/>
      <c r="DS294" s="51"/>
      <c r="DT294" s="48"/>
      <c r="DU294" s="48"/>
      <c r="DV294" s="48"/>
      <c r="DW294" s="48"/>
      <c r="DX294" s="48"/>
      <c r="DY294" s="48"/>
      <c r="DZ294" s="48"/>
    </row>
    <row r="295" spans="1:130" ht="50.25" customHeight="1">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51"/>
      <c r="AP295" s="51"/>
      <c r="AQ295" s="48"/>
      <c r="AR295" s="48"/>
      <c r="AS295" s="48"/>
      <c r="AT295" s="48"/>
      <c r="AU295" s="48"/>
      <c r="AV295" s="48"/>
      <c r="AW295" s="48"/>
      <c r="AX295" s="48"/>
      <c r="AY295" s="48"/>
      <c r="AZ295" s="48"/>
      <c r="BA295" s="48"/>
      <c r="BB295" s="51"/>
      <c r="BC295" s="48"/>
      <c r="BD295" s="48"/>
      <c r="BE295" s="48"/>
      <c r="BF295" s="48"/>
      <c r="BG295" s="48"/>
      <c r="BH295" s="48"/>
      <c r="BI295" s="48"/>
      <c r="BJ295" s="48"/>
      <c r="BK295" s="48"/>
      <c r="BL295" s="116"/>
      <c r="BM295" s="116"/>
      <c r="BN295" s="51"/>
      <c r="BO295" s="48"/>
      <c r="BP295" s="48"/>
      <c r="BQ295" s="48"/>
      <c r="BR295" s="48"/>
      <c r="BS295" s="48"/>
      <c r="BT295" s="48"/>
      <c r="BU295" s="48"/>
      <c r="BV295" s="48"/>
      <c r="BW295" s="48"/>
      <c r="BX295" s="48"/>
      <c r="BY295" s="48"/>
      <c r="BZ295" s="48"/>
      <c r="CA295" s="48"/>
      <c r="CB295" s="48"/>
      <c r="CC295" s="48"/>
      <c r="CD295" s="52"/>
      <c r="CE295" s="48"/>
      <c r="CF295" s="48"/>
      <c r="CG295" s="48"/>
      <c r="CH295" s="48"/>
      <c r="CI295" s="48"/>
      <c r="CJ295" s="51"/>
      <c r="CK295" s="129"/>
      <c r="CL295" s="129"/>
      <c r="CM295" s="129"/>
      <c r="CN295" s="116"/>
      <c r="CO295" s="116"/>
      <c r="CP295" s="116"/>
      <c r="CQ295" s="116"/>
      <c r="CR295" s="116"/>
      <c r="CS295" s="116"/>
      <c r="CT295" s="116"/>
      <c r="CU295" s="116"/>
      <c r="CV295" s="116"/>
      <c r="CW295" s="116"/>
      <c r="CX295" s="116"/>
      <c r="CY295" s="116"/>
      <c r="CZ295" s="116"/>
      <c r="DA295" s="48"/>
      <c r="DB295" s="48"/>
      <c r="DC295" s="48"/>
      <c r="DD295" s="54"/>
      <c r="DE295" s="54"/>
      <c r="DF295" s="54"/>
      <c r="DG295" s="54"/>
      <c r="DH295" s="54"/>
      <c r="DI295" s="54"/>
      <c r="DJ295" s="48"/>
      <c r="DK295" s="48"/>
      <c r="DL295" s="51"/>
      <c r="DM295" s="48"/>
      <c r="DN295" s="52"/>
      <c r="DO295" s="52"/>
      <c r="DP295" s="48"/>
      <c r="DQ295" s="48"/>
      <c r="DR295" s="48"/>
      <c r="DS295" s="51"/>
      <c r="DT295" s="48"/>
      <c r="DU295" s="48"/>
      <c r="DV295" s="48"/>
      <c r="DW295" s="48"/>
      <c r="DX295" s="48"/>
      <c r="DY295" s="48"/>
      <c r="DZ295" s="48"/>
    </row>
    <row r="296" spans="1:130" ht="50.25" customHeight="1">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51"/>
      <c r="AP296" s="51"/>
      <c r="AQ296" s="48"/>
      <c r="AR296" s="48"/>
      <c r="AS296" s="48"/>
      <c r="AT296" s="48"/>
      <c r="AU296" s="48"/>
      <c r="AV296" s="48"/>
      <c r="AW296" s="48"/>
      <c r="AX296" s="48"/>
      <c r="AY296" s="48"/>
      <c r="AZ296" s="48"/>
      <c r="BA296" s="48"/>
      <c r="BB296" s="51"/>
      <c r="BC296" s="48"/>
      <c r="BD296" s="48"/>
      <c r="BE296" s="48"/>
      <c r="BF296" s="48"/>
      <c r="BG296" s="48"/>
      <c r="BH296" s="48"/>
      <c r="BI296" s="48"/>
      <c r="BJ296" s="48"/>
      <c r="BK296" s="48"/>
      <c r="BL296" s="116"/>
      <c r="BM296" s="116"/>
      <c r="BN296" s="51"/>
      <c r="BO296" s="48"/>
      <c r="BP296" s="48"/>
      <c r="BQ296" s="48"/>
      <c r="BR296" s="48"/>
      <c r="BS296" s="48"/>
      <c r="BT296" s="48"/>
      <c r="BU296" s="48"/>
      <c r="BV296" s="48"/>
      <c r="BW296" s="48"/>
      <c r="BX296" s="48"/>
      <c r="BY296" s="48"/>
      <c r="BZ296" s="48"/>
      <c r="CA296" s="48"/>
      <c r="CB296" s="48"/>
      <c r="CC296" s="48"/>
      <c r="CD296" s="52"/>
      <c r="CE296" s="48"/>
      <c r="CF296" s="48"/>
      <c r="CG296" s="48"/>
      <c r="CH296" s="48"/>
      <c r="CI296" s="48"/>
      <c r="CJ296" s="51"/>
      <c r="CK296" s="129"/>
      <c r="CL296" s="129"/>
      <c r="CM296" s="129"/>
      <c r="CN296" s="116"/>
      <c r="CO296" s="116"/>
      <c r="CP296" s="116"/>
      <c r="CQ296" s="116"/>
      <c r="CR296" s="116"/>
      <c r="CS296" s="116"/>
      <c r="CT296" s="116"/>
      <c r="CU296" s="116"/>
      <c r="CV296" s="116"/>
      <c r="CW296" s="116"/>
      <c r="CX296" s="116"/>
      <c r="CY296" s="116"/>
      <c r="CZ296" s="116"/>
      <c r="DA296" s="48"/>
      <c r="DB296" s="48"/>
      <c r="DC296" s="48"/>
      <c r="DD296" s="54"/>
      <c r="DE296" s="54"/>
      <c r="DF296" s="54"/>
      <c r="DG296" s="54"/>
      <c r="DH296" s="54"/>
      <c r="DI296" s="54"/>
      <c r="DJ296" s="48"/>
      <c r="DK296" s="48"/>
      <c r="DL296" s="51"/>
      <c r="DM296" s="48"/>
      <c r="DN296" s="52"/>
      <c r="DO296" s="52"/>
      <c r="DP296" s="48"/>
      <c r="DQ296" s="48"/>
      <c r="DR296" s="48"/>
      <c r="DS296" s="51"/>
      <c r="DT296" s="48"/>
      <c r="DU296" s="48"/>
      <c r="DV296" s="48"/>
      <c r="DW296" s="48"/>
      <c r="DX296" s="48"/>
      <c r="DY296" s="48"/>
      <c r="DZ296" s="48"/>
    </row>
    <row r="297" spans="1:130" ht="50.25" customHeight="1">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51"/>
      <c r="AP297" s="51"/>
      <c r="AQ297" s="48"/>
      <c r="AR297" s="48"/>
      <c r="AS297" s="48"/>
      <c r="AT297" s="48"/>
      <c r="AU297" s="48"/>
      <c r="AV297" s="48"/>
      <c r="AW297" s="48"/>
      <c r="AX297" s="48"/>
      <c r="AY297" s="48"/>
      <c r="AZ297" s="48"/>
      <c r="BA297" s="48"/>
      <c r="BB297" s="51"/>
      <c r="BC297" s="48"/>
      <c r="BD297" s="48"/>
      <c r="BE297" s="48"/>
      <c r="BF297" s="48"/>
      <c r="BG297" s="48"/>
      <c r="BH297" s="48"/>
      <c r="BI297" s="48"/>
      <c r="BJ297" s="48"/>
      <c r="BK297" s="48"/>
      <c r="BL297" s="116"/>
      <c r="BM297" s="116"/>
      <c r="BN297" s="51"/>
      <c r="BO297" s="48"/>
      <c r="BP297" s="48"/>
      <c r="BQ297" s="48"/>
      <c r="BR297" s="48"/>
      <c r="BS297" s="48"/>
      <c r="BT297" s="48"/>
      <c r="BU297" s="48"/>
      <c r="BV297" s="48"/>
      <c r="BW297" s="48"/>
      <c r="BX297" s="48"/>
      <c r="BY297" s="48"/>
      <c r="BZ297" s="48"/>
      <c r="CA297" s="48"/>
      <c r="CB297" s="48"/>
      <c r="CC297" s="48"/>
      <c r="CD297" s="52"/>
      <c r="CE297" s="48"/>
      <c r="CF297" s="48"/>
      <c r="CG297" s="48"/>
      <c r="CH297" s="48"/>
      <c r="CI297" s="48"/>
      <c r="CJ297" s="51"/>
      <c r="CK297" s="129"/>
      <c r="CL297" s="129"/>
      <c r="CM297" s="129"/>
      <c r="CN297" s="116"/>
      <c r="CO297" s="116"/>
      <c r="CP297" s="116"/>
      <c r="CQ297" s="116"/>
      <c r="CR297" s="116"/>
      <c r="CS297" s="116"/>
      <c r="CT297" s="116"/>
      <c r="CU297" s="116"/>
      <c r="CV297" s="116"/>
      <c r="CW297" s="116"/>
      <c r="CX297" s="116"/>
      <c r="CY297" s="116"/>
      <c r="CZ297" s="116"/>
      <c r="DA297" s="48"/>
      <c r="DB297" s="48"/>
      <c r="DC297" s="48"/>
      <c r="DD297" s="54"/>
      <c r="DE297" s="54"/>
      <c r="DF297" s="54"/>
      <c r="DG297" s="54"/>
      <c r="DH297" s="54"/>
      <c r="DI297" s="54"/>
      <c r="DJ297" s="48"/>
      <c r="DK297" s="48"/>
      <c r="DL297" s="51"/>
      <c r="DM297" s="48"/>
      <c r="DN297" s="52"/>
      <c r="DO297" s="52"/>
      <c r="DP297" s="48"/>
      <c r="DQ297" s="48"/>
      <c r="DR297" s="48"/>
      <c r="DS297" s="51"/>
      <c r="DT297" s="48"/>
      <c r="DU297" s="48"/>
      <c r="DV297" s="48"/>
      <c r="DW297" s="48"/>
      <c r="DX297" s="48"/>
      <c r="DY297" s="48"/>
      <c r="DZ297" s="48"/>
    </row>
    <row r="298" spans="1:130" ht="50.25" customHeight="1">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51"/>
      <c r="AP298" s="51"/>
      <c r="AQ298" s="48"/>
      <c r="AR298" s="48"/>
      <c r="AS298" s="48"/>
      <c r="AT298" s="48"/>
      <c r="AU298" s="48"/>
      <c r="AV298" s="48"/>
      <c r="AW298" s="48"/>
      <c r="AX298" s="48"/>
      <c r="AY298" s="48"/>
      <c r="AZ298" s="48"/>
      <c r="BA298" s="48"/>
      <c r="BB298" s="51"/>
      <c r="BC298" s="48"/>
      <c r="BD298" s="48"/>
      <c r="BE298" s="48"/>
      <c r="BF298" s="48"/>
      <c r="BG298" s="48"/>
      <c r="BH298" s="48"/>
      <c r="BI298" s="48"/>
      <c r="BJ298" s="48"/>
      <c r="BK298" s="48"/>
      <c r="BL298" s="116"/>
      <c r="BM298" s="116"/>
      <c r="BN298" s="51"/>
      <c r="BO298" s="48"/>
      <c r="BP298" s="48"/>
      <c r="BQ298" s="48"/>
      <c r="BR298" s="48"/>
      <c r="BS298" s="48"/>
      <c r="BT298" s="48"/>
      <c r="BU298" s="48"/>
      <c r="BV298" s="48"/>
      <c r="BW298" s="48"/>
      <c r="BX298" s="48"/>
      <c r="BY298" s="48"/>
      <c r="BZ298" s="48"/>
      <c r="CA298" s="48"/>
      <c r="CB298" s="48"/>
      <c r="CC298" s="48"/>
      <c r="CD298" s="52"/>
      <c r="CE298" s="48"/>
      <c r="CF298" s="48"/>
      <c r="CG298" s="48"/>
      <c r="CH298" s="48"/>
      <c r="CI298" s="48"/>
      <c r="CJ298" s="51"/>
      <c r="CK298" s="129"/>
      <c r="CL298" s="129"/>
      <c r="CM298" s="129"/>
      <c r="CN298" s="116"/>
      <c r="CO298" s="116"/>
      <c r="CP298" s="116"/>
      <c r="CQ298" s="116"/>
      <c r="CR298" s="116"/>
      <c r="CS298" s="116"/>
      <c r="CT298" s="116"/>
      <c r="CU298" s="116"/>
      <c r="CV298" s="116"/>
      <c r="CW298" s="116"/>
      <c r="CX298" s="116"/>
      <c r="CY298" s="116"/>
      <c r="CZ298" s="116"/>
      <c r="DA298" s="48"/>
      <c r="DB298" s="48"/>
      <c r="DC298" s="48"/>
      <c r="DD298" s="54"/>
      <c r="DE298" s="54"/>
      <c r="DF298" s="54"/>
      <c r="DG298" s="54"/>
      <c r="DH298" s="54"/>
      <c r="DI298" s="54"/>
      <c r="DJ298" s="48"/>
      <c r="DK298" s="48"/>
      <c r="DL298" s="51"/>
      <c r="DM298" s="48"/>
      <c r="DN298" s="52"/>
      <c r="DO298" s="52"/>
      <c r="DP298" s="48"/>
      <c r="DQ298" s="48"/>
      <c r="DR298" s="48"/>
      <c r="DS298" s="51"/>
      <c r="DT298" s="48"/>
      <c r="DU298" s="48"/>
      <c r="DV298" s="48"/>
      <c r="DW298" s="48"/>
      <c r="DX298" s="48"/>
      <c r="DY298" s="48"/>
      <c r="DZ298" s="48"/>
    </row>
    <row r="299" spans="1:130" ht="50.25" customHeight="1">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51"/>
      <c r="AP299" s="51"/>
      <c r="AQ299" s="48"/>
      <c r="AR299" s="48"/>
      <c r="AS299" s="48"/>
      <c r="AT299" s="48"/>
      <c r="AU299" s="48"/>
      <c r="AV299" s="48"/>
      <c r="AW299" s="48"/>
      <c r="AX299" s="48"/>
      <c r="AY299" s="48"/>
      <c r="AZ299" s="48"/>
      <c r="BA299" s="48"/>
      <c r="BB299" s="51"/>
      <c r="BC299" s="48"/>
      <c r="BD299" s="48"/>
      <c r="BE299" s="48"/>
      <c r="BF299" s="48"/>
      <c r="BG299" s="48"/>
      <c r="BH299" s="48"/>
      <c r="BI299" s="48"/>
      <c r="BJ299" s="48"/>
      <c r="BK299" s="48"/>
      <c r="BL299" s="116"/>
      <c r="BM299" s="116"/>
      <c r="BN299" s="51"/>
      <c r="BO299" s="48"/>
      <c r="BP299" s="48"/>
      <c r="BQ299" s="48"/>
      <c r="BR299" s="48"/>
      <c r="BS299" s="48"/>
      <c r="BT299" s="48"/>
      <c r="BU299" s="48"/>
      <c r="BV299" s="48"/>
      <c r="BW299" s="48"/>
      <c r="BX299" s="48"/>
      <c r="BY299" s="48"/>
      <c r="BZ299" s="48"/>
      <c r="CA299" s="48"/>
      <c r="CB299" s="48"/>
      <c r="CC299" s="48"/>
      <c r="CD299" s="52"/>
      <c r="CE299" s="48"/>
      <c r="CF299" s="48"/>
      <c r="CG299" s="48"/>
      <c r="CH299" s="48"/>
      <c r="CI299" s="48"/>
      <c r="CJ299" s="51"/>
      <c r="CK299" s="129"/>
      <c r="CL299" s="129"/>
      <c r="CM299" s="129"/>
      <c r="CN299" s="116"/>
      <c r="CO299" s="116"/>
      <c r="CP299" s="116"/>
      <c r="CQ299" s="116"/>
      <c r="CR299" s="116"/>
      <c r="CS299" s="116"/>
      <c r="CT299" s="116"/>
      <c r="CU299" s="116"/>
      <c r="CV299" s="116"/>
      <c r="CW299" s="116"/>
      <c r="CX299" s="116"/>
      <c r="CY299" s="116"/>
      <c r="CZ299" s="116"/>
      <c r="DA299" s="48"/>
      <c r="DB299" s="48"/>
      <c r="DC299" s="48"/>
      <c r="DD299" s="54"/>
      <c r="DE299" s="54"/>
      <c r="DF299" s="54"/>
      <c r="DG299" s="54"/>
      <c r="DH299" s="54"/>
      <c r="DI299" s="54"/>
      <c r="DJ299" s="48"/>
      <c r="DK299" s="48"/>
      <c r="DL299" s="51"/>
      <c r="DM299" s="48"/>
      <c r="DN299" s="52"/>
      <c r="DO299" s="52"/>
      <c r="DP299" s="48"/>
      <c r="DQ299" s="48"/>
      <c r="DR299" s="48"/>
      <c r="DS299" s="51"/>
      <c r="DT299" s="48"/>
      <c r="DU299" s="48"/>
      <c r="DV299" s="48"/>
      <c r="DW299" s="48"/>
      <c r="DX299" s="48"/>
      <c r="DY299" s="48"/>
      <c r="DZ299" s="48"/>
    </row>
    <row r="300" spans="1:130" ht="50.25" customHeight="1">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51"/>
      <c r="AP300" s="51"/>
      <c r="AQ300" s="48"/>
      <c r="AR300" s="48"/>
      <c r="AS300" s="48"/>
      <c r="AT300" s="48"/>
      <c r="AU300" s="48"/>
      <c r="AV300" s="48"/>
      <c r="AW300" s="48"/>
      <c r="AX300" s="48"/>
      <c r="AY300" s="48"/>
      <c r="AZ300" s="48"/>
      <c r="BA300" s="48"/>
      <c r="BB300" s="51"/>
      <c r="BC300" s="48"/>
      <c r="BD300" s="48"/>
      <c r="BE300" s="48"/>
      <c r="BF300" s="48"/>
      <c r="BG300" s="48"/>
      <c r="BH300" s="48"/>
      <c r="BI300" s="48"/>
      <c r="BJ300" s="48"/>
      <c r="BK300" s="48"/>
      <c r="BL300" s="116"/>
      <c r="BM300" s="116"/>
      <c r="BN300" s="51"/>
      <c r="BO300" s="48"/>
      <c r="BP300" s="48"/>
      <c r="BQ300" s="48"/>
      <c r="BR300" s="48"/>
      <c r="BS300" s="48"/>
      <c r="BT300" s="48"/>
      <c r="BU300" s="48"/>
      <c r="BV300" s="48"/>
      <c r="BW300" s="48"/>
      <c r="BX300" s="48"/>
      <c r="BY300" s="48"/>
      <c r="BZ300" s="48"/>
      <c r="CA300" s="48"/>
      <c r="CB300" s="48"/>
      <c r="CC300" s="48"/>
      <c r="CD300" s="52"/>
      <c r="CE300" s="48"/>
      <c r="CF300" s="48"/>
      <c r="CG300" s="48"/>
      <c r="CH300" s="48"/>
      <c r="CI300" s="48"/>
      <c r="CJ300" s="51"/>
      <c r="CK300" s="129"/>
      <c r="CL300" s="129"/>
      <c r="CM300" s="129"/>
      <c r="CN300" s="116"/>
      <c r="CO300" s="116"/>
      <c r="CP300" s="116"/>
      <c r="CQ300" s="116"/>
      <c r="CR300" s="116"/>
      <c r="CS300" s="116"/>
      <c r="CT300" s="116"/>
      <c r="CU300" s="116"/>
      <c r="CV300" s="116"/>
      <c r="CW300" s="116"/>
      <c r="CX300" s="116"/>
      <c r="CY300" s="116"/>
      <c r="CZ300" s="116"/>
      <c r="DA300" s="48"/>
      <c r="DB300" s="48"/>
      <c r="DC300" s="48"/>
      <c r="DD300" s="54"/>
      <c r="DE300" s="54"/>
      <c r="DF300" s="54"/>
      <c r="DG300" s="54"/>
      <c r="DH300" s="54"/>
      <c r="DI300" s="54"/>
      <c r="DJ300" s="48"/>
      <c r="DK300" s="48"/>
      <c r="DL300" s="51"/>
      <c r="DM300" s="48"/>
      <c r="DN300" s="52"/>
      <c r="DO300" s="52"/>
      <c r="DP300" s="48"/>
      <c r="DQ300" s="48"/>
      <c r="DR300" s="48"/>
      <c r="DS300" s="51"/>
      <c r="DT300" s="48"/>
      <c r="DU300" s="48"/>
      <c r="DV300" s="48"/>
      <c r="DW300" s="48"/>
      <c r="DX300" s="48"/>
      <c r="DY300" s="48"/>
      <c r="DZ300" s="48"/>
    </row>
    <row r="301" spans="1:130" ht="50.25" customHeight="1">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51"/>
      <c r="AP301" s="51"/>
      <c r="AQ301" s="48"/>
      <c r="AR301" s="48"/>
      <c r="AS301" s="48"/>
      <c r="AT301" s="48"/>
      <c r="AU301" s="48"/>
      <c r="AV301" s="48"/>
      <c r="AW301" s="48"/>
      <c r="AX301" s="48"/>
      <c r="AY301" s="48"/>
      <c r="AZ301" s="48"/>
      <c r="BA301" s="48"/>
      <c r="BB301" s="51"/>
      <c r="BC301" s="48"/>
      <c r="BD301" s="48"/>
      <c r="BE301" s="48"/>
      <c r="BF301" s="48"/>
      <c r="BG301" s="48"/>
      <c r="BH301" s="48"/>
      <c r="BI301" s="48"/>
      <c r="BJ301" s="48"/>
      <c r="BK301" s="48"/>
      <c r="BL301" s="116"/>
      <c r="BM301" s="116"/>
      <c r="BN301" s="51"/>
      <c r="BO301" s="48"/>
      <c r="BP301" s="48"/>
      <c r="BQ301" s="48"/>
      <c r="BR301" s="48"/>
      <c r="BS301" s="48"/>
      <c r="BT301" s="48"/>
      <c r="BU301" s="48"/>
      <c r="BV301" s="48"/>
      <c r="BW301" s="48"/>
      <c r="BX301" s="48"/>
      <c r="BY301" s="48"/>
      <c r="BZ301" s="48"/>
      <c r="CA301" s="48"/>
      <c r="CB301" s="48"/>
      <c r="CC301" s="48"/>
      <c r="CD301" s="52"/>
      <c r="CE301" s="48"/>
      <c r="CF301" s="48"/>
      <c r="CG301" s="48"/>
      <c r="CH301" s="48"/>
      <c r="CI301" s="48"/>
      <c r="CJ301" s="51"/>
      <c r="CK301" s="129"/>
      <c r="CL301" s="129"/>
      <c r="CM301" s="129"/>
      <c r="CN301" s="116"/>
      <c r="CO301" s="116"/>
      <c r="CP301" s="116"/>
      <c r="CQ301" s="116"/>
      <c r="CR301" s="116"/>
      <c r="CS301" s="116"/>
      <c r="CT301" s="116"/>
      <c r="CU301" s="116"/>
      <c r="CV301" s="116"/>
      <c r="CW301" s="116"/>
      <c r="CX301" s="116"/>
      <c r="CY301" s="116"/>
      <c r="CZ301" s="116"/>
      <c r="DA301" s="48"/>
      <c r="DB301" s="48"/>
      <c r="DC301" s="48"/>
      <c r="DD301" s="54"/>
      <c r="DE301" s="54"/>
      <c r="DF301" s="54"/>
      <c r="DG301" s="54"/>
      <c r="DH301" s="54"/>
      <c r="DI301" s="54"/>
      <c r="DJ301" s="48"/>
      <c r="DK301" s="48"/>
      <c r="DL301" s="51"/>
      <c r="DM301" s="48"/>
      <c r="DN301" s="52"/>
      <c r="DO301" s="52"/>
      <c r="DP301" s="48"/>
      <c r="DQ301" s="48"/>
      <c r="DR301" s="48"/>
      <c r="DS301" s="51"/>
      <c r="DT301" s="48"/>
      <c r="DU301" s="48"/>
      <c r="DV301" s="48"/>
      <c r="DW301" s="48"/>
      <c r="DX301" s="48"/>
      <c r="DY301" s="48"/>
      <c r="DZ301" s="48"/>
    </row>
    <row r="302" spans="1:130" ht="50.25" customHeight="1">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51"/>
      <c r="AP302" s="51"/>
      <c r="AQ302" s="48"/>
      <c r="AR302" s="48"/>
      <c r="AS302" s="48"/>
      <c r="AT302" s="48"/>
      <c r="AU302" s="48"/>
      <c r="AV302" s="48"/>
      <c r="AW302" s="48"/>
      <c r="AX302" s="48"/>
      <c r="AY302" s="48"/>
      <c r="AZ302" s="48"/>
      <c r="BA302" s="48"/>
      <c r="BB302" s="51"/>
      <c r="BC302" s="48"/>
      <c r="BD302" s="48"/>
      <c r="BE302" s="48"/>
      <c r="BF302" s="48"/>
      <c r="BG302" s="48"/>
      <c r="BH302" s="48"/>
      <c r="BI302" s="48"/>
      <c r="BJ302" s="48"/>
      <c r="BK302" s="48"/>
      <c r="BL302" s="116"/>
      <c r="BM302" s="116"/>
      <c r="BN302" s="51"/>
      <c r="BO302" s="48"/>
      <c r="BP302" s="48"/>
      <c r="BQ302" s="48"/>
      <c r="BR302" s="48"/>
      <c r="BS302" s="48"/>
      <c r="BT302" s="48"/>
      <c r="BU302" s="48"/>
      <c r="BV302" s="48"/>
      <c r="BW302" s="48"/>
      <c r="BX302" s="48"/>
      <c r="BY302" s="48"/>
      <c r="BZ302" s="48"/>
      <c r="CA302" s="48"/>
      <c r="CB302" s="48"/>
      <c r="CC302" s="48"/>
      <c r="CD302" s="52"/>
      <c r="CE302" s="48"/>
      <c r="CF302" s="48"/>
      <c r="CG302" s="48"/>
      <c r="CH302" s="48"/>
      <c r="CI302" s="48"/>
      <c r="CJ302" s="51"/>
      <c r="CK302" s="129"/>
      <c r="CL302" s="129"/>
      <c r="CM302" s="129"/>
      <c r="CN302" s="116"/>
      <c r="CO302" s="116"/>
      <c r="CP302" s="116"/>
      <c r="CQ302" s="116"/>
      <c r="CR302" s="116"/>
      <c r="CS302" s="116"/>
      <c r="CT302" s="116"/>
      <c r="CU302" s="116"/>
      <c r="CV302" s="116"/>
      <c r="CW302" s="116"/>
      <c r="CX302" s="116"/>
      <c r="CY302" s="116"/>
      <c r="CZ302" s="116"/>
      <c r="DA302" s="48"/>
      <c r="DB302" s="48"/>
      <c r="DC302" s="48"/>
      <c r="DD302" s="54"/>
      <c r="DE302" s="54"/>
      <c r="DF302" s="54"/>
      <c r="DG302" s="54"/>
      <c r="DH302" s="54"/>
      <c r="DI302" s="54"/>
      <c r="DJ302" s="48"/>
      <c r="DK302" s="48"/>
      <c r="DL302" s="51"/>
      <c r="DM302" s="48"/>
      <c r="DN302" s="52"/>
      <c r="DO302" s="52"/>
      <c r="DP302" s="48"/>
      <c r="DQ302" s="48"/>
      <c r="DR302" s="48"/>
      <c r="DS302" s="51"/>
      <c r="DT302" s="48"/>
      <c r="DU302" s="48"/>
      <c r="DV302" s="48"/>
      <c r="DW302" s="48"/>
      <c r="DX302" s="48"/>
      <c r="DY302" s="48"/>
      <c r="DZ302" s="48"/>
    </row>
    <row r="303" spans="1:130" ht="50.25" customHeight="1">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51"/>
      <c r="AP303" s="51"/>
      <c r="AQ303" s="48"/>
      <c r="AR303" s="48"/>
      <c r="AS303" s="48"/>
      <c r="AT303" s="48"/>
      <c r="AU303" s="48"/>
      <c r="AV303" s="48"/>
      <c r="AW303" s="48"/>
      <c r="AX303" s="48"/>
      <c r="AY303" s="48"/>
      <c r="AZ303" s="48"/>
      <c r="BA303" s="48"/>
      <c r="BB303" s="51"/>
      <c r="BC303" s="48"/>
      <c r="BD303" s="48"/>
      <c r="BE303" s="48"/>
      <c r="BF303" s="48"/>
      <c r="BG303" s="48"/>
      <c r="BH303" s="48"/>
      <c r="BI303" s="48"/>
      <c r="BJ303" s="48"/>
      <c r="BK303" s="48"/>
      <c r="BL303" s="116"/>
      <c r="BM303" s="116"/>
      <c r="BN303" s="51"/>
      <c r="BO303" s="48"/>
      <c r="BP303" s="48"/>
      <c r="BQ303" s="48"/>
      <c r="BR303" s="48"/>
      <c r="BS303" s="48"/>
      <c r="BT303" s="48"/>
      <c r="BU303" s="48"/>
      <c r="BV303" s="48"/>
      <c r="BW303" s="48"/>
      <c r="BX303" s="48"/>
      <c r="BY303" s="48"/>
      <c r="BZ303" s="48"/>
      <c r="CA303" s="48"/>
      <c r="CB303" s="48"/>
      <c r="CC303" s="48"/>
      <c r="CD303" s="52"/>
      <c r="CE303" s="48"/>
      <c r="CF303" s="48"/>
      <c r="CG303" s="48"/>
      <c r="CH303" s="48"/>
      <c r="CI303" s="48"/>
      <c r="CJ303" s="51"/>
      <c r="CK303" s="129"/>
      <c r="CL303" s="129"/>
      <c r="CM303" s="129"/>
      <c r="CN303" s="116"/>
      <c r="CO303" s="116"/>
      <c r="CP303" s="116"/>
      <c r="CQ303" s="116"/>
      <c r="CR303" s="116"/>
      <c r="CS303" s="116"/>
      <c r="CT303" s="116"/>
      <c r="CU303" s="116"/>
      <c r="CV303" s="116"/>
      <c r="CW303" s="116"/>
      <c r="CX303" s="116"/>
      <c r="CY303" s="116"/>
      <c r="CZ303" s="116"/>
      <c r="DA303" s="48"/>
      <c r="DB303" s="48"/>
      <c r="DC303" s="48"/>
      <c r="DD303" s="54"/>
      <c r="DE303" s="54"/>
      <c r="DF303" s="54"/>
      <c r="DG303" s="54"/>
      <c r="DH303" s="54"/>
      <c r="DI303" s="54"/>
      <c r="DJ303" s="48"/>
      <c r="DK303" s="48"/>
      <c r="DL303" s="51"/>
      <c r="DM303" s="48"/>
      <c r="DN303" s="52"/>
      <c r="DO303" s="52"/>
      <c r="DP303" s="48"/>
      <c r="DQ303" s="48"/>
      <c r="DR303" s="48"/>
      <c r="DS303" s="51"/>
      <c r="DT303" s="48"/>
      <c r="DU303" s="48"/>
      <c r="DV303" s="48"/>
      <c r="DW303" s="48"/>
      <c r="DX303" s="48"/>
      <c r="DY303" s="48"/>
      <c r="DZ303" s="48"/>
    </row>
    <row r="304" spans="1:130" ht="50.25" customHeight="1">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51"/>
      <c r="AP304" s="51"/>
      <c r="AQ304" s="48"/>
      <c r="AR304" s="48"/>
      <c r="AS304" s="48"/>
      <c r="AT304" s="48"/>
      <c r="AU304" s="48"/>
      <c r="AV304" s="48"/>
      <c r="AW304" s="48"/>
      <c r="AX304" s="48"/>
      <c r="AY304" s="48"/>
      <c r="AZ304" s="48"/>
      <c r="BA304" s="48"/>
      <c r="BB304" s="51"/>
      <c r="BC304" s="48"/>
      <c r="BD304" s="48"/>
      <c r="BE304" s="48"/>
      <c r="BF304" s="48"/>
      <c r="BG304" s="48"/>
      <c r="BH304" s="48"/>
      <c r="BI304" s="48"/>
      <c r="BJ304" s="48"/>
      <c r="BK304" s="48"/>
      <c r="BL304" s="116"/>
      <c r="BM304" s="116"/>
      <c r="BN304" s="51"/>
      <c r="BO304" s="48"/>
      <c r="BP304" s="48"/>
      <c r="BQ304" s="48"/>
      <c r="BR304" s="48"/>
      <c r="BS304" s="48"/>
      <c r="BT304" s="48"/>
      <c r="BU304" s="48"/>
      <c r="BV304" s="48"/>
      <c r="BW304" s="48"/>
      <c r="BX304" s="48"/>
      <c r="BY304" s="48"/>
      <c r="BZ304" s="48"/>
      <c r="CA304" s="48"/>
      <c r="CB304" s="48"/>
      <c r="CC304" s="48"/>
      <c r="CD304" s="52"/>
      <c r="CE304" s="48"/>
      <c r="CF304" s="48"/>
      <c r="CG304" s="48"/>
      <c r="CH304" s="48"/>
      <c r="CI304" s="48"/>
      <c r="CJ304" s="51"/>
      <c r="CK304" s="129"/>
      <c r="CL304" s="129"/>
      <c r="CM304" s="129"/>
      <c r="CN304" s="116"/>
      <c r="CO304" s="116"/>
      <c r="CP304" s="116"/>
      <c r="CQ304" s="116"/>
      <c r="CR304" s="116"/>
      <c r="CS304" s="116"/>
      <c r="CT304" s="116"/>
      <c r="CU304" s="116"/>
      <c r="CV304" s="116"/>
      <c r="CW304" s="116"/>
      <c r="CX304" s="116"/>
      <c r="CY304" s="116"/>
      <c r="CZ304" s="116"/>
      <c r="DA304" s="48"/>
      <c r="DB304" s="48"/>
      <c r="DC304" s="48"/>
      <c r="DD304" s="54"/>
      <c r="DE304" s="54"/>
      <c r="DF304" s="54"/>
      <c r="DG304" s="54"/>
      <c r="DH304" s="54"/>
      <c r="DI304" s="54"/>
      <c r="DJ304" s="48"/>
      <c r="DK304" s="48"/>
      <c r="DL304" s="51"/>
      <c r="DM304" s="48"/>
      <c r="DN304" s="52"/>
      <c r="DO304" s="52"/>
      <c r="DP304" s="48"/>
      <c r="DQ304" s="48"/>
      <c r="DR304" s="48"/>
      <c r="DS304" s="51"/>
      <c r="DT304" s="48"/>
      <c r="DU304" s="48"/>
      <c r="DV304" s="48"/>
      <c r="DW304" s="48"/>
      <c r="DX304" s="48"/>
      <c r="DY304" s="48"/>
      <c r="DZ304" s="48"/>
    </row>
    <row r="305" spans="1:130" ht="50.25" customHeight="1">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51"/>
      <c r="AP305" s="51"/>
      <c r="AQ305" s="48"/>
      <c r="AR305" s="48"/>
      <c r="AS305" s="48"/>
      <c r="AT305" s="48"/>
      <c r="AU305" s="48"/>
      <c r="AV305" s="48"/>
      <c r="AW305" s="48"/>
      <c r="AX305" s="48"/>
      <c r="AY305" s="48"/>
      <c r="AZ305" s="48"/>
      <c r="BA305" s="48"/>
      <c r="BB305" s="51"/>
      <c r="BC305" s="48"/>
      <c r="BD305" s="48"/>
      <c r="BE305" s="48"/>
      <c r="BF305" s="48"/>
      <c r="BG305" s="48"/>
      <c r="BH305" s="48"/>
      <c r="BI305" s="48"/>
      <c r="BJ305" s="48"/>
      <c r="BK305" s="48"/>
      <c r="BL305" s="116"/>
      <c r="BM305" s="116"/>
      <c r="BN305" s="51"/>
      <c r="BO305" s="48"/>
      <c r="BP305" s="48"/>
      <c r="BQ305" s="48"/>
      <c r="BR305" s="48"/>
      <c r="BS305" s="48"/>
      <c r="BT305" s="48"/>
      <c r="BU305" s="48"/>
      <c r="BV305" s="48"/>
      <c r="BW305" s="48"/>
      <c r="BX305" s="48"/>
      <c r="BY305" s="48"/>
      <c r="BZ305" s="48"/>
      <c r="CA305" s="48"/>
      <c r="CB305" s="48"/>
      <c r="CC305" s="48"/>
      <c r="CD305" s="52"/>
      <c r="CE305" s="48"/>
      <c r="CF305" s="48"/>
      <c r="CG305" s="48"/>
      <c r="CH305" s="48"/>
      <c r="CI305" s="48"/>
      <c r="CJ305" s="51"/>
      <c r="CK305" s="129"/>
      <c r="CL305" s="129"/>
      <c r="CM305" s="129"/>
      <c r="CN305" s="116"/>
      <c r="CO305" s="116"/>
      <c r="CP305" s="116"/>
      <c r="CQ305" s="116"/>
      <c r="CR305" s="116"/>
      <c r="CS305" s="116"/>
      <c r="CT305" s="116"/>
      <c r="CU305" s="116"/>
      <c r="CV305" s="116"/>
      <c r="CW305" s="116"/>
      <c r="CX305" s="116"/>
      <c r="CY305" s="116"/>
      <c r="CZ305" s="116"/>
      <c r="DA305" s="48"/>
      <c r="DB305" s="48"/>
      <c r="DC305" s="48"/>
      <c r="DD305" s="54"/>
      <c r="DE305" s="54"/>
      <c r="DF305" s="54"/>
      <c r="DG305" s="54"/>
      <c r="DH305" s="54"/>
      <c r="DI305" s="54"/>
      <c r="DJ305" s="48"/>
      <c r="DK305" s="48"/>
      <c r="DL305" s="51"/>
      <c r="DM305" s="48"/>
      <c r="DN305" s="52"/>
      <c r="DO305" s="52"/>
      <c r="DP305" s="48"/>
      <c r="DQ305" s="48"/>
      <c r="DR305" s="48"/>
      <c r="DS305" s="51"/>
      <c r="DT305" s="48"/>
      <c r="DU305" s="48"/>
      <c r="DV305" s="48"/>
      <c r="DW305" s="48"/>
      <c r="DX305" s="48"/>
      <c r="DY305" s="48"/>
      <c r="DZ305" s="48"/>
    </row>
    <row r="306" spans="1:130" ht="50.25" customHeight="1">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51"/>
      <c r="AP306" s="51"/>
      <c r="AQ306" s="48"/>
      <c r="AR306" s="48"/>
      <c r="AS306" s="48"/>
      <c r="AT306" s="48"/>
      <c r="AU306" s="48"/>
      <c r="AV306" s="48"/>
      <c r="AW306" s="48"/>
      <c r="AX306" s="48"/>
      <c r="AY306" s="48"/>
      <c r="AZ306" s="48"/>
      <c r="BA306" s="48"/>
      <c r="BB306" s="51"/>
      <c r="BC306" s="48"/>
      <c r="BD306" s="48"/>
      <c r="BE306" s="48"/>
      <c r="BF306" s="48"/>
      <c r="BG306" s="48"/>
      <c r="BH306" s="48"/>
      <c r="BI306" s="48"/>
      <c r="BJ306" s="48"/>
      <c r="BK306" s="48"/>
      <c r="BL306" s="116"/>
      <c r="BM306" s="116"/>
      <c r="BN306" s="51"/>
      <c r="BO306" s="48"/>
      <c r="BP306" s="48"/>
      <c r="BQ306" s="48"/>
      <c r="BR306" s="48"/>
      <c r="BS306" s="48"/>
      <c r="BT306" s="48"/>
      <c r="BU306" s="48"/>
      <c r="BV306" s="48"/>
      <c r="BW306" s="48"/>
      <c r="BX306" s="48"/>
      <c r="BY306" s="48"/>
      <c r="BZ306" s="48"/>
      <c r="CA306" s="48"/>
      <c r="CB306" s="48"/>
      <c r="CC306" s="48"/>
      <c r="CD306" s="52"/>
      <c r="CE306" s="48"/>
      <c r="CF306" s="48"/>
      <c r="CG306" s="48"/>
      <c r="CH306" s="48"/>
      <c r="CI306" s="48"/>
      <c r="CJ306" s="51"/>
      <c r="CK306" s="129"/>
      <c r="CL306" s="129"/>
      <c r="CM306" s="129"/>
      <c r="CN306" s="116"/>
      <c r="CO306" s="116"/>
      <c r="CP306" s="116"/>
      <c r="CQ306" s="116"/>
      <c r="CR306" s="116"/>
      <c r="CS306" s="116"/>
      <c r="CT306" s="116"/>
      <c r="CU306" s="116"/>
      <c r="CV306" s="116"/>
      <c r="CW306" s="116"/>
      <c r="CX306" s="116"/>
      <c r="CY306" s="116"/>
      <c r="CZ306" s="116"/>
      <c r="DA306" s="48"/>
      <c r="DB306" s="48"/>
      <c r="DC306" s="48"/>
      <c r="DD306" s="54"/>
      <c r="DE306" s="54"/>
      <c r="DF306" s="54"/>
      <c r="DG306" s="54"/>
      <c r="DH306" s="54"/>
      <c r="DI306" s="54"/>
      <c r="DJ306" s="48"/>
      <c r="DK306" s="48"/>
      <c r="DL306" s="51"/>
      <c r="DM306" s="48"/>
      <c r="DN306" s="52"/>
      <c r="DO306" s="52"/>
      <c r="DP306" s="48"/>
      <c r="DQ306" s="48"/>
      <c r="DR306" s="48"/>
      <c r="DS306" s="51"/>
      <c r="DT306" s="48"/>
      <c r="DU306" s="48"/>
      <c r="DV306" s="48"/>
      <c r="DW306" s="48"/>
      <c r="DX306" s="48"/>
      <c r="DY306" s="48"/>
      <c r="DZ306" s="48"/>
    </row>
    <row r="307" spans="1:130" ht="50.25" customHeight="1">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51"/>
      <c r="AP307" s="51"/>
      <c r="AQ307" s="48"/>
      <c r="AR307" s="48"/>
      <c r="AS307" s="48"/>
      <c r="AT307" s="48"/>
      <c r="AU307" s="48"/>
      <c r="AV307" s="48"/>
      <c r="AW307" s="48"/>
      <c r="AX307" s="48"/>
      <c r="AY307" s="48"/>
      <c r="AZ307" s="48"/>
      <c r="BA307" s="48"/>
      <c r="BB307" s="51"/>
      <c r="BC307" s="48"/>
      <c r="BD307" s="48"/>
      <c r="BE307" s="48"/>
      <c r="BF307" s="48"/>
      <c r="BG307" s="48"/>
      <c r="BH307" s="48"/>
      <c r="BI307" s="48"/>
      <c r="BJ307" s="48"/>
      <c r="BK307" s="48"/>
      <c r="BL307" s="116"/>
      <c r="BM307" s="116"/>
      <c r="BN307" s="51"/>
      <c r="BO307" s="48"/>
      <c r="BP307" s="48"/>
      <c r="BQ307" s="48"/>
      <c r="BR307" s="48"/>
      <c r="BS307" s="48"/>
      <c r="BT307" s="48"/>
      <c r="BU307" s="48"/>
      <c r="BV307" s="48"/>
      <c r="BW307" s="48"/>
      <c r="BX307" s="48"/>
      <c r="BY307" s="48"/>
      <c r="BZ307" s="48"/>
      <c r="CA307" s="48"/>
      <c r="CB307" s="48"/>
      <c r="CC307" s="48"/>
      <c r="CD307" s="52"/>
      <c r="CE307" s="48"/>
      <c r="CF307" s="48"/>
      <c r="CG307" s="48"/>
      <c r="CH307" s="48"/>
      <c r="CI307" s="48"/>
      <c r="CJ307" s="51"/>
      <c r="CK307" s="129"/>
      <c r="CL307" s="129"/>
      <c r="CM307" s="129"/>
      <c r="CN307" s="116"/>
      <c r="CO307" s="116"/>
      <c r="CP307" s="116"/>
      <c r="CQ307" s="116"/>
      <c r="CR307" s="116"/>
      <c r="CS307" s="116"/>
      <c r="CT307" s="116"/>
      <c r="CU307" s="116"/>
      <c r="CV307" s="116"/>
      <c r="CW307" s="116"/>
      <c r="CX307" s="116"/>
      <c r="CY307" s="116"/>
      <c r="CZ307" s="116"/>
      <c r="DA307" s="48"/>
      <c r="DB307" s="48"/>
      <c r="DC307" s="48"/>
      <c r="DD307" s="54"/>
      <c r="DE307" s="54"/>
      <c r="DF307" s="54"/>
      <c r="DG307" s="54"/>
      <c r="DH307" s="54"/>
      <c r="DI307" s="54"/>
      <c r="DJ307" s="48"/>
      <c r="DK307" s="48"/>
      <c r="DL307" s="51"/>
      <c r="DM307" s="48"/>
      <c r="DN307" s="52"/>
      <c r="DO307" s="52"/>
      <c r="DP307" s="48"/>
      <c r="DQ307" s="48"/>
      <c r="DR307" s="48"/>
      <c r="DS307" s="51"/>
      <c r="DT307" s="48"/>
      <c r="DU307" s="48"/>
      <c r="DV307" s="48"/>
      <c r="DW307" s="48"/>
      <c r="DX307" s="48"/>
      <c r="DY307" s="48"/>
      <c r="DZ307" s="48"/>
    </row>
    <row r="308" spans="1:130" ht="50.25" customHeight="1">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51"/>
      <c r="AP308" s="51"/>
      <c r="AQ308" s="48"/>
      <c r="AR308" s="48"/>
      <c r="AS308" s="48"/>
      <c r="AT308" s="48"/>
      <c r="AU308" s="48"/>
      <c r="AV308" s="48"/>
      <c r="AW308" s="48"/>
      <c r="AX308" s="48"/>
      <c r="AY308" s="48"/>
      <c r="AZ308" s="48"/>
      <c r="BA308" s="48"/>
      <c r="BB308" s="51"/>
      <c r="BC308" s="48"/>
      <c r="BD308" s="48"/>
      <c r="BE308" s="48"/>
      <c r="BF308" s="48"/>
      <c r="BG308" s="48"/>
      <c r="BH308" s="48"/>
      <c r="BI308" s="48"/>
      <c r="BJ308" s="48"/>
      <c r="BK308" s="48"/>
      <c r="BL308" s="116"/>
      <c r="BM308" s="116"/>
      <c r="BN308" s="51"/>
      <c r="BO308" s="48"/>
      <c r="BP308" s="48"/>
      <c r="BQ308" s="48"/>
      <c r="BR308" s="48"/>
      <c r="BS308" s="48"/>
      <c r="BT308" s="48"/>
      <c r="BU308" s="48"/>
      <c r="BV308" s="48"/>
      <c r="BW308" s="48"/>
      <c r="BX308" s="48"/>
      <c r="BY308" s="48"/>
      <c r="BZ308" s="48"/>
      <c r="CA308" s="48"/>
      <c r="CB308" s="48"/>
      <c r="CC308" s="48"/>
      <c r="CD308" s="52"/>
      <c r="CE308" s="48"/>
      <c r="CF308" s="48"/>
      <c r="CG308" s="48"/>
      <c r="CH308" s="48"/>
      <c r="CI308" s="48"/>
      <c r="CJ308" s="51"/>
      <c r="CK308" s="129"/>
      <c r="CL308" s="129"/>
      <c r="CM308" s="129"/>
      <c r="CN308" s="116"/>
      <c r="CO308" s="116"/>
      <c r="CP308" s="116"/>
      <c r="CQ308" s="116"/>
      <c r="CR308" s="116"/>
      <c r="CS308" s="116"/>
      <c r="CT308" s="116"/>
      <c r="CU308" s="116"/>
      <c r="CV308" s="116"/>
      <c r="CW308" s="116"/>
      <c r="CX308" s="116"/>
      <c r="CY308" s="116"/>
      <c r="CZ308" s="116"/>
      <c r="DA308" s="48"/>
      <c r="DB308" s="48"/>
      <c r="DC308" s="48"/>
      <c r="DD308" s="54"/>
      <c r="DE308" s="54"/>
      <c r="DF308" s="54"/>
      <c r="DG308" s="54"/>
      <c r="DH308" s="54"/>
      <c r="DI308" s="54"/>
      <c r="DJ308" s="48"/>
      <c r="DK308" s="48"/>
      <c r="DL308" s="51"/>
      <c r="DM308" s="48"/>
      <c r="DN308" s="52"/>
      <c r="DO308" s="52"/>
      <c r="DP308" s="48"/>
      <c r="DQ308" s="48"/>
      <c r="DR308" s="48"/>
      <c r="DS308" s="51"/>
      <c r="DT308" s="48"/>
      <c r="DU308" s="48"/>
      <c r="DV308" s="48"/>
      <c r="DW308" s="48"/>
      <c r="DX308" s="48"/>
      <c r="DY308" s="48"/>
      <c r="DZ308" s="48"/>
    </row>
    <row r="309" spans="1:130" ht="50.25" customHeight="1">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51"/>
      <c r="AP309" s="51"/>
      <c r="AQ309" s="48"/>
      <c r="AR309" s="48"/>
      <c r="AS309" s="48"/>
      <c r="AT309" s="48"/>
      <c r="AU309" s="48"/>
      <c r="AV309" s="48"/>
      <c r="AW309" s="48"/>
      <c r="AX309" s="48"/>
      <c r="AY309" s="48"/>
      <c r="AZ309" s="48"/>
      <c r="BA309" s="48"/>
      <c r="BB309" s="51"/>
      <c r="BC309" s="48"/>
      <c r="BD309" s="48"/>
      <c r="BE309" s="48"/>
      <c r="BF309" s="48"/>
      <c r="BG309" s="48"/>
      <c r="BH309" s="48"/>
      <c r="BI309" s="48"/>
      <c r="BJ309" s="48"/>
      <c r="BK309" s="48"/>
      <c r="BL309" s="116"/>
      <c r="BM309" s="116"/>
      <c r="BN309" s="51"/>
      <c r="BO309" s="48"/>
      <c r="BP309" s="48"/>
      <c r="BQ309" s="48"/>
      <c r="BR309" s="48"/>
      <c r="BS309" s="48"/>
      <c r="BT309" s="48"/>
      <c r="BU309" s="48"/>
      <c r="BV309" s="48"/>
      <c r="BW309" s="48"/>
      <c r="BX309" s="48"/>
      <c r="BY309" s="48"/>
      <c r="BZ309" s="48"/>
      <c r="CA309" s="48"/>
      <c r="CB309" s="48"/>
      <c r="CC309" s="48"/>
      <c r="CD309" s="52"/>
      <c r="CE309" s="48"/>
      <c r="CF309" s="48"/>
      <c r="CG309" s="48"/>
      <c r="CH309" s="48"/>
      <c r="CI309" s="48"/>
      <c r="CJ309" s="51"/>
      <c r="CK309" s="129"/>
      <c r="CL309" s="129"/>
      <c r="CM309" s="129"/>
      <c r="CN309" s="116"/>
      <c r="CO309" s="116"/>
      <c r="CP309" s="116"/>
      <c r="CQ309" s="116"/>
      <c r="CR309" s="116"/>
      <c r="CS309" s="116"/>
      <c r="CT309" s="116"/>
      <c r="CU309" s="116"/>
      <c r="CV309" s="116"/>
      <c r="CW309" s="116"/>
      <c r="CX309" s="116"/>
      <c r="CY309" s="116"/>
      <c r="CZ309" s="116"/>
      <c r="DA309" s="48"/>
      <c r="DB309" s="48"/>
      <c r="DC309" s="48"/>
      <c r="DD309" s="54"/>
      <c r="DE309" s="54"/>
      <c r="DF309" s="54"/>
      <c r="DG309" s="54"/>
      <c r="DH309" s="54"/>
      <c r="DI309" s="54"/>
      <c r="DJ309" s="48"/>
      <c r="DK309" s="48"/>
      <c r="DL309" s="51"/>
      <c r="DM309" s="48"/>
      <c r="DN309" s="52"/>
      <c r="DO309" s="52"/>
      <c r="DP309" s="48"/>
      <c r="DQ309" s="48"/>
      <c r="DR309" s="48"/>
      <c r="DS309" s="51"/>
      <c r="DT309" s="48"/>
      <c r="DU309" s="48"/>
      <c r="DV309" s="48"/>
      <c r="DW309" s="48"/>
      <c r="DX309" s="48"/>
      <c r="DY309" s="48"/>
      <c r="DZ309" s="48"/>
    </row>
    <row r="310" spans="1:130" ht="50.25" customHeight="1">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51"/>
      <c r="AP310" s="51"/>
      <c r="AQ310" s="48"/>
      <c r="AR310" s="48"/>
      <c r="AS310" s="48"/>
      <c r="AT310" s="48"/>
      <c r="AU310" s="48"/>
      <c r="AV310" s="48"/>
      <c r="AW310" s="48"/>
      <c r="AX310" s="48"/>
      <c r="AY310" s="48"/>
      <c r="AZ310" s="48"/>
      <c r="BA310" s="48"/>
      <c r="BB310" s="51"/>
      <c r="BC310" s="48"/>
      <c r="BD310" s="48"/>
      <c r="BE310" s="48"/>
      <c r="BF310" s="48"/>
      <c r="BG310" s="48"/>
      <c r="BH310" s="48"/>
      <c r="BI310" s="48"/>
      <c r="BJ310" s="48"/>
      <c r="BK310" s="48"/>
      <c r="BL310" s="116"/>
      <c r="BM310" s="116"/>
      <c r="BN310" s="51"/>
      <c r="BO310" s="48"/>
      <c r="BP310" s="48"/>
      <c r="BQ310" s="48"/>
      <c r="BR310" s="48"/>
      <c r="BS310" s="48"/>
      <c r="BT310" s="48"/>
      <c r="BU310" s="48"/>
      <c r="BV310" s="48"/>
      <c r="BW310" s="48"/>
      <c r="BX310" s="48"/>
      <c r="BY310" s="48"/>
      <c r="BZ310" s="48"/>
      <c r="CA310" s="48"/>
      <c r="CB310" s="48"/>
      <c r="CC310" s="48"/>
      <c r="CD310" s="52"/>
      <c r="CE310" s="48"/>
      <c r="CF310" s="48"/>
      <c r="CG310" s="48"/>
      <c r="CH310" s="48"/>
      <c r="CI310" s="48"/>
      <c r="CJ310" s="51"/>
      <c r="CK310" s="129"/>
      <c r="CL310" s="129"/>
      <c r="CM310" s="129"/>
      <c r="CN310" s="116"/>
      <c r="CO310" s="116"/>
      <c r="CP310" s="116"/>
      <c r="CQ310" s="116"/>
      <c r="CR310" s="116"/>
      <c r="CS310" s="116"/>
      <c r="CT310" s="116"/>
      <c r="CU310" s="116"/>
      <c r="CV310" s="116"/>
      <c r="CW310" s="116"/>
      <c r="CX310" s="116"/>
      <c r="CY310" s="116"/>
      <c r="CZ310" s="116"/>
      <c r="DA310" s="48"/>
      <c r="DB310" s="48"/>
      <c r="DC310" s="48"/>
      <c r="DD310" s="54"/>
      <c r="DE310" s="54"/>
      <c r="DF310" s="54"/>
      <c r="DG310" s="54"/>
      <c r="DH310" s="54"/>
      <c r="DI310" s="54"/>
      <c r="DJ310" s="48"/>
      <c r="DK310" s="48"/>
      <c r="DL310" s="51"/>
      <c r="DM310" s="48"/>
      <c r="DN310" s="52"/>
      <c r="DO310" s="52"/>
      <c r="DP310" s="48"/>
      <c r="DQ310" s="48"/>
      <c r="DR310" s="48"/>
      <c r="DS310" s="51"/>
      <c r="DT310" s="48"/>
      <c r="DU310" s="48"/>
      <c r="DV310" s="48"/>
      <c r="DW310" s="48"/>
      <c r="DX310" s="48"/>
      <c r="DY310" s="48"/>
      <c r="DZ310" s="48"/>
    </row>
    <row r="311" spans="1:130" ht="50.25" customHeight="1">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51"/>
      <c r="AP311" s="51"/>
      <c r="AQ311" s="48"/>
      <c r="AR311" s="48"/>
      <c r="AS311" s="48"/>
      <c r="AT311" s="48"/>
      <c r="AU311" s="48"/>
      <c r="AV311" s="48"/>
      <c r="AW311" s="48"/>
      <c r="AX311" s="48"/>
      <c r="AY311" s="48"/>
      <c r="AZ311" s="48"/>
      <c r="BA311" s="48"/>
      <c r="BB311" s="51"/>
      <c r="BC311" s="48"/>
      <c r="BD311" s="48"/>
      <c r="BE311" s="48"/>
      <c r="BF311" s="48"/>
      <c r="BG311" s="48"/>
      <c r="BH311" s="48"/>
      <c r="BI311" s="48"/>
      <c r="BJ311" s="48"/>
      <c r="BK311" s="48"/>
      <c r="BL311" s="116"/>
      <c r="BM311" s="116"/>
      <c r="BN311" s="51"/>
      <c r="BO311" s="48"/>
      <c r="BP311" s="48"/>
      <c r="BQ311" s="48"/>
      <c r="BR311" s="48"/>
      <c r="BS311" s="48"/>
      <c r="BT311" s="48"/>
      <c r="BU311" s="48"/>
      <c r="BV311" s="48"/>
      <c r="BW311" s="48"/>
      <c r="BX311" s="48"/>
      <c r="BY311" s="48"/>
      <c r="BZ311" s="48"/>
      <c r="CA311" s="48"/>
      <c r="CB311" s="48"/>
      <c r="CC311" s="48"/>
      <c r="CD311" s="52"/>
      <c r="CE311" s="48"/>
      <c r="CF311" s="48"/>
      <c r="CG311" s="48"/>
      <c r="CH311" s="48"/>
      <c r="CI311" s="48"/>
      <c r="CJ311" s="51"/>
      <c r="CK311" s="129"/>
      <c r="CL311" s="129"/>
      <c r="CM311" s="129"/>
      <c r="CN311" s="116"/>
      <c r="CO311" s="116"/>
      <c r="CP311" s="116"/>
      <c r="CQ311" s="116"/>
      <c r="CR311" s="116"/>
      <c r="CS311" s="116"/>
      <c r="CT311" s="116"/>
      <c r="CU311" s="116"/>
      <c r="CV311" s="116"/>
      <c r="CW311" s="116"/>
      <c r="CX311" s="116"/>
      <c r="CY311" s="116"/>
      <c r="CZ311" s="116"/>
      <c r="DA311" s="48"/>
      <c r="DB311" s="48"/>
      <c r="DC311" s="48"/>
      <c r="DD311" s="54"/>
      <c r="DE311" s="54"/>
      <c r="DF311" s="54"/>
      <c r="DG311" s="54"/>
      <c r="DH311" s="54"/>
      <c r="DI311" s="54"/>
      <c r="DJ311" s="48"/>
      <c r="DK311" s="48"/>
      <c r="DL311" s="51"/>
      <c r="DM311" s="48"/>
      <c r="DN311" s="52"/>
      <c r="DO311" s="52"/>
      <c r="DP311" s="48"/>
      <c r="DQ311" s="48"/>
      <c r="DR311" s="48"/>
      <c r="DS311" s="51"/>
      <c r="DT311" s="48"/>
      <c r="DU311" s="48"/>
      <c r="DV311" s="48"/>
      <c r="DW311" s="48"/>
      <c r="DX311" s="48"/>
      <c r="DY311" s="48"/>
      <c r="DZ311" s="48"/>
    </row>
    <row r="312" spans="1:130" ht="50.25" customHeight="1">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51"/>
      <c r="AP312" s="51"/>
      <c r="AQ312" s="48"/>
      <c r="AR312" s="48"/>
      <c r="AS312" s="48"/>
      <c r="AT312" s="48"/>
      <c r="AU312" s="48"/>
      <c r="AV312" s="48"/>
      <c r="AW312" s="48"/>
      <c r="AX312" s="48"/>
      <c r="AY312" s="48"/>
      <c r="AZ312" s="48"/>
      <c r="BA312" s="48"/>
      <c r="BB312" s="51"/>
      <c r="BC312" s="48"/>
      <c r="BD312" s="48"/>
      <c r="BE312" s="48"/>
      <c r="BF312" s="48"/>
      <c r="BG312" s="48"/>
      <c r="BH312" s="48"/>
      <c r="BI312" s="48"/>
      <c r="BJ312" s="48"/>
      <c r="BK312" s="48"/>
      <c r="BL312" s="116"/>
      <c r="BM312" s="116"/>
      <c r="BN312" s="51"/>
      <c r="BO312" s="48"/>
      <c r="BP312" s="48"/>
      <c r="BQ312" s="48"/>
      <c r="BR312" s="48"/>
      <c r="BS312" s="48"/>
      <c r="BT312" s="48"/>
      <c r="BU312" s="48"/>
      <c r="BV312" s="48"/>
      <c r="BW312" s="48"/>
      <c r="BX312" s="48"/>
      <c r="BY312" s="48"/>
      <c r="BZ312" s="48"/>
      <c r="CA312" s="48"/>
      <c r="CB312" s="48"/>
      <c r="CC312" s="48"/>
      <c r="CD312" s="52"/>
      <c r="CE312" s="48"/>
      <c r="CF312" s="48"/>
      <c r="CG312" s="48"/>
      <c r="CH312" s="48"/>
      <c r="CI312" s="48"/>
      <c r="CJ312" s="51"/>
      <c r="CK312" s="129"/>
      <c r="CL312" s="129"/>
      <c r="CM312" s="129"/>
      <c r="CN312" s="116"/>
      <c r="CO312" s="116"/>
      <c r="CP312" s="116"/>
      <c r="CQ312" s="116"/>
      <c r="CR312" s="116"/>
      <c r="CS312" s="116"/>
      <c r="CT312" s="116"/>
      <c r="CU312" s="116"/>
      <c r="CV312" s="116"/>
      <c r="CW312" s="116"/>
      <c r="CX312" s="116"/>
      <c r="CY312" s="116"/>
      <c r="CZ312" s="116"/>
      <c r="DA312" s="48"/>
      <c r="DB312" s="48"/>
      <c r="DC312" s="48"/>
      <c r="DD312" s="54"/>
      <c r="DE312" s="54"/>
      <c r="DF312" s="54"/>
      <c r="DG312" s="54"/>
      <c r="DH312" s="54"/>
      <c r="DI312" s="54"/>
      <c r="DJ312" s="48"/>
      <c r="DK312" s="48"/>
      <c r="DL312" s="51"/>
      <c r="DM312" s="48"/>
      <c r="DN312" s="52"/>
      <c r="DO312" s="52"/>
      <c r="DP312" s="48"/>
      <c r="DQ312" s="48"/>
      <c r="DR312" s="48"/>
      <c r="DS312" s="51"/>
      <c r="DT312" s="48"/>
      <c r="DU312" s="48"/>
      <c r="DV312" s="48"/>
      <c r="DW312" s="48"/>
      <c r="DX312" s="48"/>
      <c r="DY312" s="48"/>
      <c r="DZ312" s="48"/>
    </row>
    <row r="313" spans="1:130" ht="50.25" customHeight="1">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51"/>
      <c r="AP313" s="51"/>
      <c r="AQ313" s="48"/>
      <c r="AR313" s="48"/>
      <c r="AS313" s="48"/>
      <c r="AT313" s="48"/>
      <c r="AU313" s="48"/>
      <c r="AV313" s="48"/>
      <c r="AW313" s="48"/>
      <c r="AX313" s="48"/>
      <c r="AY313" s="48"/>
      <c r="AZ313" s="48"/>
      <c r="BA313" s="48"/>
      <c r="BB313" s="51"/>
      <c r="BC313" s="48"/>
      <c r="BD313" s="48"/>
      <c r="BE313" s="48"/>
      <c r="BF313" s="48"/>
      <c r="BG313" s="48"/>
      <c r="BH313" s="48"/>
      <c r="BI313" s="48"/>
      <c r="BJ313" s="48"/>
      <c r="BK313" s="48"/>
      <c r="BL313" s="116"/>
      <c r="BM313" s="116"/>
      <c r="BN313" s="51"/>
      <c r="BO313" s="48"/>
      <c r="BP313" s="48"/>
      <c r="BQ313" s="48"/>
      <c r="BR313" s="48"/>
      <c r="BS313" s="48"/>
      <c r="BT313" s="48"/>
      <c r="BU313" s="48"/>
      <c r="BV313" s="48"/>
      <c r="BW313" s="48"/>
      <c r="BX313" s="48"/>
      <c r="BY313" s="48"/>
      <c r="BZ313" s="48"/>
      <c r="CA313" s="48"/>
      <c r="CB313" s="48"/>
      <c r="CC313" s="48"/>
      <c r="CD313" s="52"/>
      <c r="CE313" s="48"/>
      <c r="CF313" s="48"/>
      <c r="CG313" s="48"/>
      <c r="CH313" s="48"/>
      <c r="CI313" s="48"/>
      <c r="CJ313" s="51"/>
      <c r="CK313" s="129"/>
      <c r="CL313" s="129"/>
      <c r="CM313" s="129"/>
      <c r="CN313" s="116"/>
      <c r="CO313" s="116"/>
      <c r="CP313" s="116"/>
      <c r="CQ313" s="116"/>
      <c r="CR313" s="116"/>
      <c r="CS313" s="116"/>
      <c r="CT313" s="116"/>
      <c r="CU313" s="116"/>
      <c r="CV313" s="116"/>
      <c r="CW313" s="116"/>
      <c r="CX313" s="116"/>
      <c r="CY313" s="116"/>
      <c r="CZ313" s="116"/>
      <c r="DA313" s="48"/>
      <c r="DB313" s="48"/>
      <c r="DC313" s="48"/>
      <c r="DD313" s="54"/>
      <c r="DE313" s="54"/>
      <c r="DF313" s="54"/>
      <c r="DG313" s="54"/>
      <c r="DH313" s="54"/>
      <c r="DI313" s="54"/>
      <c r="DJ313" s="48"/>
      <c r="DK313" s="48"/>
      <c r="DL313" s="51"/>
      <c r="DM313" s="48"/>
      <c r="DN313" s="52"/>
      <c r="DO313" s="52"/>
      <c r="DP313" s="48"/>
      <c r="DQ313" s="48"/>
      <c r="DR313" s="48"/>
      <c r="DS313" s="51"/>
      <c r="DT313" s="48"/>
      <c r="DU313" s="48"/>
      <c r="DV313" s="48"/>
      <c r="DW313" s="48"/>
      <c r="DX313" s="48"/>
      <c r="DY313" s="48"/>
      <c r="DZ313" s="48"/>
    </row>
    <row r="314" spans="1:130" ht="50.25" customHeight="1">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51"/>
      <c r="AP314" s="51"/>
      <c r="AQ314" s="48"/>
      <c r="AR314" s="48"/>
      <c r="AS314" s="48"/>
      <c r="AT314" s="48"/>
      <c r="AU314" s="48"/>
      <c r="AV314" s="48"/>
      <c r="AW314" s="48"/>
      <c r="AX314" s="48"/>
      <c r="AY314" s="48"/>
      <c r="AZ314" s="48"/>
      <c r="BA314" s="48"/>
      <c r="BB314" s="51"/>
      <c r="BC314" s="48"/>
      <c r="BD314" s="48"/>
      <c r="BE314" s="48"/>
      <c r="BF314" s="48"/>
      <c r="BG314" s="48"/>
      <c r="BH314" s="48"/>
      <c r="BI314" s="48"/>
      <c r="BJ314" s="48"/>
      <c r="BK314" s="48"/>
      <c r="BL314" s="116"/>
      <c r="BM314" s="116"/>
      <c r="BN314" s="51"/>
      <c r="BO314" s="48"/>
      <c r="BP314" s="48"/>
      <c r="BQ314" s="48"/>
      <c r="BR314" s="48"/>
      <c r="BS314" s="48"/>
      <c r="BT314" s="48"/>
      <c r="BU314" s="48"/>
      <c r="BV314" s="48"/>
      <c r="BW314" s="48"/>
      <c r="BX314" s="48"/>
      <c r="BY314" s="48"/>
      <c r="BZ314" s="48"/>
      <c r="CA314" s="48"/>
      <c r="CB314" s="48"/>
      <c r="CC314" s="48"/>
      <c r="CD314" s="52"/>
      <c r="CE314" s="48"/>
      <c r="CF314" s="48"/>
      <c r="CG314" s="48"/>
      <c r="CH314" s="48"/>
      <c r="CI314" s="48"/>
      <c r="CJ314" s="51"/>
      <c r="CK314" s="129"/>
      <c r="CL314" s="129"/>
      <c r="CM314" s="129"/>
      <c r="CN314" s="116"/>
      <c r="CO314" s="116"/>
      <c r="CP314" s="116"/>
      <c r="CQ314" s="116"/>
      <c r="CR314" s="116"/>
      <c r="CS314" s="116"/>
      <c r="CT314" s="116"/>
      <c r="CU314" s="116"/>
      <c r="CV314" s="116"/>
      <c r="CW314" s="116"/>
      <c r="CX314" s="116"/>
      <c r="CY314" s="116"/>
      <c r="CZ314" s="116"/>
      <c r="DA314" s="48"/>
      <c r="DB314" s="48"/>
      <c r="DC314" s="48"/>
      <c r="DD314" s="54"/>
      <c r="DE314" s="54"/>
      <c r="DF314" s="54"/>
      <c r="DG314" s="54"/>
      <c r="DH314" s="54"/>
      <c r="DI314" s="54"/>
      <c r="DJ314" s="48"/>
      <c r="DK314" s="48"/>
      <c r="DL314" s="51"/>
      <c r="DM314" s="48"/>
      <c r="DN314" s="52"/>
      <c r="DO314" s="52"/>
      <c r="DP314" s="48"/>
      <c r="DQ314" s="48"/>
      <c r="DR314" s="48"/>
      <c r="DS314" s="51"/>
      <c r="DT314" s="48"/>
      <c r="DU314" s="48"/>
      <c r="DV314" s="48"/>
      <c r="DW314" s="48"/>
      <c r="DX314" s="48"/>
      <c r="DY314" s="48"/>
      <c r="DZ314" s="48"/>
    </row>
    <row r="315" spans="1:130" ht="50.25" customHeight="1">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51"/>
      <c r="AP315" s="51"/>
      <c r="AQ315" s="48"/>
      <c r="AR315" s="48"/>
      <c r="AS315" s="48"/>
      <c r="AT315" s="48"/>
      <c r="AU315" s="48"/>
      <c r="AV315" s="48"/>
      <c r="AW315" s="48"/>
      <c r="AX315" s="48"/>
      <c r="AY315" s="48"/>
      <c r="AZ315" s="48"/>
      <c r="BA315" s="48"/>
      <c r="BB315" s="51"/>
      <c r="BC315" s="48"/>
      <c r="BD315" s="48"/>
      <c r="BE315" s="48"/>
      <c r="BF315" s="48"/>
      <c r="BG315" s="48"/>
      <c r="BH315" s="48"/>
      <c r="BI315" s="48"/>
      <c r="BJ315" s="48"/>
      <c r="BK315" s="48"/>
      <c r="BL315" s="116"/>
      <c r="BM315" s="116"/>
      <c r="BN315" s="51"/>
      <c r="BO315" s="48"/>
      <c r="BP315" s="48"/>
      <c r="BQ315" s="48"/>
      <c r="BR315" s="48"/>
      <c r="BS315" s="48"/>
      <c r="BT315" s="48"/>
      <c r="BU315" s="48"/>
      <c r="BV315" s="48"/>
      <c r="BW315" s="48"/>
      <c r="BX315" s="48"/>
      <c r="BY315" s="48"/>
      <c r="BZ315" s="48"/>
      <c r="CA315" s="48"/>
      <c r="CB315" s="48"/>
      <c r="CC315" s="48"/>
      <c r="CD315" s="52"/>
      <c r="CE315" s="48"/>
      <c r="CF315" s="48"/>
      <c r="CG315" s="48"/>
      <c r="CH315" s="48"/>
      <c r="CI315" s="48"/>
      <c r="CJ315" s="51"/>
      <c r="CK315" s="129"/>
      <c r="CL315" s="129"/>
      <c r="CM315" s="129"/>
      <c r="CN315" s="116"/>
      <c r="CO315" s="116"/>
      <c r="CP315" s="116"/>
      <c r="CQ315" s="116"/>
      <c r="CR315" s="116"/>
      <c r="CS315" s="116"/>
      <c r="CT315" s="116"/>
      <c r="CU315" s="116"/>
      <c r="CV315" s="116"/>
      <c r="CW315" s="116"/>
      <c r="CX315" s="116"/>
      <c r="CY315" s="116"/>
      <c r="CZ315" s="116"/>
      <c r="DA315" s="48"/>
      <c r="DB315" s="48"/>
      <c r="DC315" s="48"/>
      <c r="DD315" s="54"/>
      <c r="DE315" s="54"/>
      <c r="DF315" s="54"/>
      <c r="DG315" s="54"/>
      <c r="DH315" s="54"/>
      <c r="DI315" s="54"/>
      <c r="DJ315" s="48"/>
      <c r="DK315" s="48"/>
      <c r="DL315" s="51"/>
      <c r="DM315" s="48"/>
      <c r="DN315" s="52"/>
      <c r="DO315" s="52"/>
      <c r="DP315" s="48"/>
      <c r="DQ315" s="48"/>
      <c r="DR315" s="48"/>
      <c r="DS315" s="51"/>
      <c r="DT315" s="48"/>
      <c r="DU315" s="48"/>
      <c r="DV315" s="48"/>
      <c r="DW315" s="48"/>
      <c r="DX315" s="48"/>
      <c r="DY315" s="48"/>
      <c r="DZ315" s="48"/>
    </row>
    <row r="316" spans="1:130" ht="50.25" customHeight="1">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51"/>
      <c r="AP316" s="51"/>
      <c r="AQ316" s="48"/>
      <c r="AR316" s="48"/>
      <c r="AS316" s="48"/>
      <c r="AT316" s="48"/>
      <c r="AU316" s="48"/>
      <c r="AV316" s="48"/>
      <c r="AW316" s="48"/>
      <c r="AX316" s="48"/>
      <c r="AY316" s="48"/>
      <c r="AZ316" s="48"/>
      <c r="BA316" s="48"/>
      <c r="BB316" s="51"/>
      <c r="BC316" s="48"/>
      <c r="BD316" s="48"/>
      <c r="BE316" s="48"/>
      <c r="BF316" s="48"/>
      <c r="BG316" s="48"/>
      <c r="BH316" s="48"/>
      <c r="BI316" s="48"/>
      <c r="BJ316" s="48"/>
      <c r="BK316" s="48"/>
      <c r="BL316" s="116"/>
      <c r="BM316" s="116"/>
      <c r="BN316" s="51"/>
      <c r="BO316" s="48"/>
      <c r="BP316" s="48"/>
      <c r="BQ316" s="48"/>
      <c r="BR316" s="48"/>
      <c r="BS316" s="48"/>
      <c r="BT316" s="48"/>
      <c r="BU316" s="48"/>
      <c r="BV316" s="48"/>
      <c r="BW316" s="48"/>
      <c r="BX316" s="48"/>
      <c r="BY316" s="48"/>
      <c r="BZ316" s="48"/>
      <c r="CA316" s="48"/>
      <c r="CB316" s="48"/>
      <c r="CC316" s="48"/>
      <c r="CD316" s="52"/>
      <c r="CE316" s="48"/>
      <c r="CF316" s="48"/>
      <c r="CG316" s="48"/>
      <c r="CH316" s="48"/>
      <c r="CI316" s="48"/>
      <c r="CJ316" s="51"/>
      <c r="CK316" s="129"/>
      <c r="CL316" s="129"/>
      <c r="CM316" s="129"/>
      <c r="CN316" s="116"/>
      <c r="CO316" s="116"/>
      <c r="CP316" s="116"/>
      <c r="CQ316" s="116"/>
      <c r="CR316" s="116"/>
      <c r="CS316" s="116"/>
      <c r="CT316" s="116"/>
      <c r="CU316" s="116"/>
      <c r="CV316" s="116"/>
      <c r="CW316" s="116"/>
      <c r="CX316" s="116"/>
      <c r="CY316" s="116"/>
      <c r="CZ316" s="116"/>
      <c r="DA316" s="48"/>
      <c r="DB316" s="48"/>
      <c r="DC316" s="48"/>
      <c r="DD316" s="54"/>
      <c r="DE316" s="54"/>
      <c r="DF316" s="54"/>
      <c r="DG316" s="54"/>
      <c r="DH316" s="54"/>
      <c r="DI316" s="54"/>
      <c r="DJ316" s="48"/>
      <c r="DK316" s="48"/>
      <c r="DL316" s="51"/>
      <c r="DM316" s="48"/>
      <c r="DN316" s="52"/>
      <c r="DO316" s="52"/>
      <c r="DP316" s="48"/>
      <c r="DQ316" s="48"/>
      <c r="DR316" s="48"/>
      <c r="DS316" s="51"/>
      <c r="DT316" s="48"/>
      <c r="DU316" s="48"/>
      <c r="DV316" s="48"/>
      <c r="DW316" s="48"/>
      <c r="DX316" s="48"/>
      <c r="DY316" s="48"/>
      <c r="DZ316" s="48"/>
    </row>
    <row r="317" spans="1:130" ht="50.25" customHeight="1">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51"/>
      <c r="AP317" s="51"/>
      <c r="AQ317" s="48"/>
      <c r="AR317" s="48"/>
      <c r="AS317" s="48"/>
      <c r="AT317" s="48"/>
      <c r="AU317" s="48"/>
      <c r="AV317" s="48"/>
      <c r="AW317" s="48"/>
      <c r="AX317" s="48"/>
      <c r="AY317" s="48"/>
      <c r="AZ317" s="48"/>
      <c r="BA317" s="48"/>
      <c r="BB317" s="51"/>
      <c r="BC317" s="48"/>
      <c r="BD317" s="48"/>
      <c r="BE317" s="48"/>
      <c r="BF317" s="48"/>
      <c r="BG317" s="48"/>
      <c r="BH317" s="48"/>
      <c r="BI317" s="48"/>
      <c r="BJ317" s="48"/>
      <c r="BK317" s="48"/>
      <c r="BL317" s="116"/>
      <c r="BM317" s="116"/>
      <c r="BN317" s="51"/>
      <c r="BO317" s="48"/>
      <c r="BP317" s="48"/>
      <c r="BQ317" s="48"/>
      <c r="BR317" s="48"/>
      <c r="BS317" s="48"/>
      <c r="BT317" s="48"/>
      <c r="BU317" s="48"/>
      <c r="BV317" s="48"/>
      <c r="BW317" s="48"/>
      <c r="BX317" s="48"/>
      <c r="BY317" s="48"/>
      <c r="BZ317" s="48"/>
      <c r="CA317" s="48"/>
      <c r="CB317" s="48"/>
      <c r="CC317" s="48"/>
      <c r="CD317" s="52"/>
      <c r="CE317" s="48"/>
      <c r="CF317" s="48"/>
      <c r="CG317" s="48"/>
      <c r="CH317" s="48"/>
      <c r="CI317" s="48"/>
      <c r="CJ317" s="51"/>
      <c r="CK317" s="129"/>
      <c r="CL317" s="129"/>
      <c r="CM317" s="129"/>
      <c r="CN317" s="116"/>
      <c r="CO317" s="116"/>
      <c r="CP317" s="116"/>
      <c r="CQ317" s="116"/>
      <c r="CR317" s="116"/>
      <c r="CS317" s="116"/>
      <c r="CT317" s="116"/>
      <c r="CU317" s="116"/>
      <c r="CV317" s="116"/>
      <c r="CW317" s="116"/>
      <c r="CX317" s="116"/>
      <c r="CY317" s="116"/>
      <c r="CZ317" s="116"/>
      <c r="DA317" s="48"/>
      <c r="DB317" s="48"/>
      <c r="DC317" s="48"/>
      <c r="DD317" s="54"/>
      <c r="DE317" s="54"/>
      <c r="DF317" s="54"/>
      <c r="DG317" s="54"/>
      <c r="DH317" s="54"/>
      <c r="DI317" s="54"/>
      <c r="DJ317" s="48"/>
      <c r="DK317" s="48"/>
      <c r="DL317" s="51"/>
      <c r="DM317" s="48"/>
      <c r="DN317" s="52"/>
      <c r="DO317" s="52"/>
      <c r="DP317" s="48"/>
      <c r="DQ317" s="48"/>
      <c r="DR317" s="48"/>
      <c r="DS317" s="51"/>
      <c r="DT317" s="48"/>
      <c r="DU317" s="48"/>
      <c r="DV317" s="48"/>
      <c r="DW317" s="48"/>
      <c r="DX317" s="48"/>
      <c r="DY317" s="48"/>
      <c r="DZ317" s="48"/>
    </row>
    <row r="318" spans="1:130" ht="50.25" customHeight="1">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51"/>
      <c r="AP318" s="51"/>
      <c r="AQ318" s="48"/>
      <c r="AR318" s="48"/>
      <c r="AS318" s="48"/>
      <c r="AT318" s="48"/>
      <c r="AU318" s="48"/>
      <c r="AV318" s="48"/>
      <c r="AW318" s="48"/>
      <c r="AX318" s="48"/>
      <c r="AY318" s="48"/>
      <c r="AZ318" s="48"/>
      <c r="BA318" s="48"/>
      <c r="BB318" s="51"/>
      <c r="BC318" s="48"/>
      <c r="BD318" s="48"/>
      <c r="BE318" s="48"/>
      <c r="BF318" s="48"/>
      <c r="BG318" s="48"/>
      <c r="BH318" s="48"/>
      <c r="BI318" s="48"/>
      <c r="BJ318" s="48"/>
      <c r="BK318" s="48"/>
      <c r="BL318" s="116"/>
      <c r="BM318" s="116"/>
      <c r="BN318" s="51"/>
      <c r="BO318" s="48"/>
      <c r="BP318" s="48"/>
      <c r="BQ318" s="48"/>
      <c r="BR318" s="48"/>
      <c r="BS318" s="48"/>
      <c r="BT318" s="48"/>
      <c r="BU318" s="48"/>
      <c r="BV318" s="48"/>
      <c r="BW318" s="48"/>
      <c r="BX318" s="48"/>
      <c r="BY318" s="48"/>
      <c r="BZ318" s="48"/>
      <c r="CA318" s="48"/>
      <c r="CB318" s="48"/>
      <c r="CC318" s="48"/>
      <c r="CD318" s="52"/>
      <c r="CE318" s="48"/>
      <c r="CF318" s="48"/>
      <c r="CG318" s="48"/>
      <c r="CH318" s="48"/>
      <c r="CI318" s="48"/>
      <c r="CJ318" s="51"/>
      <c r="CK318" s="129"/>
      <c r="CL318" s="129"/>
      <c r="CM318" s="129"/>
      <c r="CN318" s="116"/>
      <c r="CO318" s="116"/>
      <c r="CP318" s="116"/>
      <c r="CQ318" s="116"/>
      <c r="CR318" s="116"/>
      <c r="CS318" s="116"/>
      <c r="CT318" s="116"/>
      <c r="CU318" s="116"/>
      <c r="CV318" s="116"/>
      <c r="CW318" s="116"/>
      <c r="CX318" s="116"/>
      <c r="CY318" s="116"/>
      <c r="CZ318" s="116"/>
      <c r="DA318" s="48"/>
      <c r="DB318" s="48"/>
      <c r="DC318" s="48"/>
      <c r="DD318" s="54"/>
      <c r="DE318" s="54"/>
      <c r="DF318" s="54"/>
      <c r="DG318" s="54"/>
      <c r="DH318" s="54"/>
      <c r="DI318" s="54"/>
      <c r="DJ318" s="48"/>
      <c r="DK318" s="48"/>
      <c r="DL318" s="51"/>
      <c r="DM318" s="48"/>
      <c r="DN318" s="52"/>
      <c r="DO318" s="52"/>
      <c r="DP318" s="48"/>
      <c r="DQ318" s="48"/>
      <c r="DR318" s="48"/>
      <c r="DS318" s="51"/>
      <c r="DT318" s="48"/>
      <c r="DU318" s="48"/>
      <c r="DV318" s="48"/>
      <c r="DW318" s="48"/>
      <c r="DX318" s="48"/>
      <c r="DY318" s="48"/>
      <c r="DZ318" s="48"/>
    </row>
    <row r="319" spans="1:130" ht="50.25" customHeight="1">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51"/>
      <c r="AP319" s="51"/>
      <c r="AQ319" s="48"/>
      <c r="AR319" s="48"/>
      <c r="AS319" s="48"/>
      <c r="AT319" s="48"/>
      <c r="AU319" s="48"/>
      <c r="AV319" s="48"/>
      <c r="AW319" s="48"/>
      <c r="AX319" s="48"/>
      <c r="AY319" s="48"/>
      <c r="AZ319" s="48"/>
      <c r="BA319" s="48"/>
      <c r="BB319" s="51"/>
      <c r="BC319" s="48"/>
      <c r="BD319" s="48"/>
      <c r="BE319" s="48"/>
      <c r="BF319" s="48"/>
      <c r="BG319" s="48"/>
      <c r="BH319" s="48"/>
      <c r="BI319" s="48"/>
      <c r="BJ319" s="48"/>
      <c r="BK319" s="48"/>
      <c r="BL319" s="116"/>
      <c r="BM319" s="116"/>
      <c r="BN319" s="51"/>
      <c r="BO319" s="48"/>
      <c r="BP319" s="48"/>
      <c r="BQ319" s="48"/>
      <c r="BR319" s="48"/>
      <c r="BS319" s="48"/>
      <c r="BT319" s="48"/>
      <c r="BU319" s="48"/>
      <c r="BV319" s="48"/>
      <c r="BW319" s="48"/>
      <c r="BX319" s="48"/>
      <c r="BY319" s="48"/>
      <c r="BZ319" s="48"/>
      <c r="CA319" s="48"/>
      <c r="CB319" s="48"/>
      <c r="CC319" s="48"/>
      <c r="CD319" s="52"/>
      <c r="CE319" s="48"/>
      <c r="CF319" s="48"/>
      <c r="CG319" s="48"/>
      <c r="CH319" s="48"/>
      <c r="CI319" s="48"/>
      <c r="CJ319" s="51"/>
      <c r="CK319" s="129"/>
      <c r="CL319" s="129"/>
      <c r="CM319" s="129"/>
      <c r="CN319" s="116"/>
      <c r="CO319" s="116"/>
      <c r="CP319" s="116"/>
      <c r="CQ319" s="116"/>
      <c r="CR319" s="116"/>
      <c r="CS319" s="116"/>
      <c r="CT319" s="116"/>
      <c r="CU319" s="116"/>
      <c r="CV319" s="116"/>
      <c r="CW319" s="116"/>
      <c r="CX319" s="116"/>
      <c r="CY319" s="116"/>
      <c r="CZ319" s="116"/>
      <c r="DA319" s="48"/>
      <c r="DB319" s="48"/>
      <c r="DC319" s="48"/>
      <c r="DD319" s="54"/>
      <c r="DE319" s="54"/>
      <c r="DF319" s="54"/>
      <c r="DG319" s="54"/>
      <c r="DH319" s="54"/>
      <c r="DI319" s="54"/>
      <c r="DJ319" s="48"/>
      <c r="DK319" s="48"/>
      <c r="DL319" s="51"/>
      <c r="DM319" s="48"/>
      <c r="DN319" s="52"/>
      <c r="DO319" s="52"/>
      <c r="DP319" s="48"/>
      <c r="DQ319" s="48"/>
      <c r="DR319" s="48"/>
      <c r="DS319" s="51"/>
      <c r="DT319" s="48"/>
      <c r="DU319" s="48"/>
      <c r="DV319" s="48"/>
      <c r="DW319" s="48"/>
      <c r="DX319" s="48"/>
      <c r="DY319" s="48"/>
      <c r="DZ319" s="48"/>
    </row>
    <row r="320" spans="1:130" ht="50.25" customHeight="1">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51"/>
      <c r="AP320" s="51"/>
      <c r="AQ320" s="48"/>
      <c r="AR320" s="48"/>
      <c r="AS320" s="48"/>
      <c r="AT320" s="48"/>
      <c r="AU320" s="48"/>
      <c r="AV320" s="48"/>
      <c r="AW320" s="48"/>
      <c r="AX320" s="48"/>
      <c r="AY320" s="48"/>
      <c r="AZ320" s="48"/>
      <c r="BA320" s="48"/>
      <c r="BB320" s="51"/>
      <c r="BC320" s="48"/>
      <c r="BD320" s="48"/>
      <c r="BE320" s="48"/>
      <c r="BF320" s="48"/>
      <c r="BG320" s="48"/>
      <c r="BH320" s="48"/>
      <c r="BI320" s="48"/>
      <c r="BJ320" s="48"/>
      <c r="BK320" s="48"/>
      <c r="BL320" s="116"/>
      <c r="BM320" s="116"/>
      <c r="BN320" s="51"/>
      <c r="BO320" s="48"/>
      <c r="BP320" s="48"/>
      <c r="BQ320" s="48"/>
      <c r="BR320" s="48"/>
      <c r="BS320" s="48"/>
      <c r="BT320" s="48"/>
      <c r="BU320" s="48"/>
      <c r="BV320" s="48"/>
      <c r="BW320" s="48"/>
      <c r="BX320" s="48"/>
      <c r="BY320" s="48"/>
      <c r="BZ320" s="48"/>
      <c r="CA320" s="48"/>
      <c r="CB320" s="48"/>
      <c r="CC320" s="48"/>
      <c r="CD320" s="52"/>
      <c r="CE320" s="48"/>
      <c r="CF320" s="48"/>
      <c r="CG320" s="48"/>
      <c r="CH320" s="48"/>
      <c r="CI320" s="48"/>
      <c r="CJ320" s="51"/>
      <c r="CK320" s="129"/>
      <c r="CL320" s="129"/>
      <c r="CM320" s="129"/>
      <c r="CN320" s="116"/>
      <c r="CO320" s="116"/>
      <c r="CP320" s="116"/>
      <c r="CQ320" s="116"/>
      <c r="CR320" s="116"/>
      <c r="CS320" s="116"/>
      <c r="CT320" s="116"/>
      <c r="CU320" s="116"/>
      <c r="CV320" s="116"/>
      <c r="CW320" s="116"/>
      <c r="CX320" s="116"/>
      <c r="CY320" s="116"/>
      <c r="CZ320" s="116"/>
      <c r="DA320" s="48"/>
      <c r="DB320" s="48"/>
      <c r="DC320" s="48"/>
      <c r="DD320" s="54"/>
      <c r="DE320" s="54"/>
      <c r="DF320" s="54"/>
      <c r="DG320" s="54"/>
      <c r="DH320" s="54"/>
      <c r="DI320" s="54"/>
      <c r="DJ320" s="48"/>
      <c r="DK320" s="48"/>
      <c r="DL320" s="51"/>
      <c r="DM320" s="48"/>
      <c r="DN320" s="52"/>
      <c r="DO320" s="52"/>
      <c r="DP320" s="48"/>
      <c r="DQ320" s="48"/>
      <c r="DR320" s="48"/>
      <c r="DS320" s="51"/>
      <c r="DT320" s="48"/>
      <c r="DU320" s="48"/>
      <c r="DV320" s="48"/>
      <c r="DW320" s="48"/>
      <c r="DX320" s="48"/>
      <c r="DY320" s="48"/>
      <c r="DZ320" s="48"/>
    </row>
    <row r="321" spans="1:130" ht="50.25" customHeight="1">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51"/>
      <c r="AP321" s="51"/>
      <c r="AQ321" s="48"/>
      <c r="AR321" s="48"/>
      <c r="AS321" s="48"/>
      <c r="AT321" s="48"/>
      <c r="AU321" s="48"/>
      <c r="AV321" s="48"/>
      <c r="AW321" s="48"/>
      <c r="AX321" s="48"/>
      <c r="AY321" s="48"/>
      <c r="AZ321" s="48"/>
      <c r="BA321" s="48"/>
      <c r="BB321" s="51"/>
      <c r="BC321" s="48"/>
      <c r="BD321" s="48"/>
      <c r="BE321" s="48"/>
      <c r="BF321" s="48"/>
      <c r="BG321" s="48"/>
      <c r="BH321" s="48"/>
      <c r="BI321" s="48"/>
      <c r="BJ321" s="48"/>
      <c r="BK321" s="48"/>
      <c r="BL321" s="116"/>
      <c r="BM321" s="116"/>
      <c r="BN321" s="51"/>
      <c r="BO321" s="48"/>
      <c r="BP321" s="48"/>
      <c r="BQ321" s="48"/>
      <c r="BR321" s="48"/>
      <c r="BS321" s="48"/>
      <c r="BT321" s="48"/>
      <c r="BU321" s="48"/>
      <c r="BV321" s="48"/>
      <c r="BW321" s="48"/>
      <c r="BX321" s="48"/>
      <c r="BY321" s="48"/>
      <c r="BZ321" s="48"/>
      <c r="CA321" s="48"/>
      <c r="CB321" s="48"/>
      <c r="CC321" s="48"/>
      <c r="CD321" s="52"/>
      <c r="CE321" s="48"/>
      <c r="CF321" s="48"/>
      <c r="CG321" s="48"/>
      <c r="CH321" s="48"/>
      <c r="CI321" s="48"/>
      <c r="CJ321" s="51"/>
      <c r="CK321" s="129"/>
      <c r="CL321" s="129"/>
      <c r="CM321" s="129"/>
      <c r="CN321" s="116"/>
      <c r="CO321" s="116"/>
      <c r="CP321" s="116"/>
      <c r="CQ321" s="116"/>
      <c r="CR321" s="116"/>
      <c r="CS321" s="116"/>
      <c r="CT321" s="116"/>
      <c r="CU321" s="116"/>
      <c r="CV321" s="116"/>
      <c r="CW321" s="116"/>
      <c r="CX321" s="116"/>
      <c r="CY321" s="116"/>
      <c r="CZ321" s="116"/>
      <c r="DA321" s="48"/>
      <c r="DB321" s="48"/>
      <c r="DC321" s="48"/>
      <c r="DD321" s="54"/>
      <c r="DE321" s="54"/>
      <c r="DF321" s="54"/>
      <c r="DG321" s="54"/>
      <c r="DH321" s="54"/>
      <c r="DI321" s="54"/>
      <c r="DJ321" s="48"/>
      <c r="DK321" s="48"/>
      <c r="DL321" s="51"/>
      <c r="DM321" s="48"/>
      <c r="DN321" s="52"/>
      <c r="DO321" s="52"/>
      <c r="DP321" s="48"/>
      <c r="DQ321" s="48"/>
      <c r="DR321" s="48"/>
      <c r="DS321" s="51"/>
      <c r="DT321" s="48"/>
      <c r="DU321" s="48"/>
      <c r="DV321" s="48"/>
      <c r="DW321" s="48"/>
      <c r="DX321" s="48"/>
      <c r="DY321" s="48"/>
      <c r="DZ321" s="48"/>
    </row>
    <row r="322" spans="1:130" ht="50.25" customHeight="1">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51"/>
      <c r="AP322" s="51"/>
      <c r="AQ322" s="48"/>
      <c r="AR322" s="48"/>
      <c r="AS322" s="48"/>
      <c r="AT322" s="48"/>
      <c r="AU322" s="48"/>
      <c r="AV322" s="48"/>
      <c r="AW322" s="48"/>
      <c r="AX322" s="48"/>
      <c r="AY322" s="48"/>
      <c r="AZ322" s="48"/>
      <c r="BA322" s="48"/>
      <c r="BB322" s="51"/>
      <c r="BC322" s="48"/>
      <c r="BD322" s="48"/>
      <c r="BE322" s="48"/>
      <c r="BF322" s="48"/>
      <c r="BG322" s="48"/>
      <c r="BH322" s="48"/>
      <c r="BI322" s="48"/>
      <c r="BJ322" s="48"/>
      <c r="BK322" s="48"/>
      <c r="BL322" s="116"/>
      <c r="BM322" s="116"/>
      <c r="BN322" s="51"/>
      <c r="BO322" s="48"/>
      <c r="BP322" s="48"/>
      <c r="BQ322" s="48"/>
      <c r="BR322" s="48"/>
      <c r="BS322" s="48"/>
      <c r="BT322" s="48"/>
      <c r="BU322" s="48"/>
      <c r="BV322" s="48"/>
      <c r="BW322" s="48"/>
      <c r="BX322" s="48"/>
      <c r="BY322" s="48"/>
      <c r="BZ322" s="48"/>
      <c r="CA322" s="48"/>
      <c r="CB322" s="48"/>
      <c r="CC322" s="48"/>
      <c r="CD322" s="52"/>
      <c r="CE322" s="48"/>
      <c r="CF322" s="48"/>
      <c r="CG322" s="48"/>
      <c r="CH322" s="48"/>
      <c r="CI322" s="48"/>
      <c r="CJ322" s="51"/>
      <c r="CK322" s="129"/>
      <c r="CL322" s="129"/>
      <c r="CM322" s="129"/>
      <c r="CN322" s="116"/>
      <c r="CO322" s="116"/>
      <c r="CP322" s="116"/>
      <c r="CQ322" s="116"/>
      <c r="CR322" s="116"/>
      <c r="CS322" s="116"/>
      <c r="CT322" s="116"/>
      <c r="CU322" s="116"/>
      <c r="CV322" s="116"/>
      <c r="CW322" s="116"/>
      <c r="CX322" s="116"/>
      <c r="CY322" s="116"/>
      <c r="CZ322" s="116"/>
      <c r="DA322" s="48"/>
      <c r="DB322" s="48"/>
      <c r="DC322" s="48"/>
      <c r="DD322" s="54"/>
      <c r="DE322" s="54"/>
      <c r="DF322" s="54"/>
      <c r="DG322" s="54"/>
      <c r="DH322" s="54"/>
      <c r="DI322" s="54"/>
      <c r="DJ322" s="48"/>
      <c r="DK322" s="48"/>
      <c r="DL322" s="51"/>
      <c r="DM322" s="48"/>
      <c r="DN322" s="52"/>
      <c r="DO322" s="52"/>
      <c r="DP322" s="48"/>
      <c r="DQ322" s="48"/>
      <c r="DR322" s="48"/>
      <c r="DS322" s="51"/>
      <c r="DT322" s="48"/>
      <c r="DU322" s="48"/>
      <c r="DV322" s="48"/>
      <c r="DW322" s="48"/>
      <c r="DX322" s="48"/>
      <c r="DY322" s="48"/>
      <c r="DZ322" s="48"/>
    </row>
    <row r="323" spans="1:130" ht="50.25" customHeight="1">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51"/>
      <c r="AP323" s="51"/>
      <c r="AQ323" s="48"/>
      <c r="AR323" s="48"/>
      <c r="AS323" s="48"/>
      <c r="AT323" s="48"/>
      <c r="AU323" s="48"/>
      <c r="AV323" s="48"/>
      <c r="AW323" s="48"/>
      <c r="AX323" s="48"/>
      <c r="AY323" s="48"/>
      <c r="AZ323" s="48"/>
      <c r="BA323" s="48"/>
      <c r="BB323" s="51"/>
      <c r="BC323" s="48"/>
      <c r="BD323" s="48"/>
      <c r="BE323" s="48"/>
      <c r="BF323" s="48"/>
      <c r="BG323" s="48"/>
      <c r="BH323" s="48"/>
      <c r="BI323" s="48"/>
      <c r="BJ323" s="48"/>
      <c r="BK323" s="48"/>
      <c r="BL323" s="116"/>
      <c r="BM323" s="116"/>
      <c r="BN323" s="51"/>
      <c r="BO323" s="48"/>
      <c r="BP323" s="48"/>
      <c r="BQ323" s="48"/>
      <c r="BR323" s="48"/>
      <c r="BS323" s="48"/>
      <c r="BT323" s="48"/>
      <c r="BU323" s="48"/>
      <c r="BV323" s="48"/>
      <c r="BW323" s="48"/>
      <c r="BX323" s="48"/>
      <c r="BY323" s="48"/>
      <c r="BZ323" s="48"/>
      <c r="CA323" s="48"/>
      <c r="CB323" s="48"/>
      <c r="CC323" s="48"/>
      <c r="CD323" s="52"/>
      <c r="CE323" s="48"/>
      <c r="CF323" s="48"/>
      <c r="CG323" s="48"/>
      <c r="CH323" s="48"/>
      <c r="CI323" s="48"/>
      <c r="CJ323" s="51"/>
      <c r="CK323" s="129"/>
      <c r="CL323" s="129"/>
      <c r="CM323" s="129"/>
      <c r="CN323" s="116"/>
      <c r="CO323" s="116"/>
      <c r="CP323" s="116"/>
      <c r="CQ323" s="116"/>
      <c r="CR323" s="116"/>
      <c r="CS323" s="116"/>
      <c r="CT323" s="116"/>
      <c r="CU323" s="116"/>
      <c r="CV323" s="116"/>
      <c r="CW323" s="116"/>
      <c r="CX323" s="116"/>
      <c r="CY323" s="116"/>
      <c r="CZ323" s="116"/>
      <c r="DA323" s="48"/>
      <c r="DB323" s="48"/>
      <c r="DC323" s="48"/>
      <c r="DD323" s="54"/>
      <c r="DE323" s="54"/>
      <c r="DF323" s="54"/>
      <c r="DG323" s="54"/>
      <c r="DH323" s="54"/>
      <c r="DI323" s="54"/>
      <c r="DJ323" s="48"/>
      <c r="DK323" s="48"/>
      <c r="DL323" s="51"/>
      <c r="DM323" s="48"/>
      <c r="DN323" s="52"/>
      <c r="DO323" s="52"/>
      <c r="DP323" s="48"/>
      <c r="DQ323" s="48"/>
      <c r="DR323" s="48"/>
      <c r="DS323" s="51"/>
      <c r="DT323" s="48"/>
      <c r="DU323" s="48"/>
      <c r="DV323" s="48"/>
      <c r="DW323" s="48"/>
      <c r="DX323" s="48"/>
      <c r="DY323" s="48"/>
      <c r="DZ323" s="48"/>
    </row>
    <row r="324" spans="1:130" ht="50.25" customHeight="1">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51"/>
      <c r="AP324" s="51"/>
      <c r="AQ324" s="48"/>
      <c r="AR324" s="48"/>
      <c r="AS324" s="48"/>
      <c r="AT324" s="48"/>
      <c r="AU324" s="48"/>
      <c r="AV324" s="48"/>
      <c r="AW324" s="48"/>
      <c r="AX324" s="48"/>
      <c r="AY324" s="48"/>
      <c r="AZ324" s="48"/>
      <c r="BA324" s="48"/>
      <c r="BB324" s="51"/>
      <c r="BC324" s="48"/>
      <c r="BD324" s="48"/>
      <c r="BE324" s="48"/>
      <c r="BF324" s="48"/>
      <c r="BG324" s="48"/>
      <c r="BH324" s="48"/>
      <c r="BI324" s="48"/>
      <c r="BJ324" s="48"/>
      <c r="BK324" s="48"/>
      <c r="BL324" s="116"/>
      <c r="BM324" s="116"/>
      <c r="BN324" s="51"/>
      <c r="BO324" s="48"/>
      <c r="BP324" s="48"/>
      <c r="BQ324" s="48"/>
      <c r="BR324" s="48"/>
      <c r="BS324" s="48"/>
      <c r="BT324" s="48"/>
      <c r="BU324" s="48"/>
      <c r="BV324" s="48"/>
      <c r="BW324" s="48"/>
      <c r="BX324" s="48"/>
      <c r="BY324" s="48"/>
      <c r="BZ324" s="48"/>
      <c r="CA324" s="48"/>
      <c r="CB324" s="48"/>
      <c r="CC324" s="48"/>
      <c r="CD324" s="52"/>
      <c r="CE324" s="48"/>
      <c r="CF324" s="48"/>
      <c r="CG324" s="48"/>
      <c r="CH324" s="48"/>
      <c r="CI324" s="48"/>
      <c r="CJ324" s="51"/>
      <c r="CK324" s="129"/>
      <c r="CL324" s="129"/>
      <c r="CM324" s="129"/>
      <c r="CN324" s="116"/>
      <c r="CO324" s="116"/>
      <c r="CP324" s="116"/>
      <c r="CQ324" s="116"/>
      <c r="CR324" s="116"/>
      <c r="CS324" s="116"/>
      <c r="CT324" s="116"/>
      <c r="CU324" s="116"/>
      <c r="CV324" s="116"/>
      <c r="CW324" s="116"/>
      <c r="CX324" s="116"/>
      <c r="CY324" s="116"/>
      <c r="CZ324" s="116"/>
      <c r="DA324" s="48"/>
      <c r="DB324" s="48"/>
      <c r="DC324" s="48"/>
      <c r="DD324" s="54"/>
      <c r="DE324" s="54"/>
      <c r="DF324" s="54"/>
      <c r="DG324" s="54"/>
      <c r="DH324" s="54"/>
      <c r="DI324" s="54"/>
      <c r="DJ324" s="48"/>
      <c r="DK324" s="48"/>
      <c r="DL324" s="51"/>
      <c r="DM324" s="48"/>
      <c r="DN324" s="52"/>
      <c r="DO324" s="52"/>
      <c r="DP324" s="48"/>
      <c r="DQ324" s="48"/>
      <c r="DR324" s="48"/>
      <c r="DS324" s="51"/>
      <c r="DT324" s="48"/>
      <c r="DU324" s="48"/>
      <c r="DV324" s="48"/>
      <c r="DW324" s="48"/>
      <c r="DX324" s="48"/>
      <c r="DY324" s="48"/>
      <c r="DZ324" s="48"/>
    </row>
    <row r="325" spans="1:130" ht="50.25" customHeight="1">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51"/>
      <c r="AP325" s="51"/>
      <c r="AQ325" s="48"/>
      <c r="AR325" s="48"/>
      <c r="AS325" s="48"/>
      <c r="AT325" s="48"/>
      <c r="AU325" s="48"/>
      <c r="AV325" s="48"/>
      <c r="AW325" s="48"/>
      <c r="AX325" s="48"/>
      <c r="AY325" s="48"/>
      <c r="AZ325" s="48"/>
      <c r="BA325" s="48"/>
      <c r="BB325" s="51"/>
      <c r="BC325" s="48"/>
      <c r="BD325" s="48"/>
      <c r="BE325" s="48"/>
      <c r="BF325" s="48"/>
      <c r="BG325" s="48"/>
      <c r="BH325" s="48"/>
      <c r="BI325" s="48"/>
      <c r="BJ325" s="48"/>
      <c r="BK325" s="48"/>
      <c r="BL325" s="116"/>
      <c r="BM325" s="116"/>
      <c r="BN325" s="51"/>
      <c r="BO325" s="48"/>
      <c r="BP325" s="48"/>
      <c r="BQ325" s="48"/>
      <c r="BR325" s="48"/>
      <c r="BS325" s="48"/>
      <c r="BT325" s="48"/>
      <c r="BU325" s="48"/>
      <c r="BV325" s="48"/>
      <c r="BW325" s="48"/>
      <c r="BX325" s="48"/>
      <c r="BY325" s="48"/>
      <c r="BZ325" s="48"/>
      <c r="CA325" s="48"/>
      <c r="CB325" s="48"/>
      <c r="CC325" s="48"/>
      <c r="CD325" s="52"/>
      <c r="CE325" s="48"/>
      <c r="CF325" s="48"/>
      <c r="CG325" s="48"/>
      <c r="CH325" s="48"/>
      <c r="CI325" s="48"/>
      <c r="CJ325" s="51"/>
      <c r="CK325" s="129"/>
      <c r="CL325" s="129"/>
      <c r="CM325" s="129"/>
      <c r="CN325" s="116"/>
      <c r="CO325" s="116"/>
      <c r="CP325" s="116"/>
      <c r="CQ325" s="116"/>
      <c r="CR325" s="116"/>
      <c r="CS325" s="116"/>
      <c r="CT325" s="116"/>
      <c r="CU325" s="116"/>
      <c r="CV325" s="116"/>
      <c r="CW325" s="116"/>
      <c r="CX325" s="116"/>
      <c r="CY325" s="116"/>
      <c r="CZ325" s="116"/>
      <c r="DA325" s="48"/>
      <c r="DB325" s="48"/>
      <c r="DC325" s="48"/>
      <c r="DD325" s="54"/>
      <c r="DE325" s="54"/>
      <c r="DF325" s="54"/>
      <c r="DG325" s="54"/>
      <c r="DH325" s="54"/>
      <c r="DI325" s="54"/>
      <c r="DJ325" s="48"/>
      <c r="DK325" s="48"/>
      <c r="DL325" s="51"/>
      <c r="DM325" s="48"/>
      <c r="DN325" s="52"/>
      <c r="DO325" s="52"/>
      <c r="DP325" s="48"/>
      <c r="DQ325" s="48"/>
      <c r="DR325" s="48"/>
      <c r="DS325" s="51"/>
      <c r="DT325" s="48"/>
      <c r="DU325" s="48"/>
      <c r="DV325" s="48"/>
      <c r="DW325" s="48"/>
      <c r="DX325" s="48"/>
      <c r="DY325" s="48"/>
      <c r="DZ325" s="48"/>
    </row>
    <row r="326" spans="1:130" ht="50.25" customHeight="1">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51"/>
      <c r="AP326" s="51"/>
      <c r="AQ326" s="48"/>
      <c r="AR326" s="48"/>
      <c r="AS326" s="48"/>
      <c r="AT326" s="48"/>
      <c r="AU326" s="48"/>
      <c r="AV326" s="48"/>
      <c r="AW326" s="48"/>
      <c r="AX326" s="48"/>
      <c r="AY326" s="48"/>
      <c r="AZ326" s="48"/>
      <c r="BA326" s="48"/>
      <c r="BB326" s="51"/>
      <c r="BC326" s="48"/>
      <c r="BD326" s="48"/>
      <c r="BE326" s="48"/>
      <c r="BF326" s="48"/>
      <c r="BG326" s="48"/>
      <c r="BH326" s="48"/>
      <c r="BI326" s="48"/>
      <c r="BJ326" s="48"/>
      <c r="BK326" s="48"/>
      <c r="BL326" s="116"/>
      <c r="BM326" s="116"/>
      <c r="BN326" s="51"/>
      <c r="BO326" s="48"/>
      <c r="BP326" s="48"/>
      <c r="BQ326" s="48"/>
      <c r="BR326" s="48"/>
      <c r="BS326" s="48"/>
      <c r="BT326" s="48"/>
      <c r="BU326" s="48"/>
      <c r="BV326" s="48"/>
      <c r="BW326" s="48"/>
      <c r="BX326" s="48"/>
      <c r="BY326" s="48"/>
      <c r="BZ326" s="48"/>
      <c r="CA326" s="48"/>
      <c r="CB326" s="48"/>
      <c r="CC326" s="48"/>
      <c r="CD326" s="52"/>
      <c r="CE326" s="48"/>
      <c r="CF326" s="48"/>
      <c r="CG326" s="48"/>
      <c r="CH326" s="48"/>
      <c r="CI326" s="48"/>
      <c r="CJ326" s="51"/>
      <c r="CK326" s="129"/>
      <c r="CL326" s="129"/>
      <c r="CM326" s="129"/>
      <c r="CN326" s="116"/>
      <c r="CO326" s="116"/>
      <c r="CP326" s="116"/>
      <c r="CQ326" s="116"/>
      <c r="CR326" s="116"/>
      <c r="CS326" s="116"/>
      <c r="CT326" s="116"/>
      <c r="CU326" s="116"/>
      <c r="CV326" s="116"/>
      <c r="CW326" s="116"/>
      <c r="CX326" s="116"/>
      <c r="CY326" s="116"/>
      <c r="CZ326" s="116"/>
      <c r="DA326" s="48"/>
      <c r="DB326" s="48"/>
      <c r="DC326" s="48"/>
      <c r="DD326" s="54"/>
      <c r="DE326" s="54"/>
      <c r="DF326" s="54"/>
      <c r="DG326" s="54"/>
      <c r="DH326" s="54"/>
      <c r="DI326" s="54"/>
      <c r="DJ326" s="48"/>
      <c r="DK326" s="48"/>
      <c r="DL326" s="51"/>
      <c r="DM326" s="48"/>
      <c r="DN326" s="52"/>
      <c r="DO326" s="52"/>
      <c r="DP326" s="48"/>
      <c r="DQ326" s="48"/>
      <c r="DR326" s="48"/>
      <c r="DS326" s="51"/>
      <c r="DT326" s="48"/>
      <c r="DU326" s="48"/>
      <c r="DV326" s="48"/>
      <c r="DW326" s="48"/>
      <c r="DX326" s="48"/>
      <c r="DY326" s="48"/>
      <c r="DZ326" s="48"/>
    </row>
    <row r="327" spans="1:130" ht="50.25" customHeight="1">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51"/>
      <c r="AP327" s="51"/>
      <c r="AQ327" s="48"/>
      <c r="AR327" s="48"/>
      <c r="AS327" s="48"/>
      <c r="AT327" s="48"/>
      <c r="AU327" s="48"/>
      <c r="AV327" s="48"/>
      <c r="AW327" s="48"/>
      <c r="AX327" s="48"/>
      <c r="AY327" s="48"/>
      <c r="AZ327" s="48"/>
      <c r="BA327" s="48"/>
      <c r="BB327" s="51"/>
      <c r="BC327" s="48"/>
      <c r="BD327" s="48"/>
      <c r="BE327" s="48"/>
      <c r="BF327" s="48"/>
      <c r="BG327" s="48"/>
      <c r="BH327" s="48"/>
      <c r="BI327" s="48"/>
      <c r="BJ327" s="48"/>
      <c r="BK327" s="48"/>
      <c r="BL327" s="116"/>
      <c r="BM327" s="116"/>
      <c r="BN327" s="51"/>
      <c r="BO327" s="48"/>
      <c r="BP327" s="48"/>
      <c r="BQ327" s="48"/>
      <c r="BR327" s="48"/>
      <c r="BS327" s="48"/>
      <c r="BT327" s="48"/>
      <c r="BU327" s="48"/>
      <c r="BV327" s="48"/>
      <c r="BW327" s="48"/>
      <c r="BX327" s="48"/>
      <c r="BY327" s="48"/>
      <c r="BZ327" s="48"/>
      <c r="CA327" s="48"/>
      <c r="CB327" s="48"/>
      <c r="CC327" s="48"/>
      <c r="CD327" s="52"/>
      <c r="CE327" s="48"/>
      <c r="CF327" s="48"/>
      <c r="CG327" s="48"/>
      <c r="CH327" s="48"/>
      <c r="CI327" s="48"/>
      <c r="CJ327" s="51"/>
      <c r="CK327" s="129"/>
      <c r="CL327" s="129"/>
      <c r="CM327" s="129"/>
      <c r="CN327" s="116"/>
      <c r="CO327" s="116"/>
      <c r="CP327" s="116"/>
      <c r="CQ327" s="116"/>
      <c r="CR327" s="116"/>
      <c r="CS327" s="116"/>
      <c r="CT327" s="116"/>
      <c r="CU327" s="116"/>
      <c r="CV327" s="116"/>
      <c r="CW327" s="116"/>
      <c r="CX327" s="116"/>
      <c r="CY327" s="116"/>
      <c r="CZ327" s="116"/>
      <c r="DA327" s="48"/>
      <c r="DB327" s="48"/>
      <c r="DC327" s="48"/>
      <c r="DD327" s="54"/>
      <c r="DE327" s="54"/>
      <c r="DF327" s="54"/>
      <c r="DG327" s="54"/>
      <c r="DH327" s="54"/>
      <c r="DI327" s="54"/>
      <c r="DJ327" s="48"/>
      <c r="DK327" s="48"/>
      <c r="DL327" s="51"/>
      <c r="DM327" s="48"/>
      <c r="DN327" s="52"/>
      <c r="DO327" s="52"/>
      <c r="DP327" s="48"/>
      <c r="DQ327" s="48"/>
      <c r="DR327" s="48"/>
      <c r="DS327" s="51"/>
      <c r="DT327" s="48"/>
      <c r="DU327" s="48"/>
      <c r="DV327" s="48"/>
      <c r="DW327" s="48"/>
      <c r="DX327" s="48"/>
      <c r="DY327" s="48"/>
      <c r="DZ327" s="48"/>
    </row>
    <row r="328" spans="1:130" ht="50.25" customHeight="1">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51"/>
      <c r="AP328" s="51"/>
      <c r="AQ328" s="48"/>
      <c r="AR328" s="48"/>
      <c r="AS328" s="48"/>
      <c r="AT328" s="48"/>
      <c r="AU328" s="48"/>
      <c r="AV328" s="48"/>
      <c r="AW328" s="48"/>
      <c r="AX328" s="48"/>
      <c r="AY328" s="48"/>
      <c r="AZ328" s="48"/>
      <c r="BA328" s="48"/>
      <c r="BB328" s="51"/>
      <c r="BC328" s="48"/>
      <c r="BD328" s="48"/>
      <c r="BE328" s="48"/>
      <c r="BF328" s="48"/>
      <c r="BG328" s="48"/>
      <c r="BH328" s="48"/>
      <c r="BI328" s="48"/>
      <c r="BJ328" s="48"/>
      <c r="BK328" s="48"/>
      <c r="BL328" s="116"/>
      <c r="BM328" s="116"/>
      <c r="BN328" s="51"/>
      <c r="BO328" s="48"/>
      <c r="BP328" s="48"/>
      <c r="BQ328" s="48"/>
      <c r="BR328" s="48"/>
      <c r="BS328" s="48"/>
      <c r="BT328" s="48"/>
      <c r="BU328" s="48"/>
      <c r="BV328" s="48"/>
      <c r="BW328" s="48"/>
      <c r="BX328" s="48"/>
      <c r="BY328" s="48"/>
      <c r="BZ328" s="48"/>
      <c r="CA328" s="48"/>
      <c r="CB328" s="48"/>
      <c r="CC328" s="48"/>
      <c r="CD328" s="52"/>
      <c r="CE328" s="48"/>
      <c r="CF328" s="48"/>
      <c r="CG328" s="48"/>
      <c r="CH328" s="48"/>
      <c r="CI328" s="48"/>
      <c r="CJ328" s="51"/>
      <c r="CK328" s="129"/>
      <c r="CL328" s="129"/>
      <c r="CM328" s="129"/>
      <c r="CN328" s="116"/>
      <c r="CO328" s="116"/>
      <c r="CP328" s="116"/>
      <c r="CQ328" s="116"/>
      <c r="CR328" s="116"/>
      <c r="CS328" s="116"/>
      <c r="CT328" s="116"/>
      <c r="CU328" s="116"/>
      <c r="CV328" s="116"/>
      <c r="CW328" s="116"/>
      <c r="CX328" s="116"/>
      <c r="CY328" s="116"/>
      <c r="CZ328" s="116"/>
      <c r="DA328" s="48"/>
      <c r="DB328" s="48"/>
      <c r="DC328" s="48"/>
      <c r="DD328" s="54"/>
      <c r="DE328" s="54"/>
      <c r="DF328" s="54"/>
      <c r="DG328" s="54"/>
      <c r="DH328" s="54"/>
      <c r="DI328" s="54"/>
      <c r="DJ328" s="48"/>
      <c r="DK328" s="48"/>
      <c r="DL328" s="51"/>
      <c r="DM328" s="48"/>
      <c r="DN328" s="52"/>
      <c r="DO328" s="52"/>
      <c r="DP328" s="48"/>
      <c r="DQ328" s="48"/>
      <c r="DR328" s="48"/>
      <c r="DS328" s="51"/>
      <c r="DT328" s="48"/>
      <c r="DU328" s="48"/>
      <c r="DV328" s="48"/>
      <c r="DW328" s="48"/>
      <c r="DX328" s="48"/>
      <c r="DY328" s="48"/>
      <c r="DZ328" s="48"/>
    </row>
    <row r="329" spans="1:130" ht="50.25" customHeight="1">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51"/>
      <c r="AP329" s="51"/>
      <c r="AQ329" s="48"/>
      <c r="AR329" s="48"/>
      <c r="AS329" s="48"/>
      <c r="AT329" s="48"/>
      <c r="AU329" s="48"/>
      <c r="AV329" s="48"/>
      <c r="AW329" s="48"/>
      <c r="AX329" s="48"/>
      <c r="AY329" s="48"/>
      <c r="AZ329" s="48"/>
      <c r="BA329" s="48"/>
      <c r="BB329" s="51"/>
      <c r="BC329" s="48"/>
      <c r="BD329" s="48"/>
      <c r="BE329" s="48"/>
      <c r="BF329" s="48"/>
      <c r="BG329" s="48"/>
      <c r="BH329" s="48"/>
      <c r="BI329" s="48"/>
      <c r="BJ329" s="48"/>
      <c r="BK329" s="48"/>
      <c r="BL329" s="116"/>
      <c r="BM329" s="116"/>
      <c r="BN329" s="51"/>
      <c r="BO329" s="48"/>
      <c r="BP329" s="48"/>
      <c r="BQ329" s="48"/>
      <c r="BR329" s="48"/>
      <c r="BS329" s="48"/>
      <c r="BT329" s="48"/>
      <c r="BU329" s="48"/>
      <c r="BV329" s="48"/>
      <c r="BW329" s="48"/>
      <c r="BX329" s="48"/>
      <c r="BY329" s="48"/>
      <c r="BZ329" s="48"/>
      <c r="CA329" s="48"/>
      <c r="CB329" s="48"/>
      <c r="CC329" s="48"/>
      <c r="CD329" s="52"/>
      <c r="CE329" s="48"/>
      <c r="CF329" s="48"/>
      <c r="CG329" s="48"/>
      <c r="CH329" s="48"/>
      <c r="CI329" s="48"/>
      <c r="CJ329" s="51"/>
      <c r="CK329" s="129"/>
      <c r="CL329" s="129"/>
      <c r="CM329" s="129"/>
      <c r="CN329" s="116"/>
      <c r="CO329" s="116"/>
      <c r="CP329" s="116"/>
      <c r="CQ329" s="116"/>
      <c r="CR329" s="116"/>
      <c r="CS329" s="116"/>
      <c r="CT329" s="116"/>
      <c r="CU329" s="116"/>
      <c r="CV329" s="116"/>
      <c r="CW329" s="116"/>
      <c r="CX329" s="116"/>
      <c r="CY329" s="116"/>
      <c r="CZ329" s="116"/>
      <c r="DA329" s="48"/>
      <c r="DB329" s="48"/>
      <c r="DC329" s="48"/>
      <c r="DD329" s="54"/>
      <c r="DE329" s="54"/>
      <c r="DF329" s="54"/>
      <c r="DG329" s="54"/>
      <c r="DH329" s="54"/>
      <c r="DI329" s="54"/>
      <c r="DJ329" s="48"/>
      <c r="DK329" s="48"/>
      <c r="DL329" s="51"/>
      <c r="DM329" s="48"/>
      <c r="DN329" s="52"/>
      <c r="DO329" s="52"/>
      <c r="DP329" s="48"/>
      <c r="DQ329" s="48"/>
      <c r="DR329" s="48"/>
      <c r="DS329" s="51"/>
      <c r="DT329" s="48"/>
      <c r="DU329" s="48"/>
      <c r="DV329" s="48"/>
      <c r="DW329" s="48"/>
      <c r="DX329" s="48"/>
      <c r="DY329" s="48"/>
      <c r="DZ329" s="48"/>
    </row>
    <row r="330" spans="1:130" ht="50.25" customHeight="1">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51"/>
      <c r="AP330" s="51"/>
      <c r="AQ330" s="48"/>
      <c r="AR330" s="48"/>
      <c r="AS330" s="48"/>
      <c r="AT330" s="48"/>
      <c r="AU330" s="48"/>
      <c r="AV330" s="48"/>
      <c r="AW330" s="48"/>
      <c r="AX330" s="48"/>
      <c r="AY330" s="48"/>
      <c r="AZ330" s="48"/>
      <c r="BA330" s="48"/>
      <c r="BB330" s="51"/>
      <c r="BC330" s="48"/>
      <c r="BD330" s="48"/>
      <c r="BE330" s="48"/>
      <c r="BF330" s="48"/>
      <c r="BG330" s="48"/>
      <c r="BH330" s="48"/>
      <c r="BI330" s="48"/>
      <c r="BJ330" s="48"/>
      <c r="BK330" s="48"/>
      <c r="BL330" s="116"/>
      <c r="BM330" s="116"/>
      <c r="BN330" s="51"/>
      <c r="BO330" s="48"/>
      <c r="BP330" s="48"/>
      <c r="BQ330" s="48"/>
      <c r="BR330" s="48"/>
      <c r="BS330" s="48"/>
      <c r="BT330" s="48"/>
      <c r="BU330" s="48"/>
      <c r="BV330" s="48"/>
      <c r="BW330" s="48"/>
      <c r="BX330" s="48"/>
      <c r="BY330" s="48"/>
      <c r="BZ330" s="48"/>
      <c r="CA330" s="48"/>
      <c r="CB330" s="48"/>
      <c r="CC330" s="48"/>
      <c r="CD330" s="52"/>
      <c r="CE330" s="48"/>
      <c r="CF330" s="48"/>
      <c r="CG330" s="48"/>
      <c r="CH330" s="48"/>
      <c r="CI330" s="48"/>
      <c r="CJ330" s="51"/>
      <c r="CK330" s="129"/>
      <c r="CL330" s="129"/>
      <c r="CM330" s="129"/>
      <c r="CN330" s="116"/>
      <c r="CO330" s="116"/>
      <c r="CP330" s="116"/>
      <c r="CQ330" s="116"/>
      <c r="CR330" s="116"/>
      <c r="CS330" s="116"/>
      <c r="CT330" s="116"/>
      <c r="CU330" s="116"/>
      <c r="CV330" s="116"/>
      <c r="CW330" s="116"/>
      <c r="CX330" s="116"/>
      <c r="CY330" s="116"/>
      <c r="CZ330" s="116"/>
      <c r="DA330" s="48"/>
      <c r="DB330" s="48"/>
      <c r="DC330" s="48"/>
      <c r="DD330" s="54"/>
      <c r="DE330" s="54"/>
      <c r="DF330" s="54"/>
      <c r="DG330" s="54"/>
      <c r="DH330" s="54"/>
      <c r="DI330" s="54"/>
      <c r="DJ330" s="48"/>
      <c r="DK330" s="48"/>
      <c r="DL330" s="51"/>
      <c r="DM330" s="48"/>
      <c r="DN330" s="52"/>
      <c r="DO330" s="52"/>
      <c r="DP330" s="48"/>
      <c r="DQ330" s="48"/>
      <c r="DR330" s="48"/>
      <c r="DS330" s="51"/>
      <c r="DT330" s="48"/>
      <c r="DU330" s="48"/>
      <c r="DV330" s="48"/>
      <c r="DW330" s="48"/>
      <c r="DX330" s="48"/>
      <c r="DY330" s="48"/>
      <c r="DZ330" s="48"/>
    </row>
    <row r="331" spans="1:130" ht="50.25" customHeight="1">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51"/>
      <c r="AP331" s="51"/>
      <c r="AQ331" s="48"/>
      <c r="AR331" s="48"/>
      <c r="AS331" s="48"/>
      <c r="AT331" s="48"/>
      <c r="AU331" s="48"/>
      <c r="AV331" s="48"/>
      <c r="AW331" s="48"/>
      <c r="AX331" s="48"/>
      <c r="AY331" s="48"/>
      <c r="AZ331" s="48"/>
      <c r="BA331" s="48"/>
      <c r="BB331" s="51"/>
      <c r="BC331" s="48"/>
      <c r="BD331" s="48"/>
      <c r="BE331" s="48"/>
      <c r="BF331" s="48"/>
      <c r="BG331" s="48"/>
      <c r="BH331" s="48"/>
      <c r="BI331" s="48"/>
      <c r="BJ331" s="48"/>
      <c r="BK331" s="48"/>
      <c r="BL331" s="116"/>
      <c r="BM331" s="116"/>
      <c r="BN331" s="51"/>
      <c r="BO331" s="48"/>
      <c r="BP331" s="48"/>
      <c r="BQ331" s="48"/>
      <c r="BR331" s="48"/>
      <c r="BS331" s="48"/>
      <c r="BT331" s="48"/>
      <c r="BU331" s="48"/>
      <c r="BV331" s="48"/>
      <c r="BW331" s="48"/>
      <c r="BX331" s="48"/>
      <c r="BY331" s="48"/>
      <c r="BZ331" s="48"/>
      <c r="CA331" s="48"/>
      <c r="CB331" s="48"/>
      <c r="CC331" s="48"/>
      <c r="CD331" s="52"/>
      <c r="CE331" s="48"/>
      <c r="CF331" s="48"/>
      <c r="CG331" s="48"/>
      <c r="CH331" s="48"/>
      <c r="CI331" s="48"/>
      <c r="CJ331" s="51"/>
      <c r="CK331" s="129"/>
      <c r="CL331" s="129"/>
      <c r="CM331" s="129"/>
      <c r="CN331" s="116"/>
      <c r="CO331" s="116"/>
      <c r="CP331" s="116"/>
      <c r="CQ331" s="116"/>
      <c r="CR331" s="116"/>
      <c r="CS331" s="116"/>
      <c r="CT331" s="116"/>
      <c r="CU331" s="116"/>
      <c r="CV331" s="116"/>
      <c r="CW331" s="116"/>
      <c r="CX331" s="116"/>
      <c r="CY331" s="116"/>
      <c r="CZ331" s="116"/>
      <c r="DA331" s="48"/>
      <c r="DB331" s="48"/>
      <c r="DC331" s="48"/>
      <c r="DD331" s="54"/>
      <c r="DE331" s="54"/>
      <c r="DF331" s="54"/>
      <c r="DG331" s="54"/>
      <c r="DH331" s="54"/>
      <c r="DI331" s="54"/>
      <c r="DJ331" s="48"/>
      <c r="DK331" s="48"/>
      <c r="DL331" s="51"/>
      <c r="DM331" s="48"/>
      <c r="DN331" s="52"/>
      <c r="DO331" s="52"/>
      <c r="DP331" s="48"/>
      <c r="DQ331" s="48"/>
      <c r="DR331" s="48"/>
      <c r="DS331" s="51"/>
      <c r="DT331" s="48"/>
      <c r="DU331" s="48"/>
      <c r="DV331" s="48"/>
      <c r="DW331" s="48"/>
      <c r="DX331" s="48"/>
      <c r="DY331" s="48"/>
      <c r="DZ331" s="48"/>
    </row>
    <row r="332" spans="1:130" ht="50.25" customHeight="1">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O332" s="51"/>
      <c r="AP332" s="51"/>
      <c r="AQ332" s="48"/>
      <c r="AR332" s="48"/>
      <c r="AS332" s="48"/>
      <c r="AT332" s="48"/>
      <c r="AU332" s="48"/>
      <c r="AV332" s="48"/>
      <c r="AW332" s="48"/>
      <c r="AX332" s="48"/>
      <c r="AY332" s="48"/>
      <c r="AZ332" s="48"/>
      <c r="BA332" s="48"/>
      <c r="BB332" s="51"/>
      <c r="BC332" s="48"/>
      <c r="BD332" s="48"/>
      <c r="BE332" s="48"/>
      <c r="BF332" s="48"/>
      <c r="BG332" s="48"/>
      <c r="BH332" s="48"/>
      <c r="BI332" s="48"/>
      <c r="BJ332" s="48"/>
      <c r="BK332" s="48"/>
      <c r="BL332" s="116"/>
      <c r="BM332" s="116"/>
      <c r="BN332" s="51"/>
      <c r="BO332" s="48"/>
      <c r="BP332" s="48"/>
      <c r="BQ332" s="48"/>
      <c r="BR332" s="48"/>
      <c r="BS332" s="48"/>
      <c r="BT332" s="48"/>
      <c r="BU332" s="48"/>
      <c r="BV332" s="48"/>
      <c r="BW332" s="48"/>
      <c r="BX332" s="48"/>
      <c r="BY332" s="48"/>
      <c r="BZ332" s="48"/>
      <c r="CA332" s="48"/>
      <c r="CB332" s="48"/>
      <c r="CC332" s="48"/>
      <c r="CD332" s="52"/>
      <c r="CE332" s="48"/>
      <c r="CF332" s="48"/>
      <c r="CG332" s="48"/>
      <c r="CH332" s="48"/>
      <c r="CI332" s="48"/>
      <c r="CJ332" s="51"/>
      <c r="CK332" s="129"/>
      <c r="CL332" s="129"/>
      <c r="CM332" s="129"/>
      <c r="CN332" s="116"/>
      <c r="CO332" s="116"/>
      <c r="CP332" s="116"/>
      <c r="CQ332" s="116"/>
      <c r="CR332" s="116"/>
      <c r="CS332" s="116"/>
      <c r="CT332" s="116"/>
      <c r="CU332" s="116"/>
      <c r="CV332" s="116"/>
      <c r="CW332" s="116"/>
      <c r="CX332" s="116"/>
      <c r="CY332" s="116"/>
      <c r="CZ332" s="116"/>
      <c r="DA332" s="48"/>
      <c r="DB332" s="48"/>
      <c r="DC332" s="48"/>
      <c r="DD332" s="54"/>
      <c r="DE332" s="54"/>
      <c r="DF332" s="54"/>
      <c r="DG332" s="54"/>
      <c r="DH332" s="54"/>
      <c r="DI332" s="54"/>
      <c r="DJ332" s="48"/>
      <c r="DK332" s="48"/>
      <c r="DL332" s="51"/>
      <c r="DM332" s="48"/>
      <c r="DN332" s="52"/>
      <c r="DO332" s="52"/>
      <c r="DP332" s="48"/>
      <c r="DQ332" s="48"/>
      <c r="DR332" s="48"/>
      <c r="DS332" s="51"/>
      <c r="DT332" s="48"/>
      <c r="DU332" s="48"/>
      <c r="DV332" s="48"/>
      <c r="DW332" s="48"/>
      <c r="DX332" s="48"/>
      <c r="DY332" s="48"/>
      <c r="DZ332" s="48"/>
    </row>
    <row r="333" spans="1:130" ht="50.25" customHeight="1">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c r="AH333" s="48"/>
      <c r="AI333" s="48"/>
      <c r="AJ333" s="48"/>
      <c r="AK333" s="48"/>
      <c r="AL333" s="48"/>
      <c r="AM333" s="48"/>
      <c r="AN333" s="48"/>
      <c r="AO333" s="51"/>
      <c r="AP333" s="51"/>
      <c r="AQ333" s="48"/>
      <c r="AR333" s="48"/>
      <c r="AS333" s="48"/>
      <c r="AT333" s="48"/>
      <c r="AU333" s="48"/>
      <c r="AV333" s="48"/>
      <c r="AW333" s="48"/>
      <c r="AX333" s="48"/>
      <c r="AY333" s="48"/>
      <c r="AZ333" s="48"/>
      <c r="BA333" s="48"/>
      <c r="BB333" s="51"/>
      <c r="BC333" s="48"/>
      <c r="BD333" s="48"/>
      <c r="BE333" s="48"/>
      <c r="BF333" s="48"/>
      <c r="BG333" s="48"/>
      <c r="BH333" s="48"/>
      <c r="BI333" s="48"/>
      <c r="BJ333" s="48"/>
      <c r="BK333" s="48"/>
      <c r="BL333" s="116"/>
      <c r="BM333" s="116"/>
      <c r="BN333" s="51"/>
      <c r="BO333" s="48"/>
      <c r="BP333" s="48"/>
      <c r="BQ333" s="48"/>
      <c r="BR333" s="48"/>
      <c r="BS333" s="48"/>
      <c r="BT333" s="48"/>
      <c r="BU333" s="48"/>
      <c r="BV333" s="48"/>
      <c r="BW333" s="48"/>
      <c r="BX333" s="48"/>
      <c r="BY333" s="48"/>
      <c r="BZ333" s="48"/>
      <c r="CA333" s="48"/>
      <c r="CB333" s="48"/>
      <c r="CC333" s="48"/>
      <c r="CD333" s="52"/>
      <c r="CE333" s="48"/>
      <c r="CF333" s="48"/>
      <c r="CG333" s="48"/>
      <c r="CH333" s="48"/>
      <c r="CI333" s="48"/>
      <c r="CJ333" s="51"/>
      <c r="CK333" s="129"/>
      <c r="CL333" s="129"/>
      <c r="CM333" s="129"/>
      <c r="CN333" s="116"/>
      <c r="CO333" s="116"/>
      <c r="CP333" s="116"/>
      <c r="CQ333" s="116"/>
      <c r="CR333" s="116"/>
      <c r="CS333" s="116"/>
      <c r="CT333" s="116"/>
      <c r="CU333" s="116"/>
      <c r="CV333" s="116"/>
      <c r="CW333" s="116"/>
      <c r="CX333" s="116"/>
      <c r="CY333" s="116"/>
      <c r="CZ333" s="116"/>
      <c r="DA333" s="48"/>
      <c r="DB333" s="48"/>
      <c r="DC333" s="48"/>
      <c r="DD333" s="54"/>
      <c r="DE333" s="54"/>
      <c r="DF333" s="54"/>
      <c r="DG333" s="54"/>
      <c r="DH333" s="54"/>
      <c r="DI333" s="54"/>
      <c r="DJ333" s="48"/>
      <c r="DK333" s="48"/>
      <c r="DL333" s="51"/>
      <c r="DM333" s="48"/>
      <c r="DN333" s="52"/>
      <c r="DO333" s="52"/>
      <c r="DP333" s="48"/>
      <c r="DQ333" s="48"/>
      <c r="DR333" s="48"/>
      <c r="DS333" s="51"/>
      <c r="DT333" s="48"/>
      <c r="DU333" s="48"/>
      <c r="DV333" s="48"/>
      <c r="DW333" s="48"/>
      <c r="DX333" s="48"/>
      <c r="DY333" s="48"/>
      <c r="DZ333" s="48"/>
    </row>
    <row r="334" spans="1:130" ht="50.25" customHeight="1">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51"/>
      <c r="AP334" s="51"/>
      <c r="AQ334" s="48"/>
      <c r="AR334" s="48"/>
      <c r="AS334" s="48"/>
      <c r="AT334" s="48"/>
      <c r="AU334" s="48"/>
      <c r="AV334" s="48"/>
      <c r="AW334" s="48"/>
      <c r="AX334" s="48"/>
      <c r="AY334" s="48"/>
      <c r="AZ334" s="48"/>
      <c r="BA334" s="48"/>
      <c r="BB334" s="51"/>
      <c r="BC334" s="48"/>
      <c r="BD334" s="48"/>
      <c r="BE334" s="48"/>
      <c r="BF334" s="48"/>
      <c r="BG334" s="48"/>
      <c r="BH334" s="48"/>
      <c r="BI334" s="48"/>
      <c r="BJ334" s="48"/>
      <c r="BK334" s="48"/>
      <c r="BL334" s="116"/>
      <c r="BM334" s="116"/>
      <c r="BN334" s="51"/>
      <c r="BO334" s="48"/>
      <c r="BP334" s="48"/>
      <c r="BQ334" s="48"/>
      <c r="BR334" s="48"/>
      <c r="BS334" s="48"/>
      <c r="BT334" s="48"/>
      <c r="BU334" s="48"/>
      <c r="BV334" s="48"/>
      <c r="BW334" s="48"/>
      <c r="BX334" s="48"/>
      <c r="BY334" s="48"/>
      <c r="BZ334" s="48"/>
      <c r="CA334" s="48"/>
      <c r="CB334" s="48"/>
      <c r="CC334" s="48"/>
      <c r="CD334" s="52"/>
      <c r="CE334" s="48"/>
      <c r="CF334" s="48"/>
      <c r="CG334" s="48"/>
      <c r="CH334" s="48"/>
      <c r="CI334" s="48"/>
      <c r="CJ334" s="51"/>
      <c r="CK334" s="129"/>
      <c r="CL334" s="129"/>
      <c r="CM334" s="129"/>
      <c r="CN334" s="116"/>
      <c r="CO334" s="116"/>
      <c r="CP334" s="116"/>
      <c r="CQ334" s="116"/>
      <c r="CR334" s="116"/>
      <c r="CS334" s="116"/>
      <c r="CT334" s="116"/>
      <c r="CU334" s="116"/>
      <c r="CV334" s="116"/>
      <c r="CW334" s="116"/>
      <c r="CX334" s="116"/>
      <c r="CY334" s="116"/>
      <c r="CZ334" s="116"/>
      <c r="DA334" s="48"/>
      <c r="DB334" s="48"/>
      <c r="DC334" s="48"/>
      <c r="DD334" s="54"/>
      <c r="DE334" s="54"/>
      <c r="DF334" s="54"/>
      <c r="DG334" s="54"/>
      <c r="DH334" s="54"/>
      <c r="DI334" s="54"/>
      <c r="DJ334" s="48"/>
      <c r="DK334" s="48"/>
      <c r="DL334" s="51"/>
      <c r="DM334" s="48"/>
      <c r="DN334" s="52"/>
      <c r="DO334" s="52"/>
      <c r="DP334" s="48"/>
      <c r="DQ334" s="48"/>
      <c r="DR334" s="48"/>
      <c r="DS334" s="51"/>
      <c r="DT334" s="48"/>
      <c r="DU334" s="48"/>
      <c r="DV334" s="48"/>
      <c r="DW334" s="48"/>
      <c r="DX334" s="48"/>
      <c r="DY334" s="48"/>
      <c r="DZ334" s="48"/>
    </row>
    <row r="335" spans="1:130" ht="50.25" customHeight="1">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51"/>
      <c r="AP335" s="51"/>
      <c r="AQ335" s="48"/>
      <c r="AR335" s="48"/>
      <c r="AS335" s="48"/>
      <c r="AT335" s="48"/>
      <c r="AU335" s="48"/>
      <c r="AV335" s="48"/>
      <c r="AW335" s="48"/>
      <c r="AX335" s="48"/>
      <c r="AY335" s="48"/>
      <c r="AZ335" s="48"/>
      <c r="BA335" s="48"/>
      <c r="BB335" s="51"/>
      <c r="BC335" s="48"/>
      <c r="BD335" s="48"/>
      <c r="BE335" s="48"/>
      <c r="BF335" s="48"/>
      <c r="BG335" s="48"/>
      <c r="BH335" s="48"/>
      <c r="BI335" s="48"/>
      <c r="BJ335" s="48"/>
      <c r="BK335" s="48"/>
      <c r="BL335" s="116"/>
      <c r="BM335" s="116"/>
      <c r="BN335" s="51"/>
      <c r="BO335" s="48"/>
      <c r="BP335" s="48"/>
      <c r="BQ335" s="48"/>
      <c r="BR335" s="48"/>
      <c r="BS335" s="48"/>
      <c r="BT335" s="48"/>
      <c r="BU335" s="48"/>
      <c r="BV335" s="48"/>
      <c r="BW335" s="48"/>
      <c r="BX335" s="48"/>
      <c r="BY335" s="48"/>
      <c r="BZ335" s="48"/>
      <c r="CA335" s="48"/>
      <c r="CB335" s="48"/>
      <c r="CC335" s="48"/>
      <c r="CD335" s="52"/>
      <c r="CE335" s="48"/>
      <c r="CF335" s="48"/>
      <c r="CG335" s="48"/>
      <c r="CH335" s="48"/>
      <c r="CI335" s="48"/>
      <c r="CJ335" s="51"/>
      <c r="CK335" s="129"/>
      <c r="CL335" s="129"/>
      <c r="CM335" s="129"/>
      <c r="CN335" s="116"/>
      <c r="CO335" s="116"/>
      <c r="CP335" s="116"/>
      <c r="CQ335" s="116"/>
      <c r="CR335" s="116"/>
      <c r="CS335" s="116"/>
      <c r="CT335" s="116"/>
      <c r="CU335" s="116"/>
      <c r="CV335" s="116"/>
      <c r="CW335" s="116"/>
      <c r="CX335" s="116"/>
      <c r="CY335" s="116"/>
      <c r="CZ335" s="116"/>
      <c r="DA335" s="48"/>
      <c r="DB335" s="48"/>
      <c r="DC335" s="48"/>
      <c r="DD335" s="54"/>
      <c r="DE335" s="54"/>
      <c r="DF335" s="54"/>
      <c r="DG335" s="54"/>
      <c r="DH335" s="54"/>
      <c r="DI335" s="54"/>
      <c r="DJ335" s="48"/>
      <c r="DK335" s="48"/>
      <c r="DL335" s="51"/>
      <c r="DM335" s="48"/>
      <c r="DN335" s="52"/>
      <c r="DO335" s="52"/>
      <c r="DP335" s="48"/>
      <c r="DQ335" s="48"/>
      <c r="DR335" s="48"/>
      <c r="DS335" s="51"/>
      <c r="DT335" s="48"/>
      <c r="DU335" s="48"/>
      <c r="DV335" s="48"/>
      <c r="DW335" s="48"/>
      <c r="DX335" s="48"/>
      <c r="DY335" s="48"/>
      <c r="DZ335" s="48"/>
    </row>
    <row r="336" spans="1:130" ht="50.25" customHeight="1">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51"/>
      <c r="AP336" s="51"/>
      <c r="AQ336" s="48"/>
      <c r="AR336" s="48"/>
      <c r="AS336" s="48"/>
      <c r="AT336" s="48"/>
      <c r="AU336" s="48"/>
      <c r="AV336" s="48"/>
      <c r="AW336" s="48"/>
      <c r="AX336" s="48"/>
      <c r="AY336" s="48"/>
      <c r="AZ336" s="48"/>
      <c r="BA336" s="48"/>
      <c r="BB336" s="51"/>
      <c r="BC336" s="48"/>
      <c r="BD336" s="48"/>
      <c r="BE336" s="48"/>
      <c r="BF336" s="48"/>
      <c r="BG336" s="48"/>
      <c r="BH336" s="48"/>
      <c r="BI336" s="48"/>
      <c r="BJ336" s="48"/>
      <c r="BK336" s="48"/>
      <c r="BL336" s="116"/>
      <c r="BM336" s="116"/>
      <c r="BN336" s="51"/>
      <c r="BO336" s="48"/>
      <c r="BP336" s="48"/>
      <c r="BQ336" s="48"/>
      <c r="BR336" s="48"/>
      <c r="BS336" s="48"/>
      <c r="BT336" s="48"/>
      <c r="BU336" s="48"/>
      <c r="BV336" s="48"/>
      <c r="BW336" s="48"/>
      <c r="BX336" s="48"/>
      <c r="BY336" s="48"/>
      <c r="BZ336" s="48"/>
      <c r="CA336" s="48"/>
      <c r="CB336" s="48"/>
      <c r="CC336" s="48"/>
      <c r="CD336" s="52"/>
      <c r="CE336" s="48"/>
      <c r="CF336" s="48"/>
      <c r="CG336" s="48"/>
      <c r="CH336" s="48"/>
      <c r="CI336" s="48"/>
      <c r="CJ336" s="51"/>
      <c r="CK336" s="129"/>
      <c r="CL336" s="129"/>
      <c r="CM336" s="129"/>
      <c r="CN336" s="116"/>
      <c r="CO336" s="116"/>
      <c r="CP336" s="116"/>
      <c r="CQ336" s="116"/>
      <c r="CR336" s="116"/>
      <c r="CS336" s="116"/>
      <c r="CT336" s="116"/>
      <c r="CU336" s="116"/>
      <c r="CV336" s="116"/>
      <c r="CW336" s="116"/>
      <c r="CX336" s="116"/>
      <c r="CY336" s="116"/>
      <c r="CZ336" s="116"/>
      <c r="DA336" s="48"/>
      <c r="DB336" s="48"/>
      <c r="DC336" s="48"/>
      <c r="DD336" s="54"/>
      <c r="DE336" s="54"/>
      <c r="DF336" s="54"/>
      <c r="DG336" s="54"/>
      <c r="DH336" s="54"/>
      <c r="DI336" s="54"/>
      <c r="DJ336" s="48"/>
      <c r="DK336" s="48"/>
      <c r="DL336" s="51"/>
      <c r="DM336" s="48"/>
      <c r="DN336" s="52"/>
      <c r="DO336" s="52"/>
      <c r="DP336" s="48"/>
      <c r="DQ336" s="48"/>
      <c r="DR336" s="48"/>
      <c r="DS336" s="51"/>
      <c r="DT336" s="48"/>
      <c r="DU336" s="48"/>
      <c r="DV336" s="48"/>
      <c r="DW336" s="48"/>
      <c r="DX336" s="48"/>
      <c r="DY336" s="48"/>
      <c r="DZ336" s="48"/>
    </row>
    <row r="337" spans="1:130" ht="50.25" customHeight="1">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51"/>
      <c r="AP337" s="51"/>
      <c r="AQ337" s="48"/>
      <c r="AR337" s="48"/>
      <c r="AS337" s="48"/>
      <c r="AT337" s="48"/>
      <c r="AU337" s="48"/>
      <c r="AV337" s="48"/>
      <c r="AW337" s="48"/>
      <c r="AX337" s="48"/>
      <c r="AY337" s="48"/>
      <c r="AZ337" s="48"/>
      <c r="BA337" s="48"/>
      <c r="BB337" s="51"/>
      <c r="BC337" s="48"/>
      <c r="BD337" s="48"/>
      <c r="BE337" s="48"/>
      <c r="BF337" s="48"/>
      <c r="BG337" s="48"/>
      <c r="BH337" s="48"/>
      <c r="BI337" s="48"/>
      <c r="BJ337" s="48"/>
      <c r="BK337" s="48"/>
      <c r="BL337" s="116"/>
      <c r="BM337" s="116"/>
      <c r="BN337" s="51"/>
      <c r="BO337" s="48"/>
      <c r="BP337" s="48"/>
      <c r="BQ337" s="48"/>
      <c r="BR337" s="48"/>
      <c r="BS337" s="48"/>
      <c r="BT337" s="48"/>
      <c r="BU337" s="48"/>
      <c r="BV337" s="48"/>
      <c r="BW337" s="48"/>
      <c r="BX337" s="48"/>
      <c r="BY337" s="48"/>
      <c r="BZ337" s="48"/>
      <c r="CA337" s="48"/>
      <c r="CB337" s="48"/>
      <c r="CC337" s="48"/>
      <c r="CD337" s="52"/>
      <c r="CE337" s="48"/>
      <c r="CF337" s="48"/>
      <c r="CG337" s="48"/>
      <c r="CH337" s="48"/>
      <c r="CI337" s="48"/>
      <c r="CJ337" s="51"/>
      <c r="CK337" s="129"/>
      <c r="CL337" s="129"/>
      <c r="CM337" s="129"/>
      <c r="CN337" s="116"/>
      <c r="CO337" s="116"/>
      <c r="CP337" s="116"/>
      <c r="CQ337" s="116"/>
      <c r="CR337" s="116"/>
      <c r="CS337" s="116"/>
      <c r="CT337" s="116"/>
      <c r="CU337" s="116"/>
      <c r="CV337" s="116"/>
      <c r="CW337" s="116"/>
      <c r="CX337" s="116"/>
      <c r="CY337" s="116"/>
      <c r="CZ337" s="116"/>
      <c r="DA337" s="48"/>
      <c r="DB337" s="48"/>
      <c r="DC337" s="48"/>
      <c r="DD337" s="54"/>
      <c r="DE337" s="54"/>
      <c r="DF337" s="54"/>
      <c r="DG337" s="54"/>
      <c r="DH337" s="54"/>
      <c r="DI337" s="54"/>
      <c r="DJ337" s="48"/>
      <c r="DK337" s="48"/>
      <c r="DL337" s="51"/>
      <c r="DM337" s="48"/>
      <c r="DN337" s="52"/>
      <c r="DO337" s="52"/>
      <c r="DP337" s="48"/>
      <c r="DQ337" s="48"/>
      <c r="DR337" s="48"/>
      <c r="DS337" s="51"/>
      <c r="DT337" s="48"/>
      <c r="DU337" s="48"/>
      <c r="DV337" s="48"/>
      <c r="DW337" s="48"/>
      <c r="DX337" s="48"/>
      <c r="DY337" s="48"/>
      <c r="DZ337" s="48"/>
    </row>
    <row r="338" spans="1:130" ht="50.25" customHeight="1">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51"/>
      <c r="AP338" s="51"/>
      <c r="AQ338" s="48"/>
      <c r="AR338" s="48"/>
      <c r="AS338" s="48"/>
      <c r="AT338" s="48"/>
      <c r="AU338" s="48"/>
      <c r="AV338" s="48"/>
      <c r="AW338" s="48"/>
      <c r="AX338" s="48"/>
      <c r="AY338" s="48"/>
      <c r="AZ338" s="48"/>
      <c r="BA338" s="48"/>
      <c r="BB338" s="51"/>
      <c r="BC338" s="48"/>
      <c r="BD338" s="48"/>
      <c r="BE338" s="48"/>
      <c r="BF338" s="48"/>
      <c r="BG338" s="48"/>
      <c r="BH338" s="48"/>
      <c r="BI338" s="48"/>
      <c r="BJ338" s="48"/>
      <c r="BK338" s="48"/>
      <c r="BL338" s="116"/>
      <c r="BM338" s="116"/>
      <c r="BN338" s="51"/>
      <c r="BO338" s="48"/>
      <c r="BP338" s="48"/>
      <c r="BQ338" s="48"/>
      <c r="BR338" s="48"/>
      <c r="BS338" s="48"/>
      <c r="BT338" s="48"/>
      <c r="BU338" s="48"/>
      <c r="BV338" s="48"/>
      <c r="BW338" s="48"/>
      <c r="BX338" s="48"/>
      <c r="BY338" s="48"/>
      <c r="BZ338" s="48"/>
      <c r="CA338" s="48"/>
      <c r="CB338" s="48"/>
      <c r="CC338" s="48"/>
      <c r="CD338" s="52"/>
      <c r="CE338" s="48"/>
      <c r="CF338" s="48"/>
      <c r="CG338" s="48"/>
      <c r="CH338" s="48"/>
      <c r="CI338" s="48"/>
      <c r="CJ338" s="51"/>
      <c r="CK338" s="129"/>
      <c r="CL338" s="129"/>
      <c r="CM338" s="129"/>
      <c r="CN338" s="116"/>
      <c r="CO338" s="116"/>
      <c r="CP338" s="116"/>
      <c r="CQ338" s="116"/>
      <c r="CR338" s="116"/>
      <c r="CS338" s="116"/>
      <c r="CT338" s="116"/>
      <c r="CU338" s="116"/>
      <c r="CV338" s="116"/>
      <c r="CW338" s="116"/>
      <c r="CX338" s="116"/>
      <c r="CY338" s="116"/>
      <c r="CZ338" s="116"/>
      <c r="DA338" s="48"/>
      <c r="DB338" s="48"/>
      <c r="DC338" s="48"/>
      <c r="DD338" s="54"/>
      <c r="DE338" s="54"/>
      <c r="DF338" s="54"/>
      <c r="DG338" s="54"/>
      <c r="DH338" s="54"/>
      <c r="DI338" s="54"/>
      <c r="DJ338" s="48"/>
      <c r="DK338" s="48"/>
      <c r="DL338" s="51"/>
      <c r="DM338" s="48"/>
      <c r="DN338" s="52"/>
      <c r="DO338" s="52"/>
      <c r="DP338" s="48"/>
      <c r="DQ338" s="48"/>
      <c r="DR338" s="48"/>
      <c r="DS338" s="51"/>
      <c r="DT338" s="48"/>
      <c r="DU338" s="48"/>
      <c r="DV338" s="48"/>
      <c r="DW338" s="48"/>
      <c r="DX338" s="48"/>
      <c r="DY338" s="48"/>
      <c r="DZ338" s="48"/>
    </row>
    <row r="339" spans="1:130" ht="50.25" customHeight="1">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51"/>
      <c r="AP339" s="51"/>
      <c r="AQ339" s="48"/>
      <c r="AR339" s="48"/>
      <c r="AS339" s="48"/>
      <c r="AT339" s="48"/>
      <c r="AU339" s="48"/>
      <c r="AV339" s="48"/>
      <c r="AW339" s="48"/>
      <c r="AX339" s="48"/>
      <c r="AY339" s="48"/>
      <c r="AZ339" s="48"/>
      <c r="BA339" s="48"/>
      <c r="BB339" s="51"/>
      <c r="BC339" s="48"/>
      <c r="BD339" s="48"/>
      <c r="BE339" s="48"/>
      <c r="BF339" s="48"/>
      <c r="BG339" s="48"/>
      <c r="BH339" s="48"/>
      <c r="BI339" s="48"/>
      <c r="BJ339" s="48"/>
      <c r="BK339" s="48"/>
      <c r="BL339" s="116"/>
      <c r="BM339" s="116"/>
      <c r="BN339" s="51"/>
      <c r="BO339" s="48"/>
      <c r="BP339" s="48"/>
      <c r="BQ339" s="48"/>
      <c r="BR339" s="48"/>
      <c r="BS339" s="48"/>
      <c r="BT339" s="48"/>
      <c r="BU339" s="48"/>
      <c r="BV339" s="48"/>
      <c r="BW339" s="48"/>
      <c r="BX339" s="48"/>
      <c r="BY339" s="48"/>
      <c r="BZ339" s="48"/>
      <c r="CA339" s="48"/>
      <c r="CB339" s="48"/>
      <c r="CC339" s="48"/>
      <c r="CD339" s="52"/>
      <c r="CE339" s="48"/>
      <c r="CF339" s="48"/>
      <c r="CG339" s="48"/>
      <c r="CH339" s="48"/>
      <c r="CI339" s="48"/>
      <c r="CJ339" s="51"/>
      <c r="CK339" s="129"/>
      <c r="CL339" s="129"/>
      <c r="CM339" s="129"/>
      <c r="CN339" s="116"/>
      <c r="CO339" s="116"/>
      <c r="CP339" s="116"/>
      <c r="CQ339" s="116"/>
      <c r="CR339" s="116"/>
      <c r="CS339" s="116"/>
      <c r="CT339" s="116"/>
      <c r="CU339" s="116"/>
      <c r="CV339" s="116"/>
      <c r="CW339" s="116"/>
      <c r="CX339" s="116"/>
      <c r="CY339" s="116"/>
      <c r="CZ339" s="116"/>
      <c r="DA339" s="48"/>
      <c r="DB339" s="48"/>
      <c r="DC339" s="48"/>
      <c r="DD339" s="54"/>
      <c r="DE339" s="54"/>
      <c r="DF339" s="54"/>
      <c r="DG339" s="54"/>
      <c r="DH339" s="54"/>
      <c r="DI339" s="54"/>
      <c r="DJ339" s="48"/>
      <c r="DK339" s="48"/>
      <c r="DL339" s="51"/>
      <c r="DM339" s="48"/>
      <c r="DN339" s="52"/>
      <c r="DO339" s="52"/>
      <c r="DP339" s="48"/>
      <c r="DQ339" s="48"/>
      <c r="DR339" s="48"/>
      <c r="DS339" s="51"/>
      <c r="DT339" s="48"/>
      <c r="DU339" s="48"/>
      <c r="DV339" s="48"/>
      <c r="DW339" s="48"/>
      <c r="DX339" s="48"/>
      <c r="DY339" s="48"/>
      <c r="DZ339" s="48"/>
    </row>
    <row r="340" spans="1:130" ht="50.25" customHeight="1">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51"/>
      <c r="AP340" s="51"/>
      <c r="AQ340" s="48"/>
      <c r="AR340" s="48"/>
      <c r="AS340" s="48"/>
      <c r="AT340" s="48"/>
      <c r="AU340" s="48"/>
      <c r="AV340" s="48"/>
      <c r="AW340" s="48"/>
      <c r="AX340" s="48"/>
      <c r="AY340" s="48"/>
      <c r="AZ340" s="48"/>
      <c r="BA340" s="48"/>
      <c r="BB340" s="51"/>
      <c r="BC340" s="48"/>
      <c r="BD340" s="48"/>
      <c r="BE340" s="48"/>
      <c r="BF340" s="48"/>
      <c r="BG340" s="48"/>
      <c r="BH340" s="48"/>
      <c r="BI340" s="48"/>
      <c r="BJ340" s="48"/>
      <c r="BK340" s="48"/>
      <c r="BL340" s="116"/>
      <c r="BM340" s="116"/>
      <c r="BN340" s="51"/>
      <c r="BO340" s="48"/>
      <c r="BP340" s="48"/>
      <c r="BQ340" s="48"/>
      <c r="BR340" s="48"/>
      <c r="BS340" s="48"/>
      <c r="BT340" s="48"/>
      <c r="BU340" s="48"/>
      <c r="BV340" s="48"/>
      <c r="BW340" s="48"/>
      <c r="BX340" s="48"/>
      <c r="BY340" s="48"/>
      <c r="BZ340" s="48"/>
      <c r="CA340" s="48"/>
      <c r="CB340" s="48"/>
      <c r="CC340" s="48"/>
      <c r="CD340" s="52"/>
      <c r="CE340" s="48"/>
      <c r="CF340" s="48"/>
      <c r="CG340" s="48"/>
      <c r="CH340" s="48"/>
      <c r="CI340" s="48"/>
      <c r="CJ340" s="51"/>
      <c r="CK340" s="129"/>
      <c r="CL340" s="129"/>
      <c r="CM340" s="129"/>
      <c r="CN340" s="116"/>
      <c r="CO340" s="116"/>
      <c r="CP340" s="116"/>
      <c r="CQ340" s="116"/>
      <c r="CR340" s="116"/>
      <c r="CS340" s="116"/>
      <c r="CT340" s="116"/>
      <c r="CU340" s="116"/>
      <c r="CV340" s="116"/>
      <c r="CW340" s="116"/>
      <c r="CX340" s="116"/>
      <c r="CY340" s="116"/>
      <c r="CZ340" s="116"/>
      <c r="DA340" s="48"/>
      <c r="DB340" s="48"/>
      <c r="DC340" s="48"/>
      <c r="DD340" s="54"/>
      <c r="DE340" s="54"/>
      <c r="DF340" s="54"/>
      <c r="DG340" s="54"/>
      <c r="DH340" s="54"/>
      <c r="DI340" s="54"/>
      <c r="DJ340" s="48"/>
      <c r="DK340" s="48"/>
      <c r="DL340" s="51"/>
      <c r="DM340" s="48"/>
      <c r="DN340" s="52"/>
      <c r="DO340" s="52"/>
      <c r="DP340" s="48"/>
      <c r="DQ340" s="48"/>
      <c r="DR340" s="48"/>
      <c r="DS340" s="51"/>
      <c r="DT340" s="48"/>
      <c r="DU340" s="48"/>
      <c r="DV340" s="48"/>
      <c r="DW340" s="48"/>
      <c r="DX340" s="48"/>
      <c r="DY340" s="48"/>
      <c r="DZ340" s="48"/>
    </row>
    <row r="341" spans="1:130" ht="50.25" customHeight="1">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51"/>
      <c r="AP341" s="51"/>
      <c r="AQ341" s="48"/>
      <c r="AR341" s="48"/>
      <c r="AS341" s="48"/>
      <c r="AT341" s="48"/>
      <c r="AU341" s="48"/>
      <c r="AV341" s="48"/>
      <c r="AW341" s="48"/>
      <c r="AX341" s="48"/>
      <c r="AY341" s="48"/>
      <c r="AZ341" s="48"/>
      <c r="BA341" s="48"/>
      <c r="BB341" s="51"/>
      <c r="BC341" s="48"/>
      <c r="BD341" s="48"/>
      <c r="BE341" s="48"/>
      <c r="BF341" s="48"/>
      <c r="BG341" s="48"/>
      <c r="BH341" s="48"/>
      <c r="BI341" s="48"/>
      <c r="BJ341" s="48"/>
      <c r="BK341" s="48"/>
      <c r="BL341" s="116"/>
      <c r="BM341" s="116"/>
      <c r="BN341" s="51"/>
      <c r="BO341" s="48"/>
      <c r="BP341" s="48"/>
      <c r="BQ341" s="48"/>
      <c r="BR341" s="48"/>
      <c r="BS341" s="48"/>
      <c r="BT341" s="48"/>
      <c r="BU341" s="48"/>
      <c r="BV341" s="48"/>
      <c r="BW341" s="48"/>
      <c r="BX341" s="48"/>
      <c r="BY341" s="48"/>
      <c r="BZ341" s="48"/>
      <c r="CA341" s="48"/>
      <c r="CB341" s="48"/>
      <c r="CC341" s="48"/>
      <c r="CD341" s="52"/>
      <c r="CE341" s="48"/>
      <c r="CF341" s="48"/>
      <c r="CG341" s="48"/>
      <c r="CH341" s="48"/>
      <c r="CI341" s="48"/>
      <c r="CJ341" s="51"/>
      <c r="CK341" s="129"/>
      <c r="CL341" s="129"/>
      <c r="CM341" s="129"/>
      <c r="CN341" s="116"/>
      <c r="CO341" s="116"/>
      <c r="CP341" s="116"/>
      <c r="CQ341" s="116"/>
      <c r="CR341" s="116"/>
      <c r="CS341" s="116"/>
      <c r="CT341" s="116"/>
      <c r="CU341" s="116"/>
      <c r="CV341" s="116"/>
      <c r="CW341" s="116"/>
      <c r="CX341" s="116"/>
      <c r="CY341" s="116"/>
      <c r="CZ341" s="116"/>
      <c r="DA341" s="48"/>
      <c r="DB341" s="48"/>
      <c r="DC341" s="48"/>
      <c r="DD341" s="54"/>
      <c r="DE341" s="54"/>
      <c r="DF341" s="54"/>
      <c r="DG341" s="54"/>
      <c r="DH341" s="54"/>
      <c r="DI341" s="54"/>
      <c r="DJ341" s="48"/>
      <c r="DK341" s="48"/>
      <c r="DL341" s="51"/>
      <c r="DM341" s="48"/>
      <c r="DN341" s="52"/>
      <c r="DO341" s="52"/>
      <c r="DP341" s="48"/>
      <c r="DQ341" s="48"/>
      <c r="DR341" s="48"/>
      <c r="DS341" s="51"/>
      <c r="DT341" s="48"/>
      <c r="DU341" s="48"/>
      <c r="DV341" s="48"/>
      <c r="DW341" s="48"/>
      <c r="DX341" s="48"/>
      <c r="DY341" s="48"/>
      <c r="DZ341" s="48"/>
    </row>
    <row r="342" spans="1:130" ht="50.25" customHeight="1">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51"/>
      <c r="AP342" s="51"/>
      <c r="AQ342" s="48"/>
      <c r="AR342" s="48"/>
      <c r="AS342" s="48"/>
      <c r="AT342" s="48"/>
      <c r="AU342" s="48"/>
      <c r="AV342" s="48"/>
      <c r="AW342" s="48"/>
      <c r="AX342" s="48"/>
      <c r="AY342" s="48"/>
      <c r="AZ342" s="48"/>
      <c r="BA342" s="48"/>
      <c r="BB342" s="51"/>
      <c r="BC342" s="48"/>
      <c r="BD342" s="48"/>
      <c r="BE342" s="48"/>
      <c r="BF342" s="48"/>
      <c r="BG342" s="48"/>
      <c r="BH342" s="48"/>
      <c r="BI342" s="48"/>
      <c r="BJ342" s="48"/>
      <c r="BK342" s="48"/>
      <c r="BL342" s="116"/>
      <c r="BM342" s="116"/>
      <c r="BN342" s="51"/>
      <c r="BO342" s="48"/>
      <c r="BP342" s="48"/>
      <c r="BQ342" s="48"/>
      <c r="BR342" s="48"/>
      <c r="BS342" s="48"/>
      <c r="BT342" s="48"/>
      <c r="BU342" s="48"/>
      <c r="BV342" s="48"/>
      <c r="BW342" s="48"/>
      <c r="BX342" s="48"/>
      <c r="BY342" s="48"/>
      <c r="BZ342" s="48"/>
      <c r="CA342" s="48"/>
      <c r="CB342" s="48"/>
      <c r="CC342" s="48"/>
      <c r="CD342" s="52"/>
      <c r="CE342" s="48"/>
      <c r="CF342" s="48"/>
      <c r="CG342" s="48"/>
      <c r="CH342" s="48"/>
      <c r="CI342" s="48"/>
      <c r="CJ342" s="51"/>
      <c r="CK342" s="129"/>
      <c r="CL342" s="129"/>
      <c r="CM342" s="129"/>
      <c r="CN342" s="116"/>
      <c r="CO342" s="116"/>
      <c r="CP342" s="116"/>
      <c r="CQ342" s="116"/>
      <c r="CR342" s="116"/>
      <c r="CS342" s="116"/>
      <c r="CT342" s="116"/>
      <c r="CU342" s="116"/>
      <c r="CV342" s="116"/>
      <c r="CW342" s="116"/>
      <c r="CX342" s="116"/>
      <c r="CY342" s="116"/>
      <c r="CZ342" s="116"/>
      <c r="DA342" s="48"/>
      <c r="DB342" s="48"/>
      <c r="DC342" s="48"/>
      <c r="DD342" s="54"/>
      <c r="DE342" s="54"/>
      <c r="DF342" s="54"/>
      <c r="DG342" s="54"/>
      <c r="DH342" s="54"/>
      <c r="DI342" s="54"/>
      <c r="DJ342" s="48"/>
      <c r="DK342" s="48"/>
      <c r="DL342" s="51"/>
      <c r="DM342" s="48"/>
      <c r="DN342" s="52"/>
      <c r="DO342" s="52"/>
      <c r="DP342" s="48"/>
      <c r="DQ342" s="48"/>
      <c r="DR342" s="48"/>
      <c r="DS342" s="51"/>
      <c r="DT342" s="48"/>
      <c r="DU342" s="48"/>
      <c r="DV342" s="48"/>
      <c r="DW342" s="48"/>
      <c r="DX342" s="48"/>
      <c r="DY342" s="48"/>
      <c r="DZ342" s="48"/>
    </row>
    <row r="343" spans="1:130" ht="50.25" customHeight="1">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51"/>
      <c r="AP343" s="51"/>
      <c r="AQ343" s="48"/>
      <c r="AR343" s="48"/>
      <c r="AS343" s="48"/>
      <c r="AT343" s="48"/>
      <c r="AU343" s="48"/>
      <c r="AV343" s="48"/>
      <c r="AW343" s="48"/>
      <c r="AX343" s="48"/>
      <c r="AY343" s="48"/>
      <c r="AZ343" s="48"/>
      <c r="BA343" s="48"/>
      <c r="BB343" s="51"/>
      <c r="BC343" s="48"/>
      <c r="BD343" s="48"/>
      <c r="BE343" s="48"/>
      <c r="BF343" s="48"/>
      <c r="BG343" s="48"/>
      <c r="BH343" s="48"/>
      <c r="BI343" s="48"/>
      <c r="BJ343" s="48"/>
      <c r="BK343" s="48"/>
      <c r="BL343" s="116"/>
      <c r="BM343" s="116"/>
      <c r="BN343" s="51"/>
      <c r="BO343" s="48"/>
      <c r="BP343" s="48"/>
      <c r="BQ343" s="48"/>
      <c r="BR343" s="48"/>
      <c r="BS343" s="48"/>
      <c r="BT343" s="48"/>
      <c r="BU343" s="48"/>
      <c r="BV343" s="48"/>
      <c r="BW343" s="48"/>
      <c r="BX343" s="48"/>
      <c r="BY343" s="48"/>
      <c r="BZ343" s="48"/>
      <c r="CA343" s="48"/>
      <c r="CB343" s="48"/>
      <c r="CC343" s="48"/>
      <c r="CD343" s="52"/>
      <c r="CE343" s="48"/>
      <c r="CF343" s="48"/>
      <c r="CG343" s="48"/>
      <c r="CH343" s="48"/>
      <c r="CI343" s="48"/>
      <c r="CJ343" s="51"/>
      <c r="CK343" s="129"/>
      <c r="CL343" s="129"/>
      <c r="CM343" s="129"/>
      <c r="CN343" s="116"/>
      <c r="CO343" s="116"/>
      <c r="CP343" s="116"/>
      <c r="CQ343" s="116"/>
      <c r="CR343" s="116"/>
      <c r="CS343" s="116"/>
      <c r="CT343" s="116"/>
      <c r="CU343" s="116"/>
      <c r="CV343" s="116"/>
      <c r="CW343" s="116"/>
      <c r="CX343" s="116"/>
      <c r="CY343" s="116"/>
      <c r="CZ343" s="116"/>
      <c r="DA343" s="48"/>
      <c r="DB343" s="48"/>
      <c r="DC343" s="48"/>
      <c r="DD343" s="54"/>
      <c r="DE343" s="54"/>
      <c r="DF343" s="54"/>
      <c r="DG343" s="54"/>
      <c r="DH343" s="54"/>
      <c r="DI343" s="54"/>
      <c r="DJ343" s="48"/>
      <c r="DK343" s="48"/>
      <c r="DL343" s="51"/>
      <c r="DM343" s="48"/>
      <c r="DN343" s="52"/>
      <c r="DO343" s="52"/>
      <c r="DP343" s="48"/>
      <c r="DQ343" s="48"/>
      <c r="DR343" s="48"/>
      <c r="DS343" s="51"/>
      <c r="DT343" s="48"/>
      <c r="DU343" s="48"/>
      <c r="DV343" s="48"/>
      <c r="DW343" s="48"/>
      <c r="DX343" s="48"/>
      <c r="DY343" s="48"/>
      <c r="DZ343" s="48"/>
    </row>
    <row r="344" spans="1:130" ht="50.25" customHeight="1">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51"/>
      <c r="AP344" s="51"/>
      <c r="AQ344" s="48"/>
      <c r="AR344" s="48"/>
      <c r="AS344" s="48"/>
      <c r="AT344" s="48"/>
      <c r="AU344" s="48"/>
      <c r="AV344" s="48"/>
      <c r="AW344" s="48"/>
      <c r="AX344" s="48"/>
      <c r="AY344" s="48"/>
      <c r="AZ344" s="48"/>
      <c r="BA344" s="48"/>
      <c r="BB344" s="51"/>
      <c r="BC344" s="48"/>
      <c r="BD344" s="48"/>
      <c r="BE344" s="48"/>
      <c r="BF344" s="48"/>
      <c r="BG344" s="48"/>
      <c r="BH344" s="48"/>
      <c r="BI344" s="48"/>
      <c r="BJ344" s="48"/>
      <c r="BK344" s="48"/>
      <c r="BL344" s="116"/>
      <c r="BM344" s="116"/>
      <c r="BN344" s="51"/>
      <c r="BO344" s="48"/>
      <c r="BP344" s="48"/>
      <c r="BQ344" s="48"/>
      <c r="BR344" s="48"/>
      <c r="BS344" s="48"/>
      <c r="BT344" s="48"/>
      <c r="BU344" s="48"/>
      <c r="BV344" s="48"/>
      <c r="BW344" s="48"/>
      <c r="BX344" s="48"/>
      <c r="BY344" s="48"/>
      <c r="BZ344" s="48"/>
      <c r="CA344" s="48"/>
      <c r="CB344" s="48"/>
      <c r="CC344" s="48"/>
      <c r="CD344" s="52"/>
      <c r="CE344" s="48"/>
      <c r="CF344" s="48"/>
      <c r="CG344" s="48"/>
      <c r="CH344" s="48"/>
      <c r="CI344" s="48"/>
      <c r="CJ344" s="51"/>
      <c r="CK344" s="129"/>
      <c r="CL344" s="129"/>
      <c r="CM344" s="129"/>
      <c r="CN344" s="116"/>
      <c r="CO344" s="116"/>
      <c r="CP344" s="116"/>
      <c r="CQ344" s="116"/>
      <c r="CR344" s="116"/>
      <c r="CS344" s="116"/>
      <c r="CT344" s="116"/>
      <c r="CU344" s="116"/>
      <c r="CV344" s="116"/>
      <c r="CW344" s="116"/>
      <c r="CX344" s="116"/>
      <c r="CY344" s="116"/>
      <c r="CZ344" s="116"/>
      <c r="DA344" s="48"/>
      <c r="DB344" s="48"/>
      <c r="DC344" s="48"/>
      <c r="DD344" s="54"/>
      <c r="DE344" s="54"/>
      <c r="DF344" s="54"/>
      <c r="DG344" s="54"/>
      <c r="DH344" s="54"/>
      <c r="DI344" s="54"/>
      <c r="DJ344" s="48"/>
      <c r="DK344" s="48"/>
      <c r="DL344" s="51"/>
      <c r="DM344" s="48"/>
      <c r="DN344" s="52"/>
      <c r="DO344" s="52"/>
      <c r="DP344" s="48"/>
      <c r="DQ344" s="48"/>
      <c r="DR344" s="48"/>
      <c r="DS344" s="51"/>
      <c r="DT344" s="48"/>
      <c r="DU344" s="48"/>
      <c r="DV344" s="48"/>
      <c r="DW344" s="48"/>
      <c r="DX344" s="48"/>
      <c r="DY344" s="48"/>
      <c r="DZ344" s="48"/>
    </row>
    <row r="345" spans="1:130" ht="50.25" customHeight="1">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51"/>
      <c r="AP345" s="51"/>
      <c r="AQ345" s="48"/>
      <c r="AR345" s="48"/>
      <c r="AS345" s="48"/>
      <c r="AT345" s="48"/>
      <c r="AU345" s="48"/>
      <c r="AV345" s="48"/>
      <c r="AW345" s="48"/>
      <c r="AX345" s="48"/>
      <c r="AY345" s="48"/>
      <c r="AZ345" s="48"/>
      <c r="BA345" s="48"/>
      <c r="BB345" s="51"/>
      <c r="BC345" s="48"/>
      <c r="BD345" s="48"/>
      <c r="BE345" s="48"/>
      <c r="BF345" s="48"/>
      <c r="BG345" s="48"/>
      <c r="BH345" s="48"/>
      <c r="BI345" s="48"/>
      <c r="BJ345" s="48"/>
      <c r="BK345" s="48"/>
      <c r="BL345" s="116"/>
      <c r="BM345" s="116"/>
      <c r="BN345" s="51"/>
      <c r="BO345" s="48"/>
      <c r="BP345" s="48"/>
      <c r="BQ345" s="48"/>
      <c r="BR345" s="48"/>
      <c r="BS345" s="48"/>
      <c r="BT345" s="48"/>
      <c r="BU345" s="48"/>
      <c r="BV345" s="48"/>
      <c r="BW345" s="48"/>
      <c r="BX345" s="48"/>
      <c r="BY345" s="48"/>
      <c r="BZ345" s="48"/>
      <c r="CA345" s="48"/>
      <c r="CB345" s="48"/>
      <c r="CC345" s="48"/>
      <c r="CD345" s="52"/>
      <c r="CE345" s="48"/>
      <c r="CF345" s="48"/>
      <c r="CG345" s="48"/>
      <c r="CH345" s="48"/>
      <c r="CI345" s="48"/>
      <c r="CJ345" s="51"/>
      <c r="CK345" s="129"/>
      <c r="CL345" s="129"/>
      <c r="CM345" s="129"/>
      <c r="CN345" s="116"/>
      <c r="CO345" s="116"/>
      <c r="CP345" s="116"/>
      <c r="CQ345" s="116"/>
      <c r="CR345" s="116"/>
      <c r="CS345" s="116"/>
      <c r="CT345" s="116"/>
      <c r="CU345" s="116"/>
      <c r="CV345" s="116"/>
      <c r="CW345" s="116"/>
      <c r="CX345" s="116"/>
      <c r="CY345" s="116"/>
      <c r="CZ345" s="116"/>
      <c r="DA345" s="48"/>
      <c r="DB345" s="48"/>
      <c r="DC345" s="48"/>
      <c r="DD345" s="54"/>
      <c r="DE345" s="54"/>
      <c r="DF345" s="54"/>
      <c r="DG345" s="54"/>
      <c r="DH345" s="54"/>
      <c r="DI345" s="54"/>
      <c r="DJ345" s="48"/>
      <c r="DK345" s="48"/>
      <c r="DL345" s="51"/>
      <c r="DM345" s="48"/>
      <c r="DN345" s="52"/>
      <c r="DO345" s="52"/>
      <c r="DP345" s="48"/>
      <c r="DQ345" s="48"/>
      <c r="DR345" s="48"/>
      <c r="DS345" s="51"/>
      <c r="DT345" s="48"/>
      <c r="DU345" s="48"/>
      <c r="DV345" s="48"/>
      <c r="DW345" s="48"/>
      <c r="DX345" s="48"/>
      <c r="DY345" s="48"/>
      <c r="DZ345" s="48"/>
    </row>
    <row r="346" spans="1:130" ht="50.25" customHeight="1">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51"/>
      <c r="AP346" s="51"/>
      <c r="AQ346" s="48"/>
      <c r="AR346" s="48"/>
      <c r="AS346" s="48"/>
      <c r="AT346" s="48"/>
      <c r="AU346" s="48"/>
      <c r="AV346" s="48"/>
      <c r="AW346" s="48"/>
      <c r="AX346" s="48"/>
      <c r="AY346" s="48"/>
      <c r="AZ346" s="48"/>
      <c r="BA346" s="48"/>
      <c r="BB346" s="51"/>
      <c r="BC346" s="48"/>
      <c r="BD346" s="48"/>
      <c r="BE346" s="48"/>
      <c r="BF346" s="48"/>
      <c r="BG346" s="48"/>
      <c r="BH346" s="48"/>
      <c r="BI346" s="48"/>
      <c r="BJ346" s="48"/>
      <c r="BK346" s="48"/>
      <c r="BL346" s="116"/>
      <c r="BM346" s="116"/>
      <c r="BN346" s="51"/>
      <c r="BO346" s="48"/>
      <c r="BP346" s="48"/>
      <c r="BQ346" s="48"/>
      <c r="BR346" s="48"/>
      <c r="BS346" s="48"/>
      <c r="BT346" s="48"/>
      <c r="BU346" s="48"/>
      <c r="BV346" s="48"/>
      <c r="BW346" s="48"/>
      <c r="BX346" s="48"/>
      <c r="BY346" s="48"/>
      <c r="BZ346" s="48"/>
      <c r="CA346" s="48"/>
      <c r="CB346" s="48"/>
      <c r="CC346" s="48"/>
      <c r="CD346" s="52"/>
      <c r="CE346" s="48"/>
      <c r="CF346" s="48"/>
      <c r="CG346" s="48"/>
      <c r="CH346" s="48"/>
      <c r="CI346" s="48"/>
      <c r="CJ346" s="51"/>
      <c r="CK346" s="129"/>
      <c r="CL346" s="129"/>
      <c r="CM346" s="129"/>
      <c r="CN346" s="116"/>
      <c r="CO346" s="116"/>
      <c r="CP346" s="116"/>
      <c r="CQ346" s="116"/>
      <c r="CR346" s="116"/>
      <c r="CS346" s="116"/>
      <c r="CT346" s="116"/>
      <c r="CU346" s="116"/>
      <c r="CV346" s="116"/>
      <c r="CW346" s="116"/>
      <c r="CX346" s="116"/>
      <c r="CY346" s="116"/>
      <c r="CZ346" s="116"/>
      <c r="DA346" s="48"/>
      <c r="DB346" s="48"/>
      <c r="DC346" s="48"/>
      <c r="DD346" s="54"/>
      <c r="DE346" s="54"/>
      <c r="DF346" s="54"/>
      <c r="DG346" s="54"/>
      <c r="DH346" s="54"/>
      <c r="DI346" s="54"/>
      <c r="DJ346" s="48"/>
      <c r="DK346" s="48"/>
      <c r="DL346" s="51"/>
      <c r="DM346" s="48"/>
      <c r="DN346" s="52"/>
      <c r="DO346" s="52"/>
      <c r="DP346" s="48"/>
      <c r="DQ346" s="48"/>
      <c r="DR346" s="48"/>
      <c r="DS346" s="51"/>
      <c r="DT346" s="48"/>
      <c r="DU346" s="48"/>
      <c r="DV346" s="48"/>
      <c r="DW346" s="48"/>
      <c r="DX346" s="48"/>
      <c r="DY346" s="48"/>
      <c r="DZ346" s="48"/>
    </row>
    <row r="347" spans="1:130" ht="50.25" customHeight="1">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51"/>
      <c r="AP347" s="51"/>
      <c r="AQ347" s="48"/>
      <c r="AR347" s="48"/>
      <c r="AS347" s="48"/>
      <c r="AT347" s="48"/>
      <c r="AU347" s="48"/>
      <c r="AV347" s="48"/>
      <c r="AW347" s="48"/>
      <c r="AX347" s="48"/>
      <c r="AY347" s="48"/>
      <c r="AZ347" s="48"/>
      <c r="BA347" s="48"/>
      <c r="BB347" s="51"/>
      <c r="BC347" s="48"/>
      <c r="BD347" s="48"/>
      <c r="BE347" s="48"/>
      <c r="BF347" s="48"/>
      <c r="BG347" s="48"/>
      <c r="BH347" s="48"/>
      <c r="BI347" s="48"/>
      <c r="BJ347" s="48"/>
      <c r="BK347" s="48"/>
      <c r="BL347" s="116"/>
      <c r="BM347" s="116"/>
      <c r="BN347" s="51"/>
      <c r="BO347" s="48"/>
      <c r="BP347" s="48"/>
      <c r="BQ347" s="48"/>
      <c r="BR347" s="48"/>
      <c r="BS347" s="48"/>
      <c r="BT347" s="48"/>
      <c r="BU347" s="48"/>
      <c r="BV347" s="48"/>
      <c r="BW347" s="48"/>
      <c r="BX347" s="48"/>
      <c r="BY347" s="48"/>
      <c r="BZ347" s="48"/>
      <c r="CA347" s="48"/>
      <c r="CB347" s="48"/>
      <c r="CC347" s="48"/>
      <c r="CD347" s="52"/>
      <c r="CE347" s="48"/>
      <c r="CF347" s="48"/>
      <c r="CG347" s="48"/>
      <c r="CH347" s="48"/>
      <c r="CI347" s="48"/>
      <c r="CJ347" s="51"/>
      <c r="CK347" s="129"/>
      <c r="CL347" s="129"/>
      <c r="CM347" s="129"/>
      <c r="CN347" s="116"/>
      <c r="CO347" s="116"/>
      <c r="CP347" s="116"/>
      <c r="CQ347" s="116"/>
      <c r="CR347" s="116"/>
      <c r="CS347" s="116"/>
      <c r="CT347" s="116"/>
      <c r="CU347" s="116"/>
      <c r="CV347" s="116"/>
      <c r="CW347" s="116"/>
      <c r="CX347" s="116"/>
      <c r="CY347" s="116"/>
      <c r="CZ347" s="116"/>
      <c r="DA347" s="48"/>
      <c r="DB347" s="48"/>
      <c r="DC347" s="48"/>
      <c r="DD347" s="54"/>
      <c r="DE347" s="54"/>
      <c r="DF347" s="54"/>
      <c r="DG347" s="54"/>
      <c r="DH347" s="54"/>
      <c r="DI347" s="54"/>
      <c r="DJ347" s="48"/>
      <c r="DK347" s="48"/>
      <c r="DL347" s="51"/>
      <c r="DM347" s="48"/>
      <c r="DN347" s="52"/>
      <c r="DO347" s="52"/>
      <c r="DP347" s="48"/>
      <c r="DQ347" s="48"/>
      <c r="DR347" s="48"/>
      <c r="DS347" s="51"/>
      <c r="DT347" s="48"/>
      <c r="DU347" s="48"/>
      <c r="DV347" s="48"/>
      <c r="DW347" s="48"/>
      <c r="DX347" s="48"/>
      <c r="DY347" s="48"/>
      <c r="DZ347" s="48"/>
    </row>
    <row r="348" spans="1:130" ht="50.25" customHeight="1">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51"/>
      <c r="AP348" s="51"/>
      <c r="AQ348" s="48"/>
      <c r="AR348" s="48"/>
      <c r="AS348" s="48"/>
      <c r="AT348" s="48"/>
      <c r="AU348" s="48"/>
      <c r="AV348" s="48"/>
      <c r="AW348" s="48"/>
      <c r="AX348" s="48"/>
      <c r="AY348" s="48"/>
      <c r="AZ348" s="48"/>
      <c r="BA348" s="48"/>
      <c r="BB348" s="51"/>
      <c r="BC348" s="48"/>
      <c r="BD348" s="48"/>
      <c r="BE348" s="48"/>
      <c r="BF348" s="48"/>
      <c r="BG348" s="48"/>
      <c r="BH348" s="48"/>
      <c r="BI348" s="48"/>
      <c r="BJ348" s="48"/>
      <c r="BK348" s="48"/>
      <c r="BL348" s="116"/>
      <c r="BM348" s="116"/>
      <c r="BN348" s="51"/>
      <c r="BO348" s="48"/>
      <c r="BP348" s="48"/>
      <c r="BQ348" s="48"/>
      <c r="BR348" s="48"/>
      <c r="BS348" s="48"/>
      <c r="BT348" s="48"/>
      <c r="BU348" s="48"/>
      <c r="BV348" s="48"/>
      <c r="BW348" s="48"/>
      <c r="BX348" s="48"/>
      <c r="BY348" s="48"/>
      <c r="BZ348" s="48"/>
      <c r="CA348" s="48"/>
      <c r="CB348" s="48"/>
      <c r="CC348" s="48"/>
      <c r="CD348" s="52"/>
      <c r="CE348" s="48"/>
      <c r="CF348" s="48"/>
      <c r="CG348" s="48"/>
      <c r="CH348" s="48"/>
      <c r="CI348" s="48"/>
      <c r="CJ348" s="51"/>
      <c r="CK348" s="129"/>
      <c r="CL348" s="129"/>
      <c r="CM348" s="129"/>
      <c r="CN348" s="116"/>
      <c r="CO348" s="116"/>
      <c r="CP348" s="116"/>
      <c r="CQ348" s="116"/>
      <c r="CR348" s="116"/>
      <c r="CS348" s="116"/>
      <c r="CT348" s="116"/>
      <c r="CU348" s="116"/>
      <c r="CV348" s="116"/>
      <c r="CW348" s="116"/>
      <c r="CX348" s="116"/>
      <c r="CY348" s="116"/>
      <c r="CZ348" s="116"/>
      <c r="DA348" s="48"/>
      <c r="DB348" s="48"/>
      <c r="DC348" s="48"/>
      <c r="DD348" s="54"/>
      <c r="DE348" s="54"/>
      <c r="DF348" s="54"/>
      <c r="DG348" s="54"/>
      <c r="DH348" s="54"/>
      <c r="DI348" s="54"/>
      <c r="DJ348" s="48"/>
      <c r="DK348" s="48"/>
      <c r="DL348" s="51"/>
      <c r="DM348" s="48"/>
      <c r="DN348" s="52"/>
      <c r="DO348" s="52"/>
      <c r="DP348" s="48"/>
      <c r="DQ348" s="48"/>
      <c r="DR348" s="48"/>
      <c r="DS348" s="51"/>
      <c r="DT348" s="48"/>
      <c r="DU348" s="48"/>
      <c r="DV348" s="48"/>
      <c r="DW348" s="48"/>
      <c r="DX348" s="48"/>
      <c r="DY348" s="48"/>
      <c r="DZ348" s="48"/>
    </row>
    <row r="349" spans="1:130" ht="50.25" customHeight="1">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51"/>
      <c r="AP349" s="51"/>
      <c r="AQ349" s="48"/>
      <c r="AR349" s="48"/>
      <c r="AS349" s="48"/>
      <c r="AT349" s="48"/>
      <c r="AU349" s="48"/>
      <c r="AV349" s="48"/>
      <c r="AW349" s="48"/>
      <c r="AX349" s="48"/>
      <c r="AY349" s="48"/>
      <c r="AZ349" s="48"/>
      <c r="BA349" s="48"/>
      <c r="BB349" s="51"/>
      <c r="BC349" s="48"/>
      <c r="BD349" s="48"/>
      <c r="BE349" s="48"/>
      <c r="BF349" s="48"/>
      <c r="BG349" s="48"/>
      <c r="BH349" s="48"/>
      <c r="BI349" s="48"/>
      <c r="BJ349" s="48"/>
      <c r="BK349" s="48"/>
      <c r="BL349" s="116"/>
      <c r="BM349" s="116"/>
      <c r="BN349" s="51"/>
      <c r="BO349" s="48"/>
      <c r="BP349" s="48"/>
      <c r="BQ349" s="48"/>
      <c r="BR349" s="48"/>
      <c r="BS349" s="48"/>
      <c r="BT349" s="48"/>
      <c r="BU349" s="48"/>
      <c r="BV349" s="48"/>
      <c r="BW349" s="48"/>
      <c r="BX349" s="48"/>
      <c r="BY349" s="48"/>
      <c r="BZ349" s="48"/>
      <c r="CA349" s="48"/>
      <c r="CB349" s="48"/>
      <c r="CC349" s="48"/>
      <c r="CD349" s="52"/>
      <c r="CE349" s="48"/>
      <c r="CF349" s="48"/>
      <c r="CG349" s="48"/>
      <c r="CH349" s="48"/>
      <c r="CI349" s="48"/>
      <c r="CJ349" s="51"/>
      <c r="CK349" s="129"/>
      <c r="CL349" s="129"/>
      <c r="CM349" s="129"/>
      <c r="CN349" s="116"/>
      <c r="CO349" s="116"/>
      <c r="CP349" s="116"/>
      <c r="CQ349" s="116"/>
      <c r="CR349" s="116"/>
      <c r="CS349" s="116"/>
      <c r="CT349" s="116"/>
      <c r="CU349" s="116"/>
      <c r="CV349" s="116"/>
      <c r="CW349" s="116"/>
      <c r="CX349" s="116"/>
      <c r="CY349" s="116"/>
      <c r="CZ349" s="116"/>
      <c r="DA349" s="48"/>
      <c r="DB349" s="48"/>
      <c r="DC349" s="48"/>
      <c r="DD349" s="54"/>
      <c r="DE349" s="54"/>
      <c r="DF349" s="54"/>
      <c r="DG349" s="54"/>
      <c r="DH349" s="54"/>
      <c r="DI349" s="54"/>
      <c r="DJ349" s="48"/>
      <c r="DK349" s="48"/>
      <c r="DL349" s="51"/>
      <c r="DM349" s="48"/>
      <c r="DN349" s="52"/>
      <c r="DO349" s="52"/>
      <c r="DP349" s="48"/>
      <c r="DQ349" s="48"/>
      <c r="DR349" s="48"/>
      <c r="DS349" s="51"/>
      <c r="DT349" s="48"/>
      <c r="DU349" s="48"/>
      <c r="DV349" s="48"/>
      <c r="DW349" s="48"/>
      <c r="DX349" s="48"/>
      <c r="DY349" s="48"/>
      <c r="DZ349" s="48"/>
    </row>
    <row r="350" spans="1:130" ht="50.25" customHeight="1">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51"/>
      <c r="AP350" s="51"/>
      <c r="AQ350" s="48"/>
      <c r="AR350" s="48"/>
      <c r="AS350" s="48"/>
      <c r="AT350" s="48"/>
      <c r="AU350" s="48"/>
      <c r="AV350" s="48"/>
      <c r="AW350" s="48"/>
      <c r="AX350" s="48"/>
      <c r="AY350" s="48"/>
      <c r="AZ350" s="48"/>
      <c r="BA350" s="48"/>
      <c r="BB350" s="51"/>
      <c r="BC350" s="48"/>
      <c r="BD350" s="48"/>
      <c r="BE350" s="48"/>
      <c r="BF350" s="48"/>
      <c r="BG350" s="48"/>
      <c r="BH350" s="48"/>
      <c r="BI350" s="48"/>
      <c r="BJ350" s="48"/>
      <c r="BK350" s="48"/>
      <c r="BL350" s="116"/>
      <c r="BM350" s="116"/>
      <c r="BN350" s="51"/>
      <c r="BO350" s="48"/>
      <c r="BP350" s="48"/>
      <c r="BQ350" s="48"/>
      <c r="BR350" s="48"/>
      <c r="BS350" s="48"/>
      <c r="BT350" s="48"/>
      <c r="BU350" s="48"/>
      <c r="BV350" s="48"/>
      <c r="BW350" s="48"/>
      <c r="BX350" s="48"/>
      <c r="BY350" s="48"/>
      <c r="BZ350" s="48"/>
      <c r="CA350" s="48"/>
      <c r="CB350" s="48"/>
      <c r="CC350" s="48"/>
      <c r="CD350" s="52"/>
      <c r="CE350" s="48"/>
      <c r="CF350" s="48"/>
      <c r="CG350" s="48"/>
      <c r="CH350" s="48"/>
      <c r="CI350" s="48"/>
      <c r="CJ350" s="51"/>
      <c r="CK350" s="129"/>
      <c r="CL350" s="129"/>
      <c r="CM350" s="129"/>
      <c r="CN350" s="116"/>
      <c r="CO350" s="116"/>
      <c r="CP350" s="116"/>
      <c r="CQ350" s="116"/>
      <c r="CR350" s="116"/>
      <c r="CS350" s="116"/>
      <c r="CT350" s="116"/>
      <c r="CU350" s="116"/>
      <c r="CV350" s="116"/>
      <c r="CW350" s="116"/>
      <c r="CX350" s="116"/>
      <c r="CY350" s="116"/>
      <c r="CZ350" s="116"/>
      <c r="DA350" s="48"/>
      <c r="DB350" s="48"/>
      <c r="DC350" s="48"/>
      <c r="DD350" s="54"/>
      <c r="DE350" s="54"/>
      <c r="DF350" s="54"/>
      <c r="DG350" s="54"/>
      <c r="DH350" s="54"/>
      <c r="DI350" s="54"/>
      <c r="DJ350" s="48"/>
      <c r="DK350" s="48"/>
      <c r="DL350" s="51"/>
      <c r="DM350" s="48"/>
      <c r="DN350" s="52"/>
      <c r="DO350" s="52"/>
      <c r="DP350" s="48"/>
      <c r="DQ350" s="48"/>
      <c r="DR350" s="48"/>
      <c r="DS350" s="51"/>
      <c r="DT350" s="48"/>
      <c r="DU350" s="48"/>
      <c r="DV350" s="48"/>
      <c r="DW350" s="48"/>
      <c r="DX350" s="48"/>
      <c r="DY350" s="48"/>
      <c r="DZ350" s="48"/>
    </row>
    <row r="351" spans="1:130" ht="50.25" customHeight="1">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48"/>
      <c r="AD351" s="48"/>
      <c r="AE351" s="48"/>
      <c r="AF351" s="48"/>
      <c r="AG351" s="48"/>
      <c r="AH351" s="48"/>
      <c r="AI351" s="48"/>
      <c r="AJ351" s="48"/>
      <c r="AK351" s="48"/>
      <c r="AL351" s="48"/>
      <c r="AM351" s="48"/>
      <c r="AN351" s="48"/>
      <c r="AO351" s="51"/>
      <c r="AP351" s="51"/>
      <c r="AQ351" s="48"/>
      <c r="AR351" s="48"/>
      <c r="AS351" s="48"/>
      <c r="AT351" s="48"/>
      <c r="AU351" s="48"/>
      <c r="AV351" s="48"/>
      <c r="AW351" s="48"/>
      <c r="AX351" s="48"/>
      <c r="AY351" s="48"/>
      <c r="AZ351" s="48"/>
      <c r="BA351" s="48"/>
      <c r="BB351" s="51"/>
      <c r="BC351" s="48"/>
      <c r="BD351" s="48"/>
      <c r="BE351" s="48"/>
      <c r="BF351" s="48"/>
      <c r="BG351" s="48"/>
      <c r="BH351" s="48"/>
      <c r="BI351" s="48"/>
      <c r="BJ351" s="48"/>
      <c r="BK351" s="48"/>
      <c r="BL351" s="116"/>
      <c r="BM351" s="116"/>
      <c r="BN351" s="51"/>
      <c r="BO351" s="48"/>
      <c r="BP351" s="48"/>
      <c r="BQ351" s="48"/>
      <c r="BR351" s="48"/>
      <c r="BS351" s="48"/>
      <c r="BT351" s="48"/>
      <c r="BU351" s="48"/>
      <c r="BV351" s="48"/>
      <c r="BW351" s="48"/>
      <c r="BX351" s="48"/>
      <c r="BY351" s="48"/>
      <c r="BZ351" s="48"/>
      <c r="CA351" s="48"/>
      <c r="CB351" s="48"/>
      <c r="CC351" s="48"/>
      <c r="CD351" s="52"/>
      <c r="CE351" s="48"/>
      <c r="CF351" s="48"/>
      <c r="CG351" s="48"/>
      <c r="CH351" s="48"/>
      <c r="CI351" s="48"/>
      <c r="CJ351" s="51"/>
      <c r="CK351" s="129"/>
      <c r="CL351" s="129"/>
      <c r="CM351" s="129"/>
      <c r="CN351" s="116"/>
      <c r="CO351" s="116"/>
      <c r="CP351" s="116"/>
      <c r="CQ351" s="116"/>
      <c r="CR351" s="116"/>
      <c r="CS351" s="116"/>
      <c r="CT351" s="116"/>
      <c r="CU351" s="116"/>
      <c r="CV351" s="116"/>
      <c r="CW351" s="116"/>
      <c r="CX351" s="116"/>
      <c r="CY351" s="116"/>
      <c r="CZ351" s="116"/>
      <c r="DA351" s="48"/>
      <c r="DB351" s="48"/>
      <c r="DC351" s="48"/>
      <c r="DD351" s="54"/>
      <c r="DE351" s="54"/>
      <c r="DF351" s="54"/>
      <c r="DG351" s="54"/>
      <c r="DH351" s="54"/>
      <c r="DI351" s="54"/>
      <c r="DJ351" s="48"/>
      <c r="DK351" s="48"/>
      <c r="DL351" s="51"/>
      <c r="DM351" s="48"/>
      <c r="DN351" s="52"/>
      <c r="DO351" s="52"/>
      <c r="DP351" s="48"/>
      <c r="DQ351" s="48"/>
      <c r="DR351" s="48"/>
      <c r="DS351" s="51"/>
      <c r="DT351" s="48"/>
      <c r="DU351" s="48"/>
      <c r="DV351" s="48"/>
      <c r="DW351" s="48"/>
      <c r="DX351" s="48"/>
      <c r="DY351" s="48"/>
      <c r="DZ351" s="48"/>
    </row>
    <row r="352" spans="1:130" ht="50.25" customHeight="1">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51"/>
      <c r="AP352" s="51"/>
      <c r="AQ352" s="48"/>
      <c r="AR352" s="48"/>
      <c r="AS352" s="48"/>
      <c r="AT352" s="48"/>
      <c r="AU352" s="48"/>
      <c r="AV352" s="48"/>
      <c r="AW352" s="48"/>
      <c r="AX352" s="48"/>
      <c r="AY352" s="48"/>
      <c r="AZ352" s="48"/>
      <c r="BA352" s="48"/>
      <c r="BB352" s="51"/>
      <c r="BC352" s="48"/>
      <c r="BD352" s="48"/>
      <c r="BE352" s="48"/>
      <c r="BF352" s="48"/>
      <c r="BG352" s="48"/>
      <c r="BH352" s="48"/>
      <c r="BI352" s="48"/>
      <c r="BJ352" s="48"/>
      <c r="BK352" s="48"/>
      <c r="BL352" s="116"/>
      <c r="BM352" s="116"/>
      <c r="BN352" s="51"/>
      <c r="BO352" s="48"/>
      <c r="BP352" s="48"/>
      <c r="BQ352" s="48"/>
      <c r="BR352" s="48"/>
      <c r="BS352" s="48"/>
      <c r="BT352" s="48"/>
      <c r="BU352" s="48"/>
      <c r="BV352" s="48"/>
      <c r="BW352" s="48"/>
      <c r="BX352" s="48"/>
      <c r="BY352" s="48"/>
      <c r="BZ352" s="48"/>
      <c r="CA352" s="48"/>
      <c r="CB352" s="48"/>
      <c r="CC352" s="48"/>
      <c r="CD352" s="52"/>
      <c r="CE352" s="48"/>
      <c r="CF352" s="48"/>
      <c r="CG352" s="48"/>
      <c r="CH352" s="48"/>
      <c r="CI352" s="48"/>
      <c r="CJ352" s="51"/>
      <c r="CK352" s="129"/>
      <c r="CL352" s="129"/>
      <c r="CM352" s="129"/>
      <c r="CN352" s="116"/>
      <c r="CO352" s="116"/>
      <c r="CP352" s="116"/>
      <c r="CQ352" s="116"/>
      <c r="CR352" s="116"/>
      <c r="CS352" s="116"/>
      <c r="CT352" s="116"/>
      <c r="CU352" s="116"/>
      <c r="CV352" s="116"/>
      <c r="CW352" s="116"/>
      <c r="CX352" s="116"/>
      <c r="CY352" s="116"/>
      <c r="CZ352" s="116"/>
      <c r="DA352" s="48"/>
      <c r="DB352" s="48"/>
      <c r="DC352" s="48"/>
      <c r="DD352" s="54"/>
      <c r="DE352" s="54"/>
      <c r="DF352" s="54"/>
      <c r="DG352" s="54"/>
      <c r="DH352" s="54"/>
      <c r="DI352" s="54"/>
      <c r="DJ352" s="48"/>
      <c r="DK352" s="48"/>
      <c r="DL352" s="51"/>
      <c r="DM352" s="48"/>
      <c r="DN352" s="52"/>
      <c r="DO352" s="52"/>
      <c r="DP352" s="48"/>
      <c r="DQ352" s="48"/>
      <c r="DR352" s="48"/>
      <c r="DS352" s="51"/>
      <c r="DT352" s="48"/>
      <c r="DU352" s="48"/>
      <c r="DV352" s="48"/>
      <c r="DW352" s="48"/>
      <c r="DX352" s="48"/>
      <c r="DY352" s="48"/>
      <c r="DZ352" s="48"/>
    </row>
    <row r="353" spans="1:130" ht="50.25" customHeight="1">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51"/>
      <c r="AP353" s="51"/>
      <c r="AQ353" s="48"/>
      <c r="AR353" s="48"/>
      <c r="AS353" s="48"/>
      <c r="AT353" s="48"/>
      <c r="AU353" s="48"/>
      <c r="AV353" s="48"/>
      <c r="AW353" s="48"/>
      <c r="AX353" s="48"/>
      <c r="AY353" s="48"/>
      <c r="AZ353" s="48"/>
      <c r="BA353" s="48"/>
      <c r="BB353" s="51"/>
      <c r="BC353" s="48"/>
      <c r="BD353" s="48"/>
      <c r="BE353" s="48"/>
      <c r="BF353" s="48"/>
      <c r="BG353" s="48"/>
      <c r="BH353" s="48"/>
      <c r="BI353" s="48"/>
      <c r="BJ353" s="48"/>
      <c r="BK353" s="48"/>
      <c r="BL353" s="116"/>
      <c r="BM353" s="116"/>
      <c r="BN353" s="51"/>
      <c r="BO353" s="48"/>
      <c r="BP353" s="48"/>
      <c r="BQ353" s="48"/>
      <c r="BR353" s="48"/>
      <c r="BS353" s="48"/>
      <c r="BT353" s="48"/>
      <c r="BU353" s="48"/>
      <c r="BV353" s="48"/>
      <c r="BW353" s="48"/>
      <c r="BX353" s="48"/>
      <c r="BY353" s="48"/>
      <c r="BZ353" s="48"/>
      <c r="CA353" s="48"/>
      <c r="CB353" s="48"/>
      <c r="CC353" s="48"/>
      <c r="CD353" s="52"/>
      <c r="CE353" s="48"/>
      <c r="CF353" s="48"/>
      <c r="CG353" s="48"/>
      <c r="CH353" s="48"/>
      <c r="CI353" s="48"/>
      <c r="CJ353" s="51"/>
      <c r="CK353" s="129"/>
      <c r="CL353" s="129"/>
      <c r="CM353" s="129"/>
      <c r="CN353" s="116"/>
      <c r="CO353" s="116"/>
      <c r="CP353" s="116"/>
      <c r="CQ353" s="116"/>
      <c r="CR353" s="116"/>
      <c r="CS353" s="116"/>
      <c r="CT353" s="116"/>
      <c r="CU353" s="116"/>
      <c r="CV353" s="116"/>
      <c r="CW353" s="116"/>
      <c r="CX353" s="116"/>
      <c r="CY353" s="116"/>
      <c r="CZ353" s="116"/>
      <c r="DA353" s="48"/>
      <c r="DB353" s="48"/>
      <c r="DC353" s="48"/>
      <c r="DD353" s="54"/>
      <c r="DE353" s="54"/>
      <c r="DF353" s="54"/>
      <c r="DG353" s="54"/>
      <c r="DH353" s="54"/>
      <c r="DI353" s="54"/>
      <c r="DJ353" s="48"/>
      <c r="DK353" s="48"/>
      <c r="DL353" s="51"/>
      <c r="DM353" s="48"/>
      <c r="DN353" s="52"/>
      <c r="DO353" s="52"/>
      <c r="DP353" s="48"/>
      <c r="DQ353" s="48"/>
      <c r="DR353" s="48"/>
      <c r="DS353" s="51"/>
      <c r="DT353" s="48"/>
      <c r="DU353" s="48"/>
      <c r="DV353" s="48"/>
      <c r="DW353" s="48"/>
      <c r="DX353" s="48"/>
      <c r="DY353" s="48"/>
      <c r="DZ353" s="48"/>
    </row>
    <row r="354" spans="1:130" ht="50.25" customHeight="1">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51"/>
      <c r="AP354" s="51"/>
      <c r="AQ354" s="48"/>
      <c r="AR354" s="48"/>
      <c r="AS354" s="48"/>
      <c r="AT354" s="48"/>
      <c r="AU354" s="48"/>
      <c r="AV354" s="48"/>
      <c r="AW354" s="48"/>
      <c r="AX354" s="48"/>
      <c r="AY354" s="48"/>
      <c r="AZ354" s="48"/>
      <c r="BA354" s="48"/>
      <c r="BB354" s="51"/>
      <c r="BC354" s="48"/>
      <c r="BD354" s="48"/>
      <c r="BE354" s="48"/>
      <c r="BF354" s="48"/>
      <c r="BG354" s="48"/>
      <c r="BH354" s="48"/>
      <c r="BI354" s="48"/>
      <c r="BJ354" s="48"/>
      <c r="BK354" s="48"/>
      <c r="BL354" s="116"/>
      <c r="BM354" s="116"/>
      <c r="BN354" s="51"/>
      <c r="BO354" s="48"/>
      <c r="BP354" s="48"/>
      <c r="BQ354" s="48"/>
      <c r="BR354" s="48"/>
      <c r="BS354" s="48"/>
      <c r="BT354" s="48"/>
      <c r="BU354" s="48"/>
      <c r="BV354" s="48"/>
      <c r="BW354" s="48"/>
      <c r="BX354" s="48"/>
      <c r="BY354" s="48"/>
      <c r="BZ354" s="48"/>
      <c r="CA354" s="48"/>
      <c r="CB354" s="48"/>
      <c r="CC354" s="48"/>
      <c r="CD354" s="52"/>
      <c r="CE354" s="48"/>
      <c r="CF354" s="48"/>
      <c r="CG354" s="48"/>
      <c r="CH354" s="48"/>
      <c r="CI354" s="48"/>
      <c r="CJ354" s="51"/>
      <c r="CK354" s="129"/>
      <c r="CL354" s="129"/>
      <c r="CM354" s="129"/>
      <c r="CN354" s="116"/>
      <c r="CO354" s="116"/>
      <c r="CP354" s="116"/>
      <c r="CQ354" s="116"/>
      <c r="CR354" s="116"/>
      <c r="CS354" s="116"/>
      <c r="CT354" s="116"/>
      <c r="CU354" s="116"/>
      <c r="CV354" s="116"/>
      <c r="CW354" s="116"/>
      <c r="CX354" s="116"/>
      <c r="CY354" s="116"/>
      <c r="CZ354" s="116"/>
      <c r="DA354" s="48"/>
      <c r="DB354" s="48"/>
      <c r="DC354" s="48"/>
      <c r="DD354" s="54"/>
      <c r="DE354" s="54"/>
      <c r="DF354" s="54"/>
      <c r="DG354" s="54"/>
      <c r="DH354" s="54"/>
      <c r="DI354" s="54"/>
      <c r="DJ354" s="48"/>
      <c r="DK354" s="48"/>
      <c r="DL354" s="51"/>
      <c r="DM354" s="48"/>
      <c r="DN354" s="52"/>
      <c r="DO354" s="52"/>
      <c r="DP354" s="48"/>
      <c r="DQ354" s="48"/>
      <c r="DR354" s="48"/>
      <c r="DS354" s="51"/>
      <c r="DT354" s="48"/>
      <c r="DU354" s="48"/>
      <c r="DV354" s="48"/>
      <c r="DW354" s="48"/>
      <c r="DX354" s="48"/>
      <c r="DY354" s="48"/>
      <c r="DZ354" s="48"/>
    </row>
    <row r="355" spans="1:130" ht="50.25" customHeight="1">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51"/>
      <c r="AP355" s="51"/>
      <c r="AQ355" s="48"/>
      <c r="AR355" s="48"/>
      <c r="AS355" s="48"/>
      <c r="AT355" s="48"/>
      <c r="AU355" s="48"/>
      <c r="AV355" s="48"/>
      <c r="AW355" s="48"/>
      <c r="AX355" s="48"/>
      <c r="AY355" s="48"/>
      <c r="AZ355" s="48"/>
      <c r="BA355" s="48"/>
      <c r="BB355" s="51"/>
      <c r="BC355" s="48"/>
      <c r="BD355" s="48"/>
      <c r="BE355" s="48"/>
      <c r="BF355" s="48"/>
      <c r="BG355" s="48"/>
      <c r="BH355" s="48"/>
      <c r="BI355" s="48"/>
      <c r="BJ355" s="48"/>
      <c r="BK355" s="48"/>
      <c r="BL355" s="116"/>
      <c r="BM355" s="116"/>
      <c r="BN355" s="51"/>
      <c r="BO355" s="48"/>
      <c r="BP355" s="48"/>
      <c r="BQ355" s="48"/>
      <c r="BR355" s="48"/>
      <c r="BS355" s="48"/>
      <c r="BT355" s="48"/>
      <c r="BU355" s="48"/>
      <c r="BV355" s="48"/>
      <c r="BW355" s="48"/>
      <c r="BX355" s="48"/>
      <c r="BY355" s="48"/>
      <c r="BZ355" s="48"/>
      <c r="CA355" s="48"/>
      <c r="CB355" s="48"/>
      <c r="CC355" s="48"/>
      <c r="CD355" s="52"/>
      <c r="CE355" s="48"/>
      <c r="CF355" s="48"/>
      <c r="CG355" s="48"/>
      <c r="CH355" s="48"/>
      <c r="CI355" s="48"/>
      <c r="CJ355" s="51"/>
      <c r="CK355" s="129"/>
      <c r="CL355" s="129"/>
      <c r="CM355" s="129"/>
      <c r="CN355" s="116"/>
      <c r="CO355" s="116"/>
      <c r="CP355" s="116"/>
      <c r="CQ355" s="116"/>
      <c r="CR355" s="116"/>
      <c r="CS355" s="116"/>
      <c r="CT355" s="116"/>
      <c r="CU355" s="116"/>
      <c r="CV355" s="116"/>
      <c r="CW355" s="116"/>
      <c r="CX355" s="116"/>
      <c r="CY355" s="116"/>
      <c r="CZ355" s="116"/>
      <c r="DA355" s="48"/>
      <c r="DB355" s="48"/>
      <c r="DC355" s="48"/>
      <c r="DD355" s="54"/>
      <c r="DE355" s="54"/>
      <c r="DF355" s="54"/>
      <c r="DG355" s="54"/>
      <c r="DH355" s="54"/>
      <c r="DI355" s="54"/>
      <c r="DJ355" s="48"/>
      <c r="DK355" s="48"/>
      <c r="DL355" s="51"/>
      <c r="DM355" s="48"/>
      <c r="DN355" s="52"/>
      <c r="DO355" s="52"/>
      <c r="DP355" s="48"/>
      <c r="DQ355" s="48"/>
      <c r="DR355" s="48"/>
      <c r="DS355" s="51"/>
      <c r="DT355" s="48"/>
      <c r="DU355" s="48"/>
      <c r="DV355" s="48"/>
      <c r="DW355" s="48"/>
      <c r="DX355" s="48"/>
      <c r="DY355" s="48"/>
      <c r="DZ355" s="48"/>
    </row>
    <row r="356" spans="1:130" ht="50.25" customHeight="1">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51"/>
      <c r="AP356" s="51"/>
      <c r="AQ356" s="48"/>
      <c r="AR356" s="48"/>
      <c r="AS356" s="48"/>
      <c r="AT356" s="48"/>
      <c r="AU356" s="48"/>
      <c r="AV356" s="48"/>
      <c r="AW356" s="48"/>
      <c r="AX356" s="48"/>
      <c r="AY356" s="48"/>
      <c r="AZ356" s="48"/>
      <c r="BA356" s="48"/>
      <c r="BB356" s="51"/>
      <c r="BC356" s="48"/>
      <c r="BD356" s="48"/>
      <c r="BE356" s="48"/>
      <c r="BF356" s="48"/>
      <c r="BG356" s="48"/>
      <c r="BH356" s="48"/>
      <c r="BI356" s="48"/>
      <c r="BJ356" s="48"/>
      <c r="BK356" s="48"/>
      <c r="BL356" s="116"/>
      <c r="BM356" s="116"/>
      <c r="BN356" s="51"/>
      <c r="BO356" s="48"/>
      <c r="BP356" s="48"/>
      <c r="BQ356" s="48"/>
      <c r="BR356" s="48"/>
      <c r="BS356" s="48"/>
      <c r="BT356" s="48"/>
      <c r="BU356" s="48"/>
      <c r="BV356" s="48"/>
      <c r="BW356" s="48"/>
      <c r="BX356" s="48"/>
      <c r="BY356" s="48"/>
      <c r="BZ356" s="48"/>
      <c r="CA356" s="48"/>
      <c r="CB356" s="48"/>
      <c r="CC356" s="48"/>
      <c r="CD356" s="52"/>
      <c r="CE356" s="48"/>
      <c r="CF356" s="48"/>
      <c r="CG356" s="48"/>
      <c r="CH356" s="48"/>
      <c r="CI356" s="48"/>
      <c r="CJ356" s="51"/>
      <c r="CK356" s="129"/>
      <c r="CL356" s="129"/>
      <c r="CM356" s="129"/>
      <c r="CN356" s="116"/>
      <c r="CO356" s="116"/>
      <c r="CP356" s="116"/>
      <c r="CQ356" s="116"/>
      <c r="CR356" s="116"/>
      <c r="CS356" s="116"/>
      <c r="CT356" s="116"/>
      <c r="CU356" s="116"/>
      <c r="CV356" s="116"/>
      <c r="CW356" s="116"/>
      <c r="CX356" s="116"/>
      <c r="CY356" s="116"/>
      <c r="CZ356" s="116"/>
      <c r="DA356" s="48"/>
      <c r="DB356" s="48"/>
      <c r="DC356" s="48"/>
      <c r="DD356" s="54"/>
      <c r="DE356" s="54"/>
      <c r="DF356" s="54"/>
      <c r="DG356" s="54"/>
      <c r="DH356" s="54"/>
      <c r="DI356" s="54"/>
      <c r="DJ356" s="48"/>
      <c r="DK356" s="48"/>
      <c r="DL356" s="51"/>
      <c r="DM356" s="48"/>
      <c r="DN356" s="52"/>
      <c r="DO356" s="52"/>
      <c r="DP356" s="48"/>
      <c r="DQ356" s="48"/>
      <c r="DR356" s="48"/>
      <c r="DS356" s="51"/>
      <c r="DT356" s="48"/>
      <c r="DU356" s="48"/>
      <c r="DV356" s="48"/>
      <c r="DW356" s="48"/>
      <c r="DX356" s="48"/>
      <c r="DY356" s="48"/>
      <c r="DZ356" s="48"/>
    </row>
    <row r="357" spans="1:130" ht="50.25" customHeight="1">
      <c r="A357" s="48"/>
    </row>
    <row r="358" spans="1:130" ht="50.25" customHeight="1">
      <c r="A358" s="48"/>
    </row>
  </sheetData>
  <autoFilter ref="A2:DZ175" xr:uid="{00000000-0009-0000-0000-000003000000}"/>
  <hyperlinks>
    <hyperlink ref="G3" r:id="rId1" display="https://www.npr.org/sections/health-shots/2016/07/29/487767127/gun-violence-and-mental-health-laws-50-years-after-texas-tower-sniper" xr:uid="{00000000-0004-0000-0300-000000000000}"/>
    <hyperlink ref="H3" r:id="rId2" display="https://www.npr.org/sections/health-shots/2016/07/29/487767127/gun-violence-and-mental-health-laws-50-years-after-texas-tower-sniper" xr:uid="{00000000-0004-0000-0300-000001000000}"/>
    <hyperlink ref="O3" r:id="rId3" display="https://www.npr.org/sections/health-shots/2016/07/29/487767127/gun-violence-and-mental-health-laws-50-years-after-texas-tower-sniper" xr:uid="{00000000-0004-0000-0300-000002000000}"/>
    <hyperlink ref="W3" r:id="rId4" display="https://www.npr.org/sections/health-shots/2016/07/29/487767127/gun-violence-and-mental-health-laws-50-years-after-texas-tower-sniper" xr:uid="{00000000-0004-0000-0300-000003000000}"/>
    <hyperlink ref="X3" r:id="rId5" display="https://www.npr.org/sections/health-shots/2016/07/29/487767127/gun-violence-and-mental-health-laws-50-years-after-texas-tower-sniper" xr:uid="{00000000-0004-0000-0300-000004000000}"/>
    <hyperlink ref="AB3" r:id="rId6" display="https://www.npr.org/sections/health-shots/2016/07/29/487767127/gun-violence-and-mental-health-laws-50-years-after-texas-tower-sniper" xr:uid="{00000000-0004-0000-0300-000005000000}"/>
    <hyperlink ref="AI3" r:id="rId7" xr:uid="{00000000-0004-0000-0300-000006000000}"/>
    <hyperlink ref="AM3" r:id="rId8" xr:uid="{00000000-0004-0000-0300-000007000000}"/>
    <hyperlink ref="AN3" r:id="rId9" xr:uid="{00000000-0004-0000-0300-000008000000}"/>
    <hyperlink ref="AO3" r:id="rId10" display="https://timesmachine.nytimes.com/timesmachine/1966/08/02/82498897.html?action=click&amp;contentCollection=Archives&amp;module=LedeAsset%C2%AEion%3DArchiveBody&amp;pgtype=article&amp;pageNumber=15" xr:uid="{00000000-0004-0000-0300-000009000000}"/>
    <hyperlink ref="AS3" r:id="rId11" xr:uid="{00000000-0004-0000-0300-00000A000000}"/>
    <hyperlink ref="AU3" r:id="rId12" display="https://archive.nytimes.com/www.nytimes.com/library/national/080366tx-shoot.html" xr:uid="{00000000-0004-0000-0300-00000B000000}"/>
    <hyperlink ref="BC3" r:id="rId13" xr:uid="{00000000-0004-0000-0300-00000C000000}"/>
    <hyperlink ref="BE3" r:id="rId14" display="https://archive.nytimes.com/www.nytimes.com/library/national/080366tx-shoot.html" xr:uid="{00000000-0004-0000-0300-00000D000000}"/>
    <hyperlink ref="BI3" r:id="rId15" display="https://archive.nytimes.com/www.nytimes.com/library/national/080366tx-shoot.html" xr:uid="{00000000-0004-0000-0300-00000E000000}"/>
    <hyperlink ref="BL3" r:id="rId16" display="https://archive.nytimes.com/www.nytimes.com/library/national/080366tx-shoot.html" xr:uid="{00000000-0004-0000-0300-00000F000000}"/>
    <hyperlink ref="CA3" r:id="rId17" xr:uid="{00000000-0004-0000-0300-000010000000}"/>
    <hyperlink ref="CC3" r:id="rId18" xr:uid="{00000000-0004-0000-0300-000011000000}"/>
    <hyperlink ref="DK3" r:id="rId19" xr:uid="{00000000-0004-0000-0300-000012000000}"/>
    <hyperlink ref="DP3" r:id="rId20" display="https://www.washingtonpost.com/sf/local/2016/07/31/the-loaded-legacy-of-the-ut-tower-shooting/?hpid=hp_rhp-top-table-main_uttower-0840pm%3Ahomepage%2Fstory&amp;tid=a_inl&amp;utm_term=.6ab077235c7d" xr:uid="{00000000-0004-0000-0300-000013000000}"/>
    <hyperlink ref="DT3" r:id="rId21" display="https://www.theguardian.com/us-news/2017/oct/02/las-vegas-shooting-university-of-texas-tower" xr:uid="{00000000-0004-0000-0300-000014000000}"/>
    <hyperlink ref="DU3" r:id="rId22" xr:uid="{00000000-0004-0000-0300-000018000000}"/>
    <hyperlink ref="DV3" r:id="rId23" xr:uid="{00000000-0004-0000-0300-000019000000}"/>
    <hyperlink ref="DW3" r:id="rId24" xr:uid="{00000000-0004-0000-0300-00001A000000}"/>
    <hyperlink ref="M4" r:id="rId25" display="https://www.visitmesa.com/trip-planning/history/" xr:uid="{00000000-0004-0000-0300-00001B000000}"/>
    <hyperlink ref="AB4" r:id="rId26" display="https://www.nydailynews.com/news/crime/beauty-salon-massacre-article-1.273663" xr:uid="{00000000-0004-0000-0300-00001C000000}"/>
    <hyperlink ref="G5" r:id="rId27" display="http://www.lockhaven.com/news/community/2017/10/the-fury-of-leo-held/" xr:uid="{00000000-0004-0000-0300-00001D000000}"/>
    <hyperlink ref="H5" r:id="rId28" display="http://www.lockhaven.com/news/community/2017/10/the-fury-of-leo-held/" xr:uid="{00000000-0004-0000-0300-00001E000000}"/>
    <hyperlink ref="J5" r:id="rId29" xr:uid="{00000000-0004-0000-0300-00001F000000}"/>
    <hyperlink ref="L5" r:id="rId30" display="http://wnep.com/2017/10/23/50-years-since-mass-shooting-in-clinton-county/" xr:uid="{00000000-0004-0000-0300-000020000000}"/>
    <hyperlink ref="M5" r:id="rId31" display="https://www.apnews.com/90117a56d5b861313b6721c3c25d42a5" xr:uid="{00000000-0004-0000-0300-000021000000}"/>
    <hyperlink ref="O5" r:id="rId32" display="https://www.nydailynews.com/news/crime/experts-clueless-man-fatally-shot-50-years-article-1.3548519" xr:uid="{00000000-0004-0000-0300-000022000000}"/>
    <hyperlink ref="S5" r:id="rId33" display="http://wnep.com/2017/10/23/50-years-since-mass-shooting-in-clinton-county/" xr:uid="{00000000-0004-0000-0300-000023000000}"/>
    <hyperlink ref="T5" r:id="rId34" display="https://www.apnews.com/90117a56d5b861313b6721c3c25d42a5" xr:uid="{00000000-0004-0000-0300-000024000000}"/>
    <hyperlink ref="V5" r:id="rId35" display="http://www.lockhaven.com/news/community/2017/10/the-fury-of-leo-held/" xr:uid="{00000000-0004-0000-0300-000026000000}"/>
    <hyperlink ref="W5" r:id="rId36" display="http://www.nydailynews.com/news/crime/experts-clueless-man-fatally-shot-50-years-article-1.3548519" xr:uid="{00000000-0004-0000-0300-000027000000}"/>
    <hyperlink ref="X5" r:id="rId37" display="http://www.nydailynews.com/news/crime/experts-clueless-man-fatally-shot-50-years-article-1.3548519" xr:uid="{00000000-0004-0000-0300-000028000000}"/>
    <hyperlink ref="Y5" r:id="rId38" display="https://www.newspapers.com/clip/13890105/leo_held_dies_his_motives_remain/" xr:uid="{00000000-0004-0000-0300-000029000000}"/>
    <hyperlink ref="AB5" r:id="rId39" display="https://www.newspapers.com/clip/13890105/leo_held_dies_his_motives_remain/" xr:uid="{00000000-0004-0000-0300-00002A000000}"/>
    <hyperlink ref="AI5" r:id="rId40" display="http://www.nydailynews.com/news/crime/experts-clueless-man-fatally-shot-50-years-article-1.3548519" xr:uid="{00000000-0004-0000-0300-00002B000000}"/>
    <hyperlink ref="AJ5" r:id="rId41" display="http://www.nydailynews.com/news/crime/experts-clueless-man-fatally-shot-50-years-article-1.3548519" xr:uid="{00000000-0004-0000-0300-00002C000000}"/>
    <hyperlink ref="AK5" r:id="rId42" display="http://www.lockhaven.com/news/community/2017/10/the-fury-of-leo-held/" xr:uid="{00000000-0004-0000-0300-00002D000000}"/>
    <hyperlink ref="AM5" r:id="rId43" display="https://www.newspapers.com/clip/13890105/leo_held_dies_his_motives_remain/" xr:uid="{00000000-0004-0000-0300-00002E000000}"/>
    <hyperlink ref="AN5" r:id="rId44" display="https://www.newspapers.com/clip/13890105/leo_held_dies_his_motives_remain/" xr:uid="{00000000-0004-0000-0300-00002F000000}"/>
    <hyperlink ref="AO5" r:id="rId45" display="https://timesmachine.nytimes.com/timesmachine/1967/10/25/81841391.html?pageNumber=26" xr:uid="{00000000-0004-0000-0300-000030000000}"/>
    <hyperlink ref="AP5" r:id="rId46" xr:uid="{00000000-0004-0000-0300-000031000000}"/>
    <hyperlink ref="AQ5" r:id="rId47" location="v=onepage&amp;q=%22leo%20held%22%20knisely&quot;&amp;&quot;&amp;f=false" display="https://books.google.com/books?id=N8i3DAAAQBAJ&amp;pg=PA77&amp;lpg=PA77&amp;dq=%22leo+held%22+knisely&amp;source=bl&amp;ots=tbEgak7AAw&amp;sig=ACfU3U1gVqGbGkeaR_fvWEim8LMqRg_aeQ&amp;hl=en&amp;sa=X&amp;ved=2ahUKEwjIlenw38PhAhUb8YMKHayCCBsQ6AEwAnoECAcQAQ - v=onepage&amp;q=%22leo%20held%22%20knisely&quot;&amp;&quot;&amp;f=false" xr:uid="{00000000-0004-0000-0300-000032000000}"/>
    <hyperlink ref="AS5" r:id="rId48" location="v=onepage&amp;q=%22leo%20held%22%20knisely&amp;" display="https://books.google.com/books?id=N8i3DAAAQBAJ&amp;pg=PA77&amp;lpg=PA77&amp;dq=%22leo+held%22+knisely&amp;source=bl&amp;ots=tbEgak7AAw&amp;sig=ACfU3U1gVqGbGkeaR_fvWEim8LMqRg_aeQ&amp;hl=en&amp;sa=X&amp;ved=2ahUKEwjIlenw38PhAhUb8YMKHayCCBsQ6AEwAnoECAcQAQ - v=onepage&amp;q=%22leo%20held%22%20knisely&amp;" xr:uid="{00000000-0004-0000-0300-000033000000}"/>
    <hyperlink ref="DR5" r:id="rId49" location="v=onepage&amp;q=%22leo%20held%22%20guns&amp;f=&quot;&amp;&quot;false" display="https://books.google.com/books?id=N8i3DAAAQBAJ&amp;pg=PA77&amp;lpg=PA77&amp;dq=%22leo+held%22+knisely&amp;source=bl&amp;ots=tbEgak7AAw&amp;sig=ACfU3U1gVqGbGkeaR_fvWEim8LMqRg_aeQ&amp;hl=en&amp;sa=X&amp;ved=2ahUKEwjIlenw38PhAhUb8YMKHayCCBsQ6AEwAnoECAcQAQ - v=onepage&amp;q=%22leo%20held%22%20guns&amp;f=&quot;&amp;&quot;false" xr:uid="{00000000-0004-0000-0300-000034000000}"/>
    <hyperlink ref="BC5" r:id="rId50" location="v=onepage&amp;q=%22leo%20held%22%20parano&quot;&amp;&quot;i&amp;f=fals" display="https://books.google.com/books?id=LEgSiLnmgYoC&amp;pg=PA88&amp;lpg=PA88&amp;dq=%22leo+held%22+paranoid&amp;source=bl&amp;ots=lYSrqNF9p4&amp;sig=ACfU3U2hB3e3SFcOZwjkD8GJFWzEnNrU4Q&amp;hl=en&amp;sa=X&amp;ved=2ahUKEwjj-MHt4cPhAhUh8YMKHR3WBToQ6AEwAXoECAgQAQ - v=onepage&amp;q=%22leo%20held%22%20parano&quot;&amp;&quot;i&amp;f=fals" xr:uid="{00000000-0004-0000-0300-000035000000}"/>
    <hyperlink ref="BE5" r:id="rId51" location="v=onepage&amp;q=%22leo%20held%22%20parano&quot;&amp;&quot;id&amp;f=true" display="https://books.google.com/books?id=LEgSiLnmgYoC&amp;pg=PA88&amp;lpg=PA88&amp;dq=%22leo+held%22+paranoid&amp;source=bl&amp;ots=lYSrqNF9p4&amp;sig=ACfU3U2hB3e3SFcOZwjkD8GJFWzEnNrU4Q&amp;hl=en&amp;sa=X&amp;ved=2ahUKEwjj-MHt4cPhAhUh8YMKHR3WBToQ6AEwAXoECAgQAQ - v=onepage&amp;q=%22leo%20held%22%20parano&quot;&amp;&quot;id&amp;f=true" xr:uid="{00000000-0004-0000-0300-000036000000}"/>
    <hyperlink ref="BK5" r:id="rId52" location="v=onepage&amp;q=%22leo%20held%22%20parano&quot;&amp;&quot;i&amp;f=false" display="https://books.google.com/books?id=LEgSiLnmgYoC&amp;pg=PA88&amp;lpg=PA88&amp;dq=%22leo+held%22+paranoid&amp;source=bl&amp;ots=lYSrqNF9p4&amp;sig=ACfU3U2hB3e3SFcOZwjkD8GJFWzEnNrU4Q&amp;hl=en&amp;sa=X&amp;ved=2ahUKEwjj-MHt4cPhAhUh8YMKHR3WBToQ6AEwAXoECAgQAQ - v=onepage&amp;q=%22leo%20held%22%20parano&quot;&amp;&quot;i&amp;f=false" xr:uid="{00000000-0004-0000-0300-000037000000}"/>
    <hyperlink ref="BL5" r:id="rId53" location="v=onepage&amp;q=&quot;leo%20held&quot;%20paranoid&amp;f=fals" display="https://books.google.com/books?id=LEgSiLnmgYoC&amp;pg=PA88&amp;lpg=PA88&amp;dq=%22leo+held%22+paranoid&amp;source=bl&amp;ots=lYSrqNF9p4&amp;sig=ACfU3U2hB3e3SFcOZwjkD8GJFWzEnNrU4Q&amp;hl=en&amp;sa=X&amp;ved=2ahUKEwjj-MHt4cPhAhUh8YMKHR3WBToQ6AEwAXoECAgQAQ - v=onepage&amp;q=&quot;leo%20held&quot;%20paranoid&amp;f=fals" xr:uid="{00000000-0004-0000-0300-000038000000}"/>
    <hyperlink ref="CE5" r:id="rId54" display="https://timesmachine.nytimes.com/timesmachine/1967/10/25/81841391.html?pageNumber=26" xr:uid="{00000000-0004-0000-0300-000039000000}"/>
    <hyperlink ref="CH5" r:id="rId55" location="v=onepage&amp;q=&quot;leo%20held&quot;%20paranoid&amp;f=fals" display="https://books.google.com/books?id=LEgSiLnmgYoC&amp;pg=PA88&amp;lpg=PA88&amp;dq=%22leo+held%22+paranoid&amp;source=bl&amp;ots=lYSrqNF9p4&amp;sig=ACfU3U2hB3e3SFcOZwjkD8GJFWzEnNrU4Q&amp;hl=en&amp;sa=X&amp;ved=2ahUKEwjj-MHt4cPhAhUh8YMKHR3WBToQ6AEwAXoECAgQAQ - v=onepage&amp;q=&quot;leo%20held&quot;%20paranoid&amp;f=fals" xr:uid="{00000000-0004-0000-0300-00003A000000}"/>
    <hyperlink ref="DC5" r:id="rId56" location="v=onepage&amp;q=%22leo%20held%22%20parano&quot;&amp;&quot;i&amp;f=false" display="https://books.google.com/books?id=LEgSiLnmgYoC&amp;pg=PA88&amp;lpg=PA88&amp;dq=%22leo+held%22+paranoid&amp;source=bl&amp;ots=lYSrqNF9p4&amp;sig=ACfU3U2hB3e3SFcOZwjkD8GJFWzEnNrU4Q&amp;hl=en&amp;sa=X&amp;ved=2ahUKEwjj-MHt4cPhAhUh8YMKHR3WBToQ6AEwAXoECAgQAQ - v=onepage&amp;q=%22leo%20held%22%20parano&quot;&amp;&quot;i&amp;f=false" xr:uid="{00000000-0004-0000-0300-00003C000000}"/>
    <hyperlink ref="DT5" r:id="rId57" display="http://www.nydailynews.com/news/crime/experts-clueless-man-fatally-shot-50-years-article-1.3548519" xr:uid="{00000000-0004-0000-0300-00003D000000}"/>
    <hyperlink ref="DW5" r:id="rId58" display="http://www.lockhaven.com/news/community/2017/10/the-fury-of-leo-held/" xr:uid="{00000000-0004-0000-0300-000044000000}"/>
    <hyperlink ref="K6" r:id="rId59" display="https://cdnc.ucr.edu/cgi-bin/cdnc?a=d&amp;d=MT19680319.2.34" xr:uid="{00000000-0004-0000-0300-000045000000}"/>
    <hyperlink ref="T6" r:id="rId60" display="https://newspaperarchive.com/other-articles-clipping-mar-21-1968-48914/" xr:uid="{00000000-0004-0000-0300-000046000000}"/>
    <hyperlink ref="V6" r:id="rId61" display="https://cdnc.ucr.edu/cgi-bin/cdnc?a=d&amp;d=MT19680319.2.34https://cdnc.ucr.edu/cgi-bin/cdnc?a=d&amp;d=MT19680319.2.34" xr:uid="{00000000-0004-0000-0300-000047000000}"/>
    <hyperlink ref="AK6" r:id="rId62" display="https://news.google.com/newspapers?id=ZRgMAAAAIBAJ&amp;sjid=rlwDAAAAIBAJ&amp;pg=6550,4991780&amp;dq=&amp;hl=en" xr:uid="{00000000-0004-0000-0300-000048000000}"/>
    <hyperlink ref="BJ6" r:id="rId63" display="https://www.mlive.com/news/index.ssf/2016/09/love_of_guns_a_key_factor_in_n.html" xr:uid="{00000000-0004-0000-0300-000049000000}"/>
    <hyperlink ref="O7" r:id="rId64" location="v=onepage&amp;q=donald%20lambright%20%2B%2&quot;&amp;&quot;0shooting&amp;f=false" display="https://books.google.com/books?id=8TgDAAAAMBAJ&amp;pg=PA46&amp;lpg=PA46&amp;dq=donald+lambright+%2B+shooting&amp;source=bl&amp;ots=Aato8f0Juy&amp;sig=HU7GC0ZCYmFZI1jtR93xfr2pDk0&amp;hl=en&amp;sa=X&amp;ved=2ahUKEwiDqMzhsdHaAhUE8YMKHXLqD78Q6AEwBHoECAAQQQ - v=onepage&amp;q=donald%20lambright%20%2B%2&quot;&amp;&quot;0shooting&amp;f=false" xr:uid="{00000000-0004-0000-0300-00004A000000}"/>
    <hyperlink ref="T7" r:id="rId65" location="v=onepage&amp;q=donald%20lambright%20%2B%20shooting&amp;f=false" display="https://books.google.com/books?id=8TgDAAAAMBAJ&amp;pg=PA46&amp;lpg=PA46&amp;dq=donald+lambright+%2B+shooting&amp;source=bl&amp;ots=Aato8f0Juy&amp;sig=HU7GC0ZCYmFZI1jtR93xfr2pDk0&amp;hl=en&amp;sa=X&amp;ved=2ahUKEwiDqMzhsdHaAhUE8YMKHXLqD78Q6AEwBHoECAAQQQ - v=onepage&amp;q=donald%20lambright%20%2B%20shooting&amp;f=false" xr:uid="{00000000-0004-0000-0300-00004B000000}"/>
    <hyperlink ref="V7" r:id="rId66" display="https://cdnc.ucr.edu/cgi-bin/cdnc?a=d&amp;d=DS19690407.2.35" xr:uid="{00000000-0004-0000-0300-00004D000000}"/>
    <hyperlink ref="X7" r:id="rId67" location="v=onepage&amp;q=donald%20lambright%20%2B%2&quot;&amp;&quot;0shooting&amp;f=false" display="https://books.google.com/books?id=8TgDAAAAMBAJ&amp;pg=PA46&amp;lpg=PA46&amp;dq=donald+lambright+%2B+shooting&amp;source=bl&amp;ots=Aato8f0Juy&amp;sig=HU7GC0ZCYmFZI1jtR93xfr2pDk0&amp;hl=en&amp;sa=X&amp;ved=2ahUKEwiDqMzhsdHaAhUE8YMKHXLqD78Q6AEwBHoECAAQQQ - v=onepage&amp;q=donald%20lambright%20%2B%2&quot;&amp;&quot;0shooting&amp;f=false" xr:uid="{00000000-0004-0000-0300-00004E000000}"/>
    <hyperlink ref="Z7" r:id="rId68" location="v=onepage&amp;q=donald%20lambright%20%2B%2&quot;&amp;&quot;0shooting&amp;f=false" display="https://books.google.com/books?id=8TgDAAAAMBAJ&amp;pg=PA46&amp;lpg=PA46&amp;dq=donald+lambright+%2B+shooting&amp;source=bl&amp;ots=Aato8f0Juy&amp;sig=HU7GC0ZCYmFZI1jtR93xfr2pDk0&amp;hl=en&amp;sa=X&amp;ved=2ahUKEwiDqMzhsdHaAhUE8YMKHXLqD78Q6AEwBHoECAAQQQ - v=onepage&amp;q=donald%20lambright%20%2B%2&quot;&amp;&quot;0shooting&amp;f=false" xr:uid="{00000000-0004-0000-0300-00004F000000}"/>
    <hyperlink ref="AA7" r:id="rId69" location="v=onepage&amp;q=donald%20lambright%20%2B%2&quot;&amp;&quot;0shooting&amp;f=false" display="https://books.google.com/books?id=8TgDAAAAMBAJ&amp;pg=PA46&amp;lpg=PA46&amp;dq=donald+lambright+%2B+shooting&amp;source=bl&amp;ots=Aato8f0Juy&amp;sig=HU7GC0ZCYmFZI1jtR93xfr2pDk0&amp;hl=en&amp;sa=X&amp;ved=2ahUKEwiDqMzhsdHaAhUE8YMKHXLqD78Q6AEwBHoECAAQQQ - v=onepage&amp;q=donald%20lambright%20%2B%2&quot;&amp;&quot;0shooting&amp;f=false" xr:uid="{00000000-0004-0000-0300-000050000000}"/>
    <hyperlink ref="AB7" r:id="rId70" display="https://cdnc.ucr.edu/cgi-bin/cdnc?a=d&amp;d=DS19690407.2.35&amp;e=-------en--20--1--txt-txIN--------1" xr:uid="{00000000-0004-0000-0300-000051000000}"/>
    <hyperlink ref="AI7" r:id="rId71" location="v=onepage&amp;q=donald%20lambright%20%2B%2&quot;&amp;&quot;0shooting&amp;f=false" display="https://books.google.com/books?id=8TgDAAAAMBAJ&amp;pg=PA46&amp;lpg=PA46&amp;dq=donald+lambright+%2B+shooting&amp;source=bl&amp;ots=Aato8f0Juy&amp;sig=HU7GC0ZCYmFZI1jtR93xfr2pDk0&amp;hl=en&amp;sa=X&amp;ved=2ahUKEwiDqMzhsdHaAhUE8YMKHXLqD78Q6AEwBHoECAAQQQ - v=onepage&amp;q=donald%20lambright%20%2B%2&quot;&amp;&quot;0shooting&amp;f=false" xr:uid="{00000000-0004-0000-0300-000052000000}"/>
    <hyperlink ref="AJ7" r:id="rId72" location="v=onepage&amp;q=donald%20lambr&quot;&amp;&quot;ight%201969%20shooting&amp;f=false" display="https://books.google.com/books?id=m8MACMLdgjwC&amp;pg=PA114&amp;lpg=PA114&amp;dq=donald+lambright+1969+shooting&amp;source=bl&amp;ots=gisF5bRVbb&amp;sig=ACfU3U2anm87LZk41hCn-OvD67-0y0dY2w&amp;hl=en&amp;sa=X&amp;ved=2ahUKEwjOgrrtuIjjAhWMbs0KHfwyBCs4ChDoATAAegQICBAB - v=onepage&amp;q=donald%20lambr&quot;&amp;&quot;ight%201969%20shooting&amp;f=false" xr:uid="{00000000-0004-0000-0300-000053000000}"/>
    <hyperlink ref="AL7" r:id="rId73" location="v=onepage&amp;q=donald%20lambright%20%2B%2&quot;&amp;&quot;0shooting&amp;f=false" display="https://books.google.com/books?id=8TgDAAAAMBAJ&amp;pg=PA46&amp;lpg=PA46&amp;dq=donald+lambright+%2B+shooting&amp;source=bl&amp;ots=Aato8f0Juy&amp;sig=HU7GC0ZCYmFZI1jtR93xfr2pDk0&amp;hl=en&amp;sa=X&amp;ved=2ahUKEwiDqMzhsdHaAhUE8YMKHXLqD78Q6AEwBHoECAAQQQ - v=onepage&amp;q=donald%20lambright%20%2B%2&quot;&amp;&quot;0shooting&amp;f=false" xr:uid="{00000000-0004-0000-0300-000054000000}"/>
    <hyperlink ref="AM7" r:id="rId74" display="https://cdnc.ucr.edu/cgi-bin/cdnc?a=d&amp;d=DS19690407.2.35&amp;e=-------en--20--1--txt-txIN--------1" xr:uid="{00000000-0004-0000-0300-000055000000}"/>
    <hyperlink ref="AN7" r:id="rId75" display="https://cdnc.ucr.edu/cgi-bin/cdnc?a=d&amp;d=DS19690407.2.35&amp;e=-------en--20--1--txt-txIN--------1" xr:uid="{00000000-0004-0000-0300-000056000000}"/>
    <hyperlink ref="AU7" r:id="rId76" location="v=onepage&amp;q=donald%20lambright%20%2B%20shooting&amp;f=false" display="https://books.google.com/books?id=8TgDAAAAMBAJ&amp;pg=PA47&amp;lpg=PA46&amp;focus=viewport&amp;dq=donald+lambright+%2B+shooting - v=onepage&amp;q=donald%20lambright%20%2B%20shooting&amp;f=false" xr:uid="{00000000-0004-0000-0300-000057000000}"/>
    <hyperlink ref="BE7" r:id="rId77" display="https://cdnc.ucr.edu/cgi-bin/cdnc?a=d&amp;d=DS19690407.2.35&amp;e=-------en--20--1--txt-txIN--------1" xr:uid="{00000000-0004-0000-0300-000058000000}"/>
    <hyperlink ref="BJ7" r:id="rId78" display="https://ricochet.com/288503/archives/sidebars-of-history-death-stalks-the-turnpike/" xr:uid="{00000000-0004-0000-0300-000059000000}"/>
    <hyperlink ref="BL7" r:id="rId79" location="v=onepage&amp;q&amp;f=false" display="https://books.google.com.au/books?id=8TgDAAAAMBAJ&amp;pg=PA46&amp;lpg=PA46&amp;dq=donald+lambright+%2B+shooting&amp;source=bl&amp;ots=Aato8f0Juy&amp;sig=HU7GC0ZCYmFZI1jtR93xfr2pDk0&amp;hl=en&amp;sa=X&amp;redir_esc=y - v=onepage&amp;q&amp;f=false" xr:uid="{00000000-0004-0000-0300-00005A000000}"/>
    <hyperlink ref="DQ7" r:id="rId80" location="v=onepage&amp;q=donald%20lambright%20%2B%2&quot;&amp;&quot;0shooting&amp;f=false" display="https://books.google.com/books?id=8TgDAAAAMBAJ&amp;pg=PA46&amp;lpg=PA46&amp;dq=donald+lambright+%2B+shooting&amp;source=bl&amp;ots=Aato8f0Juy&amp;sig=HU7GC0ZCYmFZI1jtR93xfr2pDk0&amp;hl=en&amp;sa=X&amp;ved=2ahUKEwiDqMzhsdHaAhUE8YMKHXLqD78Q6AEwBHoECAAQQQ - v=onepage&amp;q=donald%20lambright%20%2B%2&quot;&amp;&quot;0shooting&amp;f=false" xr:uid="{00000000-0004-0000-0300-00005F000000}"/>
    <hyperlink ref="DT7" r:id="rId81" display="https://news.google.com/newspapers?id=G8daAAAAIBAJ&amp;sjid=z2wDAAAAIBAJ&amp;pg=6070,782221" xr:uid="{00000000-0004-0000-0300-000060000000}"/>
    <hyperlink ref="G8" r:id="rId82" display="https://www.nytimes.com/1970/09/24/archives/state-employe-kills-4-coworkers-and-himself-in-albany-office.html" xr:uid="{00000000-0004-0000-0300-000062000000}"/>
    <hyperlink ref="H8" r:id="rId83" display="https://www.nytimes.com/1970/09/24/archives/state-employe-kills-4-coworkers-and-himself-in-albany-office.html" xr:uid="{00000000-0004-0000-0300-000063000000}"/>
    <hyperlink ref="J8" r:id="rId84" xr:uid="{00000000-0004-0000-0300-000064000000}"/>
    <hyperlink ref="K8" r:id="rId85" display="https://news.google.com/newspapers?id=Ve1OAAAAIBAJ&amp;sjid=xwEEAAAAIBAJ&amp;pg=4643,3113670&amp;dq=albany+ny+department+of+labor+employees+shot+murdered&amp;hl=en" xr:uid="{00000000-0004-0000-0300-000065000000}"/>
    <hyperlink ref="S8" r:id="rId86" display="https://news.google.com/newspapers?id=Ve1OAAAAIBAJ&amp;sjid=xwEEAAAAIBAJ&amp;pg=4643,3113670&amp;dq=albany+ny+department+of+labor+employees+shot+murdered&amp;hl=en" xr:uid="{00000000-0004-0000-0300-000066000000}"/>
    <hyperlink ref="V8" r:id="rId87" display="https://www.nytimes.com/1970/09/24/archives/state-employe-kills-4-coworkers-and-himself-in-albany-office.html" xr:uid="{00000000-0004-0000-0300-000067000000}"/>
    <hyperlink ref="W8" r:id="rId88" display="https://news.google.com/newspapers?id=Ve1OAAAAIBAJ&amp;sjid=xwEEAAAAIBAJ&amp;pg=4643,3113670&amp;dq=albany+ny+department+of+labor+employees+shot+murdered&amp;hl=en" xr:uid="{00000000-0004-0000-0300-000068000000}"/>
    <hyperlink ref="X8" r:id="rId89" display="https://newspaperarchive.com/daily-review-oct-23-1970-p-20/" xr:uid="{00000000-0004-0000-0300-000069000000}"/>
    <hyperlink ref="DS8" r:id="rId90" display="https://newspaperarchive.com/daily-review-oct-23-1970-p-20/" xr:uid="{00000000-0004-0000-0300-00006A000000}"/>
    <hyperlink ref="DT8" r:id="rId91" display="https://www.nytimes.com/1970/09/24/archives/state-employe-kills-4-coworkers-and-himself-in-albany-office.html" xr:uid="{00000000-0004-0000-0300-00006B000000}"/>
    <hyperlink ref="J9" r:id="rId92" xr:uid="{00000000-0004-0000-0300-000070000000}"/>
    <hyperlink ref="K9" r:id="rId93" display="https://www.nytimes.com/1972/05/30/archives/gunman-slays-3-in-shopping-mall-wounds-8-and-then-kills-himself.html" xr:uid="{00000000-0004-0000-0300-000071000000}"/>
    <hyperlink ref="V9" r:id="rId94" display="https://www.nytimes.com/1972/05/30/archives/gunman-slays-3-in-shopping-mall-wounds-8-and-then-kills-himself.html" xr:uid="{00000000-0004-0000-0300-000072000000}"/>
    <hyperlink ref="AM9" r:id="rId95" display="https://legeros.com/history/stories/north-hills/" xr:uid="{00000000-0004-0000-0300-000073000000}"/>
    <hyperlink ref="AQ9" r:id="rId96" display="https://www.nytimes.com/1972/05/31/archives/gunmans-motive-remains-mystery-police-say-shootings-were-not-linked.html" xr:uid="{00000000-0004-0000-0300-000074000000}"/>
    <hyperlink ref="AS9" r:id="rId97" display="https://www.nytimes.com/1972/05/31/archives/gunmans-motive-remains-mystery-police-say-shootings-were-not-linked.html" xr:uid="{00000000-0004-0000-0300-000075000000}"/>
    <hyperlink ref="BI9" r:id="rId98" display="https://www.nytimes.com/1972/05/31/archives/gunmans-motive-remains-mystery-police-say-shootings-were-not-linked.html" xr:uid="{00000000-0004-0000-0300-000076000000}"/>
    <hyperlink ref="BL9" r:id="rId99" display="https://www.nytimes.com/1972/05/31/archives/gunmans-motive-remains-mystery-police-say-shootings-were-not-linked.html" xr:uid="{00000000-0004-0000-0300-000077000000}"/>
    <hyperlink ref="BZ9" r:id="rId100" display="https://legeros.com/history/stories/north-hills/" xr:uid="{00000000-0004-0000-0300-000078000000}"/>
    <hyperlink ref="CA9" r:id="rId101" display="https://legeros.com/history/stories/north-hills/" xr:uid="{00000000-0004-0000-0300-000079000000}"/>
    <hyperlink ref="CH9" r:id="rId102" display="https://legeros.com/history/stories/north-hills/" xr:uid="{00000000-0004-0000-0300-00007A000000}"/>
    <hyperlink ref="CI9" r:id="rId103" display="https://legeros.com/history/stories/north-hills/" xr:uid="{00000000-0004-0000-0300-00007B000000}"/>
    <hyperlink ref="M10" r:id="rId104" display="https://www.nytimes.com/1972/06/23/archives/anger-with-employment-agency-is-cited-as-gunmans-motivation-for.html?url=http%3A%2F%2Ftimesmachine.nytimes.com%2Ftimesmachine%2F1972%2F06%2F23%2F83448005.html%3Faction%3Dclick&amp;region=ArchiveBody&amp;module=LedeAsset" xr:uid="{00000000-0004-0000-0300-00007C000000}"/>
    <hyperlink ref="T10" r:id="rId105" display="https://www.nytimes.com/1972/06/23/archives/anger-with-employment-agency-is-cited-as-gunmans-motivation-for.html?url=http%3A%2F%2Ftimesmachine.nytimes.com%2Ftimesmachine%2F1972%2F06%2F23%2F83448005.html%3Faction%3Dclick&amp;region=ArchiveBody&amp;module=LedeAsset" xr:uid="{00000000-0004-0000-0300-00007D000000}"/>
    <hyperlink ref="X10" r:id="rId106" display="https://news.google.com/newspapers?nid=2002&amp;dat=19720622&amp;id=CbAiAAAAIBAJ&amp;sjid=FLMFAAAAIBAJ&amp;pg=5232,1749134&amp;hl=en" xr:uid="{00000000-0004-0000-0300-00007F000000}"/>
    <hyperlink ref="BL10" r:id="rId107" display="https://news.google.com/newspapers?nid=2002&amp;dat=19720622&amp;id=CbAiAAAAIBAJ&amp;sjid=FLMFAAAAIBAJ&amp;pg=5232,1749134&amp;hl=en" xr:uid="{00000000-0004-0000-0300-000080000000}"/>
    <hyperlink ref="CE11" r:id="rId108" display="http://www.crimemagazine.com/sniper-mark-essex" xr:uid="{00000000-0004-0000-0300-000081000000}"/>
    <hyperlink ref="O12" r:id="rId109" display="https://cdnc.ucr.edu/cgi-bin/cdnc?a=d&amp;d=DS19750303.2.21&amp;e=-------en--20--1--txt-txIN--------1" xr:uid="{00000000-0004-0000-0300-000082000000}"/>
    <hyperlink ref="AI12" r:id="rId110" display="https://news.google.com/newspapers?id=CJRPAAAAIBAJ&amp;sjid=RVIDAAAAIBAJ&amp;pg=3521,4360795&amp;hl=en" xr:uid="{00000000-0004-0000-0300-000083000000}"/>
    <hyperlink ref="DR12" r:id="rId111" display="https://cdnc.ucr.edu/cgi-bin/cdnc?a=d&amp;d=DS19750303.2.21&amp;e=-------en--20--1--txt-txIN--------1" xr:uid="{00000000-0004-0000-0300-000084000000}"/>
    <hyperlink ref="BE12" r:id="rId112" display="https://news.google.com/newspapers?id=CJRPAAAAIBAJ&amp;sjid=RVIDAAAAIBAJ&amp;pg=3521,4360795&amp;hl=en" xr:uid="{00000000-0004-0000-0300-000085000000}"/>
    <hyperlink ref="BJ12" r:id="rId113" display="https://news.google.com/newspapers?id=CJRPAAAAIBAJ&amp;sjid=RVIDAAAAIBAJ&amp;pg=3521,4360795&amp;hl=en" xr:uid="{00000000-0004-0000-0300-000086000000}"/>
    <hyperlink ref="DC12" r:id="rId114" display="https://cdnc.ucr.edu/cgi-bin/cdnc?a=d&amp;d=DS19750303.2.21&amp;e=-------en--20--1--txt-txIN--------1" xr:uid="{00000000-0004-0000-0300-000087000000}"/>
    <hyperlink ref="T13" r:id="rId115" display="https://www.latimes.com/socal/weekend/news/tn-wknd-et-0703-cal-state-fullerton-memorial-20160702-story.html" xr:uid="{00000000-0004-0000-0300-000088000000}"/>
    <hyperlink ref="AL13" r:id="rId116" display="https://www.latimes.com/socal/weekend/news/tn-wknd-et-0703-cal-state-fullerton-memorial-20160702-story.html" xr:uid="{00000000-0004-0000-0300-00008A000000}"/>
    <hyperlink ref="AS13" r:id="rId117" display="https://www.ocregister.com/2010/07/16/release-blocked-for-countys-worst-mass-killer/" xr:uid="{00000000-0004-0000-0300-00008B000000}"/>
    <hyperlink ref="AU13" r:id="rId118" display="https://www.ocregister.com/2010/07/16/release-blocked-for-countys-worst-mass-killer/" xr:uid="{00000000-0004-0000-0300-00008C000000}"/>
    <hyperlink ref="AV13" r:id="rId119" display="https://www.ocregister.com/2010/07/16/release-blocked-for-countys-worst-mass-killer/" xr:uid="{00000000-0004-0000-0300-00008D000000}"/>
    <hyperlink ref="BK13" r:id="rId120" display="https://www.latimes.com/socal/weekend/news/tn-wknd-et-0703-cal-state-fullerton-memorial-20160702-story.html" xr:uid="{00000000-0004-0000-0300-00008E000000}"/>
    <hyperlink ref="H14" r:id="rId121" display="http://www.nydailynews.com/news/crime/rochelle-sniper-kills-1977-article-1.2973348" xr:uid="{00000000-0004-0000-0300-00008F000000}"/>
    <hyperlink ref="J14" r:id="rId122" xr:uid="{00000000-0004-0000-0300-000090000000}"/>
    <hyperlink ref="K14" r:id="rId123" display="http://www.nytimes.com/1977/02/15/archives/nazi-admirer-also-wounds-5-in-wild-attack-followed-by-a-siege-at.html" xr:uid="{00000000-0004-0000-0300-000091000000}"/>
    <hyperlink ref="S14" r:id="rId124" display="http://www.nytimes.com/1977/02/15/archives/nazi-admirer-also-wounds-5-in-wild-attack-followed-by-a-siege-at.html" xr:uid="{00000000-0004-0000-0300-000092000000}"/>
    <hyperlink ref="T14" r:id="rId125" display="https://www.nytimes.com/1977/02/15/archives/nazi-admirer-also-wounds-5-in-wild-attack-followed-by-a-siege-at.html" xr:uid="{00000000-0004-0000-0300-000093000000}"/>
    <hyperlink ref="V14" r:id="rId126" display="http://www.nytimes.com/1977/02/15/archives/nazi-admirer-also-wounds-5-in-wild-attack-followed-by-a-siege-at.html" xr:uid="{00000000-0004-0000-0300-000094000000}"/>
    <hyperlink ref="W14" r:id="rId127" display="http://www.nytimes.com/1977/02/15/archives/nazi-admirer-also-wounds-5-in-wild-attack-followed-by-a-siege-at.html" xr:uid="{00000000-0004-0000-0300-000095000000}"/>
    <hyperlink ref="AI14" r:id="rId128" display="https://www.nytimes.com/1977/02/15/archives/cowan-was-nice-man-to-some-in-new-rochelle-but-to-others-real.html" xr:uid="{00000000-0004-0000-0300-000096000000}"/>
    <hyperlink ref="AM14" r:id="rId129" display="http://www.nytimes.com/1977/02/15/archives/nazi-admirer-also-wounds-5-in-wild-attack-followed-by-a-siege-at.html" xr:uid="{00000000-0004-0000-0300-000097000000}"/>
    <hyperlink ref="AS14" r:id="rId130" display="https://www.nytimes.com/1977/02/15/archives/cowan-was-nice-man-to-some-in-new-rochelle-but-to-others-real.html" xr:uid="{00000000-0004-0000-0300-000098000000}"/>
    <hyperlink ref="AY14" r:id="rId131" display="http://www.newrochelletalk.com/content/neptune-murders-mark-gado" xr:uid="{00000000-0004-0000-0300-000099000000}"/>
    <hyperlink ref="BA14" r:id="rId132" display="https://timesmachine.nytimes.com/timesmachine/1977/02/16/284705402.html?pageNumber=27" xr:uid="{00000000-0004-0000-0300-00009A000000}"/>
    <hyperlink ref="BC14" r:id="rId133" display="https://www.nytimes.com/1977/02/15/archives/cowan-was-nice-man-to-some-in-new-rochelle-but-to-others-real.html" xr:uid="{00000000-0004-0000-0300-00009B000000}"/>
    <hyperlink ref="CH14" r:id="rId134" display="https://www.nytimes.com/1977/02/15/archives/cowan-was-nice-man-to-some-in-new-rochelle-but-to-others-real.html" xr:uid="{00000000-0004-0000-0300-00009C000000}"/>
    <hyperlink ref="DC14" r:id="rId135" display="https://www.nytimes.com/1977/02/15/archives/nazi-admirer-also-wounds-5-in-wild-attack-followed-by-a-siege-at.html" xr:uid="{00000000-0004-0000-0300-00009D000000}"/>
    <hyperlink ref="DU14" location="Database with Source Links!AF50" display="1" xr:uid="{00000000-0004-0000-0300-0000A1000000}"/>
    <hyperlink ref="DV14" location="Database with Source Links!AF50" display="bandoliers" xr:uid="{00000000-0004-0000-0300-0000A2000000}"/>
    <hyperlink ref="DW14" r:id="rId136" display="http://www.nytimes.com/1977/02/15/archives/nazi-admirer-also-wounds-5-in-wild-attack-followed-by-a-siege-at.html" xr:uid="{00000000-0004-0000-0300-0000A3000000}"/>
    <hyperlink ref="M15" r:id="rId137" display="http://worldpopulationreview.com/us-cities/klamath-falls-or-population/" xr:uid="{00000000-0004-0000-0300-0000A4000000}"/>
    <hyperlink ref="O15" r:id="rId138" location="v=onepage&amp;q=dewitt%20henry%20Oregon&amp;f=false" display="https://books.google.com/books?id=sdd3ihupC_AC&amp;pg=PA102&amp;lpg=PA102&amp;dq=dewitt+henry+Oregon&amp;source=bl&amp;ots=z5RZDR5AY0&amp;sig=fkhOTQ4bBGZ_KfVqm4tp6TfvhBU&amp;hl=en&amp;sa=X&amp;ved=0ahUKEwj05J7qyZvZAhVKIqwKHRZADU44ChDoAQhZMA8 - v=onepage&amp;q=dewitt%20henry%20Oregon&amp;f=false" xr:uid="{00000000-0004-0000-0300-0000A5000000}"/>
    <hyperlink ref="T15" r:id="rId139" location="v=onepage&amp;q=dewitt%20henry%20Oregon&amp;f=false" display="https://books.google.com/books?id=sdd3ihupC_AC&amp;pg=PA102&amp;lpg=PA102&amp;dq=dewitt+henry+Oregon&amp;source=bl&amp;ots=z5RZDR5AY0&amp;sig=fkhOTQ4bBGZ_KfVqm4tp6TfvhBU&amp;hl=en&amp;sa=X&amp;ved=0ahUKEwj05J7qyZvZAhVKIqwKHRZADU44ChDoAQhZMA8 - v=onepage&amp;q=dewitt%20henry%20Oregon&amp;f=false" xr:uid="{00000000-0004-0000-0300-0000A6000000}"/>
    <hyperlink ref="AU15" r:id="rId140" display="https://newspaperarchive.com/murder-clipping-jul-25-1977-175277/" xr:uid="{00000000-0004-0000-0300-0000A7000000}"/>
    <hyperlink ref="BL15" r:id="rId141" location="v=onepage&amp;q=dewitt%20henry%20Oregon&amp;f=false" display="https://books.google.com/books?id=sdd3ihupC_AC&amp;pg=PA102&amp;lpg=PA102&amp;dq=dewitt+henry+Oregon&amp;source=bl&amp;ots=z5RZDR5AY0&amp;sig=fkhOTQ4bBGZ_KfVqm4tp6TfvhBU&amp;hl=en&amp;sa=X&amp;ved=0ahUKEwj05J7qyZvZAhVKIqwKHRZADU44ChDoAQhZMA8 - v=onepage&amp;q=dewitt%20henry%20Oregon&amp;f=false" xr:uid="{00000000-0004-0000-0300-0000A8000000}"/>
    <hyperlink ref="CH15" r:id="rId142" location="v=onepage&amp;q=dewitt%20henry%20Oregon&amp;f=false" display="https://books.google.com/books?id=sdd3ihupC_AC&amp;pg=PA102&amp;lpg=PA102&amp;dq=dewitt+henry+Oregon&amp;source=bl&amp;ots=z5RZDR5AY0&amp;sig=fkhOTQ4bBGZ_KfVqm4tp6TfvhBU&amp;hl=en&amp;sa=X&amp;ved=0ahUKEwj05J7qyZvZAhVKIqwKHRZADU44ChDoAQhZMA8 - v=onepage&amp;q=dewitt%20henry%20Oregon&amp;f=false" xr:uid="{00000000-0004-0000-0300-0000A9000000}"/>
    <hyperlink ref="CI15" r:id="rId143" display="https://www.heraldandnews.com/state-s-worst-mass-murder-in-kf-years-ago/article_47caaa64-e90d-5bd5-ab4e-5427e93598d2.html" xr:uid="{00000000-0004-0000-0300-0000AA000000}"/>
    <hyperlink ref="CJ15" r:id="rId144" display="Unspecified." xr:uid="{00000000-0004-0000-0300-0000AB000000}"/>
    <hyperlink ref="DP15" r:id="rId145" display="https://kobi5.com/news/regional-news/roseburg-shootings-trigger-mass-murder-memories-in-klamath-falls-2417/" xr:uid="{00000000-0004-0000-0300-0000AC000000}"/>
    <hyperlink ref="DY15" r:id="rId146" location="v=onepage&amp;q=%22dewitt%20h&quot;&amp;&quot;enry%22%20shooting%20trial&amp;f=fals" display="https://books.google.com/books?id=sdd3ihupC_AC&amp;pg=PA102&amp;lpg=PA102&amp;dq=%22dewitt+henry%22+shooting+trial&amp;source=bl&amp;ots=z5WTHLavSU&amp;sig=ACfU3U1yjhiRr73qN-uKnI8E7DlWHHW9vg&amp;hl=en&amp;sa=X&amp;ved=2ahUKEwiekMfblabjAhWTPM0KHWmfD6MQ6AEwA3oECAkQAQ - v=onepage&amp;q=%22dewitt%20h&quot;&amp;&quot;enry%22%20shooting%20trial&amp;f=fals" xr:uid="{00000000-0004-0000-0300-0000AE000000}"/>
    <hyperlink ref="Y16" r:id="rId147" display="https://www.nytimes.com/1977/08/27/archives/sniper-slays-6-in-jersey-and-then-takes-own-life-6areswinihjersey.html" xr:uid="{00000000-0004-0000-0300-0000AF000000}"/>
    <hyperlink ref="DP16" r:id="rId148" display="https://www.nytimes.com/1977/08/29/archives/quarrels-at-home-cited-as-cause-in-jersey-shootings.html" xr:uid="{00000000-0004-0000-0300-0000B0000000}"/>
    <hyperlink ref="DW16" r:id="rId149" display="https://www.nytimes.com/1977/08/27/archives/sniper-slays-6-in-jersey-and-then-takes-own-life-6areswinihjersey.html" xr:uid="{00000000-0004-0000-0300-0000B1000000}"/>
    <hyperlink ref="G17" r:id="rId150" display="https://www.upi.com/Archives/1987/09/02/Former-cook-convicted-in-restaurant-massacre/2502557553600/" xr:uid="{00000000-0004-0000-0300-0000B2000000}"/>
    <hyperlink ref="H17" r:id="rId151" display="https://www.upi.com/Archives/1987/09/02/Former-cook-convicted-in-restaurant-massacre/2502557553600/" xr:uid="{00000000-0004-0000-0300-0000B3000000}"/>
    <hyperlink ref="J17" r:id="rId152" xr:uid="{00000000-0004-0000-0300-0000B4000000}"/>
    <hyperlink ref="K17" r:id="rId153" display="https://www.upi.com/Archives/1987/09/02/Former-cook-convicted-in-restaurant-massacre/2502557553600/" xr:uid="{00000000-0004-0000-0300-0000B5000000}"/>
    <hyperlink ref="T17" r:id="rId154" location="v=onepage&amp;q=gan%20fong%20chin%20shoo&quot;&amp;&quot;ting&amp;f=false" display="https://books.google.com/books?id=3HOuBAAAQBAJ&amp;pg=PA105&amp;lpg=PA105&amp;dq=gan+fong+chin+shooting&amp;source=bl&amp;ots=uX_nRz_bVE&amp;sig=ACfU3U0cED2lO2rngkh3ECFVdbDrf_pcBA&amp;hl=en&amp;sa=X&amp;ved=2ahUKEwjD9byjmKnjAhUEac0KHfaODEkQ6AEwBnoECAkQAQ - v=onepage&amp;q=gan%20fong%20chin%20shoo&quot;&amp;&quot;ting&amp;f=false" xr:uid="{00000000-0004-0000-0300-0000B6000000}"/>
    <hyperlink ref="V17" r:id="rId155" display="http://www.nytimes.com/1978/06/19/archives/new-jersey-pages-rhode-island-cook-is-arraigned-in-4-shooting.html" xr:uid="{00000000-0004-0000-0300-0000B7000000}"/>
    <hyperlink ref="W17" r:id="rId156" display="https://www.upi.com/Archives/1987/09/02/Former-cook-convicted-in-restaurant-massacre/2502557553600/" xr:uid="{00000000-0004-0000-0300-0000B8000000}"/>
    <hyperlink ref="Y17" r:id="rId157" location="v=onepage&amp;q=gan%20fong%20chin%20shoo&quot;&amp;&quot;ting&amp;f=false" display="https://books.google.com/books?id=3HOuBAAAQBAJ&amp;pg=PA105&amp;lpg=PA105&amp;dq=gan+fong+chin+shooting&amp;source=bl&amp;ots=uX_nRz_bVE&amp;sig=ACfU3U0cED2lO2rngkh3ECFVdbDrf_pcBA&amp;hl=en&amp;sa=X&amp;ved=2ahUKEwjD9byjmKnjAhUEac0KHfaODEkQ6AEwBnoECAkQAQ - v=onepage&amp;q=gan%20fong%20chin%20shoo&quot;&amp;&quot;ting&amp;f=false" xr:uid="{00000000-0004-0000-0300-0000B9000000}"/>
    <hyperlink ref="Z17" r:id="rId158" location="v=onepage&amp;q=gan%20fong%20chin%20shoo&quot;&amp;&quot;ting&amp;f=false" display="https://books.google.com/books?id=3HOuBAAAQBAJ&amp;pg=PA105&amp;lpg=PA105&amp;dq=gan+fong+chin+shooting&amp;source=bl&amp;ots=uX_nRz_bVE&amp;sig=ACfU3U0cED2lO2rngkh3ECFVdbDrf_pcBA&amp;hl=en&amp;sa=X&amp;ved=2ahUKEwjD9byjmKnjAhUEac0KHfaODEkQ6AEwBnoECAkQAQ - v=onepage&amp;q=gan%20fong%20chin%20shoo&quot;&amp;&quot;ting&amp;f=false" xr:uid="{00000000-0004-0000-0300-0000BA000000}"/>
    <hyperlink ref="AI17" r:id="rId159" location="v=onepage&amp;q=gan%20fong%20chin%20shoo&quot;&amp;&quot;ting&amp;f=false" display="https://books.google.com/books?id=3HOuBAAAQBAJ&amp;pg=PA105&amp;lpg=PA105&amp;dq=gan+fong+chin+shooting&amp;source=bl&amp;ots=uX_nRz_bVE&amp;sig=ACfU3U0cED2lO2rngkh3ECFVdbDrf_pcBA&amp;hl=en&amp;sa=X&amp;ved=2ahUKEwjD9byjmKnjAhUEac0KHfaODEkQ6AEwBnoECAkQAQ - v=onepage&amp;q=gan%20fong%20chin%20shoo&quot;&amp;&quot;ting&amp;f=false" xr:uid="{00000000-0004-0000-0300-0000BB000000}"/>
    <hyperlink ref="AJ17" r:id="rId160" location="v=onepage&amp;q=gan%20fong%20chin%20shoo&quot;&amp;&quot;ting&amp;f=false" display="https://books.google.com/books?id=3HOuBAAAQBAJ&amp;pg=PA105&amp;lpg=PA105&amp;dq=gan+fong+chin+shooting&amp;source=bl&amp;ots=uX_nRz_bVE&amp;sig=ACfU3U0cED2lO2rngkh3ECFVdbDrf_pcBA&amp;hl=en&amp;sa=X&amp;ved=2ahUKEwjD9byjmKnjAhUEac0KHfaODEkQ6AEwBnoECAkQAQ - v=onepage&amp;q=gan%20fong%20chin%20shoo&quot;&amp;&quot;ting&amp;f=false" xr:uid="{00000000-0004-0000-0300-0000BC000000}"/>
    <hyperlink ref="AK17" r:id="rId161" display="https://www.upi.com/Archives/1987/09/02/Former-cook-convicted-in-restaurant-massacre/2502557553600/" xr:uid="{00000000-0004-0000-0300-0000BD000000}"/>
    <hyperlink ref="AQ17" r:id="rId162" display="https://newspaperarchive.com/lethbridge-herald-jun-19-1978-p-2/" xr:uid="{00000000-0004-0000-0300-0000BE000000}"/>
    <hyperlink ref="BJ17" r:id="rId163" location="v=onepage&amp;q=gan%20fong%20chin%20shoo&quot;&amp;&quot;ting&amp;f=false" display="https://books.google.com/books?id=3HOuBAAAQBAJ&amp;pg=PA105&amp;lpg=PA105&amp;dq=gan+fong+chin+shooting&amp;source=bl&amp;ots=uX_nRz_bVE&amp;sig=ACfU3U0cED2lO2rngkh3ECFVdbDrf_pcBA&amp;hl=en&amp;sa=X&amp;ved=2ahUKEwjD9byjmKnjAhUEac0KHfaODEkQ6AEwBnoECAkQAQ - v=onepage&amp;q=gan%20fong%20chin%20shoo&quot;&amp;&quot;ting&amp;f=false" xr:uid="{00000000-0004-0000-0300-0000BF000000}"/>
    <hyperlink ref="BK17" r:id="rId164" location="v=onepage&amp;q=gan%20fong%20chin%20shoo&quot;&amp;&quot;ting&amp;f=false" display="https://books.google.com/books?id=3HOuBAAAQBAJ&amp;pg=PA105&amp;lpg=PA105&amp;dq=gan+fong+chin+shooting&amp;source=bl&amp;ots=uX_nRz_bVE&amp;sig=ACfU3U0cED2lO2rngkh3ECFVdbDrf_pcBA&amp;hl=en&amp;sa=X&amp;ved=2ahUKEwjD9byjmKnjAhUEac0KHfaODEkQ6AEwBnoECAkQAQ - v=onepage&amp;q=gan%20fong%20chin%20shoo&quot;&amp;&quot;ting&amp;f=false" xr:uid="{00000000-0004-0000-0300-0000C0000000}"/>
    <hyperlink ref="BL17" r:id="rId165" location="v=onepage&amp;q=gan%20fong%20chin%20shoo&quot;&amp;&quot;ting&amp;f=false&quot;" display="https://books.google.com/books?id=3HOuBAAAQBAJ&amp;pg=PA105&amp;lpg=PA105&amp;dq=gan+fong+chin+shooting&amp;source=bl&amp;ots=uX_nRz_bVE&amp;sig=ACfU3U0cED2lO2rngkh3ECFVdbDrf_pcBA&amp;hl=en&amp;sa=X&amp;ved=2ahUKEwjD9byjmKnjAhUEac0KHfaODEkQ6AEwBnoECAkQAQ - v=onepage&amp;q=gan%20fong%20chin%20shoo&quot;&amp;&quot;ting&amp;f=false&quot;" xr:uid="{00000000-0004-0000-0300-0000C1000000}"/>
    <hyperlink ref="DW17" r:id="rId166" display="https://www.upi.com/Archives/1987/09/02/Former-cook-convicted-in-restaurant-massacre/2502557553600/" xr:uid="{00000000-0004-0000-0300-0000C3000000}"/>
    <hyperlink ref="T18" r:id="rId167" display="https://www.caller.com/story/news/2017/11/07/texas-church-shooting-latest-line-deadly-attacks/841385001/" xr:uid="{00000000-0004-0000-0300-0000C4000000}"/>
    <hyperlink ref="DC18" r:id="rId168" display="http://fultonhistory.com/Newspaper 11/Geneva NY Finger Lake Times/Geneva NY Finger Lake Times 1980 Feb 1980/Geneva NY Finger Lake Times 1980 Feb 1980 - 0064.pdf" xr:uid="{00000000-0004-0000-0300-0000C5000000}"/>
    <hyperlink ref="DW18" r:id="rId169" display="https://www.caller.com/story/news/2017/11/07/texas-church-shooting-latest-line-deadly-attacks/841385001/" xr:uid="{00000000-0004-0000-0300-0000C7000000}"/>
    <hyperlink ref="M19" r:id="rId170" display="https://news.google.com/newspapers?id=xtNWAAAAIBAJ&amp;sjid=O_kDAAAAIBAJ&amp;pg=5283%2C2408948" xr:uid="{00000000-0004-0000-0300-0000C8000000}"/>
    <hyperlink ref="T19" r:id="rId171" display="https://www.news-journal.com/news/local/daingerfield-knows-church-s-pain-after-shooting/article_bfa3ba00-2620-5b9f-8870-6a1e13e7f023.html" xr:uid="{00000000-0004-0000-0300-0000C9000000}"/>
    <hyperlink ref="AB19" r:id="rId172" display="https://news.google.com/newspapers?id=xtNWAAAAIBAJ&amp;sjid=O_kDAAAAIBAJ&amp;pg=5283%2C2408948" xr:uid="{00000000-0004-0000-0300-0000CC000000}"/>
    <hyperlink ref="AJ19" r:id="rId173" display="https://www.upi.com/Archives/1982/01/19/Alvin-Lee-King-III-charged-with-storming-a-church/4408380264400/" xr:uid="{00000000-0004-0000-0300-0000CD000000}"/>
    <hyperlink ref="AL19" r:id="rId174" display="https://news.google.com/newspapers?id=xtNWAAAAIBAJ&amp;sjid=O_kDAAAAIBAJ&amp;pg=5283%2C2408948" xr:uid="{00000000-0004-0000-0300-0000CE000000}"/>
    <hyperlink ref="AQ19" r:id="rId175" display="http://www.texarkanagazette.com/news/texarkana/story/2009/oct/29/arempens-book-about-1980-church-shooting-dain/133575/" xr:uid="{00000000-0004-0000-0300-0000CF000000}"/>
    <hyperlink ref="AS19" r:id="rId176" display="http://www.texarkanagazette.com/news/texarkana/story/2009/oct/29/arempens-book-about-1980-church-shooting-dain/133575/" xr:uid="{00000000-0004-0000-0300-0000D0000000}"/>
    <hyperlink ref="AT19" r:id="rId177" location="v=onepage&amp;q&amp;f=false" display="https://books.google.com/books?id=zSwEAAAAMBAJ&amp;pg=PA140 - v=onepage&amp;q&amp;f=false" xr:uid="{00000000-0004-0000-0300-0000D1000000}"/>
    <hyperlink ref="AU19" r:id="rId178" display="https://news.google.com/newspapers?id=xtNWAAAAIBAJ&amp;sjid=O_kDAAAAIBAJ&amp;pg=5283%2C2408948" xr:uid="{00000000-0004-0000-0300-0000D2000000}"/>
    <hyperlink ref="AV19" r:id="rId179" location="v=onepage&amp;q&amp;f=false" display="https://books.google.com/books?id=zSwEAAAAMBAJ&amp;pg=PA140 - v=onepage&amp;q&amp;f=false" xr:uid="{00000000-0004-0000-0300-0000D3000000}"/>
    <hyperlink ref="K20" r:id="rId180" display="https://www.leagle.com/decision/1985350349pasuper11350" xr:uid="{00000000-0004-0000-0300-0000D7000000}"/>
    <hyperlink ref="L20" r:id="rId181" display="https://www.leagle.com/decision/1985350349pasuper11350" xr:uid="{00000000-0004-0000-0300-0000D8000000}"/>
    <hyperlink ref="V20" r:id="rId182" display="https://www.leagle.com/decision/1985350349pasuper11350" xr:uid="{00000000-0004-0000-0300-0000D9000000}"/>
    <hyperlink ref="W20" r:id="rId183" display="https://www.leagle.com/decision/1985350349pasuper11350" xr:uid="{00000000-0004-0000-0300-0000DA000000}"/>
    <hyperlink ref="Y20" r:id="rId184" display="https://www.leagle.com/decision/1985350349pasuper11350" xr:uid="{00000000-0004-0000-0300-0000DB000000}"/>
    <hyperlink ref="AB20" r:id="rId185" display="https://www.leagle.com/decision/1985350349pasuper11350" xr:uid="{00000000-0004-0000-0300-0000DC000000}"/>
    <hyperlink ref="AQ20" r:id="rId186" display="https://www.leagle.com/decision/1985350349pasuper11350" xr:uid="{00000000-0004-0000-0300-0000DD000000}"/>
    <hyperlink ref="BE20" r:id="rId187" display="https://www.leagle.com/decision/1985350349pasuper11350" xr:uid="{00000000-0004-0000-0300-0000DE000000}"/>
    <hyperlink ref="BK20" r:id="rId188" display="https://www.leagle.com/decision/1985350349pasuper11350" xr:uid="{00000000-0004-0000-0300-0000DF000000}"/>
    <hyperlink ref="BL20" r:id="rId189" display="https://www.leagle.com/decision/1985350349pasuper11350" xr:uid="{00000000-0004-0000-0300-0000E0000000}"/>
    <hyperlink ref="DC20" r:id="rId190" display="https://www.leagle.com/decision/1985350349pasuper11350" xr:uid="{00000000-0004-0000-0300-0000E1000000}"/>
    <hyperlink ref="DP20" r:id="rId191" display="https://www.leagle.com/decision/1985350349pasuper11350" xr:uid="{00000000-0004-0000-0300-0000E2000000}"/>
    <hyperlink ref="DT20" r:id="rId192" display="https://news.google.com/newspapers?nid=2002&amp;dat=19870812&amp;id=P1QuAAAAIBAJ&amp;sjid=LdoFAAAAIBAJ&amp;pg=966,2114218" xr:uid="{00000000-0004-0000-0300-0000E3000000}"/>
    <hyperlink ref="DW20" r:id="rId193" display="https://www.leagle.com/decision/1985350349pasuper11350" xr:uid="{00000000-0004-0000-0300-0000E5000000}"/>
    <hyperlink ref="G21" r:id="rId194" display="http://katu.com/news/local/30-years-later-sounds-of-gunfire-still-haunt-shooting-victim" xr:uid="{00000000-0004-0000-0300-0000E6000000}"/>
    <hyperlink ref="H21" r:id="rId195" display="http://katu.com/news/local/30-years-later-sounds-of-gunfire-still-haunt-shooting-victim" xr:uid="{00000000-0004-0000-0300-0000E7000000}"/>
    <hyperlink ref="J21" r:id="rId196" xr:uid="{00000000-0004-0000-0300-0000E8000000}"/>
    <hyperlink ref="K21" r:id="rId197" display="http://katu.com/news/local/30-years-later-sounds-of-gunfire-still-haunt-shooting-victim" xr:uid="{00000000-0004-0000-0300-0000E9000000}"/>
    <hyperlink ref="L21" r:id="rId198" display="http://katu.com/news/local/30-years-later-sounds-of-gunfire-still-haunt-shooting-victim" xr:uid="{00000000-0004-0000-0300-0000EA000000}"/>
    <hyperlink ref="M21" r:id="rId199" display="https://www.nytimes.com/1981/05/09/us/four-slain-and-20-wounded-in-bar-as-oregon-man-shoots-into-crowd.html" xr:uid="{00000000-0004-0000-0300-0000EB000000}"/>
    <hyperlink ref="O21" r:id="rId200" display="https://www.nytimes.com/1981/05/09/us/four-slain-and-20-wounded-in-bar-as-oregon-man-shoots-into-crowd.html" xr:uid="{00000000-0004-0000-0300-0000EC000000}"/>
    <hyperlink ref="S21" r:id="rId201" display="https://www.nytimes.com/1981/05/09/us/four-slain-and-20-wounded-in-bar-as-oregon-man-shoots-into-crowd.html" xr:uid="{00000000-0004-0000-0300-0000ED000000}"/>
    <hyperlink ref="T21" r:id="rId202" display="https://www.nytimes.com/1981/05/09/us/four-slain-and-20-wounded-in-bar-as-oregon-man-shoots-into-crowd.html" xr:uid="{00000000-0004-0000-0300-0000EE000000}"/>
    <hyperlink ref="V21" r:id="rId203" display="http://www.nytimes.com/1981/05/09/us/four-slain-and-20-wounded-in-bar-as-oregon-man-shoots-into-crowd.html" xr:uid="{00000000-0004-0000-0300-0000F0000000}"/>
    <hyperlink ref="W21" r:id="rId204" display="http://katu.com/news/local/30-years-later-sounds-of-gunfire-still-haunt-shooting-victim" xr:uid="{00000000-0004-0000-0300-0000F1000000}"/>
    <hyperlink ref="X21" r:id="rId205" display="http://photos.salemhistory.net/cdm/singleitem/collection/sj/id/23/rec/3" xr:uid="{00000000-0004-0000-0300-0000F2000000}"/>
    <hyperlink ref="AI21" r:id="rId206" xr:uid="{00000000-0004-0000-0300-0000F3000000}"/>
    <hyperlink ref="AK21" r:id="rId207" xr:uid="{00000000-0004-0000-0300-0000F4000000}"/>
    <hyperlink ref="AL21" r:id="rId208" display="http://www.oregonlive.com/politics/index.ssf/2015/10/mass_shootings_in_oregon_a_lis.html" xr:uid="{00000000-0004-0000-0300-0000F5000000}"/>
    <hyperlink ref="BC21" r:id="rId209" xr:uid="{00000000-0004-0000-0300-0000F6000000}"/>
    <hyperlink ref="BK21" r:id="rId210" xr:uid="{00000000-0004-0000-0300-0000F7000000}"/>
    <hyperlink ref="CH21" r:id="rId211" xr:uid="{00000000-0004-0000-0300-0000F8000000}"/>
    <hyperlink ref="DC21" r:id="rId212" xr:uid="{00000000-0004-0000-0300-0000FA000000}"/>
    <hyperlink ref="DT21" r:id="rId213" display="https://www.nytimes.com/1981/05/09/us/four-slain-and-20-wounded-in-bar-as-oregon-man-shoots-into-crowd.html" xr:uid="{00000000-0004-0000-0300-0000FB000000}"/>
    <hyperlink ref="DW21" r:id="rId214" xr:uid="{00000000-0004-0000-0300-0000FD000000}"/>
    <hyperlink ref="G22" r:id="rId215" display="https://www.upi.com/Archives/1981/10/16/A-gunman-burst-into-an-auto-parts-store-Friday/9402372052800/" xr:uid="{00000000-0004-0000-0300-0000FE000000}"/>
    <hyperlink ref="H22" r:id="rId216" display="https://www.upi.com/Archives/1981/10/16/A-gunman-burst-into-an-auto-parts-store-Friday/9402372052800/" xr:uid="{00000000-0004-0000-0300-0000FF000000}"/>
    <hyperlink ref="J22" r:id="rId217" xr:uid="{00000000-0004-0000-0300-000000010000}"/>
    <hyperlink ref="K22" r:id="rId218" display="https://www.upi.com/Archives/1981/10/16/A-gunman-burst-into-an-auto-parts-store-Friday/9402372052800/" xr:uid="{00000000-0004-0000-0300-000001010000}"/>
    <hyperlink ref="L22" r:id="rId219" display="https://www.upi.com/Archives/1981/10/16/A-gunman-burst-into-an-auto-parts-store-Friday/9402372052800/" xr:uid="{00000000-0004-0000-0300-000002010000}"/>
    <hyperlink ref="O22" r:id="rId220" display="https://www.upi.com/Archives/1981/10/17/Mountain-town-shocked-by-shooting-outburst/9178372139200/" xr:uid="{00000000-0004-0000-0300-000003010000}"/>
    <hyperlink ref="S22" r:id="rId221" display="https://www.upi.com/Archives/1981/10/16/A-gunman-burst-into-an-auto-parts-store-Friday/9402372052800/" xr:uid="{00000000-0004-0000-0300-000004010000}"/>
    <hyperlink ref="T22" r:id="rId222" display="https://www.upi.com/Archives/1981/10/16/A-gunman-burst-into-an-auto-parts-store-Friday/9402372052800/" xr:uid="{00000000-0004-0000-0300-000005010000}"/>
    <hyperlink ref="V22" r:id="rId223" display="https://www.upi.com/Archives/1981/10/16/A-gunman-burst-into-an-auto-parts-store-Friday/9402372052800/" xr:uid="{00000000-0004-0000-0300-000006010000}"/>
    <hyperlink ref="W22" r:id="rId224" display="https://www.upi.com/Archives/1981/10/16/A-gunman-burst-into-an-auto-parts-store-Friday/9402372052800/" xr:uid="{00000000-0004-0000-0300-000007010000}"/>
    <hyperlink ref="X22" r:id="rId225" display="https://www.newspapers.com/clip/33085085/messenger-inquirer/" xr:uid="{00000000-0004-0000-0300-000008010000}"/>
    <hyperlink ref="AK22" r:id="rId226" display="https://www.upi.com/Archives/1981/10/17/Killing-of-5-stuns-Kentucky-mountain-commmunity/9251372139200/" xr:uid="{00000000-0004-0000-0300-000009010000}"/>
    <hyperlink ref="AL22" r:id="rId227" display="https://www.nytimes.com/1981/10/18/us/around-the-nation-retired-miner-is-held-in-shooting-deaths-of-5.html" xr:uid="{00000000-0004-0000-0300-00000A010000}"/>
    <hyperlink ref="BK22" r:id="rId228" display="https://www.upi.com/Archives/1981/10/17/Killing-of-5-stuns-Kentucky-mountain-commmunity/9251372139200/" xr:uid="{00000000-0004-0000-0300-00000B010000}"/>
    <hyperlink ref="BL22" r:id="rId229" display="https://www.upi.com/Archives/1981/10/16/A-gunman-burst-into-an-auto-parts-store-Friday/9402372052800/" xr:uid="{00000000-0004-0000-0300-00000C010000}"/>
    <hyperlink ref="DT22" r:id="rId230" display="https://www.upi.com/Archives/1981/10/16/A-gunman-burst-into-an-auto-parts-store-Friday/9402372052800/" xr:uid="{00000000-0004-0000-0300-00000D010000}"/>
    <hyperlink ref="DW22" r:id="rId231" display="https://www.upi.com/Archives/1981/10/16/A-gunman-burst-into-an-auto-parts-store-Friday/9402372052800/" xr:uid="{00000000-0004-0000-0300-00000E010000}"/>
    <hyperlink ref="K23" r:id="rId232" display="https://www.nytimes.com/1982/06/22/us/new-law-on-insanity-plea-stirs-dispute-in-alaska.html" xr:uid="{00000000-0004-0000-0300-00000F010000}"/>
    <hyperlink ref="S23" r:id="rId233" display="https://www.nytimes.com/1982/06/22/us/new-law-on-insanity-plea-stirs-dispute-in-alaska.html" xr:uid="{00000000-0004-0000-0300-000011010000}"/>
    <hyperlink ref="U23" r:id="rId234"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12010000}"/>
    <hyperlink ref="V23" r:id="rId235" display="https://www.nytimes.com/1982/06/22/us/new-law-on-insanity-plea-stirs-dispute-in-alaska.html" xr:uid="{00000000-0004-0000-0300-000013010000}"/>
    <hyperlink ref="W23" r:id="rId236" location="v=onepage&amp;q=Charles%20Meach%20shooting&amp;f=false" display="https://books.google.com.au/books?id=cmTxCQAAQBAJ&amp;pg=PA416&amp;lpg=PA416&amp;dq=Charles+Meach+shooting&amp;source=bl&amp;ots=eXTzQ-eWnB&amp;sig=UKVOhJB2yAPxdrhmIAY7kpUl3uo&amp;hl=en&amp;sa=X&amp;redir_esc=y - v=onepage&amp;q=Charles%20Meach%20shooting&amp;f=false" xr:uid="{00000000-0004-0000-0300-000014010000}"/>
    <hyperlink ref="Y23" r:id="rId237" location="v=onepage&amp;q=Charles%20Meach%20shooting&amp;f=false" display="https://books.google.com.au/books?id=cmTxCQAAQBAJ&amp;pg=PA416&amp;lpg=PA416&amp;dq=Charles+Meach+shooting&amp;source=bl&amp;ots=eXTzQ-eWnB&amp;sig=UKVOhJB2yAPxdrhmIAY7kpUl3uo&amp;hl=en&amp;sa=X&amp;redir_esc=y - v=onepage&amp;q=Charles%20Meach%20shooting&amp;f=false" xr:uid="{00000000-0004-0000-0300-000015010000}"/>
    <hyperlink ref="Z23" r:id="rId238"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16010000}"/>
    <hyperlink ref="AI23" r:id="rId239" display="https://www.nytimes.com/1982/06/22/us/new-law-on-insanity-plea-stirs-dispute-in-alaska.html" xr:uid="{00000000-0004-0000-0300-000017010000}"/>
    <hyperlink ref="AK23" r:id="rId240" display="https://www.nytimes.com/1982/06/22/us/new-law-on-insanity-plea-stirs-dispute-in-alaska.html" xr:uid="{00000000-0004-0000-0300-000018010000}"/>
    <hyperlink ref="AL23" r:id="rId241" display="https://www.nytimes.com/1982/06/22/us/new-law-on-insanity-plea-stirs-dispute-in-alaska.html" xr:uid="{00000000-0004-0000-0300-000019010000}"/>
    <hyperlink ref="AM23" r:id="rId242"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1A010000}"/>
    <hyperlink ref="AQ23" r:id="rId243"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1B010000}"/>
    <hyperlink ref="AU23" r:id="rId244" location="v=snippet&amp;q=charles%20meach&amp;f=false" display="https://books.google.com/books?id=DIG_9oBssrAC&amp;dq=charles+meach+murder+at+40+below&amp;q=charles+meach - v=snippet&amp;q=charles%20meach&amp;f=false" xr:uid="{00000000-0004-0000-0300-00001C010000}"/>
    <hyperlink ref="BC23" r:id="rId245" location="v=onepage&amp;q=charles%20meach%&quot;&amp;&quot;20murder%20at%2040%20below&amp;f=false&quot;"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quot;" xr:uid="{00000000-0004-0000-0300-00001D010000}"/>
    <hyperlink ref="BD23" r:id="rId246"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1E010000}"/>
    <hyperlink ref="BK23" r:id="rId247" display="https://www.nytimes.com/1982/06/22/us/new-law-on-insanity-plea-stirs-dispute-in-alaska.html" xr:uid="{00000000-0004-0000-0300-00001F010000}"/>
    <hyperlink ref="BL23" r:id="rId248"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20010000}"/>
    <hyperlink ref="BZ23" r:id="rId249" display="https://www.nytimes.com/1982/06/22/us/new-law-on-insanity-plea-stirs-dispute-in-alaska.html" xr:uid="{00000000-0004-0000-0300-000021010000}"/>
    <hyperlink ref="CC23" r:id="rId250"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22010000}"/>
    <hyperlink ref="CH23" r:id="rId251"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23010000}"/>
    <hyperlink ref="CI23" r:id="rId252"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24010000}"/>
    <hyperlink ref="CJ23" r:id="rId253" location="v=onepage&amp;q=charles%20meach%&quot;&amp;&quot;20murder%20at%2040%20below&amp;f=false" xr:uid="{00000000-0004-0000-0300-000025010000}"/>
    <hyperlink ref="CX23" r:id="rId254"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28010000}"/>
    <hyperlink ref="DC23" r:id="rId255"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29010000}"/>
    <hyperlink ref="DM23" r:id="rId256"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2A010000}"/>
    <hyperlink ref="DP23" r:id="rId257"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2B010000}"/>
    <hyperlink ref="DQ23" r:id="rId258"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2C010000}"/>
    <hyperlink ref="DT23" r:id="rId259"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2D010000}"/>
    <hyperlink ref="DU23" r:id="rId260"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33010000}"/>
    <hyperlink ref="DX23" r:id="rId261"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34010000}"/>
    <hyperlink ref="DY23" r:id="rId262"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35010000}"/>
    <hyperlink ref="DZ23" r:id="rId263"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300-000036010000}"/>
    <hyperlink ref="G24" r:id="rId264" display="https://www.upi.com/Archives/1982/08/09/Yes-I-know-hes-killing-people/2899397713600/" xr:uid="{00000000-0004-0000-0300-000037010000}"/>
    <hyperlink ref="H24" r:id="rId265" display="https://www.upi.com/Archives/1982/08/09/Yes-I-know-hes-killing-people/2899397713600/" xr:uid="{00000000-0004-0000-0300-000038010000}"/>
    <hyperlink ref="M24" r:id="rId266" display="http://www.nytimes.com/1982/08/10/us/digruntled-driver-slays-six-in-texas-dying-in-shootout.html" xr:uid="{00000000-0004-0000-0300-000039010000}"/>
    <hyperlink ref="S24" r:id="rId267" display="http://www.nytimes.com/1982/08/10/us/digruntled-driver-slays-six-in-texas-dying-in-shootout.html" xr:uid="{00000000-0004-0000-0300-00003A010000}"/>
    <hyperlink ref="V24" r:id="rId268" display="http://www.nytimes.com/1982/08/10/us/digruntled-driver-slays-six-in-texas-dying-in-shootout.html" xr:uid="{00000000-0004-0000-0300-00003B010000}"/>
    <hyperlink ref="W24" r:id="rId269" display="https://www.upi.com/Archives/1982/08/09/Yes-I-know-hes-killing-people/2899397713600/" xr:uid="{00000000-0004-0000-0300-00003C010000}"/>
    <hyperlink ref="AK24" r:id="rId270" display="http://www.nytimes.com/1982/08/10/us/digruntled-driver-slays-six-in-texas-dying-in-shootout.html" xr:uid="{00000000-0004-0000-0300-00003D010000}"/>
    <hyperlink ref="BD24" r:id="rId271" display="https://newspaperarchive.com/murder-clipping-aug-11-1982-174492/" xr:uid="{00000000-0004-0000-0300-00003E010000}"/>
    <hyperlink ref="BK24" r:id="rId272" display="https://www.upi.com/Archives/1982/08/09/Yes-I-know-hes-killing-people/2899397713600/" xr:uid="{00000000-0004-0000-0300-00003F010000}"/>
    <hyperlink ref="BL24" r:id="rId273" display="https://www.upi.com/Archives/1982/08/09/Yes-I-know-hes-killing-people/2899397713600/" xr:uid="{00000000-0004-0000-0300-000040010000}"/>
    <hyperlink ref="DT24" r:id="rId274" display="http://www.nytimes.com/1982/08/10/us/digruntled-driver-slays-six-in-texas-dying-in-shootout.html" xr:uid="{00000000-0004-0000-0300-000041010000}"/>
    <hyperlink ref="T25" r:id="rId275" display="https://www.nytimes.com/1982/08/21/us/gunman-in-miami-kills-8-in-rampage.html" xr:uid="{00000000-0004-0000-0300-000044010000}"/>
    <hyperlink ref="AB25" r:id="rId276" display="https://www.miamiherald.com/news/local/community/miami-dade/hialeah/article234124132.html" xr:uid="{00000000-0004-0000-0300-000046010000}"/>
    <hyperlink ref="AT25" r:id="rId277" display="https://www.newspapers.com/image/?clipping_id=36003617&amp;fcfToken=eyJhbGciOiJIUzI1NiIsInR5cCI6IkpXVCJ9.eyJmcmVlLXZpZXctaWQiOjMwMzAwNjg4NywiaWF0IjoxNTkxMTExNDM4LCJleHAiOjE1OTExOTc4Mzh9.EoEn2ntloEfWEgtimUs9GIcZphN540vuEmtK42JwM_Y" xr:uid="{00000000-0004-0000-0300-000047010000}"/>
    <hyperlink ref="AU25" r:id="rId278" display="https://www.newspapers.com/image/?clipping_id=36003617&amp;fcfToken=eyJhbGciOiJIUzI1NiIsInR5cCI6IkpXVCJ9.eyJmcmVlLXZpZXctaWQiOjMwMzAwNjg4NywiaWF0IjoxNTkxMjAyNzM1LCJleHAiOjE1OTEyODkxMzV9.YSYj3PwHAfd9Ie_U2TTYwF-yflEnstDqpG72m6bsgec" xr:uid="{00000000-0004-0000-0300-000048010000}"/>
    <hyperlink ref="AU26" r:id="rId279" display="https://www.upi.com/Archives/1983/02/03/A-handyman-at-a-shabby-Manhattan-hotel-Thursday-killed/1461413096400/" xr:uid="{00000000-0004-0000-0300-00004B010000}"/>
    <hyperlink ref="G27" r:id="rId280" display="https://www.nytimes.com/1983/03/03/us/6-killed-in-alaska-in-shooting-spree.html" xr:uid="{00000000-0004-0000-0300-00004C010000}"/>
    <hyperlink ref="H27" r:id="rId281" display="https://www.nytimes.com/1983/03/03/us/6-killed-in-alaska-in-shooting-spree.html" xr:uid="{00000000-0004-0000-0300-00004D010000}"/>
    <hyperlink ref="J27" r:id="rId282" xr:uid="{00000000-0004-0000-0300-00004E010000}"/>
    <hyperlink ref="K27" r:id="rId283" display="https://www.upi.com/Archives/1983/03/03/Survivor-describes-random-shootings-that-killed-six/9561415515600/" xr:uid="{00000000-0004-0000-0300-00004F010000}"/>
    <hyperlink ref="L27" r:id="rId284" display="http://amok.wikia.com/wiki/Louis_Hastings" xr:uid="{00000000-0004-0000-0300-000050010000}"/>
    <hyperlink ref="M27" r:id="rId285" display="https://www.washingtonpost.com/archive/politics/1983/12/15/after-murder-rampage-a-test-of-survival/08bb8578-7f36-4dde-b3ce-076fbcb61aff/?noredirect=on&amp;utm_term=.e6cad36dfe11" xr:uid="{00000000-0004-0000-0300-000051010000}"/>
    <hyperlink ref="O27" r:id="rId286" display="https://www.upi.com/Archives/1983/03/03/Survivor-describes-random-shootings-that-killed-six/9561415515600/" xr:uid="{00000000-0004-0000-0300-000052010000}"/>
    <hyperlink ref="S27" r:id="rId287" display="https://www.washingtonpost.com/archive/politics/1983/12/15/after-murder-rampage-a-test-of-survival/08bb8578-7f36-4dde-b3ce-076fbcb61aff/?noredirect=on&amp;utm_term=.e6cad36dfe11http://amok.wikia.com/wiki/Louis_Hastings" xr:uid="{00000000-0004-0000-0300-000053010000}"/>
    <hyperlink ref="T27" r:id="rId288" display="https://www.washingtonpost.com/archive/politics/1983/12/15/after-murder-rampage-a-test-of-survival/08bb8578-7f36-4dde-b3ce-076fbcb61aff/?noredirect=on&amp;utm_term=.e6cad36dfe11http://amok.wikia.com/wiki/Louis_Hastings" xr:uid="{00000000-0004-0000-0300-000054010000}"/>
    <hyperlink ref="V27" r:id="rId289" display="https://www.washingtonpost.com/archive/politics/1983/12/15/after-murder-rampage-a-test-of-survival/08bb8578-7f36-4dde-b3ce-076fbcb61aff/?utm_term=.a6fb1a8bb707" xr:uid="{00000000-0004-0000-0300-000057010000}"/>
    <hyperlink ref="W27" r:id="rId290" display="https://www.washingtonpost.com/archive/politics/1983/12/15/after-murder-rampage-a-test-of-survival/08bb8578-7f36-4dde-b3ce-076fbcb61aff/?utm_term=.a6fb1a8bb707" xr:uid="{00000000-0004-0000-0300-000058010000}"/>
    <hyperlink ref="Y27" r:id="rId291" location="v=onepage&amp;q=louis%20hastings%20sho" display="https://books.google.com/books?id=DIG_9oBssrAC&amp;pg=PA172&amp;lpg=PA172&amp;dq=louis+hastings+shooting&amp;source=bl&amp;ots=fgzBCtAqod&amp;sig=ACfU3U21h7KG-aA-JpBFEfRVx_ylGhnNEQ&amp;hl=en&amp;sa=X&amp;ved=2ahUKEwjG1veU6MPhAhUFQ6wKHYJHBIQ4ChDoATALegQIBhAB - v=onepage&amp;q=louis%20hastings%20sho" xr:uid="{00000000-0004-0000-0300-000059010000}"/>
    <hyperlink ref="Z27" r:id="rId292"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5A010000}"/>
    <hyperlink ref="AI27" r:id="rId293"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5B010000}"/>
    <hyperlink ref="AM27" r:id="rId294"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5C010000}"/>
    <hyperlink ref="AN27" r:id="rId295"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5D010000}"/>
    <hyperlink ref="AS27" r:id="rId296" location="v=onepage&amp;q=louis%20hastings%20sh&quot;&amp;&quot;o&amp;f=fals" display="https://books.google.com/books?id=DIG_9oBssrAC&amp;pg=PA172&amp;lpg=PA172&amp;dq=louis+hastings+shooting&amp;source=bl&amp;ots=fgzBCtAqod&amp;sig=ACfU3U21h7KG-aA-JpBFEfRVx_ylGhnNEQ&amp;hl=en&amp;sa=X&amp;ved=2ahUKEwjG1veU6MPhAhUFQ6wKHYJHBIQ4ChDoATALegQIBhAB - v=onepage&amp;q=louis%20hastings%20sh&quot;&amp;&quot;o&amp;f=fals" xr:uid="{00000000-0004-0000-0300-00005E010000}"/>
    <hyperlink ref="DR27" r:id="rId297" location="v=onepage&amp;q=louis%20hastings%20sho" display="https://books.google.com/books?id=DIG_9oBssrAC&amp;pg=PA172&amp;lpg=PA172&amp;dq=louis+hastings+shooting&amp;source=bl&amp;ots=fgzBCtAqod&amp;sig=ACfU3U21h7KG-aA-JpBFEfRVx_ylGhnNEQ&amp;hl=en&amp;sa=X&amp;ved=2ahUKEwjG1veU6MPhAhUFQ6wKHYJHBIQ4ChDoATALegQIBhAB - v=onepage&amp;q=louis%20hastings%20sho" xr:uid="{00000000-0004-0000-0300-00005F010000}"/>
    <hyperlink ref="BC27" r:id="rId298"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60010000}"/>
    <hyperlink ref="BD27" r:id="rId299" display="https://www.washingtonpost.com/archive/politics/1983/12/15/after-murder-rampage-a-test-of-survival/08bb8578-7f36-4dde-b3ce-076fbcb61aff/?noredirect=on&amp;utm_term=.e6cad36dfe11http://amok.wikia.com/wiki/Louis_Hastings" xr:uid="{00000000-0004-0000-0300-000061010000}"/>
    <hyperlink ref="BE27" r:id="rId300"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62010000}"/>
    <hyperlink ref="BF27" r:id="rId301"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63010000}"/>
    <hyperlink ref="BG27" r:id="rId302"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64010000}"/>
    <hyperlink ref="BJ27" r:id="rId303"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65010000}"/>
    <hyperlink ref="BK27" r:id="rId304" display="https://www.nytimes.com/1983/03/03/us/6-killed-in-alaska-in-shooting-spree.htmlhttp:/amok.wikia.com/wiki/Louis_Hastings" xr:uid="{00000000-0004-0000-0300-000066010000}"/>
    <hyperlink ref="BL27" r:id="rId305"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67010000}"/>
    <hyperlink ref="BY27" r:id="rId306" display="https://www.washingtonpost.com/archive/politics/1983/12/15/after-murder-rampage-a-test-of-survival/08bb8578-7f36-4dde-b3ce-076fbcb61aff/?utm_term=.a6fb1a8bb707" xr:uid="{00000000-0004-0000-0300-000068010000}"/>
    <hyperlink ref="CE27" r:id="rId307"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69010000}"/>
    <hyperlink ref="CH27" r:id="rId308"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6A010000}"/>
    <hyperlink ref="CI27" r:id="rId309" display="https://www.washingtonpost.com/archive/politics/1983/12/15/after-murder-rampage-a-test-of-survival/08bb8578-7f36-4dde-b3ce-076fbcb61aff/?noredirect=on&amp;utm_term=.e6cad36dfe11http://amok.wikia.com/wiki/Louis_Hastings" xr:uid="{00000000-0004-0000-0300-00006B010000}"/>
    <hyperlink ref="CX27" r:id="rId310"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6D010000}"/>
    <hyperlink ref="DC27" r:id="rId311"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6E010000}"/>
    <hyperlink ref="DQ27" r:id="rId312"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6F010000}"/>
    <hyperlink ref="DT27" r:id="rId313"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70010000}"/>
    <hyperlink ref="DU27" r:id="rId314"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300-000077010000}"/>
    <hyperlink ref="DV27" r:id="rId315" location="v=onepage&amp;q=louis%20hastings%20sh&quot;&amp;&quot;o&amp;f=false" xr:uid="{00000000-0004-0000-0300-000078010000}"/>
    <hyperlink ref="DW27" r:id="rId316" display="https://www.washingtonpost.com/archive/politics/1984/07/29/6-murders-linked-to-scheme-to-sabotage-alaska-pipeline/58b7985f-54ef-4b1a-842d-eadca72e93c9/?utm_term=.e32e5ce0b729" xr:uid="{00000000-0004-0000-0300-000079010000}"/>
    <hyperlink ref="X28" r:id="rId317" display="https://www.findagrave.com/memorial/12550156/eliseo-hernandez-moreno" xr:uid="{00000000-0004-0000-0300-00007A010000}"/>
    <hyperlink ref="H29" r:id="rId318" display="https://www.nytimes.com/1984/05/21/us/bodies-of-seven-sought-after-shootout-in-alaska.html" xr:uid="{00000000-0004-0000-0300-00007B010000}"/>
    <hyperlink ref="I29" r:id="rId319" xr:uid="{00000000-0004-0000-0300-00007C010000}"/>
    <hyperlink ref="J29" r:id="rId320" xr:uid="{00000000-0004-0000-0300-00007D010000}"/>
    <hyperlink ref="K29" r:id="rId321" display="https://www.nytimes.com/1984/11/11/us/memories-of-springtime-murders-chill-small-alaskan-town.html" xr:uid="{00000000-0004-0000-0300-00007E010000}"/>
    <hyperlink ref="L29" r:id="rId322" display="https://www.nytimes.com/1984/11/11/us/memories-of-springtime-murders-chill-small-alaskan-town.html" xr:uid="{00000000-0004-0000-0300-00007F010000}"/>
    <hyperlink ref="M29" r:id="rId323" display="https://www.nytimes.com/1984/05/21/us/bodies-of-seven-sought-after-shootout-in-alaska.html" xr:uid="{00000000-0004-0000-0300-000080010000}"/>
    <hyperlink ref="S29" r:id="rId324" display="https://www.upi.com/Archives/1984/05/25/Mass-killing-suspect-questioned-before-ambush/9185454305600/" xr:uid="{00000000-0004-0000-0300-000081010000}"/>
    <hyperlink ref="T29" r:id="rId325" display="https://www.chicagotribune.com/news/ct-xpm-1985-09-03-8502270523-story.html" xr:uid="{00000000-0004-0000-0300-000082010000}"/>
    <hyperlink ref="V29" r:id="rId326" display="https://www.nytimes.com/1984/05/21/us/bodies-of-seven-sought-after-shootout-in-alaska.html" xr:uid="{00000000-0004-0000-0300-000083010000}"/>
    <hyperlink ref="W29" r:id="rId327" display="https://www.nytimes.com/1984/11/11/us/memories-of-springtime-murders-chill-small-alaskan-town.html" xr:uid="{00000000-0004-0000-0300-000084010000}"/>
    <hyperlink ref="Y29" r:id="rId328"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300-000085010000}"/>
    <hyperlink ref="AB29" r:id="rId329"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300-000086010000}"/>
    <hyperlink ref="AK29" r:id="rId330"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300-000087010000}"/>
    <hyperlink ref="AL29" r:id="rId331"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300-000088010000}"/>
    <hyperlink ref="AM29" r:id="rId332" display="https://www.nytimes.com/1984/11/11/us/memories-of-springtime-murders-chill-small-alaskan-town.html" xr:uid="{00000000-0004-0000-0300-000089010000}"/>
    <hyperlink ref="AN29" r:id="rId333" display="https://www.nytimes.com/1984/11/11/us/memories-of-springtime-murders-chill-small-alaskan-town.html" xr:uid="{00000000-0004-0000-0300-00008A010000}"/>
    <hyperlink ref="AS29" r:id="rId334" display="https://www.upi.com/Archives/1984/05/25/Mass-killing-suspect-questioned-before-ambush/9185454305600/" xr:uid="{00000000-0004-0000-0300-00008B010000}"/>
    <hyperlink ref="DR29" r:id="rId335"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300-00008C010000}"/>
    <hyperlink ref="BE29" r:id="rId336"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300-00008D010000}"/>
    <hyperlink ref="BI29" r:id="rId337"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300-00008E010000}"/>
    <hyperlink ref="CH29" r:id="rId338"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300-00008F010000}"/>
    <hyperlink ref="DC29" r:id="rId339"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300-000090010000}"/>
    <hyperlink ref="DP29" r:id="rId340" display="https://books.google.com/books?id=DIG_9oBssrAC&amp;pg=PA152&amp;lpg=PA152&amp;dq=the+most+likely+scenario+was+that+silka+had+argued+with+one+or+two+of+the+men&amp;source=bl&amp;ots=fgzCApIpnh&amp;sig=ACfU3U230I5Jt_35ySe0UTzK4wv30GUQrA&amp;hl=en&amp;sa=X&amp;ved=2ahUKEwjixJfllNrhAhUNWa0KHUcC" xr:uid="{00000000-0004-0000-0300-000091010000}"/>
    <hyperlink ref="DT29" r:id="rId341"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300-000092010000}"/>
    <hyperlink ref="DW29" r:id="rId342" display="https://www.nytimes.com/1984/05/21/us/bodies-of-seven-sought-after-shootout-in-alaska.html" xr:uid="{00000000-0004-0000-0300-000096010000}"/>
    <hyperlink ref="T30" r:id="rId343" display="https://www.nytimes.com/1984/06/30/us/6-die-in-dallas-club-as-enraged-man-fires-wildly.html?mcubz=0" xr:uid="{00000000-0004-0000-0300-000097010000}"/>
    <hyperlink ref="Y30" r:id="rId344" display="https://www.nytimes.com/1984/06/30/us/6-die-in-dallas-club-as-enraged-man-fires-wildly.html?mcubz=0" xr:uid="{00000000-0004-0000-0300-00009A010000}"/>
    <hyperlink ref="AA30" r:id="rId345" display="https://www.upi.com/Archives/1984/11/08/The-estranged-wife-of-accused-murderer-Abdelkrim-Belachheb-testified/3858468738000/" xr:uid="{00000000-0004-0000-0300-00009B010000}"/>
    <hyperlink ref="AB30" r:id="rId346" location="v=onepage&amp;q=abdelkrim%20belachheb%20no%20formal%20education&amp;f=false" display="https://books.google.com/books?id=Hr3OBwP-lbUC&amp;pg=PA232&amp;dq=abdelkrim+belachheb+no+formal+education&amp;hl=en&amp;sa=X&amp;ved=0ahUKEwjgtZ_68vXfAhXDpYMKHdLHAzYQ6AEIKDAA - v=onepage&amp;q=abdelkrim%20belachheb%20no%20formal%20education&amp;f=false" xr:uid="{00000000-0004-0000-0300-00009C010000}"/>
    <hyperlink ref="AS30" r:id="rId347" display="https://www.upi.com/Archives/1984/11/08/The-estranged-wife-of-accused-murderer-Abdelkrim-Belachheb-testified/3858468738000/" xr:uid="{00000000-0004-0000-0300-00009D010000}"/>
    <hyperlink ref="AU30" r:id="rId348" display="https://www.upi.com/Archives/1984/11/08/The-estranged-wife-of-accused-murderer-Abdelkrim-Belachheb-testified/3858468738000/" xr:uid="{00000000-0004-0000-0300-00009E010000}"/>
    <hyperlink ref="AV30" r:id="rId349" display="https://www.upi.com/Archives/1984/11/08/The-estranged-wife-of-accused-murderer-Abdelkrim-Belachheb-testified/3858468738000/" xr:uid="{00000000-0004-0000-0300-00009F010000}"/>
    <hyperlink ref="BJ30" r:id="rId350" display="https://www.upi.com/Archives/1984/11/08/The-estranged-wife-of-accused-murderer-Abdelkrim-Belachheb-testified/3858468738000/" xr:uid="{00000000-0004-0000-0300-0000A0010000}"/>
    <hyperlink ref="BK30" r:id="rId351" display="https://www.nytimes.com/1984/06/30/us/6-die-in-dallas-club-as-enraged-man-fires-wildly.html?mcubz=0" xr:uid="{00000000-0004-0000-0300-0000A1010000}"/>
    <hyperlink ref="DP30" r:id="rId352" display="https://www.dallasnews.com/news/news/2014/07/03/mass-murderer-who-was-spared-death-penalty-gets-erased-by-time" xr:uid="{00000000-0004-0000-0300-0000A3010000}"/>
    <hyperlink ref="DW30" r:id="rId353" display="https://www.nytimes.com/1984/06/30/us/6-die-in-dallas-club-as-enraged-man-fires-wildly.html?mcubz=0" xr:uid="{00000000-0004-0000-0300-0000A5010000}"/>
    <hyperlink ref="J31" r:id="rId354" xr:uid="{00000000-0004-0000-0300-0000A6010000}"/>
    <hyperlink ref="K31" r:id="rId355" display="http://articles.latimes.com/1994-07-17/local/me-16553_1_san-ysidro" xr:uid="{00000000-0004-0000-0300-0000A7010000}"/>
    <hyperlink ref="V31" r:id="rId356" display="http://articles.latimes.com/1994-07-17/local/me-16553_1_san-ysidro" xr:uid="{00000000-0004-0000-0300-0000A9010000}"/>
    <hyperlink ref="W31" r:id="rId357" display="http://articles.latimes.com/1994-07-17/local/me-16553_1_san-ysidro" xr:uid="{00000000-0004-0000-0300-0000AA010000}"/>
    <hyperlink ref="X31" r:id="rId358" display="http://www.dailymail.co.uk/news/article-3358291/If-kill-father-Daughter-notorious-San-Ysidro-McDonald-s-gunman-James-Huberty-speaks-trauma-30-years-on.html" xr:uid="{00000000-0004-0000-0300-0000AB010000}"/>
    <hyperlink ref="AA31" r:id="rId359" display="https://www.upi.com/Archives/1984/07/22/Mass-murderer-always-very-sad-and-very-lonely/4891459316800/" xr:uid="{00000000-0004-0000-0300-0000AC010000}"/>
    <hyperlink ref="AI31" r:id="rId360" display="http://www.nytimes.com/1984/07/19/us/coast-man-kills-20-in-rampage-at-a-restaurant.html" xr:uid="{00000000-0004-0000-0300-0000AD010000}"/>
    <hyperlink ref="AU31" r:id="rId361" location="v=snippet&amp;q=huberty%20family%20farm&amp;f=false" display="https://books.google.com/books?id=AqAtjVMGnLIC&amp;q=huberty+family+farm - v=snippet&amp;q=huberty%20family%20farm&amp;f=false" xr:uid="{00000000-0004-0000-0300-0000AE010000}"/>
    <hyperlink ref="AV31" r:id="rId362" location="v=snippet&amp;q=huberty%20family%20farm&amp;f=false" display="https://books.google.com/books?id=AqAtjVMGnLIC&amp;q=huberty+family+farm - v=snippet&amp;q=huberty%20family%20farm&amp;f=false" xr:uid="{00000000-0004-0000-0300-0000AF010000}"/>
    <hyperlink ref="AZ31" r:id="rId363" display="https://www.upi.com/Archives/1984/08/02/Mass-murderer-James-Huberty-tried-to-get-help-from/8825460267200/" xr:uid="{00000000-0004-0000-0300-0000B0010000}"/>
    <hyperlink ref="CI31" r:id="rId364" xr:uid="{00000000-0004-0000-0300-0000B1010000}"/>
    <hyperlink ref="CJ31" r:id="rId365" display="Polio and spastic paralysis" xr:uid="{00000000-0004-0000-0300-0000B2010000}"/>
    <hyperlink ref="DC31" r:id="rId366" display="https://www.washingtonpost.com/archive/politics/1984/07/20/death-blood-in-a-place-of-laughter/a5bb422b-fc48-4289-ab47-0f63d88676cd/?utm_term=.c9a853102a81" xr:uid="{00000000-0004-0000-0300-0000B3010000}"/>
    <hyperlink ref="DT31" r:id="rId367" display="http://www.nytimes.com/1984/07/20/us/weapons-used-by-killer-said-to-be-easy-to-obtain.html" xr:uid="{00000000-0004-0000-0300-0000B4010000}"/>
    <hyperlink ref="DW31" r:id="rId368" display="http://edition.cnn.com/2009/CRIME/07/23/california.mcdonalds.massacre/index.html" xr:uid="{00000000-0004-0000-0300-0000B8010000}"/>
    <hyperlink ref="G32" r:id="rId369" display="https://www.upi.com/Archives/1984/07/25/A-gunman-who-killed-four-people-and-wounded-another/3627459576000/" xr:uid="{00000000-0004-0000-0300-0000B9010000}"/>
    <hyperlink ref="H32" r:id="rId370" display="https://www.upi.com/Archives/1984/07/25/A-gunman-who-killed-four-people-and-wounded-another/3627459576000/" xr:uid="{00000000-0004-0000-0300-0000BA010000}"/>
    <hyperlink ref="K32" r:id="rId371" display="https://www.upi.com/Archives/1984/07/25/A-gunman-who-killed-four-people-and-wounded-another/3627459576000/" xr:uid="{00000000-0004-0000-0300-0000BB010000}"/>
    <hyperlink ref="L32" r:id="rId372" display="https://www.upi.com/Archives/1984/07/25/A-gunman-who-killed-four-people-and-wounded-another/3627459576000/" xr:uid="{00000000-0004-0000-0300-0000BC010000}"/>
    <hyperlink ref="V32" r:id="rId373" display="https://www.upi.com/Archives/1984/07/25/A-gunman-who-killed-four-people-and-wounded-another/3627459576000/" xr:uid="{00000000-0004-0000-0300-0000BD010000}"/>
    <hyperlink ref="W32" r:id="rId374" display="https://www.upi.com/Archives/1984/07/25/A-gunman-who-killed-four-people-and-wounded-another/3627459576000/" xr:uid="{00000000-0004-0000-0300-0000BE010000}"/>
    <hyperlink ref="AS32" r:id="rId375" display="https://www.upi.com/Archives/1984/07/25/A-gunman-who-killed-four-people-and-wounded-another/3627459576000/" xr:uid="{00000000-0004-0000-0300-0000BF010000}"/>
    <hyperlink ref="AZ32" r:id="rId376" display="https://www.upi.com/Archives/1984/07/25/A-gunman-who-killed-four-people-and-wounded-another/3627459576000/" xr:uid="{00000000-0004-0000-0300-0000C0010000}"/>
    <hyperlink ref="BI32" r:id="rId377" display="https://www.upi.com/Archives/1984/07/27/Companion-baffled-by-shooting-spree/1652459748800/" xr:uid="{00000000-0004-0000-0300-0000C1010000}"/>
    <hyperlink ref="BL32" r:id="rId378" display="http://www.nytimes.com/1984/07/26/us/officers-tracing-gunman-s-history.html" xr:uid="{00000000-0004-0000-0300-0000C2010000}"/>
    <hyperlink ref="DC32" r:id="rId379" display="http://www.nytimes.com/1984/07/26/us/officers-tracing-gunman-s-history.html" xr:uid="{00000000-0004-0000-0300-0000C3010000}"/>
    <hyperlink ref="DK32" r:id="rId380" display="https://www.upi.com/Archives/1984/07/25/A-gunman-who-killed-four-people-and-wounded-another/3627459576000/" xr:uid="{00000000-0004-0000-0300-0000C4010000}"/>
    <hyperlink ref="J33" r:id="rId381" xr:uid="{00000000-0004-0000-0300-0000C5010000}"/>
    <hyperlink ref="M33" r:id="rId382" display="https://www.washingtonpost.com/archive/politics/1985/04/05/in-factory-town-fear-of-a-killing-pace/795719f4-fac5-45ee-a5ea-908b039750a8/?noredirect=on&amp;utm_term=.363d4155431a" xr:uid="{00000000-0004-0000-0300-0000C6010000}"/>
    <hyperlink ref="O33" r:id="rId383" display="https://www.upi.com/Archives/1985/03/16/A-factory-worker-who-had-just-been-suspended-from/4288479797200/" xr:uid="{00000000-0004-0000-0300-0000C7010000}"/>
    <hyperlink ref="T33" r:id="rId384" display="https://www.latimes.com/archives/la-xpm-1985-03-17-me-35366-story.html" xr:uid="{00000000-0004-0000-0300-0000C8010000}"/>
    <hyperlink ref="V33" r:id="rId385" display="https://www.washingtonpost.com/archive/politics/1985/04/05/in-factory-town-fear-of-a-killing-pace/795719f4-fac5-45ee-a5ea-908b039750a8/?noredirect=on&amp;utm_term=.363d4155431a" xr:uid="{00000000-0004-0000-0300-0000CA010000}"/>
    <hyperlink ref="AI33" r:id="rId386" display="https://www.washingtonpost.com/archive/politics/1985/04/05/in-factory-town-fear-of-a-killing-pace/795719f4-fac5-45ee-a5ea-908b039750a8/?noredirect=on&amp;utm_term=.363d4155431a" xr:uid="{00000000-0004-0000-0300-0000CB010000}"/>
    <hyperlink ref="AJ33" r:id="rId387" display="https://www.apnews.com/c5d8552f56a7d24ddb1d7e57738d8242" xr:uid="{00000000-0004-0000-0300-0000CC010000}"/>
    <hyperlink ref="AK33" r:id="rId388" display="https://www.washingtonpost.com/archive/politics/1985/04/05/in-factory-town-fear-of-a-killing-pace/795719f4-fac5-45ee-a5ea-908b039750a8/?noredirect=on&amp;utm_term=.363d4155431a" xr:uid="{00000000-0004-0000-0300-0000CD010000}"/>
    <hyperlink ref="BJ33" r:id="rId389" display="https://www.washingtonpost.com/archive/politics/1985/04/05/in-factory-town-fear-of-a-killing-pace/795719f4-fac5-45ee-a5ea-908b039750a8/?noredirect=on&amp;utm_term=.363d4155431a" xr:uid="{00000000-0004-0000-0300-0000CE010000}"/>
    <hyperlink ref="BK33" r:id="rId390" display="https://www.washingtonpost.com/archive/politics/1985/04/05/in-factory-town-fear-of-a-killing-pace/795719f4-fac5-45ee-a5ea-908b039750a8/?noredirect=on&amp;utm_term=.363d4155431a" xr:uid="{00000000-0004-0000-0300-0000CF010000}"/>
    <hyperlink ref="DC33" r:id="rId391" display="https://www.nbcphiladelphia.com/news/local/Memories-of-1985-Pa-Factory-Slayings-Revived-224724192.html" xr:uid="{00000000-0004-0000-0300-0000D0010000}"/>
    <hyperlink ref="DT33" r:id="rId392" display="https://www.nbcphiladelphia.com/news/local/Memories-of-1985-Pa-Factory-Slayings-Revived-224724192.html" xr:uid="{00000000-0004-0000-0300-0000D1010000}"/>
    <hyperlink ref="G34" r:id="rId393" display="https://www.okhistory.org/publications/enc/entry.php?entry=ED003" xr:uid="{00000000-0004-0000-0300-0000D6010000}"/>
    <hyperlink ref="O34" r:id="rId394" display="https://www.nydailynews.com/news/crime/mailman-massacre-14-die-patrick-sherrill-postal-1986-shootings-article-1.204101" xr:uid="{00000000-0004-0000-0300-0000D7010000}"/>
    <hyperlink ref="T34" r:id="rId395" display="http://articles.latimes.com/1986-08-21/news/mn-17529_1_oklahoma-city-post-office" xr:uid="{00000000-0004-0000-0300-0000D8010000}"/>
    <hyperlink ref="V34" r:id="rId396" display="https://www.nydailynews.com/news/crime/mailman-massacre-14-die-patrick-sherrill-postal-1986-shootings-article-1.204101" xr:uid="{00000000-0004-0000-0300-0000D9010000}"/>
    <hyperlink ref="AB34" r:id="rId397" display="https://www.nydailynews.com/news/crime/mailman-massacre-14-die-patrick-sherrill-postal-1986-shootings-article-1.204101" xr:uid="{00000000-0004-0000-0300-0000DA010000}"/>
    <hyperlink ref="AL34" r:id="rId398" display="http://articles.latimes.com/1986-08-21/news/mn-17529_1_oklahoma-city-post-office" xr:uid="{00000000-0004-0000-0300-0000DB010000}"/>
    <hyperlink ref="AQ34" r:id="rId399" display="http://www.vpc.org/studies/wgun860820.htm" xr:uid="{00000000-0004-0000-0300-0000DC010000}"/>
    <hyperlink ref="BC34" r:id="rId400" display="https://newsok.com/article/2177416/sherrill-feared-mental-illness-rejected" xr:uid="{00000000-0004-0000-0300-0000DD010000}"/>
    <hyperlink ref="DW34" r:id="rId401" display="https://www.okhistory.org/publications/enc/entry.php?entry=ED003" xr:uid="{00000000-0004-0000-0300-0000DE010000}"/>
    <hyperlink ref="G35" r:id="rId402" display="http://articles.latimes.com/1987-04-25/news/mn-990_1_palm-bay-police" xr:uid="{00000000-0004-0000-0300-0000DF010000}"/>
    <hyperlink ref="H35" r:id="rId403" display="http://articles.latimes.com/1987-04-25/news/mn-990_1_palm-bay-police" xr:uid="{00000000-0004-0000-0300-0000E0010000}"/>
    <hyperlink ref="J35" r:id="rId404" xr:uid="{00000000-0004-0000-0300-0000E1010000}"/>
    <hyperlink ref="K35" r:id="rId405" display="http://articles.latimes.com/1987-04-25/news/mn-990_1_palm-bay-police" xr:uid="{00000000-0004-0000-0300-0000E2010000}"/>
    <hyperlink ref="L35" r:id="rId406" display="http://articles.latimes.com/1987-04-25/news/mn-990_1_palm-bay-police" xr:uid="{00000000-0004-0000-0300-0000E3010000}"/>
    <hyperlink ref="S35" r:id="rId407" display="http://articles.latimes.com/1987-04-25/news/mn-990_1_palm-bay-police" xr:uid="{00000000-0004-0000-0300-0000E4010000}"/>
    <hyperlink ref="T35" r:id="rId408" display="http://articles.latimes.com/1987-04-25/news/mn-990_1_palm-bay-police" xr:uid="{00000000-0004-0000-0300-0000E5010000}"/>
    <hyperlink ref="V35" r:id="rId409" display="http://articles.latimes.com/1987-04-25/news/mn-990_1_palm-bay-police" xr:uid="{00000000-0004-0000-0300-0000E6010000}"/>
    <hyperlink ref="W35" r:id="rId410" display="http://articles.latimes.com/1987-04-25/news/mn-990_1_palm-bay-police" xr:uid="{00000000-0004-0000-0300-0000E7010000}"/>
    <hyperlink ref="AI35" r:id="rId411" display="http://articles.latimes.com/1987-04-25/news/mn-990_1_palm-bay-police" xr:uid="{00000000-0004-0000-0300-0000E8010000}"/>
    <hyperlink ref="DP35" r:id="rId412" display="http://articles.latimes.com/1987-04-25/news/mn-990_1_palm-bay-police" xr:uid="{00000000-0004-0000-0300-0000E9010000}"/>
    <hyperlink ref="DW35" r:id="rId413" display="http://articles.latimes.com/1987-04-25/news/mn-990_1_palm-bay-police" xr:uid="{00000000-0004-0000-0300-0000EB010000}"/>
    <hyperlink ref="O36" r:id="rId414" display="https://www.washingtonpost.com/archive/politics/1988/02/18/sudden-death-in-sunnyvale/4f50e5d7-0804-4a56-a2af-ced693c3b577/?utm_term=.8a2387bdb2c3" xr:uid="{00000000-0004-0000-0300-0000EC010000}"/>
    <hyperlink ref="Y36" r:id="rId415" location="v=onepage&amp;q=richard%20farley%20shoo&quot;&amp;&quot;ting&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ting&amp;f=false" xr:uid="{00000000-0004-0000-0300-0000ED010000}"/>
    <hyperlink ref="AB36" r:id="rId416" location="v=onepage&amp;q=richard%20farley%20shoo&quot;&amp;&quot;ting&amp;f=false&quot;," display="https://books.google.com/books?id=b54xcYkbSlcC&amp;pg=PA87&amp;lpg=PA87&amp;dq=richard+farley+shooting&amp;source=bl&amp;ots=mmtKSPaUm7&amp;sig=ACfU3U3aVSj4M4X2jtLTryFI834aRIh3yA&amp;hl=en&amp;sa=X&amp;ved=2ahUKEwjx2dqB9ZHkAhVGeawKHZ2FDHU4FBDoATAJegQICRAB - v=onepage&amp;q=richard%20farley%20shoo&quot;&amp;&quot;ting&amp;f=false&quot;," xr:uid="{00000000-0004-0000-0300-0000EE010000}"/>
    <hyperlink ref="AJ36" r:id="rId417" display="https://www.latimes.com/archives/la-xpm-1988-02-18-mn-43514-story.html" xr:uid="{00000000-0004-0000-0300-0000EF010000}"/>
    <hyperlink ref="AU36" r:id="rId418" display="https://www.leagle.com/decision/incaco20090702055" xr:uid="{00000000-0004-0000-0300-0000F0010000}"/>
    <hyperlink ref="BE36" r:id="rId419" location="v=onepage&amp;q=richard%20farley%20shoo&quot;&amp;&quot;ting&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ting&amp;f=false" xr:uid="{00000000-0004-0000-0300-0000F1010000}"/>
    <hyperlink ref="BI36" r:id="rId420" location="v=onepage&amp;q=richard%20farley%20shoo&quot;&amp;&quot;ting&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ting&amp;f=false" xr:uid="{00000000-0004-0000-0300-0000F2010000}"/>
    <hyperlink ref="CA36" r:id="rId421" location="v=onepage&amp;q=richard%20farley%20shoo&quot;&amp;&quot;ting&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ting&amp;f=false" xr:uid="{00000000-0004-0000-0300-0000F3010000}"/>
    <hyperlink ref="DJ36" r:id="rId422" location="v=onepage&amp;q=richard%20farley%20shoo&quot;&amp;&quot;ting&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ting&amp;f=false" xr:uid="{00000000-0004-0000-0300-0000F5010000}"/>
    <hyperlink ref="DK36" r:id="rId423" display="https://www.latimes.com/archives/la-xpm-1988-02-18-mn-43514-story.html" xr:uid="{00000000-0004-0000-0300-0000F6010000}"/>
    <hyperlink ref="DP36" r:id="rId424" location="v=onepage&amp;q=richard%20farley%20shoo&quot;&amp;&quot;ting&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ting&amp;f=false" xr:uid="{00000000-0004-0000-0300-0000F7010000}"/>
    <hyperlink ref="DY36" r:id="rId425" location="v=onepage&amp;q=rich&quot;&amp;&quot;ard%20farley%20shooting%20trial%20not%20guilty&amp;f=false" display="https://books.google.com/books?id=cmTxCQAAQBAJ&amp;pg=PA160&amp;lpg=PA160&amp;dq=richard+farley+shooting+trial+not+guilty&amp;source=bl&amp;ots=eXVELWeQuC&amp;sig=ACfU3U0k_SqyWDzNiMqUfvoFxX96GSMB-g&amp;hl=en&amp;sa=X&amp;ved=2ahUKEwjw0tW1iJLkAhVBRa0KHbw8BOs4ChDoATADegQICRAB - v=onepage&amp;q=rich&quot;&amp;&quot;ard%20farley%20shooting%20trial%20not%20guilty&amp;f=false" xr:uid="{00000000-0004-0000-0300-0000F8010000}"/>
    <hyperlink ref="G37" r:id="rId426" display="http://www.the-dispatch.com/news/20130712/emotions-run-high-25-years-after-hayes-shootings" xr:uid="{00000000-0004-0000-0300-0000F9010000}"/>
    <hyperlink ref="H37" r:id="rId427" display="http://www.the-dispatch.com/news/20130712/emotions-run-high-25-years-after-hayes-shootings" xr:uid="{00000000-0004-0000-0300-0000FA010000}"/>
    <hyperlink ref="J37" r:id="rId428" xr:uid="{00000000-0004-0000-0300-0000FB010000}"/>
    <hyperlink ref="L37" r:id="rId429" display="http://www.nytimes.com/1988/07/19/us/four-motorists-are-shot-to-death-gunman-wounded-in-12-minutes.html" xr:uid="{00000000-0004-0000-0300-0000FC010000}"/>
    <hyperlink ref="M37" r:id="rId430" display="http://www.wral.com/news/local/story/7609273/" xr:uid="{00000000-0004-0000-0300-0000FD010000}"/>
    <hyperlink ref="O37" r:id="rId431" display="https://www.nytimes.com/1988/07/19/us/four-motorists-are-shot-to-death-gunman-wounded-in-12-minutes.html" xr:uid="{00000000-0004-0000-0300-0000FE010000}"/>
    <hyperlink ref="S37" r:id="rId432" display="http://www.nytimes.com/1988/07/19/us/four-motorists-are-shot-to-death-gunman-wounded-in-12-minutes.html" xr:uid="{00000000-0004-0000-0300-0000FF010000}"/>
    <hyperlink ref="T37" r:id="rId433" display="https://www.nytimes.com/1988/07/19/us/four-motorists-are-shot-to-death-gunman-wounded-in-12-minutes.html" xr:uid="{00000000-0004-0000-0300-000000020000}"/>
    <hyperlink ref="V37" r:id="rId434" display="http://www.nytimes.com/1988/07/19/us/four-motorists-are-shot-to-death-gunman-wounded-in-12-minutes.html" xr:uid="{00000000-0004-0000-0300-000002020000}"/>
    <hyperlink ref="W37" r:id="rId435" display="http://www.the-dispatch.com/news/20130712/emotions-run-high-25-years-after-hayes-shootings" xr:uid="{00000000-0004-0000-0300-000003020000}"/>
    <hyperlink ref="X37" r:id="rId436" display="https://www.journalnow.com/news/local/for-first-time-in-years-michael-hayes-is-free-of/article_d5514c21-a980-5bf3-934e-53b3e76e8c05.html" xr:uid="{00000000-0004-0000-0300-000004020000}"/>
    <hyperlink ref="AJ37" r:id="rId437" display="https://www.nytimes.com/1988/07/19/us/four-motorists-are-shot-to-death-gunman-wounded-in-12-minutes.html" xr:uid="{00000000-0004-0000-0300-000005020000}"/>
    <hyperlink ref="AK37" r:id="rId438" display="http://www.the-dispatch.com/news/20130712/emotions-run-high-25-years-after-hayes-shootings" xr:uid="{00000000-0004-0000-0300-000006020000}"/>
    <hyperlink ref="AL37" r:id="rId439" display="http://www.the-dispatch.com/news/20130712/emotions-run-high-25-years-after-hayes-shootings" xr:uid="{00000000-0004-0000-0300-000007020000}"/>
    <hyperlink ref="AQ37" r:id="rId440" display="https://law.justia.com/cases/north-carolina/court-of-appeals/1991/9021sc308-1.html" xr:uid="{00000000-0004-0000-0300-000008020000}"/>
    <hyperlink ref="AS37" r:id="rId441" display="https://www.nytimes.com/1988/07/19/us/four-motorists-are-shot-to-death-gunman-wounded-in-12-minutes.html" xr:uid="{00000000-0004-0000-0300-000009020000}"/>
    <hyperlink ref="BE37" r:id="rId442" display="https://www.upi.com/Archives/1988/07/19/Hospital-denies-commitment-sought-for-gunman/1978585288000/" xr:uid="{00000000-0004-0000-0300-00000A020000}"/>
    <hyperlink ref="BJ37" r:id="rId443" display="http://www.nytimes.com/1988/07/19/us/four-motorists-are-shot-to-death-gunman-wounded-in-12-minutes.html" xr:uid="{00000000-0004-0000-0300-00000B020000}"/>
    <hyperlink ref="BK37" r:id="rId444" display="http://www.journalnow.com/news/local/for-first-time-in-years-michael-hayes-is-free-of/article_d5514c21-a980-5bf3-934e-53b3e76e8c05.html" xr:uid="{00000000-0004-0000-0300-00000C020000}"/>
    <hyperlink ref="BY37" r:id="rId445" display="https://www.upi.com/Archives/1988/07/19/Hospital-denies-commitment-sought-for-gunman/1978585288000/" xr:uid="{00000000-0004-0000-0300-00000D020000}"/>
    <hyperlink ref="BZ37" r:id="rId446" display="https://www.upi.com/Archives/1988/07/19/Hospital-denies-commitment-sought-for-gunman/1978585288000/" xr:uid="{00000000-0004-0000-0300-00000E020000}"/>
    <hyperlink ref="CH37" r:id="rId447" display="https://www.wral.com/news/local/story/7609273/" xr:uid="{00000000-0004-0000-0300-00000F020000}"/>
    <hyperlink ref="DC37" r:id="rId448" display="https://law.justia.com/cases/north-carolina/court-of-appeals/1991/9021sc308-1.html" xr:uid="{00000000-0004-0000-0300-000010020000}"/>
    <hyperlink ref="DT37" r:id="rId449" display="http://www.journalnow.com/news/local/for-first-time-in-years-michael-hayes-is-free-of/article_d5514c21-a980-5bf3-934e-53b3e76e8c05.html" xr:uid="{00000000-0004-0000-0300-000011020000}"/>
    <hyperlink ref="DW37" r:id="rId450" display="https://caselaw.findlaw.com/nc-court-of-appeals/1209558.html" xr:uid="{00000000-0004-0000-0300-000016020000}"/>
    <hyperlink ref="M38" r:id="rId451" display="http://articles.latimes.com/1988-09-23/news/mn-2824_1_police-officer" xr:uid="{00000000-0004-0000-0300-000017020000}"/>
    <hyperlink ref="O38" r:id="rId452" display="https://www.chicagotribune.com/news/ct-xpm-1988-09-23-8802010552-story.html" xr:uid="{00000000-0004-0000-0300-000018020000}"/>
    <hyperlink ref="T38" r:id="rId453" display="https://www.nytimes.com/1988/09/23/us/chicago-man-kills-4-and-wounds-2-before-dying-in-a-shootout.html" xr:uid="{00000000-0004-0000-0300-000019020000}"/>
    <hyperlink ref="AK38" r:id="rId454" display="https://www.upi.com/Archives/1988/09/23/The-partner-of-a-slain-policewoman-who-took-three/7216590990400/" xr:uid="{00000000-0004-0000-0300-00001A020000}"/>
    <hyperlink ref="AL38" r:id="rId455" display="https://www.upi.com/Archives/1988/09/23/The-partner-of-a-slain-policewoman-who-took-three/7216590990400/" xr:uid="{00000000-0004-0000-0300-00001B020000}"/>
    <hyperlink ref="AS38" r:id="rId456" display="https://www.chicagotribune.com/news/ct-xpm-1988-09-23-8802010546-story.html" xr:uid="{00000000-0004-0000-0300-00001C020000}"/>
    <hyperlink ref="BI38" r:id="rId457" display="https://www.chicagotribune.com/news/ct-xpm-1988-09-23-8802010546-story.html" xr:uid="{00000000-0004-0000-0300-00001D020000}"/>
    <hyperlink ref="CE38" r:id="rId458" display="https://www.chicagotribune.com/news/ct-xpm-1988-09-23-8802010546-story.html" xr:uid="{00000000-0004-0000-0300-00001E020000}"/>
    <hyperlink ref="K39" r:id="rId459" display="https://www.nytimes.com/1989/01/18/us/five-children-killed-as-gunman-attacks-a-california-school.html" xr:uid="{00000000-0004-0000-0300-000020020000}"/>
    <hyperlink ref="L39" r:id="rId460" display="https://www.nytimes.com/1989/01/18/us/five-children-killed-as-gunman-attacks-a-california-school.html" xr:uid="{00000000-0004-0000-0300-000021020000}"/>
    <hyperlink ref="O39" r:id="rId461" display="https://www.mercurynews.com/2014/01/16/stockton-shooting-25-years-later-city-cant-forget-its-worst-day/" xr:uid="{00000000-0004-0000-0300-000022020000}"/>
    <hyperlink ref="T39" r:id="rId462" display="https://www.mercurynews.com/2014/01/16/stockton-shooting-25-years-later-city-cant-forget-its-worst-day/" xr:uid="{00000000-0004-0000-0300-000023020000}"/>
    <hyperlink ref="Y39" r:id="rId463" display="https://www.nytimes.com/1989/01/20/us/killer-depicted-as-loner-full-of-hate.html" xr:uid="{00000000-0004-0000-0300-000024020000}"/>
    <hyperlink ref="AJ39" r:id="rId464" display="https://www.nytimes.com/1989/01/20/us/killer-depicted-as-loner-full-of-hate.html" xr:uid="{00000000-0004-0000-0300-000025020000}"/>
    <hyperlink ref="AL39" r:id="rId465" display="https://www.nytimes.com/1989/01/20/us/killer-depicted-as-loner-full-of-hate.html" xr:uid="{00000000-0004-0000-0300-000026020000}"/>
    <hyperlink ref="AM39" r:id="rId466" display="https://www.nytimes.com/1989/01/20/us/killer-depicted-as-loner-full-of-hate.html" xr:uid="{00000000-0004-0000-0300-000027020000}"/>
    <hyperlink ref="AT39" r:id="rId467" location="v=onepage&amp;q=patrick%20purdy%20hit%20his%20mother&amp;f=false" display="https://books.google.com/books?id=aaLTDwAAQBAJ&amp;pg=PA538&amp;lpg=PA538&amp;dq=patrick+purdy+hit+his+mother&amp;source=bl&amp;ots=aruea2Bwq5&amp;sig=ACfU3U1mXAuXFIvioUnEboXXLDFw0bmrNQ&amp;hl=en&amp;sa=X&amp;ved=2ahUKEwi6s4fVgL7pAhWGWM0KHdXqAUAQ6AEwBHoECAoQAQ - v=onepage&amp;q=patrick%20purdy%20hit%20his%20mother&amp;f=false" xr:uid="{00000000-0004-0000-0300-000028020000}"/>
    <hyperlink ref="AU39" r:id="rId468" location="v=onepage&amp;q=patrick%20purdy%20hit%20his%20mother&amp;f=false" display="https://books.google.com/books?id=aaLTDwAAQBAJ&amp;pg=PA538&amp;lpg=PA538&amp;dq=patrick+purdy+hit+his+mother&amp;source=bl&amp;ots=aruea2Bwq5&amp;sig=ACfU3U1mXAuXFIvioUnEboXXLDFw0bmrNQ&amp;hl=en&amp;sa=X&amp;ved=2ahUKEwi6s4fVgL7pAhWGWM0KHdXqAUAQ6AEwBHoECAoQAQ - v=onepage&amp;q=patrick%20purdy%20hit%20his%20mother&amp;f=false" xr:uid="{00000000-0004-0000-0300-000029020000}"/>
    <hyperlink ref="BJ39" r:id="rId469" display="https://www.upi.com/Archives/1989/01/20/Schoolyard-gunman-laid-to-rest/9720601275600/" xr:uid="{00000000-0004-0000-0300-00002A020000}"/>
    <hyperlink ref="DT39" r:id="rId470" display="https://schoolshooters.info/sites/default/files/Purdy - official report.pdf" xr:uid="{00000000-0004-0000-0300-00002B020000}"/>
    <hyperlink ref="G40" r:id="rId471" display="https://www.nytimes.com/1989/09/16/us/disturbed-past-of-killer-of-7-is-unraveled.html" xr:uid="{00000000-0004-0000-0300-00002E020000}"/>
    <hyperlink ref="H40" r:id="rId472" display="https://www.nytimes.com/1989/09/16/us/disturbed-past-of-killer-of-7-is-unraveled.html" xr:uid="{00000000-0004-0000-0300-00002F020000}"/>
    <hyperlink ref="J40" r:id="rId473" xr:uid="{00000000-0004-0000-0300-000030020000}"/>
    <hyperlink ref="K40" r:id="rId474" display="https://www.apnews.com/fcc5d4beb0b9b29a6e2353939bad33bc" xr:uid="{00000000-0004-0000-0300-000031020000}"/>
    <hyperlink ref="M40" r:id="rId475" display="https://www.nytimes.com/1989/09/16/us/disturbed-past-of-killer-of-7-is-unraveled.html" xr:uid="{00000000-0004-0000-0300-000032020000}"/>
    <hyperlink ref="T40" r:id="rId476" display="https://www.wdrb.com/news/today-marks--year-anniversary-of-standard-gravure-shooting/article_ee7bba96-66ee-5926-8ee6-a519aa39c870.html" xr:uid="{00000000-0004-0000-0300-000033020000}"/>
    <hyperlink ref="V40" r:id="rId477" display="https://www.nytimes.com/1989/09/16/us/disturbed-past-of-killer-of-7-is-unraveled.html" xr:uid="{00000000-0004-0000-0300-000034020000}"/>
    <hyperlink ref="W40" r:id="rId478" display="https://www.nytimes.com/1989/09/16/us/disturbed-past-of-killer-of-7-is-unraveled.html" xr:uid="{00000000-0004-0000-0300-000035020000}"/>
    <hyperlink ref="AB40" r:id="rId479" display="https://www.nytimes.com/1989/09/17/us/survivors-of-shooting-and-gunman-s-relatives-ponder-sad-riddles.html" xr:uid="{00000000-0004-0000-0300-000036020000}"/>
    <hyperlink ref="AI40" r:id="rId480" display="https://www.nytimes.com/1989/09/17/us/survivors-of-shooting-and-gunman-s-relatives-ponder-sad-riddles.html" xr:uid="{00000000-0004-0000-0300-000037020000}"/>
    <hyperlink ref="AJ40" r:id="rId481" display="https://www.nytimes.com/1989/09/17/us/survivors-of-shooting-and-gunman-s-relatives-ponder-sad-riddles.html" xr:uid="{00000000-0004-0000-0300-000038020000}"/>
    <hyperlink ref="AL40" r:id="rId482" display="https://www.nytimes.com/1989/09/16/us/disturbed-past-of-killer-of-7-is-unraveled.html" xr:uid="{00000000-0004-0000-0300-000039020000}"/>
    <hyperlink ref="DR40" r:id="rId483" display="https://www.nytimes.com/1989/09/17/us/survivors-of-shooting-and-gunman-s-relatives-ponder-sad-riddles.html" xr:uid="{00000000-0004-0000-0300-00003A020000}"/>
    <hyperlink ref="BE40" r:id="rId484" display="https://www.nytimes.com/1989/09/17/us/survivors-of-shooting-and-gunman-s-relatives-ponder-sad-riddles.html" xr:uid="{00000000-0004-0000-0300-00003B020000}"/>
    <hyperlink ref="BJ40" r:id="rId485" display="https://www.nytimes.com/1989/09/17/us/survivors-of-shooting-and-gunman-s-relatives-ponder-sad-riddles.html" xr:uid="{00000000-0004-0000-0300-00003C020000}"/>
    <hyperlink ref="BL40" r:id="rId486" display="https://www.nytimes.com/1989/09/17/us/survivors-of-shooting-and-gunman-s-relatives-ponder-sad-riddles.html" xr:uid="{00000000-0004-0000-0300-00003D020000}"/>
    <hyperlink ref="BY40" r:id="rId487" display="https://www.nytimes.com/1989/09/16/us/disturbed-past-of-killer-of-7-is-unraveled.html" xr:uid="{00000000-0004-0000-0300-00003E020000}"/>
    <hyperlink ref="BZ40" r:id="rId488" display="https://www.nytimes.com/1989/09/16/us/disturbed-past-of-killer-of-7-is-unraveled.html" xr:uid="{00000000-0004-0000-0300-00003F020000}"/>
    <hyperlink ref="CI40" r:id="rId489" display="https://www.apnews.com/fcc5d4beb0b9b29a6e2353939bad33bc" xr:uid="{00000000-0004-0000-0300-000040020000}"/>
    <hyperlink ref="CJ40" r:id="rId490" display="Debilitating mental health issues" xr:uid="{00000000-0004-0000-0300-000041020000}"/>
    <hyperlink ref="DK40" r:id="rId491" display="https://www.nytimes.com/1989/09/16/us/disturbed-past-of-killer-of-7-is-unraveled.html" xr:uid="{00000000-0004-0000-0300-000042020000}"/>
    <hyperlink ref="DT40" r:id="rId492" display="https://www.nytimes.com/1989/09/16/us/disturbed-past-of-killer-of-7-is-unraveled.html" xr:uid="{00000000-0004-0000-0300-000043020000}"/>
    <hyperlink ref="G41" r:id="rId493" display="http://www.nytimes.com/1990/06/19/us/florida-gunman-kills-8-and-wounds-6-in-office.html" xr:uid="{00000000-0004-0000-0300-000046020000}"/>
    <hyperlink ref="H41" r:id="rId494" display="http://www.nytimes.com/1990/06/19/us/florida-gunman-kills-8-and-wounds-6-in-office.html" xr:uid="{00000000-0004-0000-0300-000047020000}"/>
    <hyperlink ref="J41" r:id="rId495" xr:uid="{00000000-0004-0000-0300-000048020000}"/>
    <hyperlink ref="K41" r:id="rId496" display="http://www.nytimes.com/1990/06/19/us/florida-gunman-kills-8-and-wounds-6-in-office.html" xr:uid="{00000000-0004-0000-0300-000049020000}"/>
    <hyperlink ref="M41" r:id="rId497" display="http://articles.latimes.com/1990-06-19/news/mn-52_1_office-workers" xr:uid="{00000000-0004-0000-0300-00004A020000}"/>
    <hyperlink ref="V41" r:id="rId498" display="http://www.nytimes.com/1990/06/19/us/florida-gunman-kills-8-and-wounds-6-in-office.html" xr:uid="{00000000-0004-0000-0300-00004D020000}"/>
    <hyperlink ref="W41" r:id="rId499" display="http://www.nytimes.com/1990/06/19/us/florida-gunman-kills-8-and-wounds-6-in-office.html" xr:uid="{00000000-0004-0000-0300-00004E020000}"/>
    <hyperlink ref="AI41" r:id="rId500" display="https://www.deseretnews.com/article/107923/911-TAPE-TELLS-HORROR-OF-FLORIDA-MASSACRE.html" xr:uid="{00000000-0004-0000-0300-00004F020000}"/>
    <hyperlink ref="AU41" r:id="rId501" display="https://news.google.com/newspapers?id=EPMRAAAAIBAJ&amp;sjid=PuoDAAAAIBAJ&amp;pg=6902,6441532&amp;dq=pough" xr:uid="{00000000-0004-0000-0300-000050020000}"/>
    <hyperlink ref="AV41" r:id="rId502" display="https://www.thetrace.org/2015/12/domestic-abuse-gun-ownership-planned-parenthood-shooting/" xr:uid="{00000000-0004-0000-0300-000051020000}"/>
    <hyperlink ref="DW41" r:id="rId503" display="http://www.nytimes.com/1990/06/19/us/florida-gunman-kills-8-and-wounds-6-in-office.html" xr:uid="{00000000-0004-0000-0300-000053020000}"/>
    <hyperlink ref="G42" r:id="rId504" display="http://www.nytimes.com/1991/10/11/nyregion/4-slain-in-2-new-jersey-attacks-and-former-postal-clerk-is-held.html?pagewanted=all" xr:uid="{00000000-0004-0000-0300-000054020000}"/>
    <hyperlink ref="H42" r:id="rId505" display="http://www.nytimes.com/1991/10/11/nyregion/4-slain-in-2-new-jersey-attacks-and-former-postal-clerk-is-held.html?pagewanted=all" xr:uid="{00000000-0004-0000-0300-000055020000}"/>
    <hyperlink ref="J42" r:id="rId506" xr:uid="{00000000-0004-0000-0300-000056020000}"/>
    <hyperlink ref="K42" r:id="rId507" display="http://www.nytimes.com/1991/10/11/nyregion/4-slain-in-2-new-jersey-attacks-and-former-postal-clerk-is-held.html?pagewanted=all" xr:uid="{00000000-0004-0000-0300-000057020000}"/>
    <hyperlink ref="M42" r:id="rId508" display="https://www.nytimes.com/1991/10/13/nyregion/death-invades-a-tranquil-village-and-ridgewood-deals-with-horror.html?pagewanted=all&amp;src=pm" xr:uid="{00000000-0004-0000-0300-000058020000}"/>
    <hyperlink ref="O42" r:id="rId509" display="https://www.nytimes.com/1991/10/11/nyregion/4-slain-in-2-new-jersey-attacks-and-former-postal-clerk-is-held.html?pagewanted=all" xr:uid="{00000000-0004-0000-0300-000059020000}"/>
    <hyperlink ref="S42" r:id="rId510" display="http://www.nytimes.com/1991/10/11/nyregion/4-slain-in-2-new-jersey-attacks-and-former-postal-clerk-is-held.html?pagewanted=all" xr:uid="{00000000-0004-0000-0300-00005A020000}"/>
    <hyperlink ref="V42" r:id="rId511" display="http://www.nytimes.com/1991/10/11/nyregion/4-slain-in-2-new-jersey-attacks-and-former-postal-clerk-is-held.html?pagewanted=all" xr:uid="{00000000-0004-0000-0300-00005C020000}"/>
    <hyperlink ref="W42" r:id="rId512" display="http://www.nytimes.com/1991/10/11/nyregion/4-slain-in-2-new-jersey-attacks-and-former-postal-clerk-is-held.html?pagewanted=all" xr:uid="{00000000-0004-0000-0300-00005D020000}"/>
    <hyperlink ref="AI42" r:id="rId513" xr:uid="{00000000-0004-0000-0300-00005E020000}"/>
    <hyperlink ref="AK42" r:id="rId514" display="http://www.nytimes.com/1991/10/11/nyregion/4-slain-in-2-new-jersey-attacks-and-former-postal-clerk-is-held.html?pagewanted=all" xr:uid="{00000000-0004-0000-0300-00005F020000}"/>
    <hyperlink ref="AL42" r:id="rId515" display="https://www.washingtonpost.com/archive/politics/1991/10/13/ex-postal-worker-held-in-bosss-slaying/6005549f-1768-4097-9aa8-b16b03d589d3/?utm_term=.02aaf494733b" xr:uid="{00000000-0004-0000-0300-000060020000}"/>
    <hyperlink ref="AM42" r:id="rId516" display="http://www.nytimes.com/1991/10/11/nyregion/4-slain-in-2-new-jersey-attacks-and-former-postal-clerk-is-held.html?pagewanted=all" xr:uid="{00000000-0004-0000-0300-000061020000}"/>
    <hyperlink ref="AN42" r:id="rId517" display="http://www.nytimes.com/1991/10/11/nyregion/4-slain-in-2-new-jersey-attacks-and-former-postal-clerk-is-held.html?pagewanted=all" xr:uid="{00000000-0004-0000-0300-000062020000}"/>
    <hyperlink ref="DR42" r:id="rId518" display="https://www.nytimes.com/1991/10/11/nyregion/4-slain-in-2-new-jersey-attacks-and-former-postal-clerk-is-held.html?pagewanted=all" xr:uid="{00000000-0004-0000-0300-000063020000}"/>
    <hyperlink ref="BC42" r:id="rId519" display="https://www.washingtonpost.com/archive/politics/1991/10/13/ex-postal-worker-held-in-bosss-slaying/6005549f-1768-4097-9aa8-b16b03d589d3/?utm_term=.02aaf494733b" xr:uid="{00000000-0004-0000-0300-000064020000}"/>
    <hyperlink ref="BE42" r:id="rId520" display="https://www.nytimes.com/1991/10/11/nyregion/4-slain-in-2-new-jersey-attacks-and-former-postal-clerk-is-held.html?pagewanted=all" xr:uid="{00000000-0004-0000-0300-000065020000}"/>
    <hyperlink ref="BK42" r:id="rId521" display="https://www.nytimes.com/1991/10/11/nyregion/4-slain-in-2-new-jersey-attacks-and-former-postal-clerk-is-held.html?pagewanted=all" xr:uid="{00000000-0004-0000-0300-000066020000}"/>
    <hyperlink ref="DJ42" r:id="rId522" display="https://newsok.com/article/2371623/fired-postal-worker-charged-in-killings" xr:uid="{00000000-0004-0000-0300-000067020000}"/>
    <hyperlink ref="DP42" r:id="rId523" display="https://newsok.com/article/2371623/fired-postal-worker-charged-in-killings" xr:uid="{00000000-0004-0000-0300-000068020000}"/>
    <hyperlink ref="DW42" r:id="rId524" display="http://www.nytimes.com/1991/10/11/nyregion/4-slain-in-2-new-jersey-attacks-and-former-postal-clerk-is-held.html?pagewanted=all" xr:uid="{00000000-0004-0000-0300-00006C020000}"/>
    <hyperlink ref="G43" r:id="rId525" display="http://www.nytimes.com/1991/10/18/us/portrait-of-texas-killer-impatient-and-troubled.html?pagewanted=all" xr:uid="{00000000-0004-0000-0300-00006D020000}"/>
    <hyperlink ref="H43" r:id="rId526" display="http://www.nytimes.com/1991/10/18/us/portrait-of-texas-killer-impatient-and-troubled.html?pagewanted=all" xr:uid="{00000000-0004-0000-0300-00006E020000}"/>
    <hyperlink ref="M43" r:id="rId527" display="http://articles.latimes.com/1991-10-19/news/mn-536_1_ordinary-people" xr:uid="{00000000-0004-0000-0300-00006F020000}"/>
    <hyperlink ref="V43" r:id="rId528" display="http://www.nytimes.com/1991/10/18/us/portrait-of-texas-killer-impatient-and-troubled.html?pagewanted=all" xr:uid="{00000000-0004-0000-0300-000071020000}"/>
    <hyperlink ref="W43" r:id="rId529" display="http://www.nytimes.com/1991/10/18/us/portrait-of-texas-killer-impatient-and-troubled.html?pagewanted=all" xr:uid="{00000000-0004-0000-0300-000072020000}"/>
    <hyperlink ref="AB43" r:id="rId530" display="http://www.nytimes.com/1991/10/18/us/portrait-of-texas-killer-impatient-and-troubled.html?pagewanted=all" xr:uid="{00000000-0004-0000-0300-000073020000}"/>
    <hyperlink ref="AI43" r:id="rId531" display="http://www.nytimes.com/1991/10/18/us/portrait-of-texas-killer-impatient-and-troubled.html?pagewanted=all" xr:uid="{00000000-0004-0000-0300-000074020000}"/>
    <hyperlink ref="AL43" r:id="rId532" display="http://www.nytimes.com/1991/10/18/us/portrait-of-texas-killer-impatient-and-troubled.html?pagewanted=all" xr:uid="{00000000-0004-0000-0300-000075020000}"/>
    <hyperlink ref="AM43" r:id="rId533" display="http://www.crimemagazine.com/lubys-cafeteria-massacre-1991" xr:uid="{00000000-0004-0000-0300-000076020000}"/>
    <hyperlink ref="AN43" r:id="rId534" display="http://www.crimemagazine.com/lubys-cafeteria-massacre-1991" xr:uid="{00000000-0004-0000-0300-000077020000}"/>
    <hyperlink ref="AQ43" r:id="rId535" display="http://articles.latimes.com/1991-10-21/news/mn-177_1_lake-mead-in-june" xr:uid="{00000000-0004-0000-0300-000078020000}"/>
    <hyperlink ref="BD43" r:id="rId536" display="http://www.crimemagazine.com/lubys-cafeteria-massacre-1991" xr:uid="{00000000-0004-0000-0300-000079020000}"/>
    <hyperlink ref="BZ43" r:id="rId537" display="http://www.nytimes.com/1991/10/18/us/portrait-of-texas-killer-impatient-and-troubled.html?pagewanted=all" xr:uid="{00000000-0004-0000-0300-00007A020000}"/>
    <hyperlink ref="CA43" r:id="rId538" display="http://www.nytimes.com/1991/10/18/us/portrait-of-texas-killer-impatient-and-troubled.html?pagewanted=all" xr:uid="{00000000-0004-0000-0300-00007B020000}"/>
    <hyperlink ref="CH43" r:id="rId539" display="https://www.nytimes.com/1991/10/18/us/portrait-of-texas-killer-impatient-and-troubled.html?pagewanted=all&amp;mtrref=undefined" xr:uid="{00000000-0004-0000-0300-00007C020000}"/>
    <hyperlink ref="DC43" r:id="rId540" display="https://www.nytimes.com/1991/10/18/us/portrait-of-texas-killer-impatient-and-troubled.html?pagewanted=all" xr:uid="{00000000-0004-0000-0300-00007D020000}"/>
    <hyperlink ref="DJ43" r:id="rId541" display="http://www.crimemagazine.com/lubys-cafeteria-massacre-1991" xr:uid="{00000000-0004-0000-0300-00007E020000}"/>
    <hyperlink ref="DK43" r:id="rId542" display="http://www.crimemagazine.com/lubys-cafeteria-massacre-1991" xr:uid="{00000000-0004-0000-0300-00007F020000}"/>
    <hyperlink ref="DT43" r:id="rId543" display="http://www.nytimes.com/1991/10/18/us/portrait-of-texas-killer-impatient-and-troubled.html?pagewanted=all" xr:uid="{00000000-0004-0000-0300-000080020000}"/>
    <hyperlink ref="DW43" r:id="rId544" display="http://articles.latimes.com/1991-10-22/news/mn-176_1_illegal-drugs" xr:uid="{00000000-0004-0000-0300-000085020000}"/>
    <hyperlink ref="M44" r:id="rId545" display="https://www.nytimes.com/1991/11/03/us/gunman-in-iowa-wrote-of-plans-in-five-letters.html" xr:uid="{00000000-0004-0000-0300-000086020000}"/>
    <hyperlink ref="V44" r:id="rId546" display="http://www.thegazette.com/subject/news/education/higher-education/friends-of-university-of-iowa-student-say-he-was-expelled-following-online-threat-referencing-gang-lu-shooting-20160210" xr:uid="{00000000-0004-0000-0300-000087020000}"/>
    <hyperlink ref="AI44" r:id="rId547" display="https://schoolshooters.info/sites/default/files/lu_sister_letter_1.0.pdf" xr:uid="{00000000-0004-0000-0300-000088020000}"/>
    <hyperlink ref="AJ44" r:id="rId548" display="https://schoolshooters.info/sites/default/files/lu_sister_letter_1.0.pdf" xr:uid="{00000000-0004-0000-0300-000089020000}"/>
    <hyperlink ref="BJ44" r:id="rId549" display="https://schoolshooters.info/sites/default/files/lu_sister_letter_1.0.pdf" xr:uid="{00000000-0004-0000-0300-00008A020000}"/>
    <hyperlink ref="BZ44" r:id="rId550" display="http://www.thegazette.com/subject/news/education/higher-education/friends-of-university-of-iowa-student-say-he-was-expelled-following-online-threat-referencing-gang-lu-shooting-20160210" xr:uid="{00000000-0004-0000-0300-00008B020000}"/>
    <hyperlink ref="CA44" r:id="rId551" display="http://www.thegazette.com/subject/news/education/higher-education/friends-of-university-of-iowa-student-say-he-was-expelled-following-online-threat-referencing-gang-lu-shooting-20160210" xr:uid="{00000000-0004-0000-0300-00008C020000}"/>
    <hyperlink ref="CC44" r:id="rId552" display="https://schoolshooters.info/sites/default/files/tally_medications_substance_abuse_1.3.pdf" xr:uid="{00000000-0004-0000-0300-00008D020000}"/>
    <hyperlink ref="DK44" r:id="rId553" display="http://www.nytimes.com/1991/11/02/us/student-opens-fire-at-u-of-iowa-killing-4-before-shooting-himself.html" xr:uid="{00000000-0004-0000-0300-00008E020000}"/>
    <hyperlink ref="J45" r:id="rId554" xr:uid="{00000000-0004-0000-0300-00008F020000}"/>
    <hyperlink ref="K45" r:id="rId555" display="https://www.washingtonpost.com/archive/politics/1991/11/11/gunman-kills-four-and-self-in-kentucky/c3111990-c0ec-48f8-9200-4fa837a1dba4/?utm_term=.c035ec2ccc5f" xr:uid="{00000000-0004-0000-0300-000090020000}"/>
    <hyperlink ref="L45" r:id="rId556" display="https://www.washingtonpost.com/archive/politics/1991/11/11/gunman-kills-four-and-self-in-kentucky/c3111990-c0ec-48f8-9200-4fa837a1dba4/?utm_term=.c035ec2ccc5f" xr:uid="{00000000-0004-0000-0300-000091020000}"/>
    <hyperlink ref="O45" r:id="rId557" display="https://www.apnews.com/2ef3eeb1eb4f91024720120a176329c8" xr:uid="{00000000-0004-0000-0300-000092020000}"/>
    <hyperlink ref="AJ45" r:id="rId558" display="https://www.newspapers.com/clip/45307702/obituary-for-robert-daigneau-aged-45/" xr:uid="{00000000-0004-0000-0300-000093020000}"/>
    <hyperlink ref="AQ45" r:id="rId559" display="https://www.apnews.com/2ef3eeb1eb4f91024720120a176329c8" xr:uid="{00000000-0004-0000-0300-000094020000}"/>
    <hyperlink ref="AS45" r:id="rId560" display="https://www.apnews.com/2ef3eeb1eb4f91024720120a176329c8" xr:uid="{00000000-0004-0000-0300-000095020000}"/>
    <hyperlink ref="AU45" r:id="rId561" display="https://apnews.com/2ef3eeb1eb4f91024720120a176329c8" xr:uid="{00000000-0004-0000-0300-000096020000}"/>
    <hyperlink ref="BZ45" r:id="rId562" display="https://law.justia.com/cases/federal/district-courts/FSupp/921/1550/1988257/" xr:uid="{00000000-0004-0000-0300-000097020000}"/>
    <hyperlink ref="J46" r:id="rId563" xr:uid="{00000000-0004-0000-0300-000099020000}"/>
    <hyperlink ref="K46" r:id="rId564" display="http://www.nytimes.com/1991/11/15/us/ex-postal-worker-kills-3-and-wounds-6-in-michigan.html" xr:uid="{00000000-0004-0000-0300-00009A020000}"/>
    <hyperlink ref="L46" r:id="rId565" display="http://www.nytimes.com/1991/11/15/us/ex-postal-worker-kills-3-and-wounds-6-in-michigan.html" xr:uid="{00000000-0004-0000-0300-00009B020000}"/>
    <hyperlink ref="V46" r:id="rId566" display="https://www.deseretnews.com/article/194120/FIRED-POSTAL-WORKER-WHO-SHOT-9-PEOPLE-DIES-OF-HIS-INJURIES.html" xr:uid="{00000000-0004-0000-0300-00009C020000}"/>
    <hyperlink ref="W46" r:id="rId567" display="https://www.nytimes.com/1991/11/15/us/ex-postal-worker-kills-3-and-wounds-6-in-michigan.html" xr:uid="{00000000-0004-0000-0300-00009D020000}"/>
    <hyperlink ref="AA46" r:id="rId568" display="http://community.seattletimes.nwsource.com/archive/?date=19911115&amp;slug=1317398" xr:uid="{00000000-0004-0000-0300-00009E020000}"/>
    <hyperlink ref="AM46" r:id="rId569" display="http://community.seattletimes.nwsource.com/archive/?date=19911115&amp;slug=1317398" xr:uid="{00000000-0004-0000-0300-00009F020000}"/>
    <hyperlink ref="AN46" r:id="rId570" display="http://community.seattletimes.nwsource.com/archive/?date=19911115&amp;slug=1317398" xr:uid="{00000000-0004-0000-0300-0000A0020000}"/>
    <hyperlink ref="AS46" r:id="rId571" display="http://articles.latimes.com/1991-11-15/news/mn-1435_1_post-office" xr:uid="{00000000-0004-0000-0300-0000A1020000}"/>
    <hyperlink ref="BE46" r:id="rId572" display="http://community.seattletimes.nwsource.com/archive/?date=19911115&amp;slug=1317398" xr:uid="{00000000-0004-0000-0300-0000A2020000}"/>
    <hyperlink ref="BL46" r:id="rId573" display="http://articles.latimes.com/1991-11-15/news/mn-1435_1_post-office" xr:uid="{00000000-0004-0000-0300-0000A3020000}"/>
    <hyperlink ref="DW46" r:id="rId574" display="http://www.nytimes.com/1991/11/15/us/ex-postal-worker-kills-3-and-wounds-6-in-michigan.html" xr:uid="{00000000-0004-0000-0300-0000A4020000}"/>
    <hyperlink ref="CU47" r:id="rId575" display="https://www.abc15.com/news/crime/death-row-diaries-man-kills-four-then-flees-police-in-a-van-belonging-to-a-local-radio-station" xr:uid="{00000000-0004-0000-0300-0000A5020000}"/>
    <hyperlink ref="G48" r:id="rId576" display="https://www.kcra.com/article/25-years-later-survivors-of-norcal-school-shooting-remember-tragedy/9589885" xr:uid="{00000000-0004-0000-0300-0000A6020000}"/>
    <hyperlink ref="H48" r:id="rId577" display="https://www.kcra.com/article/25-years-later-survivors-of-norcal-school-shooting-remember-tragedy/9589885" xr:uid="{00000000-0004-0000-0300-0000A7020000}"/>
    <hyperlink ref="J48" r:id="rId578" xr:uid="{00000000-0004-0000-0300-0000A8020000}"/>
    <hyperlink ref="K48" r:id="rId579" display="https://www.kcra.com/article/25-years-later-survivors-of-norcal-school-shooting-remember-tragedy/9589885" xr:uid="{00000000-0004-0000-0300-0000A9020000}"/>
    <hyperlink ref="M48" r:id="rId580" display="https://www.kcra.com/article/25-years-later-survivors-of-norcal-school-shooting-remember-tragedy/9589885" xr:uid="{00000000-0004-0000-0300-0000AA020000}"/>
    <hyperlink ref="N48" r:id="rId581" display="https://www.nbcbayarea.com/news/local/State-Court-Upholds-1993-Death-Penalty-Case-164819036.html" xr:uid="{00000000-0004-0000-0300-0000AB020000}"/>
    <hyperlink ref="V48" r:id="rId582" display="https://www.sacbee.com/news/local/history/article146987224.html" xr:uid="{00000000-0004-0000-0300-0000AC020000}"/>
    <hyperlink ref="W48" r:id="rId583" display="http://www.kcra.com/article/25-years-later-survivors-of-norcal-school-shooting-remember-tragedy/9589885" xr:uid="{00000000-0004-0000-0300-0000AD020000}"/>
    <hyperlink ref="X48" r:id="rId584" display="http://sacramento.cbslocal.com/2012/08/02/state-supreme-court-upholds-death-penalty-for-houston-in-lindhurst-high-rampage/" xr:uid="{00000000-0004-0000-0300-0000AE020000}"/>
    <hyperlink ref="Z48" r:id="rId585" display="https://schoolshooters.info/sites/default/files/California-v-Houston-2007.pdf" xr:uid="{00000000-0004-0000-0300-0000AF020000}"/>
    <hyperlink ref="AB48" r:id="rId586" display="http://sacramento.cbslocal.com/2012/08/02/state-supreme-court-upholds-death-penalty-for-houston-in-lindhurst-high-rampage/" xr:uid="{00000000-0004-0000-0300-0000B0020000}"/>
    <hyperlink ref="AI48" r:id="rId587" display="https://www.sacbee.com/news/local/crime/article203031444.html" xr:uid="{00000000-0004-0000-0300-0000B1020000}"/>
    <hyperlink ref="AK48" r:id="rId588" display="https://www.sacbee.com/news/local/history/article146987224.html" xr:uid="{00000000-0004-0000-0300-0000B2020000}"/>
    <hyperlink ref="AL48" r:id="rId589" display="https://www.sacbee.com/news/local/history/article146987224.html" xr:uid="{00000000-0004-0000-0300-0000B3020000}"/>
    <hyperlink ref="AU48" r:id="rId590" display="https://schoolshooters.info/sites/default/files/California-v-Houston-2007.pdf" xr:uid="{00000000-0004-0000-0300-0000B4020000}"/>
    <hyperlink ref="AV48" r:id="rId591" display="https://schoolshooters.info/sites/default/files/California-v-Houston-2007.pdf" xr:uid="{00000000-0004-0000-0300-0000B5020000}"/>
    <hyperlink ref="BK48" r:id="rId592" display="https://www.sacbee.com/news/local/crime/article203031444.html" xr:uid="{00000000-0004-0000-0300-0000B6020000}"/>
    <hyperlink ref="DN48" r:id="rId593" display="https://casetext.com/brief/s035190-people-v-houston-eric-c-respondents-brief" xr:uid="{00000000-0004-0000-0300-0000B7020000}"/>
    <hyperlink ref="DO48" r:id="rId594" xr:uid="{00000000-0004-0000-0300-0000B8020000}"/>
    <hyperlink ref="DT48" r:id="rId595" display="https://www.sacbee.com/news/local/history/article146987224.html" xr:uid="{00000000-0004-0000-0300-0000B9020000}"/>
    <hyperlink ref="DW48" r:id="rId596" display="https://www.nbcbayarea.com/news/local/State-Court-Upholds-1993-Death-Penalty-Case-164819036.html" xr:uid="{00000000-0004-0000-0300-0000BE020000}"/>
    <hyperlink ref="G49" r:id="rId597" display="http://www.nytimes.com/1992/10/16/nyregion/gunman-kills-4-who-collected-child-payments.html" xr:uid="{00000000-0004-0000-0300-0000BF020000}"/>
    <hyperlink ref="H49" r:id="rId598" display="http://www.nytimes.com/1992/10/16/nyregion/gunman-kills-4-who-collected-child-payments.html" xr:uid="{00000000-0004-0000-0300-0000C0020000}"/>
    <hyperlink ref="J49" r:id="rId599" xr:uid="{00000000-0004-0000-0300-0000C1020000}"/>
    <hyperlink ref="M49" r:id="rId600" display="https://www.upi.com/Archives/1992/10/15/Gunman-kills-four-self-at-state-welfare-office/9825719121600/" xr:uid="{00000000-0004-0000-0300-0000C2020000}"/>
    <hyperlink ref="S49" r:id="rId601" display="http://www.nytimes.com/1992/10/16/nyregion/gunman-kills-4-who-collected-child-payments.html" xr:uid="{00000000-0004-0000-0300-0000C3020000}"/>
    <hyperlink ref="V49" r:id="rId602" display="http://www.nytimes.com/1992/10/16/nyregion/gunman-kills-4-who-collected-child-payments.html" xr:uid="{00000000-0004-0000-0300-0000C4020000}"/>
    <hyperlink ref="W49" r:id="rId603" display="http://www.nytimes.com/1992/10/16/nyregion/gunman-kills-4-who-collected-child-payments.html" xr:uid="{00000000-0004-0000-0300-0000C5020000}"/>
    <hyperlink ref="AJ49" r:id="rId604" display="http://www.nytimes.com/1992/10/17/nyregion/shooting-followed-tougher-efforts-to-collect-child-support.html" xr:uid="{00000000-0004-0000-0300-0000C6020000}"/>
    <hyperlink ref="AM49" r:id="rId605" display="http://www.nytimes.com/1992/10/16/nyregion/gunman-kills-4-who-collected-child-payments.html" xr:uid="{00000000-0004-0000-0300-0000C7020000}"/>
    <hyperlink ref="AU49" r:id="rId606" display="https://www.nytimes.com/1992/10/17/nyregion/shooting-followed-tougher-efforts-to-collect-child-support.html" xr:uid="{00000000-0004-0000-0300-0000C8020000}"/>
    <hyperlink ref="BJ49" r:id="rId607" display="http://www.nytimes.com/1992/10/17/nyregion/shooting-followed-tougher-efforts-to-collect-child-support.html" xr:uid="{00000000-0004-0000-0300-0000C9020000}"/>
    <hyperlink ref="BL49" r:id="rId608" display="http://www.nytimes.com/1992/10/17/nyregion/shooting-followed-tougher-efforts-to-collect-child-support.html" xr:uid="{00000000-0004-0000-0300-0000CA020000}"/>
    <hyperlink ref="CA49" r:id="rId609" display="http://www.nytimes.com/1992/10/17/nyregion/shooting-followed-tougher-efforts-to-collect-child-support.html" xr:uid="{00000000-0004-0000-0300-0000CB020000}"/>
    <hyperlink ref="O50" r:id="rId610" display="https://www.nytimes.com/1992/11/09/us/gunman-kills-6-then-himself-in-california.html?mtrref=undefined" xr:uid="{00000000-0004-0000-0300-0000CC020000}"/>
    <hyperlink ref="T50" r:id="rId611" display="https://www.nytimes.com/1992/11/09/us/gunman-kills-6-then-himself-in-california.html?mtrref=undefined" xr:uid="{00000000-0004-0000-0300-0000CD020000}"/>
    <hyperlink ref="Z50" r:id="rId612"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300-0000CF020000}"/>
    <hyperlink ref="AI50" r:id="rId613"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300-0000D0020000}"/>
    <hyperlink ref="AJ50" r:id="rId614" location="v=onepa&quot;&amp;&quot;ge&amp;q=lynwood%20drake&amp;f=fals"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 xr:uid="{00000000-0004-0000-0300-0000D1020000}"/>
    <hyperlink ref="AQ50" r:id="rId615"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300-0000D2020000}"/>
    <hyperlink ref="AS50" r:id="rId616"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300-0000D3020000}"/>
    <hyperlink ref="BE50" r:id="rId617"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300-0000D4020000}"/>
    <hyperlink ref="BJ50" r:id="rId618"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300-0000D5020000}"/>
    <hyperlink ref="CI50" r:id="rId619" display="https://www.latimes.com/archives/la-xpm-1992-11-15-mn-1096-story.html" xr:uid="{00000000-0004-0000-0300-0000D6020000}"/>
    <hyperlink ref="CJ50" r:id="rId620" xr:uid="{00000000-0004-0000-0300-0000D7020000}"/>
    <hyperlink ref="CS50" r:id="rId621" display="https://news.google.com/newspapers?id=_SdZAAAAIBAJ&amp;sjid=C0cNAAAAIBAJ&amp;pg=6601,992534&amp;dq=" xr:uid="{00000000-0004-0000-0300-0000D8020000}"/>
    <hyperlink ref="CU50" r:id="rId622" display="https://news.google.com/newspapers?id=_SdZAAAAIBAJ&amp;sjid=C0cNAAAAIBAJ&amp;pg=6601,992534&amp;dq=" xr:uid="{00000000-0004-0000-0300-0000D9020000}"/>
    <hyperlink ref="CV50" r:id="rId623" display="https://news.google.com/newspapers?id=_SdZAAAAIBAJ&amp;sjid=C0cNAAAAIBAJ&amp;pg=6601,992534&amp;dq=" xr:uid="{00000000-0004-0000-0300-0000DA020000}"/>
    <hyperlink ref="DC50" r:id="rId624" display="https://news.google.com/newspapers?id=_SdZAAAAIBAJ&amp;sjid=C0cNAAAAIBAJ&amp;pg=6601,992534&amp;dq=" xr:uid="{00000000-0004-0000-0300-0000DB020000}"/>
    <hyperlink ref="DM50" r:id="rId625"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300-0000DC020000}"/>
    <hyperlink ref="DP50" r:id="rId626"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300-0000DD020000}"/>
    <hyperlink ref="DT50" r:id="rId627" location="v=onepa&quot;&amp;&quot;ge&amp;q=lynwood%20drake&amp;f=false&quot;"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quot;" xr:uid="{00000000-0004-0000-0300-0000DE020000}"/>
    <hyperlink ref="DU50" r:id="rId628"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300-0000E4020000}"/>
    <hyperlink ref="H51" r:id="rId629" display="http://articles.latimes.com/1993-07-03/news/mn-10731_1_mortgage-business" xr:uid="{00000000-0004-0000-0300-0000E5020000}"/>
    <hyperlink ref="M51" r:id="rId630" display="http://articles.latimes.com/1993-07-03/news/mn-10731_1_mortgage-business" xr:uid="{00000000-0004-0000-0300-0000E6020000}"/>
    <hyperlink ref="V51" r:id="rId631" display="http://www.nytimes.com/1993/07/03/us/the-broker-who-killed-8-gunman-s-motives-a-puzzle.html" xr:uid="{00000000-0004-0000-0300-0000E8020000}"/>
    <hyperlink ref="W51" r:id="rId632" display="http://www.nytimes.com/1993/07/03/us/the-broker-who-killed-8-gunman-s-motives-a-puzzle.html" xr:uid="{00000000-0004-0000-0300-0000E9020000}"/>
    <hyperlink ref="X51" r:id="rId633" display="https://www.nytimes.com/1993/07/03/us/the-broker-who-killed-8-gunman-s-motives-a-puzzle.html" xr:uid="{00000000-0004-0000-0300-0000EA020000}"/>
    <hyperlink ref="Y51" r:id="rId634" display="http://articles.latimes.com/1993-07-03/news/mn-10731_1_mortgage-business/2" xr:uid="{00000000-0004-0000-0300-0000EB020000}"/>
    <hyperlink ref="AI51" r:id="rId635" display="http://articles.latimes.com/1993-07-03/news/mn-10731_1_mortgage-business" xr:uid="{00000000-0004-0000-0300-0000EC020000}"/>
    <hyperlink ref="BJ51" r:id="rId636" display="http://articles.latimes.com/1993-07-03/news/mn-10731_1_mortgage-business" xr:uid="{00000000-0004-0000-0300-0000ED020000}"/>
    <hyperlink ref="BK51" r:id="rId637" display="http://articles.latimes.com/1993-07-03/news/mn-10731_1_mortgage-business" xr:uid="{00000000-0004-0000-0300-0000EE020000}"/>
    <hyperlink ref="DW51" r:id="rId638" display="http://www.nytimes.com/1993/07/03/us/the-broker-who-killed-8-gunman-s-motives-a-puzzle.html" xr:uid="{00000000-0004-0000-0300-0000F2020000}"/>
    <hyperlink ref="G52" r:id="rId639" display="http://articles.orlandosentinel.com/1994-04-16/news/9404160483_1_shotgun-restaurant-french" xr:uid="{00000000-0004-0000-0300-0000F3020000}"/>
    <hyperlink ref="H52" r:id="rId640" display="https://www.newsday.com/news/nation/retiring-nc-officer-stopped-1993-luigi-s-massacre-1.1402842" xr:uid="{00000000-0004-0000-0300-0000F4020000}"/>
    <hyperlink ref="J52" r:id="rId641" xr:uid="{00000000-0004-0000-0300-0000F5020000}"/>
    <hyperlink ref="K52" r:id="rId642" display="https://www.washingtonpost.com/archive/politics/1993/08/08/4-killed-when-gunman-opens-fire-in-restaurant/7120b492-adee-440b-b5bd-318e934c8c5a/?utm_term=.f24cfc57d3cd" xr:uid="{00000000-0004-0000-0300-0000F6020000}"/>
    <hyperlink ref="M52" r:id="rId643" display="https://www2.census.gov/library/publications/decennial/1990/cp-1/cp-1-35.pdf" xr:uid="{00000000-0004-0000-0300-0000F7020000}"/>
    <hyperlink ref="S52" r:id="rId644" display="http://www.nytimes.com/1993/08/08/us/soldier-kills-4-people-and-hurts-6-in-a-restaurant-in-north-carolina.html" xr:uid="{00000000-0004-0000-0300-0000F8020000}"/>
    <hyperlink ref="V52" r:id="rId645" display="http://www.nytimes.com/1993/08/08/us/soldier-kills-4-people-and-hurts-6-in-a-restaurant-in-north-carolina.html" xr:uid="{00000000-0004-0000-0300-0000F9020000}"/>
    <hyperlink ref="W52" r:id="rId646" display="http://www.nytimes.com/1993/08/08/us/soldier-kills-4-people-and-hurts-6-in-a-restaurant-in-north-carolina.html" xr:uid="{00000000-0004-0000-0300-0000FA020000}"/>
    <hyperlink ref="AI52" r:id="rId647" display="https://deathpenaltycurriculum.org/node/87" xr:uid="{00000000-0004-0000-0300-0000FB020000}"/>
    <hyperlink ref="AK52" r:id="rId648" display="https://www.washingtonpost.com/archive/politics/1993/08/08/4-killed-when-gunman-opens-fire-in-restaurant/7120b492-adee-440b-b5bd-318e934c8c5a/?utm_term=.f24cfc57d3cd" xr:uid="{00000000-0004-0000-0300-0000FC020000}"/>
    <hyperlink ref="AM52" r:id="rId649" display="http://www.nytimes.com/1993/08/08/us/soldier-kills-4-people-and-hurts-6-in-a-restaurant-in-north-carolina.html" xr:uid="{00000000-0004-0000-0300-0000FD020000}"/>
    <hyperlink ref="AN52" r:id="rId650" display="http://www.nytimes.com/1993/08/08/us/soldier-kills-4-people-and-hurts-6-in-a-restaurant-in-north-carolina.html" xr:uid="{00000000-0004-0000-0300-0000FE020000}"/>
    <hyperlink ref="BI52" r:id="rId651" display="https://www.chicagotribune.com/news/ct-xpm-1993-08-09-9308090199-story.html" xr:uid="{00000000-0004-0000-0300-0000FF020000}"/>
    <hyperlink ref="BY52" r:id="rId652" display="https://www.fayobserver.com/news/20190806/from-archives-26-years-ago-today-tragedy-at-luigis" xr:uid="{00000000-0004-0000-0300-000000030000}"/>
    <hyperlink ref="DT52" r:id="rId653" display="http://www.nytimes.com/1993/08/08/us/soldier-kills-4-people-and-hurts-6-in-a-restaurant-in-north-carolina.html" xr:uid="{00000000-0004-0000-0300-000001030000}"/>
    <hyperlink ref="DW52" r:id="rId654" display="http://www.nytimes.com/1993/08/08/us/soldier-kills-4-people-and-hurts-6-in-a-restaurant-in-north-carolina.html" xr:uid="{00000000-0004-0000-0300-000004030000}"/>
    <hyperlink ref="G53" r:id="rId655" display="http://articles.latimes.com/1993-10-15/news/mn-45964_1_fitness-club" xr:uid="{00000000-0004-0000-0300-000005030000}"/>
    <hyperlink ref="H53" r:id="rId656" display="http://articles.latimes.com/1993-10-15/news/mn-45964_1_fitness-club" xr:uid="{00000000-0004-0000-0300-000006030000}"/>
    <hyperlink ref="J53" r:id="rId657" xr:uid="{00000000-0004-0000-0300-000007030000}"/>
    <hyperlink ref="K53" r:id="rId658" display="https://www.upi.com/Archives/1993/10/15/Five-dead-in-health-club-shootings/4365750657600/" xr:uid="{00000000-0004-0000-0300-000008030000}"/>
    <hyperlink ref="S53" r:id="rId659" display="http://articles.latimes.com/1993-10-15/news/mn-45964_1_fitness-club" xr:uid="{00000000-0004-0000-0300-000009030000}"/>
    <hyperlink ref="V53" r:id="rId660" display="http://articles.latimes.com/1993-10-15/news/mn-45964_1_fitness-club" xr:uid="{00000000-0004-0000-0300-00000A030000}"/>
    <hyperlink ref="W53" r:id="rId661" display="http://articles.latimes.com/1993-10-15/news/mn-45964_1_fitness-club" xr:uid="{00000000-0004-0000-0300-00000B030000}"/>
    <hyperlink ref="X53" r:id="rId662" display="http://articles.latimes.com/1993-10-15/news/mn-45964_1_fitness-club" xr:uid="{00000000-0004-0000-0300-00000C030000}"/>
    <hyperlink ref="AA53" r:id="rId663" display="http://articles.latimes.com/1993-10-17/news/mn-46854_1_writing-class" xr:uid="{00000000-0004-0000-0300-00000D030000}"/>
    <hyperlink ref="AB53" r:id="rId664" display="http://www.nytimes.com/1993/10/16/us/motive-is-sought-in-killings-at-club.html" xr:uid="{00000000-0004-0000-0300-00000E030000}"/>
    <hyperlink ref="BL53" r:id="rId665" display="http://articles.latimes.com/1993-10-15/news/mn-45964_1_fitness-club" xr:uid="{00000000-0004-0000-0300-00000F030000}"/>
    <hyperlink ref="CA53" r:id="rId666" display="https://www.nytimes.com/1993/10/16/us/motive-is-sought-in-killings-at-club.html" xr:uid="{00000000-0004-0000-0300-000010030000}"/>
    <hyperlink ref="CH53" r:id="rId667" display="http://articles.latimes.com/1993-10-15/news/mn-45964_1_fitness-club" xr:uid="{00000000-0004-0000-0300-000011030000}"/>
    <hyperlink ref="CI53" r:id="rId668" xr:uid="{00000000-0004-0000-0300-000012030000}"/>
    <hyperlink ref="CJ53" r:id="rId669" display="Knee injury" xr:uid="{00000000-0004-0000-0300-000013030000}"/>
    <hyperlink ref="DW53" r:id="rId670" display="http://articles.latimes.com/1993-10-17/news/mn-46854_1_writing-class" xr:uid="{00000000-0004-0000-0300-000014030000}"/>
    <hyperlink ref="T54" r:id="rId671" display="https://www.nytimes.com/1993/12/04/us/man-s-7-year-search-to-find-job-ended-with-5-dead-in-california.html" xr:uid="{00000000-0004-0000-0300-000015030000}"/>
    <hyperlink ref="AB54" r:id="rId672" display="https://apnews.com/5c5e1d1a851161acc0ccb336a3b2ea14" xr:uid="{00000000-0004-0000-0300-000016030000}"/>
    <hyperlink ref="AC54" r:id="rId673" display="https://www.wired.com/1994/06/rage/" xr:uid="{00000000-0004-0000-0300-000017030000}"/>
    <hyperlink ref="AD54" r:id="rId674" xr:uid="{00000000-0004-0000-0300-000018030000}"/>
    <hyperlink ref="AK54" r:id="rId675" display="https://www.wired.com/1994/06/rage/" xr:uid="{00000000-0004-0000-0300-000019030000}"/>
    <hyperlink ref="BE54" r:id="rId676" display="https://www.wired.com/1994/06/rage/" xr:uid="{00000000-0004-0000-0300-00001A030000}"/>
    <hyperlink ref="BI54" r:id="rId677" display="https://www.wired.com/1994/06/rage/" xr:uid="{00000000-0004-0000-0300-00001B030000}"/>
    <hyperlink ref="M55" r:id="rId678" display="https://www1.nyc.gov/site/planning/data-maps/nyc-population/census-summary-2000.page" xr:uid="{00000000-0004-0000-0300-00001D030000}"/>
    <hyperlink ref="T55" r:id="rId679" display="https://www.bostonglobe.com/news/nation/2014/04/24/man-convicted-long-island-train-shooting-tried-start-prison-riot/ZnUUCZua3DmfRP09mtUrUJ/story.html" xr:uid="{00000000-0004-0000-0300-00001E030000}"/>
    <hyperlink ref="Y55" r:id="rId680" display="https://www.nytimes.com/1993/12/09/nyregion/death-lirr-suspect-notes-past-accused-portrait-boiling-resentment.html" xr:uid="{00000000-0004-0000-0300-00001F030000}"/>
    <hyperlink ref="CI55" r:id="rId681" display="https://www.nytimes.com/1993/12/10/nyregion/death-on-the-lirr-police-look-for-the-spark-that-led-to-the-shootings.html" xr:uid="{00000000-0004-0000-0300-000020030000}"/>
    <hyperlink ref="CJ55" r:id="rId682" xr:uid="{00000000-0004-0000-0300-000021030000}"/>
    <hyperlink ref="DY55" r:id="rId683" display="https://www.law.cornell.edu/background/unabom/lirr.html" xr:uid="{00000000-0004-0000-0300-000022030000}"/>
    <hyperlink ref="J56" r:id="rId684" xr:uid="{00000000-0004-0000-0300-000023030000}"/>
    <hyperlink ref="O56" r:id="rId685" display="https://www.nytimes.com/1993/12/16/us/gunman-kills-4-workers-at-colorado-restaurant.html" xr:uid="{00000000-0004-0000-0300-000024030000}"/>
    <hyperlink ref="Y56" r:id="rId686" display="https://web.archive.org/web/20150421030616/http:/www.cofpd.org/docs-dun/final-clemency-petition-5-6.pdf" xr:uid="{00000000-0004-0000-0300-000025030000}"/>
    <hyperlink ref="AA56" r:id="rId687" display="http://mediaassets.thedenverchannel.com/documents/Dunlap-response-from-DA.PDF" xr:uid="{00000000-0004-0000-0300-000026030000}"/>
    <hyperlink ref="AB56" r:id="rId688" display="https://www.sentinelcolorado.com/news/personal-experience-public-debate-aurora-rep-has-unique-tie-to-death-penalty-debate/" xr:uid="{00000000-0004-0000-0300-000027030000}"/>
    <hyperlink ref="AI56" r:id="rId689" display="https://caselaw.findlaw.com/co-supreme-court/1386758.html" xr:uid="{00000000-0004-0000-0300-000028030000}"/>
    <hyperlink ref="AJ56" r:id="rId690" display="https://web.archive.org/web/20150421030616/http:/www.cofpd.org/docs-dun/final-clemency-petition-5-6.pdf" xr:uid="{00000000-0004-0000-0300-000029030000}"/>
    <hyperlink ref="AK56" r:id="rId691" display="https://www.nytimes.com/1993/12/16/us/gunman-kills-4-workers-at-colorado-restaurant.html" xr:uid="{00000000-0004-0000-0300-00002A030000}"/>
    <hyperlink ref="AS56" r:id="rId692" display="https://caselaw.findlaw.com/co-supreme-court/1386758.html" xr:uid="{00000000-0004-0000-0300-00002B030000}"/>
    <hyperlink ref="BE56" r:id="rId693" display="https://web.archive.org/web/20150421030616/http:/www.cofpd.org/docs-dun/final-clemency-petition-5-6.pdf" xr:uid="{00000000-0004-0000-0300-00002C030000}"/>
    <hyperlink ref="BL56" r:id="rId694" display="https://web.archive.org/web/20150421030616/http:/www.cofpd.org/docs-dun/final-clemency-petition-5-6.pdf" xr:uid="{00000000-0004-0000-0300-00002D030000}"/>
    <hyperlink ref="BY56" r:id="rId695" display="https://web.archive.org/web/20150421030616/http:/www.cofpd.org/docs-dun/final-clemency-petition-5-6.pdf" xr:uid="{00000000-0004-0000-0300-00002E030000}"/>
    <hyperlink ref="CA56" r:id="rId696" display="https://web.archive.org/web/20150421030616/http:/www.cofpd.org/docs-dun/final-clemency-petition-5-6.pdf" xr:uid="{00000000-0004-0000-0300-00002F030000}"/>
    <hyperlink ref="CC56" r:id="rId697" display="https://web.archive.org/web/20150421030616/http:/www.cofpd.org/docs-dun/final-clemency-petition-5-6.pdf" xr:uid="{00000000-0004-0000-0300-000030030000}"/>
    <hyperlink ref="CI56" r:id="rId698" display="https://web.archive.org/web/20150421030616/http:/www.cofpd.org/docs-dun/final-clemency-petition-5-6.pdf" xr:uid="{00000000-0004-0000-0300-000031030000}"/>
    <hyperlink ref="M57" r:id="rId699" display="https://population.us/wa/spokane/" xr:uid="{00000000-0004-0000-0300-000033030000}"/>
    <hyperlink ref="T57" r:id="rId700" display="https://www.nytimes.com/1994/06/22/us/an-airman-s-revenge-5-minutes-of-terror.html" xr:uid="{00000000-0004-0000-0300-000034030000}"/>
    <hyperlink ref="AB57" r:id="rId701" display="https://www.hsdl.org/?view&amp;did=744680" xr:uid="{00000000-0004-0000-0300-000036030000}"/>
    <hyperlink ref="BC57" r:id="rId702" display="https://www.upi.com/Archives/1994/06/21/Teacher-Mellberg-was-a-loner/1176772171200/" xr:uid="{00000000-0004-0000-0300-000037030000}"/>
    <hyperlink ref="BE57" r:id="rId703" display="https://www.upi.com/Archives/1994/06/21/Teacher-Mellberg-was-a-loner/1176772171200/" xr:uid="{00000000-0004-0000-0300-000038030000}"/>
    <hyperlink ref="DC57" r:id="rId704" display="https://www.hsdl.org/?view&amp;did=744680" xr:uid="{00000000-0004-0000-0300-000039030000}"/>
    <hyperlink ref="T58" r:id="rId705" display="http://fultonhistory.com/Newspaper 24/Rockingham NC Richmond County Journal/Rockingham NC Richmond County Journal 1995/Rockingham NC  Richmond County Journal 1995 - 0018.pdf" xr:uid="{00000000-0004-0000-0300-00003A030000}"/>
    <hyperlink ref="DW58" r:id="rId706" display="https://www.apnews.com/d0126666cf574fca9f1e9c109cb4c923" xr:uid="{00000000-0004-0000-0300-00003B030000}"/>
    <hyperlink ref="G59" r:id="rId707" display="http://www.nytimes.com/1995/04/04/us/6-die-in-texas-office-shooting.html" xr:uid="{00000000-0004-0000-0300-00003C030000}"/>
    <hyperlink ref="H59" r:id="rId708" display="http://www.nytimes.com/1995/04/04/us/6-die-in-texas-office-shooting.html" xr:uid="{00000000-0004-0000-0300-00003D030000}"/>
    <hyperlink ref="K59" r:id="rId709" display="http://www.nytimes.com/1995/04/04/us/6-die-in-texas-office-shooting.html" xr:uid="{00000000-0004-0000-0300-00003E030000}"/>
    <hyperlink ref="V59" r:id="rId710" display="http://www.nytimes.com/1995/04/04/us/6-die-in-texas-office-shooting.html" xr:uid="{00000000-0004-0000-0300-00003F030000}"/>
    <hyperlink ref="W59" r:id="rId711" display="http://www.nytimes.com/1995/04/04/us/6-die-in-texas-office-shooting.html" xr:uid="{00000000-0004-0000-0300-000040030000}"/>
    <hyperlink ref="AB59" r:id="rId712" display="https://www.deseretnews.com/article/413430/GUNMANS-WORKPLACE-MASSACRE-HEAPS-MORE-GRIEF-ON-TEXAS-CITY.html" xr:uid="{00000000-0004-0000-0300-000041030000}"/>
    <hyperlink ref="AK59" r:id="rId713" display="https://www.deseretnews.com/article/413430/GUNMANS-WORKPLACE-MASSACRE-HEAPS-MORE-GRIEF-ON-TEXAS-CITY.html" xr:uid="{00000000-0004-0000-0300-000042030000}"/>
    <hyperlink ref="AL59" r:id="rId714" location="v=onepage&amp;q=james%20simpson%20shooti&quot;&amp;&quot;ng&amp;f=false" display="https://books.google.com/books?id=_UHFAgAAQBAJ&amp;pg=PT47&amp;lpg=PT47&amp;dq=james+simpson+shooting&amp;source=bl&amp;ots=uixNRwZ2cp&amp;sig=ACfU3U345Z7wx7M7pp8_j6lBbNoeBuQpjw&amp;hl=en&amp;sa=X&amp;ved=2ahUKEwjQpMOxpb_jAhVDHc0KHZOJANc4ChDoATAHegQICRAB - v=onepage&amp;q=james%20simpson%20shooti&quot;&amp;&quot;ng&amp;f=false" xr:uid="{00000000-0004-0000-0300-000043030000}"/>
    <hyperlink ref="CE59" r:id="rId715" location="v=onepage&amp;q=james%20simpson%20shooti&quot;&amp;&quot;ng&amp;f=false" display="https://books.google.com/books?id=_UHFAgAAQBAJ&amp;pg=PT47&amp;lpg=PT47&amp;dq=james+simpson+shooting&amp;source=bl&amp;ots=uixNRwZ2cp&amp;sig=ACfU3U345Z7wx7M7pp8_j6lBbNoeBuQpjw&amp;hl=en&amp;sa=X&amp;ved=2ahUKEwjQpMOxpb_jAhVDHc0KHZOJANc4ChDoATAHegQICRAB - v=onepage&amp;q=james%20simpson%20shooti&quot;&amp;&quot;ng&amp;f=false" xr:uid="{00000000-0004-0000-0300-000045030000}"/>
    <hyperlink ref="DT59" r:id="rId716" display="http://www.nytimes.com/1995/04/04/us/6-die-in-texas-office-shooting.html" xr:uid="{00000000-0004-0000-0300-000047030000}"/>
    <hyperlink ref="DW59" r:id="rId717" display="http://www.nytimes.com/1995/04/04/us/6-die-in-texas-office-shooting.html" xr:uid="{00000000-0004-0000-0300-00004C030000}"/>
    <hyperlink ref="G60" r:id="rId718" display="https://www.upi.com/Archives/1995/07/19/Four-LA-city-workers-shot-to-death/3373806126400/" xr:uid="{00000000-0004-0000-0300-00004D030000}"/>
    <hyperlink ref="H60" r:id="rId719" display="https://www.upi.com/Archives/1995/07/19/Four-LA-city-workers-shot-to-death/3373806126400/" xr:uid="{00000000-0004-0000-0300-00004E030000}"/>
    <hyperlink ref="J60" r:id="rId720" xr:uid="{00000000-0004-0000-0300-00004F030000}"/>
    <hyperlink ref="K60" r:id="rId721" display="https://www.nytimes.com/1995/07/20/us/9-fatally-shot-in-california-in-2-incidents-over-2-days.html" xr:uid="{00000000-0004-0000-0300-000050030000}"/>
    <hyperlink ref="L60" r:id="rId722" display="https://www.nytimes.com/1995/07/20/us/9-fatally-shot-in-california-in-2-incidents-over-2-days.html" xr:uid="{00000000-0004-0000-0300-000051030000}"/>
    <hyperlink ref="M60" r:id="rId723" display="https://www.nytimes.com/1995/07/20/us/9-fatally-shot-in-california-in-2-incidents-over-2-days.html" xr:uid="{00000000-0004-0000-0300-000052030000}"/>
    <hyperlink ref="S60" r:id="rId724" display="http://articles.latimes.com/1996-11-06/local/me-61893_1_city-electrician" xr:uid="{00000000-0004-0000-0300-000053030000}"/>
    <hyperlink ref="V60" r:id="rId725" display="https://www.upi.com/Archives/1995/07/19/Four-LA-city-workers-shot-to-death/3373806126400/" xr:uid="{00000000-0004-0000-0300-000054030000}"/>
    <hyperlink ref="W60" r:id="rId726" display="http://articles.latimes.com/1996-11-06/local/me-61893_1_city-electrician" xr:uid="{00000000-0004-0000-0300-000055030000}"/>
    <hyperlink ref="AI60" r:id="rId727" location="v=onepage&amp;q=willie%20woods%20gun%20obtained&amp;f=false" display="https://books.google.com/books?id=dw6vDwAAQBAJ&amp;pg=PT120&amp;lpg=PT120&amp;dq=willie+woods+gun+obtained&amp;source=bl&amp;ots=vuLlcouRXL&amp;sig=ACfU3U0XOR-WR_Ch3uBudRTLM3RGN_Kq4A&amp;hl=en&amp;sa=X&amp;ved=2ahUKEwjfwfSqk4nqAhWQRTABHal-AAoQ6AEwB3oECAoQAQ - v=onepage&amp;q=willie%20woods%20gun%20obtained&amp;f=false" xr:uid="{00000000-0004-0000-0300-000056030000}"/>
    <hyperlink ref="AJ60" r:id="rId728" location="v=onepage&amp;q=willie%20woods%20gun%20obtained&amp;f=false" display="https://books.google.com/books?id=dw6vDwAAQBAJ&amp;pg=PT120&amp;lpg=PT120&amp;dq=willie+woods+gun+obtained&amp;source=bl&amp;ots=vuLlcouRXL&amp;sig=ACfU3U0XOR-WR_Ch3uBudRTLM3RGN_Kq4A&amp;hl=en&amp;sa=X&amp;ved=2ahUKEwjfwfSqk4nqAhWQRTABHal-AAoQ6AEwB3oECAoQAQ - v=onepage&amp;q=willie%20woods%20gun%20obtained&amp;f=false" xr:uid="{00000000-0004-0000-0300-000057030000}"/>
    <hyperlink ref="AK60" r:id="rId729" display="http://articles.latimes.com/1996-11-06/local/me-61893_1_city-electrician" xr:uid="{00000000-0004-0000-0300-000058030000}"/>
    <hyperlink ref="AL60" r:id="rId730" display="http://articles.latimes.com/1996-11-06/local/me-61893_1_city-electrician" xr:uid="{00000000-0004-0000-0300-000059030000}"/>
    <hyperlink ref="BG60" r:id="rId731" location="v=onepage&amp;q=willie%20woods%20gun%20obtained&amp;f=false" display="https://books.google.com/books?id=dw6vDwAAQBAJ&amp;pg=PT120&amp;lpg=PT120&amp;dq=willie+woods+gun+obtained&amp;source=bl&amp;ots=vuLlcouRXL&amp;sig=ACfU3U0XOR-WR_Ch3uBudRTLM3RGN_Kq4A&amp;hl=en&amp;sa=X&amp;ved=2ahUKEwjfwfSqk4nqAhWQRTABHal-AAoQ6AEwB3oECAoQAQ - v=onepage&amp;q=willie%20woods%20gun%20obtained&amp;f=false" xr:uid="{00000000-0004-0000-0300-00005A030000}"/>
    <hyperlink ref="DC60" r:id="rId732" display="http://articles.latimes.com/1996-11-06/local/me-61893_1_city-electrician" xr:uid="{00000000-0004-0000-0300-00005B030000}"/>
    <hyperlink ref="DP60" r:id="rId733" display="http://articles.latimes.com/1996-11-06/local/me-61893_1_city-electrician" xr:uid="{00000000-0004-0000-0300-00005C030000}"/>
    <hyperlink ref="DW60" r:id="rId734" display="http://articles.latimes.com/1996-11-06/local/me-61893_1_city-electrician" xr:uid="{00000000-0004-0000-0300-00005E030000}"/>
    <hyperlink ref="J61" r:id="rId735" xr:uid="{00000000-0004-0000-0300-00005F030000}"/>
    <hyperlink ref="K61" r:id="rId736" display="https://www.chicagotribune.com/news/ct-xpm-1995-12-20-9512200177-story.html" xr:uid="{00000000-0004-0000-0300-000060030000}"/>
    <hyperlink ref="M61" r:id="rId737" display="https://www.chicagotribune.com/news/ct-xpm-1995-12-20-9512200177-story.html" xr:uid="{00000000-0004-0000-0300-000061030000}"/>
    <hyperlink ref="O61" r:id="rId738" display="https://www.chicagotribune.com/news/ct-xpm-1995-12-20-9512200177-story.html" xr:uid="{00000000-0004-0000-0300-000062030000}"/>
    <hyperlink ref="T61" r:id="rId739" display="https://www.chicagotribune.com/news/ct-xpm-1995-12-20-9512200177-story.html" xr:uid="{00000000-0004-0000-0300-000063030000}"/>
    <hyperlink ref="X61" r:id="rId740" display="http://nysdoccslookup.doccs.ny.gov/GCA00P00/WIQ3/WINQ130" xr:uid="{00000000-0004-0000-0300-000064030000}"/>
    <hyperlink ref="AI61" r:id="rId741" display="https://www.nytimes.com/1995/12/21/nyregion/bronx-gunman-was-under-treatment-for-schizophrenia.html" xr:uid="{00000000-0004-0000-0300-000065030000}"/>
    <hyperlink ref="AK61" r:id="rId742" display="https://www.nytimes.com/1995/12/21/nyregion/bronx-gunman-was-under-treatment-for-schizophrenia.html" xr:uid="{00000000-0004-0000-0300-000066030000}"/>
    <hyperlink ref="DK61" r:id="rId743" display="https://www.chicagotribune.com/news/ct-xpm-1995-12-20-9512200177-story.html" xr:uid="{00000000-0004-0000-0300-000068030000}"/>
    <hyperlink ref="M62" r:id="rId744" display="https://www.nytimes.com/1996/02/10/us/5-beach-workers-in-florida-are-slain-by-ex-colleague.html" xr:uid="{00000000-0004-0000-0300-000069030000}"/>
    <hyperlink ref="T62" r:id="rId745" display="https://www.nytimes.com/1996/02/10/us/5-beach-workers-in-florida-are-slain-by-ex-colleague.html" xr:uid="{00000000-0004-0000-0300-00006A030000}"/>
    <hyperlink ref="AL62" r:id="rId746" display="https://www.nytimes.com/1996/02/11/us/florida-killer-said-victims-were-racists-police-say.html" xr:uid="{00000000-0004-0000-0300-00006B030000}"/>
    <hyperlink ref="DS62" r:id="rId747" display="https://www.sun-sentinel.com/news/fl-xpm-1996-02-10-9602090635-story.html" xr:uid="{00000000-0004-0000-0300-00006C030000}"/>
    <hyperlink ref="G63" r:id="rId748" display="http://www.wlbt.com/story/18995724/new-book-details-shooting-rampage-at-jackson-fire-station/" xr:uid="{00000000-0004-0000-0300-00006D030000}"/>
    <hyperlink ref="H63" r:id="rId749" display="http://www.wlbt.com/story/18995724/new-book-details-shooting-rampage-at-jackson-fire-station/" xr:uid="{00000000-0004-0000-0300-00006E030000}"/>
    <hyperlink ref="J63" r:id="rId750" xr:uid="{00000000-0004-0000-0300-00006F030000}"/>
    <hyperlink ref="K63" r:id="rId751" display="http://articles.latimes.com/1996-04-25/news/mn-62698_1_department-officers" xr:uid="{00000000-0004-0000-0300-000070030000}"/>
    <hyperlink ref="M63" r:id="rId752" display="https://www.washingtonpost.com/archive/politics/1996/04/25/firefighter-kills-wife-four-colleagues-before-being-wounded/f5b9eab9-d1cc-4c59-b2db-d664fe68c611/?utm_term=.0dd3dee56dfd" xr:uid="{00000000-0004-0000-0300-000071030000}"/>
    <hyperlink ref="O63" r:id="rId753" display="https://www.latimes.com/archives/la-xpm-1996-04-25-mn-62698-story.html" xr:uid="{00000000-0004-0000-0300-000072030000}"/>
    <hyperlink ref="S63" r:id="rId754" display="http://articles.latimes.com/1996-04-25/news/mn-62698_1_department-officers" xr:uid="{00000000-0004-0000-0300-000073030000}"/>
    <hyperlink ref="T63" r:id="rId755" display="https://www.deseretnews.com/article/485460/FIREMAN-WAS-TIME-BOMB-WAITING.html" xr:uid="{00000000-0004-0000-0300-000074030000}"/>
    <hyperlink ref="V63" r:id="rId756" display="https://www.deseretnews.com/article/485460/FIREMAN-WAS-TIME-BOMB-WAITING.html" xr:uid="{00000000-0004-0000-0300-000076030000}"/>
    <hyperlink ref="W63" r:id="rId757" display="http://articles.latimes.com/1996-04-25/news/mn-62698_1_department-officers" xr:uid="{00000000-0004-0000-0300-000077030000}"/>
    <hyperlink ref="X63" r:id="rId758" display="http://www.wlbt.com/story/18995724/new-book-details-shooting-rampage-at-jackson-fire-station/" xr:uid="{00000000-0004-0000-0300-000078030000}"/>
    <hyperlink ref="AI63" r:id="rId759" display="http://articles.latimes.com/1996-04-25/news/mn-62698_1_department-officers" xr:uid="{00000000-0004-0000-0300-000079030000}"/>
    <hyperlink ref="AK63" r:id="rId760" display="http://articles.latimes.com/1996-04-25/news/mn-62698_1_department-officers" xr:uid="{00000000-0004-0000-0300-00007A030000}"/>
    <hyperlink ref="BC63" r:id="rId761" display="https://www.washingtonpost.com/archive/politics/1996/04/25/firefighter-kills-wife-four-colleagues-before-being-wounded/f5b9eab9-d1cc-4c59-b2db-d664fe68c611/?utm_term=.0dd3dee56dfd" xr:uid="{00000000-0004-0000-0300-00007B030000}"/>
    <hyperlink ref="BJ63" r:id="rId762" display="https://www.deseretnews.com/article/485460/FIREMAN-WAS-TIME-BOMB-WAITING.html" xr:uid="{00000000-0004-0000-0300-00007C030000}"/>
    <hyperlink ref="CR63" r:id="rId763" display="https://www.deseret.com/1996/4/25/19238561/fireman-was-time-bomb-waiting" xr:uid="{00000000-0004-0000-0300-00007D030000}"/>
    <hyperlink ref="CU63" r:id="rId764" display="https://www.deseret.com/1996/4/25/19238561/fireman-was-time-bomb-waiting" xr:uid="{00000000-0004-0000-0300-00007F030000}"/>
    <hyperlink ref="CV63" r:id="rId765" display="https://www.deseret.com/1996/4/25/19238561/fireman-was-time-bomb-waiting" xr:uid="{00000000-0004-0000-0300-000080030000}"/>
    <hyperlink ref="DC63" r:id="rId766" display="https://www.washingtonpost.com/archive/politics/1996/04/25/firefighter-kills-wife-four-colleagues-before-being-wounded/f5b9eab9-d1cc-4c59-b2db-d664fe68c611/?utm_term=.0dd3dee56dfd" xr:uid="{00000000-0004-0000-0300-000081030000}"/>
    <hyperlink ref="DT63" r:id="rId767" display="https://www.washingtonpost.com/archive/politics/1996/04/25/firefighter-kills-wife-four-colleagues-before-being-wounded/f5b9eab9-d1cc-4c59-b2db-d664fe68c611/?utm_term=.f22b8b1a660c" xr:uid="{00000000-0004-0000-0300-000082030000}"/>
    <hyperlink ref="DW63" r:id="rId768" display="https://www.washingtonpost.com/archive/politics/1996/04/25/firefighter-kills-wife-four-colleagues-before-being-wounded/f5b9eab9-d1cc-4c59-b2db-d664fe68c611/?utm_term=.0dd3dee56dfd" xr:uid="{00000000-0004-0000-0300-000085030000}"/>
    <hyperlink ref="M64" r:id="rId769" display="http://content.time.com/time/magazine/article/0,9171,138219,00.html" xr:uid="{00000000-0004-0000-0300-000086030000}"/>
    <hyperlink ref="T64" r:id="rId770" display="https://www.concordmonitor.com/Somber-memories-20-years-after-small-town-shootings-11846765" xr:uid="{00000000-0004-0000-0300-000087030000}"/>
    <hyperlink ref="X64" r:id="rId771" display="https://www.wmur.com/article/north-country-town-prepares-to-mark-20-years-since-drega-shootings/12027308" xr:uid="{00000000-0004-0000-0300-00008A030000}"/>
    <hyperlink ref="AK64" r:id="rId772" display="https://www.concordmonitor.com/Somber-memories-20-years-after-small-town-shootings-11846765" xr:uid="{00000000-0004-0000-0300-00008B030000}"/>
    <hyperlink ref="BC64" r:id="rId773" display="http://content.time.com/time/magazine/article/0,9171,138219,00.html" xr:uid="{00000000-0004-0000-0300-00008C030000}"/>
    <hyperlink ref="BI64" r:id="rId774" display="https://www.concordmonitor.com/Somber-memories-20-years-after-small-town-shootings-11846765" xr:uid="{00000000-0004-0000-0300-00008D030000}"/>
    <hyperlink ref="BJ64" r:id="rId775" display="https://www.concordmonitor.com/Somber-memories-20-years-after-small-town-shootings-11846765" xr:uid="{00000000-0004-0000-0300-00008E030000}"/>
    <hyperlink ref="DT64" r:id="rId776" display="http://content.time.com/time/magazine/article/0,9171,138219,00.html" xr:uid="{00000000-0004-0000-0300-00008F030000}"/>
    <hyperlink ref="G65" r:id="rId777" display="http://www.aikenstandard.com/news/twenty-years-later-remembering-the-shooting-at-phelon-plant-in/article_4b5b7132-9983-11e7-b425-9f5c8ce770f8.html" xr:uid="{00000000-0004-0000-0300-000092030000}"/>
    <hyperlink ref="J65" r:id="rId778" xr:uid="{00000000-0004-0000-0300-000093030000}"/>
    <hyperlink ref="M65" r:id="rId779" display="https://www.aikenstandard.com/news/aiken-celebrated-all-america-city-win-years-ago/article_2e7d7440-4b98-11e7-8c30-43349bce4396.html" xr:uid="{00000000-0004-0000-0300-000094030000}"/>
    <hyperlink ref="S65" r:id="rId780" display="http://www.aikenstandard.com/news/twenty-years-later-remembering-the-shooting-at-phelon-plant-in/article_4b5b7132-9983-11e7-b425-9f5c8ce770f8.html" xr:uid="{00000000-0004-0000-0300-000095030000}"/>
    <hyperlink ref="V65" r:id="rId781" display="http://www.aikenstandard.com/news/twenty-years-later-remembering-the-shooting-at-phelon-plant-in/article_4b5b7132-9983-11e7-b425-9f5c8ce770f8.html" xr:uid="{00000000-0004-0000-0300-000097030000}"/>
    <hyperlink ref="W65" r:id="rId782" display="http://www.aikenstandard.com/news/twenty-years-later-remembering-the-shooting-at-phelon-plant-in/article_4b5b7132-9983-11e7-b425-9f5c8ce770f8.html" xr:uid="{00000000-0004-0000-0300-000098030000}"/>
    <hyperlink ref="X65" r:id="rId783" display="http://www.clarkprosecutor.org/html/death/US/wise992.htm" xr:uid="{00000000-0004-0000-0300-000099030000}"/>
    <hyperlink ref="AB65" r:id="rId784" location="v=onepage&amp;q=%22hastings%20wi&quot;&amp;&quot;se%22%20shooting&amp;f=false" display="https://books.google.com/books?id=cmTxCQAAQBAJ&amp;pg=PA604&amp;lpg=PA604&amp;dq=%22hastings+wise%22+shooting&amp;source=bl&amp;ots=eXVBKVhTsC&amp;sig=ACfU3U0AQ0Gk5TaUOOKRbirl8pltRbcTjg&amp;hl=en&amp;sa=X&amp;ved=2ahUKEwiIwoj-0rfjAhUba80KHUDGBLg4ChDoATAIegQIChAB - v=onepage&amp;q=%22hastings%20wi&quot;&amp;&quot;se%22%20shooting&amp;f=false" xr:uid="{00000000-0004-0000-0300-00009A030000}"/>
    <hyperlink ref="AI65" r:id="rId785" display="http://www.clarkprosecutor.org/html/death/US/wise992.htm" xr:uid="{00000000-0004-0000-0300-00009B030000}"/>
    <hyperlink ref="AJ65" r:id="rId786" display="http://www.clarkprosecutor.org/html/death/US/wise992.htm" xr:uid="{00000000-0004-0000-0300-00009C030000}"/>
    <hyperlink ref="DT65" r:id="rId787" display="http://www.vpc.org/studies/wgun970915.htm" xr:uid="{00000000-0004-0000-0300-00009E030000}"/>
    <hyperlink ref="CR66" r:id="rId788" display="https://caselaw.findlaw.com/fl-supreme-court/1559835.html" xr:uid="{00000000-0004-0000-0300-0000A2030000}"/>
    <hyperlink ref="CV66" r:id="rId789" display="https://caselaw.findlaw.com/fl-supreme-court/1559835.html" xr:uid="{00000000-0004-0000-0300-0000A3030000}"/>
    <hyperlink ref="T67" r:id="rId790" display="https://www.nytimes.com/1997/12/20/us/dismissed-worker-kills-4-and-then-is-slain.html?mcubz=3" xr:uid="{00000000-0004-0000-0300-0000A4030000}"/>
    <hyperlink ref="Y67" r:id="rId791" display="http://articles.latimes.com/1997/dec/20/news/mn-431" xr:uid="{00000000-0004-0000-0300-0000A5030000}"/>
    <hyperlink ref="AI67" r:id="rId792" display="https://www.latimes.com/archives/la-xpm-1997-dec-20-mn-431-story.html" xr:uid="{00000000-0004-0000-0300-0000A6030000}"/>
    <hyperlink ref="AN67" r:id="rId793" display="http://articles.latimes.com/1997/dec/20/news/mn-431" xr:uid="{00000000-0004-0000-0300-0000A7030000}"/>
    <hyperlink ref="AS67" r:id="rId794" display="https://www.latimes.com/archives/la-xpm-1997-dec-20-mn-431-story.html" xr:uid="{00000000-0004-0000-0300-0000A8030000}"/>
    <hyperlink ref="BC67" r:id="rId795" display="http://articles.latimes.com/1997/dec/20/news/mn-431" xr:uid="{00000000-0004-0000-0300-0000A9030000}"/>
    <hyperlink ref="BJ67" r:id="rId796" display="https://www.latimes.com/archives/la-xpm-1997-dec-20-mn-431-story.html" xr:uid="{00000000-0004-0000-0300-0000AA030000}"/>
    <hyperlink ref="CI67" r:id="rId797" display="https://www.nytimes.com/1997/12/20/us/dismissed-worker-kills-4-and-then-is-slain.html?mcubz=3" xr:uid="{00000000-0004-0000-0300-0000AB030000}"/>
    <hyperlink ref="DT67" r:id="rId798" display="http://articles.latimes.com/1997/dec/20/news/mn-431" xr:uid="{00000000-0004-0000-0300-0000AC030000}"/>
    <hyperlink ref="G68" r:id="rId799" display="https://www.nytimes.com/1998/03/07/nyregion/rampage-connecticut-overview-connecticut-lottery-worker-kills-4-bosses-then.html" xr:uid="{00000000-0004-0000-0300-0000B0030000}"/>
    <hyperlink ref="H68" r:id="rId800" display="https://www.nytimes.com/1998/03/07/nyregion/rampage-connecticut-overview-connecticut-lottery-worker-kills-4-bosses-then.html" xr:uid="{00000000-0004-0000-0300-0000B1030000}"/>
    <hyperlink ref="J68" r:id="rId801" xr:uid="{00000000-0004-0000-0300-0000B2030000}"/>
    <hyperlink ref="K68" r:id="rId802" display="https://www.nytimes.com/1998/03/07/nyregion/rampage-connecticut-overview-connecticut-lottery-worker-kills-4-bosses-then.html" xr:uid="{00000000-0004-0000-0300-0000B3030000}"/>
    <hyperlink ref="L68" r:id="rId803" display="https://www.nytimes.com/1998/03/07/nyregion/rampage-connecticut-overview-connecticut-lottery-worker-kills-4-bosses-then.html" xr:uid="{00000000-0004-0000-0300-0000B4030000}"/>
    <hyperlink ref="M68" r:id="rId804" display="https://www.nytimes.com/1998/03/07/nyregion/rampage-connecticut-overview-connecticut-lottery-worker-kills-4-bosses-then.html" xr:uid="{00000000-0004-0000-0300-0000B5030000}"/>
    <hyperlink ref="O68" r:id="rId805" display="https://www.washingtonpost.com/archive/politics/1998/03/07/worker-kills-four-at-conn-lottery/c13a0a44-be0c-4a1a-8af3-98ee11a55c14/?noredirect=on&amp;utm_term=.4820ebd07634" xr:uid="{00000000-0004-0000-0300-0000B6030000}"/>
    <hyperlink ref="S68" r:id="rId806" display="http://www.nytimes.com/1998/03/07/nyregion/rampage-connecticut-overview-connecticut-lottery-worker-kills-4-bosses-then.html" xr:uid="{00000000-0004-0000-0300-0000B7030000}"/>
    <hyperlink ref="T68" r:id="rId807" display="https://www.nytimes.com/1998/03/08/nyregion/in-a-province-of-winners-worker-who-lost-out-takes-revenge.html" xr:uid="{00000000-0004-0000-0300-0000B8030000}"/>
    <hyperlink ref="V68" r:id="rId808" display="http://www.nytimes.com/1998/03/07/nyregion/rampage-connecticut-overview-connecticut-lottery-worker-kills-4-bosses-then.html" xr:uid="{00000000-0004-0000-0300-0000BA030000}"/>
    <hyperlink ref="W68" r:id="rId809" display="https://www.nytimes.com/1998/03/07/nyregion/rampage-connecticut-overview-connecticut-lottery-worker-kills-4-bosses-then.html" xr:uid="{00000000-0004-0000-0300-0000BB030000}"/>
    <hyperlink ref="X68" r:id="rId810" location="v=onepage&amp;q=matthew%20beck%20unceremoniously&amp;f=false" display="https://books.google.com/books?id=7WVGDgAAQBAJ&amp;pg=PT285&amp;dq=matthew+beck+unceremoniously&amp;hl=en&amp;sa=X&amp;ved=0ahUKEwiqwvXa78jhAhUR1qwKHSMbAyEQ6AEIKDAA - v=onepage&amp;q=matthew%20beck%20unceremoniously&amp;f=false" xr:uid="{00000000-0004-0000-0300-0000BC030000}"/>
    <hyperlink ref="AB68" r:id="rId811" display="https://www.nytimes.com/1998/03/07/nyregion/rampage-connecticut-overview-connecticut-lottery-worker-kills-4-bosses-then.html" xr:uid="{00000000-0004-0000-0300-0000BD030000}"/>
    <hyperlink ref="AI68" r:id="rId812" display="https://www.nytimes.com/1998/03/08/nyregion/in-a-province-of-winners-worker-who-lost-out-takes-revenge.html" xr:uid="{00000000-0004-0000-0300-0000BE030000}"/>
    <hyperlink ref="AJ68" r:id="rId813" display="https://www.nytimes.com/1998/03/07/nyregion/rampage-connecticut-overview-connecticut-lottery-worker-kills-4-bosses-then.html" xr:uid="{00000000-0004-0000-0300-0000BF030000}"/>
    <hyperlink ref="AK68" r:id="rId814" display="http://www.nytimes.com/1998/03/07/nyregion/rampage-connecticut-overview-connecticut-lottery-worker-kills-4-bosses-then.html" xr:uid="{00000000-0004-0000-0300-0000C0030000}"/>
    <hyperlink ref="AL68" r:id="rId815" display="http://www.nytimes.com/1998/03/07/nyregion/rampage-connecticut-overview-connecticut-lottery-worker-kills-4-bosses-then.html" xr:uid="{00000000-0004-0000-0300-0000C1030000}"/>
    <hyperlink ref="DR68" r:id="rId816" location="v=onepage&amp;q=matthew%20beck%20shooting&quot;&amp;&quot;%20march%206%201998&amp;f=false" display="https://books.google.com/books?id=3ewAoOHQQzcC&amp;pg=PA158&amp;lpg=PA158&amp;dq=matthew+beck+shooting+march+6+1998&amp;source=bl&amp;ots=FyjXTPh7sz&amp;sig=qN7NzBuWHk2XbdHNZgZAMYsS6YY&amp;hl=en&amp;sa=X&amp;ved=0ahUKEwj_7cuqhufYAhUJ7awKHU7JAa0Q6AEIOTAD - v=onepage&amp;q=matthew%20beck%20shooting&quot;&amp;&quot;%20march%206%201998&amp;f=false" xr:uid="{00000000-0004-0000-0300-0000C2030000}"/>
    <hyperlink ref="BC68" r:id="rId817" display="https://www.nytimes.com/1998/03/08/nyregion/in-a-province-of-winners-worker-who-lost-out-takes-revenge.html" xr:uid="{00000000-0004-0000-0300-0000C3030000}"/>
    <hyperlink ref="BD68" r:id="rId818" display="https://www.nytimes.com/1998/03/08/nyregion/in-a-province-of-winners-worker-who-lost-out-takes-revenge.html" xr:uid="{00000000-0004-0000-0300-0000C4030000}"/>
    <hyperlink ref="BE68" r:id="rId819" location="v=onepage&amp;q=matthew%20beck%20shooting&quot;&amp;&quot;%20march%206%201998&amp;f=false" display="https://books.google.com/books?id=3ewAoOHQQzcC&amp;pg=PA158&amp;lpg=PA158&amp;dq=matthew+beck+shooting+march+6+1998&amp;source=bl&amp;ots=FyjXTPh7sz&amp;sig=qN7NzBuWHk2XbdHNZgZAMYsS6YY&amp;hl=en&amp;sa=X&amp;ved=0ahUKEwj_7cuqhufYAhUJ7awKHU7JAa0Q6AEIOTAD - v=onepage&amp;q=matthew%20beck%20shooting&quot;&amp;&quot;%20march%206%201998&amp;f=false" xr:uid="{00000000-0004-0000-0300-0000C5030000}"/>
    <hyperlink ref="BF68" r:id="rId820" location="v=onepage&amp;q=matthew%20beck%20shooting&quot;&amp;&quot;%20march%206%201998&amp;f=false" display="https://books.google.com/books?id=3ewAoOHQQzcC&amp;pg=PA158&amp;lpg=PA158&amp;dq=matthew+beck+shooting+march+6+1998&amp;source=bl&amp;ots=FyjXTPh7sz&amp;sig=qN7NzBuWHk2XbdHNZgZAMYsS6YY&amp;hl=en&amp;sa=X&amp;ved=0ahUKEwj_7cuqhufYAhUJ7awKHU7JAa0Q6AEIOTAD - v=onepage&amp;q=matthew%20beck%20shooting&quot;&amp;&quot;%20march%206%201998&amp;f=false" xr:uid="{00000000-0004-0000-0300-0000C6030000}"/>
    <hyperlink ref="BJ68" r:id="rId821" display="https://www.nytimes.com/1998/03/08/nyregion/in-a-province-of-winners-worker-who-lost-out-takes-revenge.html" xr:uid="{00000000-0004-0000-0300-0000C7030000}"/>
    <hyperlink ref="BK68" r:id="rId822" display="https://www.washingtonpost.com/archive/politics/1998/03/07/worker-kills-four-at-conn-lottery/c13a0a44-be0c-4a1a-8af3-98ee11a55c14/?noredirect=on&amp;utm_term=.4820ebd07634" xr:uid="{00000000-0004-0000-0300-0000C8030000}"/>
    <hyperlink ref="BY68" r:id="rId823" location="v=onepage&amp;q=matthew%20beck%20shooting&quot;&amp;&quot;%20march%206%201998&amp;f=false" display="https://books.google.com/books?id=3ewAoOHQQzcC&amp;pg=PA158&amp;lpg=PA158&amp;dq=matthew+beck+shooting+march+6+1998&amp;source=bl&amp;ots=FyjXTPh7sz&amp;sig=qN7NzBuWHk2XbdHNZgZAMYsS6YY&amp;hl=en&amp;sa=X&amp;ved=0ahUKEwj_7cuqhufYAhUJ7awKHU7JAa0Q6AEIOTAD - v=onepage&amp;q=matthew%20beck%20shooting&quot;&amp;&quot;%20march%206%201998&amp;f=false" xr:uid="{00000000-0004-0000-0300-0000C9030000}"/>
    <hyperlink ref="BZ68" r:id="rId824" location="v=onepage&amp;q=matthew%20beck%20shooting%20march%206%201998&amp;f=false" display="https://books.google.com/books?id=3ewAoOHQQzcC&amp;pg=PA158&amp;lpg=PA158&amp;dq=matthew+beck+shooting+march+6+1998&amp;source=bl&amp;ots=FyjXTPh7sz&amp;sig=qN7NzBuWHk2XbdHNZgZAMYsS6YY&amp;hl=en&amp;sa=X&amp;ved=0ahUKEwj_7cuqhufYAhUJ7awKHU7JAa0Q6AEIOTAD - v=onepage&amp;q=matthew%20beck%20shooting%20march%206%201998&amp;f=false" xr:uid="{00000000-0004-0000-0300-0000CA030000}"/>
    <hyperlink ref="CC68" r:id="rId825" location="v=onepage&amp;q=matthew%20beck%20shooting%20march%206%201998&amp;f=false" display="https://books.google.com/books?id=3ewAoOHQQzcC&amp;pg=PA158&amp;lpg=PA158&amp;dq=matthew+beck+shooting+march+6+1998&amp;source=bl&amp;ots=FyjXTPh7sz&amp;sig=qN7NzBuWHk2XbdHNZgZAMYsS6YY&amp;hl=en&amp;sa=X&amp;ved=0ahUKEwj_7cuqhufYAhUJ7awKHU7JAa0Q6AEIOTAD - v=onepage&amp;q=matthew%20beck%20shooting%20march%206%201998&amp;f=false" xr:uid="{00000000-0004-0000-0300-0000CB030000}"/>
    <hyperlink ref="CE68" r:id="rId826" location="v=onepage&amp;q=matthew%20beck%20shooting&quot;&amp;&quot;%20march%206%201998&amp;f=false" display="https://books.google.com/books?id=3ewAoOHQQzcC&amp;pg=PA158&amp;lpg=PA158&amp;dq=matthew+beck+shooting+march+6+1998&amp;source=bl&amp;ots=FyjXTPh7sz&amp;sig=qN7NzBuWHk2XbdHNZgZAMYsS6YY&amp;hl=en&amp;sa=X&amp;ved=0ahUKEwj_7cuqhufYAhUJ7awKHU7JAa0Q6AEIOTAD - v=onepage&amp;q=matthew%20beck%20shooting&quot;&amp;&quot;%20march%206%201998&amp;f=false" xr:uid="{00000000-0004-0000-0300-0000CC030000}"/>
    <hyperlink ref="DC68" r:id="rId827" display="https://www.nytimes.com/1998/03/08/nyregion/in-a-province-of-winners-worker-who-lost-out-takes-revenge.html" xr:uid="{00000000-0004-0000-0300-0000CD030000}"/>
    <hyperlink ref="DT68" r:id="rId828" display="http://www.nytimes.com/1998/03/07/nyregion/rampage-connecticut-overview-connecticut-lottery-worker-kills-4-bosses-then.html" xr:uid="{00000000-0004-0000-0300-0000CE030000}"/>
    <hyperlink ref="W69" r:id="rId829" display="https://www.nytimes.com/1998/08/12/us/judge-punishes-arkansas-boys-who-killed-5.html" xr:uid="{00000000-0004-0000-0300-0000D3030000}"/>
    <hyperlink ref="DR69" r:id="rId830" display="https://www.nytimes.com/1998/03/29/us/from-wild-talk-and-friendship-to-five-deaths-in-a-schoolyard.html" xr:uid="{00000000-0004-0000-0300-0000D4030000}"/>
    <hyperlink ref="BL69" r:id="rId831" display="https://www.nytimes.com/1998/03/29/us/from-wild-talk-and-friendship-to-five-deaths-in-a-schoolyard.html?mcubz=0" xr:uid="{00000000-0004-0000-0300-0000D5030000}"/>
    <hyperlink ref="DC69" r:id="rId832" display="https://www.nytimes.com/1998/03/29/us/from-wild-talk-and-friendship-to-five-deaths-in-a-schoolyard.html?mcubz=0" xr:uid="{00000000-0004-0000-0300-0000D6030000}"/>
    <hyperlink ref="M70" r:id="rId833" display="https://www.nytimes.com/1998/03/29/us/from-wild-talk-and-friendship-to-five-deaths-in-a-schoolyard.html?mcubz=0" xr:uid="{00000000-0004-0000-0300-0000D8030000}"/>
    <hyperlink ref="O70" r:id="rId834" display="https://www.nytimes.com/1998/03/29/us/from-wild-talk-and-friendship-to-five-deaths-in-a-schoolyard.html?mcubz=0" xr:uid="{00000000-0004-0000-0300-0000D9030000}"/>
    <hyperlink ref="T70" r:id="rId835" display="https://www.nytimes.com/1998/08/12/us/judge-punishes-arkansas-boys-who-killed-5.html" xr:uid="{00000000-0004-0000-0300-0000DA030000}"/>
    <hyperlink ref="Y70" r:id="rId836" display="https://www.nytimes.com/1998/03/29/us/from-wild-talk-and-friendship-to-five-deaths-in-a-schoolyard.html?mcubz=0" xr:uid="{00000000-0004-0000-0300-0000DB030000}"/>
    <hyperlink ref="AA70" r:id="rId837" display="https://www.nytimes.com/1998/03/29/us/from-wild-talk-and-friendship-to-five-deaths-in-a-schoolyard.html?mcubz=0" xr:uid="{00000000-0004-0000-0300-0000DC030000}"/>
    <hyperlink ref="AK70" r:id="rId838" display="https://www.nytimes.com/1998/03/29/us/from-wild-talk-and-friendship-to-five-deaths-in-a-schoolyard.html?mcubz=0" xr:uid="{00000000-0004-0000-0300-0000DD030000}"/>
    <hyperlink ref="AY70" r:id="rId839" display="https://www.nytimes.com/1998/03/29/us/from-wild-talk-and-friendship-to-five-deaths-in-a-schoolyard.html?mcubz=0" xr:uid="{00000000-0004-0000-0300-0000DE030000}"/>
    <hyperlink ref="BC70" r:id="rId840" display="https://www.nytimes.com/1998/03/29/us/from-wild-talk-and-friendship-to-five-deaths-in-a-schoolyard.html?mcubz=0" xr:uid="{00000000-0004-0000-0300-0000DF030000}"/>
    <hyperlink ref="BD70" r:id="rId841" display="https://www.nytimes.com/1998/03/29/us/from-wild-talk-and-friendship-to-five-deaths-in-a-schoolyard.html?mcubz=0" xr:uid="{00000000-0004-0000-0300-0000E0030000}"/>
    <hyperlink ref="BK70" r:id="rId842" display="https://www.nytimes.com/1998/03/29/us/from-wild-talk-and-friendship-to-five-deaths-in-a-schoolyard.html?mcubz=0" xr:uid="{00000000-0004-0000-0300-0000E1030000}"/>
    <hyperlink ref="DC70" r:id="rId843" display="https://www.nytimes.com/1998/03/29/us/from-wild-talk-and-friendship-to-five-deaths-in-a-schoolyard.html?mcubz=0" xr:uid="{00000000-0004-0000-0300-0000E2030000}"/>
    <hyperlink ref="G71" r:id="rId844" xr:uid="{00000000-0004-0000-0300-0000E3030000}"/>
    <hyperlink ref="H71" r:id="rId845" xr:uid="{00000000-0004-0000-0300-0000E4030000}"/>
    <hyperlink ref="J71" r:id="rId846" xr:uid="{00000000-0004-0000-0300-0000E5030000}"/>
    <hyperlink ref="K71" r:id="rId847" xr:uid="{00000000-0004-0000-0300-0000E6030000}"/>
    <hyperlink ref="L71" r:id="rId848" display="https://www.pbs.org/wgbh/frontline/article/fourteen-years-later-looking-back-at-a-school-shooting/" xr:uid="{00000000-0004-0000-0300-0000E7030000}"/>
    <hyperlink ref="O71" r:id="rId849" display="https://www.pbs.org/wgbh/frontline/article/fourteen-years-later-looking-back-at-a-school-shooting/" xr:uid="{00000000-0004-0000-0300-0000E8030000}"/>
    <hyperlink ref="S71" r:id="rId850" display="http://www.pbs.org/wgbh/pages/frontline/shows/kinkel/trial/" xr:uid="{00000000-0004-0000-0300-0000E9030000}"/>
    <hyperlink ref="T71" r:id="rId851" display="https://www.pbs.org/wgbh/pages/frontline/shows/kinkel/trial/" xr:uid="{00000000-0004-0000-0300-0000EA030000}"/>
    <hyperlink ref="V71" r:id="rId852" display="https://www.pbs.org/wgbh/frontline/article/fourteen-years-later-looking-back-at-a-school-shooting/" xr:uid="{00000000-0004-0000-0300-0000ED030000}"/>
    <hyperlink ref="W71" r:id="rId853" display="https://www.pbs.org/wgbh/frontline/article/fourteen-years-later-looking-back-at-a-school-shooting/" xr:uid="{00000000-0004-0000-0300-0000EE030000}"/>
    <hyperlink ref="X71" r:id="rId854" display="https://www.pbs.org/wgbh/frontline/article/fourteen-years-later-looking-back-at-a-school-shooting/" xr:uid="{00000000-0004-0000-0300-0000EF030000}"/>
    <hyperlink ref="Y71" r:id="rId855" display="https://www.pbs.org/wgbh/pages/frontline/shows/kinkel/kip/kristin.html" xr:uid="{00000000-0004-0000-0300-0000F0030000}"/>
    <hyperlink ref="AQ71" r:id="rId856" display="https://www.pbs.org/wgbh/pages/frontline/shows/kinkel/kip/cron.html" xr:uid="{00000000-0004-0000-0300-0000F1030000}"/>
    <hyperlink ref="DR71" r:id="rId857" display="https://www.pbs.org/wgbh/pages/frontline/shows/kinkel/trial/" xr:uid="{00000000-0004-0000-0300-0000F2030000}"/>
    <hyperlink ref="BE71" r:id="rId858" display="https://www.pbs.org/wgbh/pages/frontline/shows/kinkel/trial/" xr:uid="{00000000-0004-0000-0300-0000F3030000}"/>
    <hyperlink ref="BL71" r:id="rId859" xr:uid="{00000000-0004-0000-0300-0000F4030000}"/>
    <hyperlink ref="BZ71" r:id="rId860" xr:uid="{00000000-0004-0000-0300-0000F5030000}"/>
    <hyperlink ref="CA71" r:id="rId861" xr:uid="{00000000-0004-0000-0300-0000F6030000}"/>
    <hyperlink ref="CC71" r:id="rId862" xr:uid="{00000000-0004-0000-0300-0000F7030000}"/>
    <hyperlink ref="DJ71" r:id="rId863" display="https://www.pbs.org/wgbh/pages/frontline/shows/kinkel/kip/cron.html" xr:uid="{00000000-0004-0000-0300-0000F9030000}"/>
    <hyperlink ref="DT71" r:id="rId864" display="http://www.pbs.org/wgbh/pages/frontline/shows/kinkel/kip/cron.html" xr:uid="{00000000-0004-0000-0300-0000FA030000}"/>
    <hyperlink ref="DW71" r:id="rId865" display="http://www.pbs.org/wgbh/pages/frontline/shows/kinkel/kip/cron.html" xr:uid="{00000000-0004-0000-0300-0000FF030000}"/>
    <hyperlink ref="O72" r:id="rId866" display="http://www.wafb.com/story/6956350/shon-miller-changes-his-plea-to-not-guilty-by-reason-of-insanity/" xr:uid="{00000000-0004-0000-0300-000000040000}"/>
    <hyperlink ref="T72" r:id="rId867" display="https://products.kitsapsun.com/archive/1999/03-12/0008_in_the_headlines__louisiana__chur.html" xr:uid="{00000000-0004-0000-0300-000001040000}"/>
    <hyperlink ref="AQ72" r:id="rId868" display="https://www.nytimes.com/1999/03/12/us/louisiana-shooting-kills-3-at-church-and-one-at-home.html" xr:uid="{00000000-0004-0000-0300-000002040000}"/>
    <hyperlink ref="AS72" r:id="rId869" display="https://www.nytimes.com/1999/03/12/us/louisiana-shooting-kills-3-at-church-and-one-at-home.html" xr:uid="{00000000-0004-0000-0300-000003040000}"/>
    <hyperlink ref="AU72" r:id="rId870" display="https://www.nytimes.com/1999/03/12/us/louisiana-shooting-kills-3-at-church-and-one-at-home.html" xr:uid="{00000000-0004-0000-0300-000004040000}"/>
    <hyperlink ref="AV72" r:id="rId871" display="https://www.nytimes.com/1999/03/12/us/louisiana-shooting-kills-3-at-church-and-one-at-home.html" xr:uid="{00000000-0004-0000-0300-000005040000}"/>
    <hyperlink ref="BE72" r:id="rId872" display="https://caselaw.findlaw.com/la-supreme-court/1185808.html" xr:uid="{00000000-0004-0000-0300-000006040000}"/>
    <hyperlink ref="J73" r:id="rId873" xr:uid="{00000000-0004-0000-0300-000007040000}"/>
    <hyperlink ref="M73" r:id="rId874" display="https://www.theguardian.com/world/2009/apr/12/columbine-massacre-ten-year-anniversary" xr:uid="{00000000-0004-0000-0300-000008040000}"/>
    <hyperlink ref="T73" r:id="rId875" display="https://www.cnn.com/2013/09/18/us/columbine-high-school-shootings-fast-facts/index.html" xr:uid="{00000000-0004-0000-0300-000009040000}"/>
    <hyperlink ref="AA73" r:id="rId876" display="https://www.theguardian.com/world/2009/apr/25/dave-cullen-columbine" xr:uid="{00000000-0004-0000-0300-00000B040000}"/>
    <hyperlink ref="AQ73" r:id="rId877" display="https://web.archive.org/web/20021208205724/http:/www.rcfp.org/news/2002/1106inreha.html" xr:uid="{00000000-0004-0000-0300-00000C040000}"/>
    <hyperlink ref="BD73" r:id="rId878" display="https://www.theguardian.com/world/2009/apr/17/columbine-massacre-gun-crime-us" xr:uid="{00000000-0004-0000-0300-00000D040000}"/>
    <hyperlink ref="DJ73" r:id="rId879" display="https://www.theguardian.com/world/2009/apr/17/columbine-massacre-gun-crime-us" xr:uid="{00000000-0004-0000-0300-00000E040000}"/>
    <hyperlink ref="DK73" r:id="rId880" display="https://www.theguardian.com/world/2009/apr/17/columbine-massacre-gun-crime-us" xr:uid="{00000000-0004-0000-0300-00000F040000}"/>
    <hyperlink ref="DP73" r:id="rId881" display="https://slate.com/news-and-politics/2004/04/at-last-we-know-why-the-columbine-killers-did-it.html" xr:uid="{00000000-0004-0000-0300-000010040000}"/>
    <hyperlink ref="DW73" r:id="rId882" display="https://www.cnn.com/2013/09/18/us/columbine-high-school-shootings-fast-facts/index.html" xr:uid="{00000000-0004-0000-0300-000011040000}"/>
    <hyperlink ref="G74" r:id="rId883" display="https://www.cnn.com/2013/09/18/us/columbine-high-school-shootings-fast-facts/index.html" xr:uid="{00000000-0004-0000-0300-000012040000}"/>
    <hyperlink ref="H74" r:id="rId884" display="https://www.cnn.com/2013/09/18/us/columbine-high-school-shootings-fast-facts/index.html" xr:uid="{00000000-0004-0000-0300-000013040000}"/>
    <hyperlink ref="J74" r:id="rId885" xr:uid="{00000000-0004-0000-0300-000014040000}"/>
    <hyperlink ref="K74" r:id="rId886" display="https://www.cnn.com/2013/09/18/us/columbine-high-school-shootings-fast-facts/index.html" xr:uid="{00000000-0004-0000-0300-000015040000}"/>
    <hyperlink ref="M74" r:id="rId887" display="https://www.theguardian.com/world/2009/apr/17/columbine-massacre-gun-crime-us" xr:uid="{00000000-0004-0000-0300-000016040000}"/>
    <hyperlink ref="N74" r:id="rId888" display="https://www.cnn.com/2013/09/18/us/columbine-high-school-shootings-fast-facts/index.html" xr:uid="{00000000-0004-0000-0300-000017040000}"/>
    <hyperlink ref="S74" r:id="rId889" display="https://www.cnn.com/2013/09/18/us/columbine-high-school-shootings-fast-facts/index.html" xr:uid="{00000000-0004-0000-0300-000018040000}"/>
    <hyperlink ref="T74" r:id="rId890" display="https://www.cnn.com/2013/09/18/us/columbine-high-school-shootings-fast-facts/index.html" xr:uid="{00000000-0004-0000-0300-000019040000}"/>
    <hyperlink ref="V74" r:id="rId891" display="https://www.cnn.com/2013/09/18/us/columbine-high-school-shootings-fast-facts/index.html" xr:uid="{00000000-0004-0000-0300-00001C040000}"/>
    <hyperlink ref="W74" r:id="rId892" display="https://www.cnn.com/2013/09/18/us/columbine-high-school-shootings-fast-facts/index.html" xr:uid="{00000000-0004-0000-0300-00001D040000}"/>
    <hyperlink ref="X74" r:id="rId893" display="https://www.rollingstone.com/culture/culture-features/how-they-got-the-guns-175676/" xr:uid="{00000000-0004-0000-0300-00001E040000}"/>
    <hyperlink ref="AA74" r:id="rId894" display="http://www.cnn.com/US/9904/21/harris.profile.02/" xr:uid="{00000000-0004-0000-0300-00001F040000}"/>
    <hyperlink ref="AJ74" r:id="rId895" display="http://www.acolumbinesite.com/eric.php" xr:uid="{00000000-0004-0000-0300-000020040000}"/>
    <hyperlink ref="AK74" r:id="rId896" display="https://www.nytimes.com/1999/06/29/us/shattered-lives-special-report-caring-parents-no-answers-columbine-killers-pasts.html" xr:uid="{00000000-0004-0000-0300-000021040000}"/>
    <hyperlink ref="AL74" r:id="rId897" display="https://www.nytimes.com/1999/06/29/us/shattered-lives-special-report-caring-parents-no-answers-columbine-killers-pasts.html" xr:uid="{00000000-0004-0000-0300-000022040000}"/>
    <hyperlink ref="BJ74" r:id="rId898" display="http://www.acolumbinesite.com/eric.php" xr:uid="{00000000-0004-0000-0300-000023040000}"/>
    <hyperlink ref="BK74" r:id="rId899" display="https://www.nytimes.com/1999/06/29/us/shattered-lives-special-report-caring-parents-no-answers-columbine-killers-pasts.html" xr:uid="{00000000-0004-0000-0300-000024040000}"/>
    <hyperlink ref="BZ74" r:id="rId900" display="http://www.acolumbinesite.com/eric.php" xr:uid="{00000000-0004-0000-0300-000025040000}"/>
    <hyperlink ref="CA74" r:id="rId901" display="https://www.nytimes.com/1999/06/29/us/shattered-lives-special-report-caring-parents-no-answers-columbine-killers-pasts.html" xr:uid="{00000000-0004-0000-0300-000026040000}"/>
    <hyperlink ref="CH74" r:id="rId902" display="https://www.theguardian.com/world/2009/apr/25/dave-cullen-columbine" xr:uid="{00000000-0004-0000-0300-000027040000}"/>
    <hyperlink ref="DJ74" r:id="rId903" display="https://www.theguardian.com/world/2009/apr/17/columbine-massacre-gun-crime-us" xr:uid="{00000000-0004-0000-0300-000028040000}"/>
    <hyperlink ref="DK74" r:id="rId904" display="https://www.theguardian.com/world/2009/apr/17/columbine-massacre-gun-crime-us" xr:uid="{00000000-0004-0000-0300-000029040000}"/>
    <hyperlink ref="DT74" r:id="rId905" display="https://www.rollingstone.com/culture/culture-features/how-they-got-the-guns-175676/" xr:uid="{00000000-0004-0000-0300-00002A040000}"/>
    <hyperlink ref="DW74" r:id="rId906" display="http://www.cnn.com/US/9904/21/harris.profile.02/" xr:uid="{00000000-0004-0000-0300-00002F040000}"/>
    <hyperlink ref="G75" r:id="rId907" display="http://articles.latimes.com/1999/jun/05/news/mn-44403" xr:uid="{00000000-0004-0000-0300-000030040000}"/>
    <hyperlink ref="H75" r:id="rId908" display="http://articles.latimes.com/1999/jun/05/news/mn-44403" xr:uid="{00000000-0004-0000-0300-000031040000}"/>
    <hyperlink ref="L75" r:id="rId909" display="https://lasvegassun.com/news/1999/jun/04/floyd-described-as-sweet-guy-with-violent-streak/" xr:uid="{00000000-0004-0000-0300-000032040000}"/>
    <hyperlink ref="M75" r:id="rId910" display="https://lasvegassun.com/news/1999/jun/04/floyd-described-as-sweet-guy-with-violent-streak/" xr:uid="{00000000-0004-0000-0300-000033040000}"/>
    <hyperlink ref="V75" r:id="rId911" display="http://articles.latimes.com/1999/jun/05/news/mn-44403" xr:uid="{00000000-0004-0000-0300-000034040000}"/>
    <hyperlink ref="W75" r:id="rId912" display="https://lasvegassun.com/news/1999/jun/04/floyd-described-as-sweet-guy-with-violent-streak/" xr:uid="{00000000-0004-0000-0300-000035040000}"/>
    <hyperlink ref="X75" r:id="rId913" display="https://web.archive.org/web/20030708025827/http:/www.reviewjournal.com/lvrj_home/2000/Jul-22-Sat-2000/news/14017426.html" xr:uid="{00000000-0004-0000-0300-000036040000}"/>
    <hyperlink ref="AI75" r:id="rId914" display="https://lasvegassun.com/news/1999/jun/04/floyd-described-as-sweet-guy-with-violent-streak/" xr:uid="{00000000-0004-0000-0300-000037040000}"/>
    <hyperlink ref="AK75" r:id="rId915" display="https://lasvegassun.com/news/1999/jun/04/floyd-described-as-sweet-guy-with-violent-streak/" xr:uid="{00000000-0004-0000-0300-000038040000}"/>
    <hyperlink ref="AL75" r:id="rId916" display="https://lasvegassun.com/news/1999/jun/04/floyd-described-as-sweet-guy-with-violent-streak/" xr:uid="{00000000-0004-0000-0300-000039040000}"/>
    <hyperlink ref="AM75" r:id="rId917" display="https://lasvegassun.com/news/1999/jun/04/floyd-described-as-sweet-guy-with-violent-streak/" xr:uid="{00000000-0004-0000-0300-00003A040000}"/>
    <hyperlink ref="AN75" r:id="rId918" display="https://lasvegassun.com/news/1999/jun/04/floyd-described-as-sweet-guy-with-violent-streak/" xr:uid="{00000000-0004-0000-0300-00003B040000}"/>
    <hyperlink ref="DW75" r:id="rId919" display="https://lasvegassun.com/news/1999/jun/04/floyd-described-as-sweet-guy-with-violent-streak/" xr:uid="{00000000-0004-0000-0300-00003C040000}"/>
    <hyperlink ref="G76" r:id="rId920" location="2" display="http://www.ajc.com/news/local-govt--politics/atlanta-rewind-mark-barton-1999-buckhead-rampage/nKrh2xInFnAcGFCW7CrFGL/ - 2" xr:uid="{00000000-0004-0000-0300-00003D040000}"/>
    <hyperlink ref="J76" r:id="rId921" xr:uid="{00000000-0004-0000-0300-00003E040000}"/>
    <hyperlink ref="K76" r:id="rId922" display="http://www.nytimes.com/1999/07/31/us/shootings-in-atlanta-the-overview-killer-confessed-in-a-letter-spiked-with-rage.html" xr:uid="{00000000-0004-0000-0300-00003F040000}"/>
    <hyperlink ref="L76" r:id="rId923" display="http://www.nytimes.com/1999/07/31/us/shootings-in-atlanta-the-overview-killer-confessed-in-a-letter-spiked-with-rage.html" xr:uid="{00000000-0004-0000-0300-000040040000}"/>
    <hyperlink ref="M76" r:id="rId924" display="https://www.independent.co.uk/news/atlanta-massacre-broker-shoots-12-dead-as-stock-market-falls-1109415.html" xr:uid="{00000000-0004-0000-0300-000041040000}"/>
    <hyperlink ref="S76" r:id="rId925" display="https://www.independent.co.uk/news/atlanta-massacre-broker-shoots-12-dead-as-stock-market-falls-1109415.html" xr:uid="{00000000-0004-0000-0300-000042040000}"/>
    <hyperlink ref="T76" r:id="rId926" display="https://www.nytimes.com/1999/07/31/us/shootings-in-atlanta-the-victims-drawn-to-their-deaths-by-lives-in-day-trading.html" xr:uid="{00000000-0004-0000-0300-000043040000}"/>
    <hyperlink ref="W76" r:id="rId927" location="2" display="http://www.ajc.com/news/local-govt--politics/atlanta-rewind-mark-barton-1999-buckhead-rampage/nKrh2xInFnAcGFCW7CrFGL/ - 2" xr:uid="{00000000-0004-0000-0300-000044040000}"/>
    <hyperlink ref="X76" r:id="rId928" location="2" display="https://www.ajc.com/news/local-govt--politics/atlanta-rewind-mark-barton-1999-buckhead-rampage/nKrh2xInFnAcGFCW7CrFGL/ - 2" xr:uid="{00000000-0004-0000-0300-000045040000}"/>
    <hyperlink ref="Y76" r:id="rId929" location="v=onepage&amp;q&amp;f=false" display="https://books.google.com/books?id=b54xcYkbSlcC&amp;lpg=PA67&amp;ots=mlvGRSb_k6&amp;dq=mark%20barton%20biography&amp;pg=PA67 - v=onepage&amp;q&amp;f=false" xr:uid="{00000000-0004-0000-0300-000046040000}"/>
    <hyperlink ref="AA76" r:id="rId930" display="https://www.washingtonpost.com/archive/politics/1999/07/31/killer-wrote-of-fear-hopelessness/af33786a-de37-45cd-9d5f-1098379892dd/?noredirect=on&amp;utm_term=.df0baa182fdc" xr:uid="{00000000-0004-0000-0300-000047040000}"/>
    <hyperlink ref="AB76" r:id="rId931" display="https://www.washingtonpost.com/archive/politics/1999/07/31/killer-wrote-of-fear-hopelessness/af33786a-de37-45cd-9d5f-1098379892dd/?noredirect=on&amp;utm_term=.df0baa182fdc" xr:uid="{00000000-0004-0000-0300-000048040000}"/>
    <hyperlink ref="AC76" r:id="rId932" display="http://web.archive.org/web/20150210050824/http:/www.crimelibrary.com/notorious_murders/mass/work_homicide/2.html" xr:uid="{00000000-0004-0000-0300-000049040000}"/>
    <hyperlink ref="AD76" r:id="rId933" xr:uid="{00000000-0004-0000-0300-00004A040000}"/>
    <hyperlink ref="AJ76" r:id="rId934" display="https://www.nytimes.com/1999/07/31/us/shootings-in-atlanta-the-overview-killer-confessed-in-a-letter-spiked-with-rage.html" xr:uid="{00000000-0004-0000-0300-00004B040000}"/>
    <hyperlink ref="AL76" r:id="rId935" display="https://www.nytimes.com/1999/07/31/us/shootings-in-atlanta-the-overview-killer-confessed-in-a-letter-spiked-with-rage.html" xr:uid="{00000000-0004-0000-0300-00004C040000}"/>
    <hyperlink ref="AQ76" r:id="rId936" location="v=onepage&amp;q&amp;f=false" display="https://books.google.com/books?id=b54xcYkbSlcC&amp;lpg=PA67&amp;ots=mlvGRSb_k6&amp;dq=mark%20barton%20biography&amp;pg=PA67 - v=onepage&amp;q&amp;f=false" xr:uid="{00000000-0004-0000-0300-00004D040000}"/>
    <hyperlink ref="AT76" r:id="rId937" location="v=onepage&amp;q&amp;f=false" display="https://books.google.com/books?id=b54xcYkbSlcC&amp;lpg=PA67&amp;ots=mlvGRSb_k6&amp;dq=mark%20barton%20biography&amp;pg=PA67 - v=onepage&amp;q&amp;f=false" xr:uid="{00000000-0004-0000-0300-00004E040000}"/>
    <hyperlink ref="AU76" r:id="rId938" location="v=onepage&amp;q&amp;f=false" display="https://books.google.com/books?id=b54xcYkbSlcC&amp;lpg=PA67&amp;ots=mlvGRSb_k6&amp;dq=mark%20barton%20biography&amp;pg=PA67 - v=onepage&amp;q&amp;f=false" xr:uid="{00000000-0004-0000-0300-00004F040000}"/>
    <hyperlink ref="AV76" r:id="rId939" display="https://www.nytimes.com/1999/07/31/us/shootings-in-atlanta-the-overview-killer-confessed-in-a-letter-spiked-with-rage.html" xr:uid="{00000000-0004-0000-0300-000050040000}"/>
    <hyperlink ref="AW76" r:id="rId940" location="v=onepage&amp;q&amp;f=false" display="https://books.google.com/books?id=b54xcYkbSlcC&amp;lpg=PA67&amp;ots=mlvGRSb_k6&amp;dq=mark%20barton%20biography&amp;pg=PA67 - v=onepage&amp;q&amp;f=false" xr:uid="{00000000-0004-0000-0300-000051040000}"/>
    <hyperlink ref="BC76" r:id="rId941" location="v=onepage&amp;q&amp;f=false" display="https://books.google.com/books?id=b54xcYkbSlcC&amp;lpg=PA67&amp;ots=mlvGRSb_k6&amp;dq=mark%20barton%20biography&amp;pg=PA67 - v=onepage&amp;q&amp;f=false" xr:uid="{00000000-0004-0000-0300-000052040000}"/>
    <hyperlink ref="BE76" r:id="rId942" display="https://www.washingtonpost.com/archive/politics/1999/07/31/killer-wrote-of-fear-hopelessness/af33786a-de37-45cd-9d5f-1098379892dd/?noredirect=on&amp;utm_term=.df0baa182fdc" xr:uid="{00000000-0004-0000-0300-000053040000}"/>
    <hyperlink ref="BJ76" r:id="rId943" display="https://www.nytimes.com/1999/07/31/us/shootings-in-atlanta-the-overview-killer-confessed-in-a-letter-spiked-with-rage.html" xr:uid="{00000000-0004-0000-0300-000054040000}"/>
    <hyperlink ref="BL76" r:id="rId944" location="v=onepage&amp;q&amp;f=false" display="https://books.google.com/books?id=b54xcYkbSlcC&amp;lpg=PA67&amp;ots=mlvGRSb_k6&amp;dq=mark%20barton%20biography&amp;pg=PA67 - v=onepage&amp;q&amp;f=false" xr:uid="{00000000-0004-0000-0300-000055040000}"/>
    <hyperlink ref="CH76" r:id="rId945" location="v=onepage&amp;q&amp;f=false" display="https://books.google.com/books?id=b54xcYkbSlcC&amp;lpg=PA67&amp;ots=mlvGRSb_k6&amp;dq=mark%20barton%20biography&amp;pg=PA67 - v=onepage&amp;q&amp;f=false" xr:uid="{00000000-0004-0000-0300-000056040000}"/>
    <hyperlink ref="DT76" r:id="rId946" display="https://www.washingtonpost.com/archive/politics/1999/07/31/killer-wrote-of-fear-hopelessness/af33786a-de37-45cd-9d5f-1098379892dd/?noredirect=on&amp;utm_term=.df0baa182fdc" xr:uid="{00000000-0004-0000-0300-000058040000}"/>
    <hyperlink ref="G77" r:id="rId947" display="http://www.washingtonpost.com/wp-srv/national/daily/sept99/texas16.htm" xr:uid="{00000000-0004-0000-0300-00005D040000}"/>
    <hyperlink ref="H77" r:id="rId948" display="http://www.washingtonpost.com/wp-srv/national/daily/sept99/texas16.htm" xr:uid="{00000000-0004-0000-0300-00005E040000}"/>
    <hyperlink ref="J77" r:id="rId949" xr:uid="{00000000-0004-0000-0300-00005F040000}"/>
    <hyperlink ref="K77" r:id="rId950" display="http://www.washingtonpost.com/wp-srv/national/daily/sept99/texas16.htm" xr:uid="{00000000-0004-0000-0300-000060040000}"/>
    <hyperlink ref="L77" r:id="rId951" display="http://www.washingtonpost.com/wp-srv/national/daily/sept99/texas16.htm" xr:uid="{00000000-0004-0000-0300-000061040000}"/>
    <hyperlink ref="M77" r:id="rId952" display="https://www.latimes.com/archives/la-xpm-1999-sep-18-mn-11519-story.html" xr:uid="{00000000-0004-0000-0300-000062040000}"/>
    <hyperlink ref="O77" r:id="rId953" display="http://www.washingtonpost.com/wp-srv/national/daily/sept99/texas16.htm" xr:uid="{00000000-0004-0000-0300-000063040000}"/>
    <hyperlink ref="S77" r:id="rId954" display="https://www.chicagotribune.com/news/ct-xpm-1999-09-18-9909180043-story.html" xr:uid="{00000000-0004-0000-0300-000064040000}"/>
    <hyperlink ref="T77" r:id="rId955" display="https://www.chicagotribune.com/news/ct-xpm-1999-09-18-9909180043-story.html" xr:uid="{00000000-0004-0000-0300-000065040000}"/>
    <hyperlink ref="V77" r:id="rId956" display="http://articles.chicagotribune.com/1999-09-18/news/9909180043_1_prayer-service-rev-al-meredith-larry-gene-ashbrook" xr:uid="{00000000-0004-0000-0300-000067040000}"/>
    <hyperlink ref="W77" r:id="rId957" display="http://www.washingtonpost.com/wp-srv/national/daily/sept99/texas16.htm" xr:uid="{00000000-0004-0000-0300-000068040000}"/>
    <hyperlink ref="X77" r:id="rId958" display="http://www.washingtonpost.com/wp-srv/national/daily/sept99/texas16.htm" xr:uid="{00000000-0004-0000-0300-000069040000}"/>
    <hyperlink ref="AA77" r:id="rId959" display="https://www.chicagotribune.com/news/ct-xpm-1999-09-17-9909170136-story.html" xr:uid="{00000000-0004-0000-0300-00006A040000}"/>
    <hyperlink ref="AB77" r:id="rId960" display="http://www.nytimes.com/1999/09/17/us/deaths-in-a-church-the-overview-an-angry-mystery-man-who-brought-death.html" xr:uid="{00000000-0004-0000-0300-00006B040000}"/>
    <hyperlink ref="AK77" r:id="rId961" display="https://www.nytimes.com/1999/09/17/us/deaths-in-a-church-the-overview-an-angry-mystery-man-who-brought-death.html" xr:uid="{00000000-0004-0000-0300-00006C040000}"/>
    <hyperlink ref="AM77" r:id="rId962" display="http://www.nytimes.com/1999/09/17/us/deaths-in-a-church-the-overview-an-angry-mystery-man-who-brought-death.html" xr:uid="{00000000-0004-0000-0300-00006D040000}"/>
    <hyperlink ref="AN77" r:id="rId963" display="https://www.chicagotribune.com/news/ct-xpm-1999-09-17-9909170136-story.html" xr:uid="{00000000-0004-0000-0300-00006E040000}"/>
    <hyperlink ref="AQ77" r:id="rId964" display="https://www.nytimes.com/1999/09/17/us/deaths-in-a-church-the-overview-an-angry-mystery-man-who-brought-death.html" xr:uid="{00000000-0004-0000-0300-00006F040000}"/>
    <hyperlink ref="AU77" r:id="rId965" display="https://www.cnn.com/US/9909/18/texas.shooter.profile/" xr:uid="{00000000-0004-0000-0300-000070040000}"/>
    <hyperlink ref="AV77" r:id="rId966" display="https://www.nytimes.com/1999/09/17/us/deaths-in-a-church-the-overview-an-angry-mystery-man-who-brought-death.html" xr:uid="{00000000-0004-0000-0300-000071040000}"/>
    <hyperlink ref="BD77" r:id="rId967" display="https://www.nytimes.com/1999/09/17/us/deaths-in-a-church-the-overview-an-angry-mystery-man-who-brought-death.html" xr:uid="{00000000-0004-0000-0300-000072040000}"/>
    <hyperlink ref="BE77" r:id="rId968" display="https://www.nytimes.com/1999/09/17/us/deaths-in-a-church-the-overview-an-angry-mystery-man-who-brought-death.html" xr:uid="{00000000-0004-0000-0300-000073040000}"/>
    <hyperlink ref="BI77" r:id="rId969" display="https://www.nytimes.com/1999/09/17/us/deaths-in-a-church-the-overview-an-angry-mystery-man-who-brought-death.html" xr:uid="{00000000-0004-0000-0300-000074040000}"/>
    <hyperlink ref="DK77" r:id="rId970" display="http://articles.latimes.com/1999/sep/18/news/mn-11519" xr:uid="{00000000-0004-0000-0300-00007B040000}"/>
    <hyperlink ref="DT77" r:id="rId971" display="http://www.nytimes.com/1999/09/17/us/deaths-in-a-church-the-overview-an-angry-mystery-man-who-brought-death.html" xr:uid="{00000000-0004-0000-0300-00007C040000}"/>
    <hyperlink ref="DW77" r:id="rId972" display="https://www.chicagotribune.com/news/ct-xpm-1999-09-18-9909180043-story.html" xr:uid="{00000000-0004-0000-0300-000081040000}"/>
    <hyperlink ref="T78" r:id="rId973" display="https://www.nytimes.com/1999/11/03/us/man-opens-fire-in-xerox-office-killing-7.html?mcubz=1" xr:uid="{00000000-0004-0000-0300-000082040000}"/>
    <hyperlink ref="X78" r:id="rId974" location="jump" display="http://archives.starbulletin.com/1999/11/09/news/story1.html - jump" xr:uid="{00000000-0004-0000-0300-000084040000}"/>
    <hyperlink ref="AA78" r:id="rId975" display="http://archives.starbulletin.com/2000/05/26/news/story4.html" xr:uid="{00000000-0004-0000-0300-000085040000}"/>
    <hyperlink ref="AQ78" r:id="rId976" display="http://articles.latimes.com/2000/may/14/news/mn-30038" xr:uid="{00000000-0004-0000-0300-000086040000}"/>
    <hyperlink ref="AS78" r:id="rId977" display="http://archives.starbulletin.com/2000/05/15/news/story1.html" xr:uid="{00000000-0004-0000-0300-000087040000}"/>
    <hyperlink ref="BE78" r:id="rId978" display="https://www.mirror.co.uk/news/real-life-stories/workers-who-kill-colleagues-university-11231926" xr:uid="{00000000-0004-0000-0300-000088040000}"/>
    <hyperlink ref="CI78" r:id="rId979" location="jump" display="http://archives.starbulletin.com/1999/11/09/news/story1.html - jump" xr:uid="{00000000-0004-0000-0300-000089040000}"/>
    <hyperlink ref="M79" r:id="rId980" display="https://www.washingtonpost.com/archive/politics/1999/12/31/gunman-slays-four-at-hotel-then-kills-driver-in-tampa/fb1853ec-417f-4656-97de-c3bf23d67c30/?utm_term=.4533613f6ad7" xr:uid="{00000000-0004-0000-0300-00008A040000}"/>
    <hyperlink ref="T79" r:id="rId981" display="https://www.nytimes.com/2000/01/01/us/hotel-worker-is-charged-in-the-killing-of-5-in-tampa.html" xr:uid="{00000000-0004-0000-0300-00008B040000}"/>
    <hyperlink ref="U79" r:id="rId982" location="v=onepage&amp;q=silvio%20izquierdo-leyva&amp;f&quot;&amp;&quot;=false&quot;" display="https://books.google.com/books?id=_UHFAgAAQBAJ&amp;pg=PT73&amp;lpg=PT73&amp;dq=silvio+izquierdo-leyva&amp;source=bl&amp;ots=uixROp_2jx&amp;sig=ACfU3U3nszsWy_Mbw-rHb-Irn7AxeAoXjg&amp;hl=en&amp;sa=X&amp;ved=2ahUKEwjmtuaa_KjkAhUQ5awKHfaeDe4Q6AEwD3oECAkQAQ - v=onepage&amp;q=silvio%20izquierdo-leyva&amp;f&quot;&amp;&quot;=false&quot;" xr:uid="{00000000-0004-0000-0300-00008C040000}"/>
    <hyperlink ref="Y79" r:id="rId983" display="http://articles.latimes.com/2000/jan/01/news/mn-49588" xr:uid="{00000000-0004-0000-0300-00008D040000}"/>
    <hyperlink ref="DT79" r:id="rId984" location="v=onepage&amp;q=silvio%20izquierdo-leyva&amp;f&quot;&amp;&quot;=false" display="https://books.google.com/books?id=_UHFAgAAQBAJ&amp;pg=PT73&amp;lpg=PT73&amp;dq=silvio+izquierdo-leyva&amp;source=bl&amp;ots=uixROp_2jx&amp;sig=ACfU3U3nszsWy_Mbw-rHb-Irn7AxeAoXjg&amp;hl=en&amp;sa=X&amp;ved=2ahUKEwjmtuaa_KjkAhUQ5awKHfaeDe4Q6AEwD3oECAkQAQ - v=onepage&amp;q=silvio%20izquierdo-leyva&amp;f&quot;&amp;&quot;=false" xr:uid="{00000000-0004-0000-0300-00008E040000}"/>
    <hyperlink ref="DU79" r:id="rId985" location="v=onepage&amp;q=silvio%20izquierdo-leyva&amp;f&quot;&amp;&quot;=false" display="https://books.google.com/books?id=_UHFAgAAQBAJ&amp;pg=PT73&amp;lpg=PT73&amp;dq=silvio+izquierdo-leyva&amp;source=bl&amp;ots=uixROp_2jx&amp;sig=ACfU3U3nszsWy_Mbw-rHb-Irn7AxeAoXjg&amp;hl=en&amp;sa=X&amp;ved=2ahUKEwjmtuaa_KjkAhUQ5awKHfaeDe4Q6AEwD3oECAkQAQ - v=onepage&amp;q=silvio%20izquierdo-leyva&amp;f&quot;&amp;&quot;=false" xr:uid="{00000000-0004-0000-0300-000094040000}"/>
    <hyperlink ref="DX79" r:id="rId986" location="v=onepage&amp;q=silvio%20izquierdo-leyva&amp;f&quot;&amp;&quot;=false" display="https://books.google.com/books?id=_UHFAgAAQBAJ&amp;pg=PT73&amp;lpg=PT73&amp;dq=silvio+izquierdo-leyva&amp;source=bl&amp;ots=uixROp_2jx&amp;sig=ACfU3U3nszsWy_Mbw-rHb-Irn7AxeAoXjg&amp;hl=en&amp;sa=X&amp;ved=2ahUKEwjmtuaa_KjkAhUQ5awKHfaeDe4Q6AEwD3oECAkQAQ - v=onepage&amp;q=silvio%20izquierdo-leyva&amp;f&quot;&amp;&quot;=false" xr:uid="{00000000-0004-0000-0300-000095040000}"/>
    <hyperlink ref="O80" r:id="rId987" display="https://www.dallasnews.com/news/news/2012/09/20/texas-executes-man-who-murdered-5-at-irving-car-wash-12-years-ago" xr:uid="{00000000-0004-0000-0300-000096040000}"/>
    <hyperlink ref="T80" r:id="rId988" display="http://www.newson6.com/story/7671838/irving-carwash-slaying-suspect-leads-authorities-to-body" xr:uid="{00000000-0004-0000-0300-000097040000}"/>
    <hyperlink ref="AB80" r:id="rId989" display="https://tdcj.texas.gov/death_row/dr_info/harrisrobert.html" xr:uid="{00000000-0004-0000-0300-000098040000}"/>
    <hyperlink ref="AI80" r:id="rId990" display="https://www.dallasnews.com/news/news/2012/09/20/texas-executes-man-who-murdered-5-at-irving-car-wash-12-years-ago" xr:uid="{00000000-0004-0000-0300-000099040000}"/>
    <hyperlink ref="AQ80" r:id="rId991" display="https://www.dallasnews.com/news/news/2012/09/20/texas-executes-man-who-murdered-5-at-irving-car-wash-12-years-ago" xr:uid="{00000000-0004-0000-0300-00009A040000}"/>
    <hyperlink ref="M81" r:id="rId992" display="https://www.nytimes.com/2000/04/30/us/shootings-leave-pittsburgh-suburbs-stunned.html" xr:uid="{00000000-0004-0000-0300-00009B040000}"/>
    <hyperlink ref="O81" r:id="rId993" display="https://www.nytimes.com/2000/04/30/us/shootings-leave-pittsburgh-suburbs-stunned.html" xr:uid="{00000000-0004-0000-0300-00009C040000}"/>
    <hyperlink ref="T81" r:id="rId994" display="https://www.nytimes.com/2000/04/30/us/shootings-leave-pittsburgh-suburbs-stunned.html" xr:uid="{00000000-0004-0000-0300-00009D040000}"/>
    <hyperlink ref="Y81" r:id="rId995" display="https://web.archive.org/web/20070831085028/http:/the-duke.duq-duke.duq.edu/justice/Taylor/Baumhamm.htm" xr:uid="{00000000-0004-0000-0300-00009F040000}"/>
    <hyperlink ref="AB81" r:id="rId996" display="http://old.post-gazette.com/regionstate/20000429profile4.asp" xr:uid="{00000000-0004-0000-0300-0000A0040000}"/>
    <hyperlink ref="AM81" r:id="rId997" display="http://old.post-gazette.com/regionstate/20000429profile4.asp" xr:uid="{00000000-0004-0000-0300-0000A1040000}"/>
    <hyperlink ref="DS81" r:id="rId998" display="https://old.post-gazette.com/regionstate/20000502gun2.asp" xr:uid="{00000000-0004-0000-0300-0000A2040000}"/>
    <hyperlink ref="AQ81" r:id="rId999" display="http://old.post-gazette.com/regionstate/20000429profile4.asp" xr:uid="{00000000-0004-0000-0300-0000A3040000}"/>
    <hyperlink ref="AS81" r:id="rId1000" display="http://old.post-gazette.com/regionstate/20000429profile4.asp" xr:uid="{00000000-0004-0000-0300-0000A4040000}"/>
    <hyperlink ref="DR81" r:id="rId1001" display="https://web.archive.org/web/20070831085028/http:/the-duke.duq-duke.duq.edu/justice/Taylor/Baumhamm.htm" xr:uid="{00000000-0004-0000-0300-0000A5040000}"/>
    <hyperlink ref="BI81" r:id="rId1002" display="https://web.archive.org/web/20070831085028/http:/the-duke.duq-duke.duq.edu/justice/Taylor/Baumhamm.htm" xr:uid="{00000000-0004-0000-0300-0000A6040000}"/>
    <hyperlink ref="BK81" r:id="rId1003" display="http://old.post-gazette.com/regionstate/20000429profile4.asp" xr:uid="{00000000-0004-0000-0300-0000A7040000}"/>
    <hyperlink ref="BL81" r:id="rId1004" display="https://web.archive.org/web/20070831085028/http:/the-duke.duq-duke.duq.edu/justice/Taylor/Baumhamm.htm" xr:uid="{00000000-0004-0000-0300-0000A8040000}"/>
    <hyperlink ref="BY81" r:id="rId1005" display="https://web.archive.org/web/20070831085028/http:/the-duke.duq-duke.duq.edu/justice/Taylor/Baumhamm.htm" xr:uid="{00000000-0004-0000-0300-0000A9040000}"/>
    <hyperlink ref="DC81" r:id="rId1006" display="https://web.archive.org/web/20070831085028/http:/the-duke.duq-duke.duq.edu/justice/Taylor/Baumhamm.htm" xr:uid="{00000000-0004-0000-0300-0000AA040000}"/>
    <hyperlink ref="G82" r:id="rId1007" display="https://www.cbsnews.com/news/murder-charges-in-workplace-shooting/" xr:uid="{00000000-0004-0000-0300-0000AB040000}"/>
    <hyperlink ref="H82" r:id="rId1008" display="http://www.nytimes.com/2000/12/27/us/7-die-in-rampage-at-company-co-worker-of-victims-arrested.html" xr:uid="{00000000-0004-0000-0300-0000AC040000}"/>
    <hyperlink ref="J82" r:id="rId1009" xr:uid="{00000000-0004-0000-0300-0000AD040000}"/>
    <hyperlink ref="L82" r:id="rId1010" display="http://www.nytimes.com/2000/12/27/us/7-die-in-rampage-at-company-co-worker-of-victims-arrested.html" xr:uid="{00000000-0004-0000-0300-0000AE040000}"/>
    <hyperlink ref="O82" r:id="rId1011" display="https://www.nytimes.com/2000/12/27/us/7-die-in-rampage-at-company-co-worker-of-victims-arrested.html" xr:uid="{00000000-0004-0000-0300-0000AF040000}"/>
    <hyperlink ref="S82" r:id="rId1012" display="https://www.nytimes.com/2000/12/27/us/7-die-in-rampage-at-company-co-worker-of-victims-arrested.html" xr:uid="{00000000-0004-0000-0300-0000B0040000}"/>
    <hyperlink ref="T82" r:id="rId1013" display="https://www.nytimes.com/2000/12/27/us/7-die-in-rampage-at-company-co-worker-of-victims-arrested.html" xr:uid="{00000000-0004-0000-0300-0000B1040000}"/>
    <hyperlink ref="V82" r:id="rId1014" display="https://www.nytimes.com/2000/12/27/us/7-die-in-rampage-at-company-co-worker-of-victims-arrested.html" xr:uid="{00000000-0004-0000-0300-0000B3040000}"/>
    <hyperlink ref="W82" r:id="rId1015" display="https://www.nytimes.com/2000/12/27/us/7-die-in-rampage-at-company-co-worker-of-victims-arrested.html" xr:uid="{00000000-0004-0000-0300-0000B4040000}"/>
    <hyperlink ref="X82" r:id="rId1016" display="https://www.cbsnews.com/news/murder-charges-in-workplace-shooting/" xr:uid="{00000000-0004-0000-0300-0000B5040000}"/>
    <hyperlink ref="Y82" r:id="rId1017" display="http://www.cnn.com/TRANSCRIPTS/0012/28/mn.03.html" xr:uid="{00000000-0004-0000-0300-0000B6040000}"/>
    <hyperlink ref="AI82" r:id="rId1018" display="https://www.deseretnews.com/article/817652/Massacre-suspect-suffered-a-breakdown-in-80s.html" xr:uid="{00000000-0004-0000-0300-0000B7040000}"/>
    <hyperlink ref="AK82" r:id="rId1019" display="https://www.nytimes.com/2000/12/27/us/7-die-in-rampage-at-company-co-worker-of-victims-arrested.html" xr:uid="{00000000-0004-0000-0300-0000B8040000}"/>
    <hyperlink ref="AM82" r:id="rId1020" display="http://www.nytimes.com/2000/12/28/us/in-wake-of-killings-strands-of-suspect-s-life.html" xr:uid="{00000000-0004-0000-0300-0000B9040000}"/>
    <hyperlink ref="AN82" r:id="rId1021" display="http://www.nytimes.com/2000/12/28/us/in-wake-of-killings-strands-of-suspect-s-life.html" xr:uid="{00000000-0004-0000-0300-0000BA040000}"/>
    <hyperlink ref="AS82" r:id="rId1022" display="https://www.deseretnews.com/article/817652/Massacre-suspect-suffered-a-breakdown-in-80s.html" xr:uid="{00000000-0004-0000-0300-0000BB040000}"/>
    <hyperlink ref="DR82" r:id="rId1023" display="https://www.nytimes.com/2000/12/28/us/in-wake-of-killings-strands-of-suspect-s-life.html" xr:uid="{00000000-0004-0000-0300-0000BC040000}"/>
    <hyperlink ref="BJ82" r:id="rId1024" display="https://www.deseretnews.com/article/817652/Massacre-suspect-suffered-a-breakdown-in-80s.html" xr:uid="{00000000-0004-0000-0300-0000BD040000}"/>
    <hyperlink ref="BZ82" r:id="rId1025" display="https://www.deseretnews.com/article/817652/Massacre-suspect-suffered-a-breakdown-in-80s.html" xr:uid="{00000000-0004-0000-0300-0000BE040000}"/>
    <hyperlink ref="CA82" r:id="rId1026" display="https://www.deseretnews.com/article/817652/Massacre-suspect-suffered-a-breakdown-in-80s.html" xr:uid="{00000000-0004-0000-0300-0000BF040000}"/>
    <hyperlink ref="DB82" r:id="rId1027" display="https://www.nytimes.com/2000/12/28/us/in-wake-of-killings-strands-of-suspect-s-life.html" xr:uid="{00000000-0004-0000-0300-0000C1040000}"/>
    <hyperlink ref="DC82" r:id="rId1028" display="https://www.washingtonpost.com/archive/politics/2000/12/27/7-die-in-massachusetts-office-shooting/1b9f9c67-b2c3-482c-bf1b-fa869fc6c430/?utm_term=.7ba3f7b24e68" xr:uid="{00000000-0004-0000-0300-0000C2040000}"/>
    <hyperlink ref="DT82" r:id="rId1029" display="https://caselaw.findlaw.com/ma-supreme-judicial-court/1448833.html" xr:uid="{00000000-0004-0000-0300-0000C3040000}"/>
    <hyperlink ref="DW82" r:id="rId1030" display="https://www.cbsnews.com/news/murder-charges-in-workplace-shooting/" xr:uid="{00000000-0004-0000-0300-0000C5040000}"/>
    <hyperlink ref="AU83" r:id="rId1031" display="https://www.chron.com/news/article/Gunman-s-wife-accused-him-of-assault-in-1998-1997336.php" xr:uid="{00000000-0004-0000-0300-0000C6040000}"/>
    <hyperlink ref="K84" r:id="rId1032" display="http://www.cnn.com/2001/US/02/07/plant.shootings/" xr:uid="{00000000-0004-0000-0300-0000C8040000}"/>
    <hyperlink ref="L84" r:id="rId1033" display="http://www.cnn.com/2001/US/02/07/plant.shootings/" xr:uid="{00000000-0004-0000-0300-0000C9040000}"/>
    <hyperlink ref="M84" r:id="rId1034" display="http://www.cnn.com/2001/US/02/07/plant.shootings/" xr:uid="{00000000-0004-0000-0300-0000CA040000}"/>
    <hyperlink ref="O84" r:id="rId1035" display="https://www.chicagotribune.com/news/ct-xpm-2001-02-06-0102060231-story.html" xr:uid="{00000000-0004-0000-0300-0000CB040000}"/>
    <hyperlink ref="S84" r:id="rId1036" display="http://www.cnn.com/2001/US/02/07/plant.shootings/" xr:uid="{00000000-0004-0000-0300-0000CC040000}"/>
    <hyperlink ref="T84" r:id="rId1037" display="http://edition.cnn.com/2001/US/02/07/plant.shootings/" xr:uid="{00000000-0004-0000-0300-0000CD040000}"/>
    <hyperlink ref="V84" r:id="rId1038" display="http://edition.cnn.com/2001/US/02/07/plant.shootings/" xr:uid="{00000000-0004-0000-0300-0000CE040000}"/>
    <hyperlink ref="W84" r:id="rId1039" display="http://edition.cnn.com/2001/US/02/07/plant.shootings/" xr:uid="{00000000-0004-0000-0300-0000CF040000}"/>
    <hyperlink ref="X84" r:id="rId1040" display="http://www.cnn.com/2001/US/02/07/plant.shootings/" xr:uid="{00000000-0004-0000-0300-0000D0040000}"/>
    <hyperlink ref="AI84" r:id="rId1041" display="https://www.chicagotribune.com/news/ct-xpm-2001-02-06-0102060231-story.html" xr:uid="{00000000-0004-0000-0300-0000D1040000}"/>
    <hyperlink ref="AJ84" r:id="rId1042" display="https://www.chicagotribune.com/news/ct-xpm-2001-02-06-0102060231-story.html" xr:uid="{00000000-0004-0000-0300-0000D2040000}"/>
    <hyperlink ref="AK84" r:id="rId1043" display="http://articles.chicagotribune.com/2001-02-06/news/0102060231_1_wound-engines-gunshot" xr:uid="{00000000-0004-0000-0300-0000D3040000}"/>
    <hyperlink ref="AL84" r:id="rId1044" display="http://edition.cnn.com/2001/US/02/07/plant.shootings/" xr:uid="{00000000-0004-0000-0300-0000D4040000}"/>
    <hyperlink ref="AU84" r:id="rId1045" display="https://thesouthern.com/news/shooting-spree-lasted-minutes-gunman-kills-self-four-others/article_4c85727a-0b1a-5f24-8863-3a36e669ecc4.html" xr:uid="{00000000-0004-0000-0300-0000D5040000}"/>
    <hyperlink ref="BD84" r:id="rId1046" display="http://edition.cnn.com/2001/US/02/07/plant.shootings/" xr:uid="{00000000-0004-0000-0300-0000D6040000}"/>
    <hyperlink ref="BK84" r:id="rId1047" display="http://articles.chicagotribune.com/2001-02-06/news/0102060231_1_wound-engines-gunshot" xr:uid="{00000000-0004-0000-0300-0000D7040000}"/>
    <hyperlink ref="DT84" r:id="rId1048" display="http://www.cnn.com/2001/US/02/07/plant.shootings/" xr:uid="{00000000-0004-0000-0300-0000D8040000}"/>
    <hyperlink ref="M85" r:id="rId1049" display="https://www.denverpost.com/2015/04/02/gunman-kills-3-wounds-4-in-rifle-rampage-mental-patient-is-arrested/" xr:uid="{00000000-0004-0000-0300-0000DD040000}"/>
    <hyperlink ref="T85" r:id="rId1050" display="https://www.aspentimes.com/news/release-of-rifle-shooter-would-be-only-temporary/" xr:uid="{00000000-0004-0000-0300-0000DE040000}"/>
    <hyperlink ref="X85" r:id="rId1051" location="v=onepage&amp;q=steven%20stagner%20c" display="https://books.google.com/books?id=OPp3ZxY6b5kC&amp;pg=PA55&amp;lpg=PA55&amp;dq=steven+stagner+colorado+white&amp;source=bl&amp;ots=CIYH9mlgce&amp;sig=ACfU3U24HTgtfisKroDSyMLiDP2UUsieRQ&amp;hl=en&amp;sa=X&amp;ved=2ahUKEwjNzfiXjbDgAhVM1IMKHVT3AoIQ6AEwDHoECAUQAQ - v=onepage&amp;q=steven%20stagner%20c" xr:uid="{00000000-0004-0000-0300-0000DF040000}"/>
    <hyperlink ref="AS85" r:id="rId1052" display="https://www.denverpost.com/2015/04/02/gunman-kills-3-wounds-4-in-rifle-rampage-mental-patient-is-arrested/" xr:uid="{00000000-0004-0000-0300-0000E0040000}"/>
    <hyperlink ref="CH85" r:id="rId1053" display="https://www.denverpost.com/2015/04/02/gunman-kills-3-wounds-4-in-rifle-rampage-mental-patient-is-arrested/" xr:uid="{00000000-0004-0000-0300-0000E1040000}"/>
    <hyperlink ref="G86" r:id="rId1054" display="https://www.sfgate.com/news/article/Sacramento-rampage-5-shot-dead-Slayer-kills-2881164.php" xr:uid="{00000000-0004-0000-0300-0000E3040000}"/>
    <hyperlink ref="H86" r:id="rId1055" display="http://www.sfgate.com/news/article/Sacramento-rampage-5-shot-dead-Slayer-kills-2881164.php" xr:uid="{00000000-0004-0000-0300-0000E4040000}"/>
    <hyperlink ref="J86" r:id="rId1056" xr:uid="{00000000-0004-0000-0300-0000E5040000}"/>
    <hyperlink ref="K86" r:id="rId1057" display="https://www.nytimes.com/2001/09/11/national/slaying-suspect-commits-suicide.html" xr:uid="{00000000-0004-0000-0300-0000E6040000}"/>
    <hyperlink ref="S86" r:id="rId1058" display="https://www.nytimes.com/2001/09/11/national/slaying-suspect-commits-suicide.html" xr:uid="{00000000-0004-0000-0300-0000E7040000}"/>
    <hyperlink ref="V86" r:id="rId1059" display="https://www.latimes.com/archives/la-xpm-2001-sep-11-mn-44550-story.html" xr:uid="{00000000-0004-0000-0300-0000E8040000}"/>
    <hyperlink ref="W86" r:id="rId1060" display="https://www.latimes.com/archives/la-xpm-2001-sep-11-mn-44550-story.html" xr:uid="{00000000-0004-0000-0300-0000E9040000}"/>
    <hyperlink ref="AB86" r:id="rId1061" display="https://www.latimes.com/archives/la-xpm-2001-sep-11-mn-44550-story.html" xr:uid="{00000000-0004-0000-0300-0000EA040000}"/>
    <hyperlink ref="AI86" r:id="rId1062" display="https://www.nytimes.com/2001/09/11/national/slaying-suspect-commits-suicide.html" xr:uid="{00000000-0004-0000-0300-0000EB040000}"/>
    <hyperlink ref="AK86" r:id="rId1063" display="https://www.cbsnews.com/news/another-sacramento-bloodbath/" xr:uid="{00000000-0004-0000-0300-0000EC040000}"/>
    <hyperlink ref="AL86" r:id="rId1064" display="https://www.nytimes.com/2001/09/11/national/slaying-suspect-commits-suicide.html" xr:uid="{00000000-0004-0000-0300-0000ED040000}"/>
    <hyperlink ref="AQ86" r:id="rId1065" display="https://www.latimes.com/archives/la-xpm-2001-sep-11-mn-44550-story.html" xr:uid="{00000000-0004-0000-0300-0000EE040000}"/>
    <hyperlink ref="AS86" r:id="rId1066" display="https://www.latimes.com/archives/la-xpm-2001-sep-11-mn-44550-story.html" xr:uid="{00000000-0004-0000-0300-0000EF040000}"/>
    <hyperlink ref="AU86" r:id="rId1067" display="https://www.latimes.com/archives/la-xpm-2001-sep-11-mn-44550-story.html" xr:uid="{00000000-0004-0000-0300-0000F0040000}"/>
    <hyperlink ref="AV86" r:id="rId1068" display="https://www.latimes.com/archives/la-xpm-2001-sep-11-mn-44550-story.html" xr:uid="{00000000-0004-0000-0300-0000F1040000}"/>
    <hyperlink ref="BJ86" r:id="rId1069" display="https://www.nytimes.com/2001/09/11/national/slaying-suspect-commits-suicide.html" xr:uid="{00000000-0004-0000-0300-0000F2040000}"/>
    <hyperlink ref="BK86" r:id="rId1070" display="https://www.latimes.com/archives/la-xpm-2001-sep-11-mn-44550-story.html" xr:uid="{00000000-0004-0000-0300-0000F3040000}"/>
    <hyperlink ref="DJ86" r:id="rId1071" display="https://www.latimes.com/archives/la-xpm-2001-sep-11-mn-44550-story.html" xr:uid="{00000000-0004-0000-0300-0000F4040000}"/>
    <hyperlink ref="DL86" r:id="rId1072" xr:uid="{00000000-0004-0000-0300-0000F5040000}"/>
    <hyperlink ref="DW86" r:id="rId1073" display="https://www.sfgate.com/news/article/Sacramento-rampage-5-shot-dead-Slayer-kills-2881164.php" xr:uid="{00000000-0004-0000-0300-0000F6040000}"/>
    <hyperlink ref="G87" r:id="rId1074" display="https://www.nwitimes.com/uncategorized/south-bend-factory-worker-kills-then-himself/article_f9510908-20ec-5629-8891-42c83bb776f3.html" xr:uid="{00000000-0004-0000-0300-0000F7040000}"/>
    <hyperlink ref="H87" r:id="rId1075" display="https://www.nwitimes.com/uncategorized/south-bend-factory-worker-kills-then-himself/article_f9510908-20ec-5629-8891-42c83bb776f3.html" xr:uid="{00000000-0004-0000-0300-0000F8040000}"/>
    <hyperlink ref="J87" r:id="rId1076" xr:uid="{00000000-0004-0000-0300-0000F9040000}"/>
    <hyperlink ref="L87" r:id="rId1077" display="https://www.nwitimes.com/uncategorized/south-bend-factory-worker-kills-then-himself/article_f9510908-20ec-5629-8891-42c83bb776f3.html" xr:uid="{00000000-0004-0000-0300-0000FA040000}"/>
    <hyperlink ref="M87" r:id="rId1078" display="https://www.nwitimes.com/uncategorized/south-bend-factory-worker-kills-then-himself/article_f9510908-20ec-5629-8891-42c83bb776f3.html" xr:uid="{00000000-0004-0000-0300-0000FB040000}"/>
    <hyperlink ref="V87" r:id="rId1079" display="https://www.nwitimes.com/uncategorized/south-bend-factory-worker-kills-then-himself/article_f9510908-20ec-5629-8891-42c83bb776f3.html" xr:uid="{00000000-0004-0000-0300-0000FD040000}"/>
    <hyperlink ref="W87" r:id="rId1080" display="https://www.nwitimes.com/uncategorized/south-bend-factory-worker-kills-then-himself/article_f9510908-20ec-5629-8891-42c83bb776f3.html" xr:uid="{00000000-0004-0000-0300-0000FE040000}"/>
    <hyperlink ref="AI87" r:id="rId1081" display="https://www.heraldpalladium.com/localnews/killings-shock-friends-and-neighbors/article_1e98c855-92d1-5d68-aaa6-e68165370d57.html" xr:uid="{00000000-0004-0000-0300-0000FF040000}"/>
    <hyperlink ref="AJ87" r:id="rId1082" display="https://www.southbendtribune.com/news/local/archive-police-recall-s-incident-with-lockey/article_aa36b908-ee30-11e2-8e04-0019bb30f31a.html" xr:uid="{00000000-0004-0000-0300-000000050000}"/>
    <hyperlink ref="AK87" r:id="rId1083" display="https://www.chicagotribune.com/news/ct-xpm-2002-03-23-0203230127-story.html" xr:uid="{00000000-0004-0000-0300-000001050000}"/>
    <hyperlink ref="AU87" r:id="rId1084" display="https://www.southbendtribune.com/news/local/archive-police-recall-s-incident-with-lockey/article_aa36b908-ee30-11e2-8e04-0019bb30f31a.html" xr:uid="{00000000-0004-0000-0300-000002050000}"/>
    <hyperlink ref="AV87" r:id="rId1085" display="https://www.southbendtribune.com/news/local/archive-police-recall-s-incident-with-lockey/article_aa36b908-ee30-11e2-8e04-0019bb30f31a.html" xr:uid="{00000000-0004-0000-0300-000003050000}"/>
    <hyperlink ref="DC87" r:id="rId1086" display="https://www.heraldpalladium.com/localnews/killings-shock-friends-and-neighbors/article_1e98c855-92d1-5d68-aaa6-e68165370d57.html" xr:uid="{00000000-0004-0000-0300-000004050000}"/>
    <hyperlink ref="DJ87" r:id="rId1087" display="https://www.southbendtribune.com/news/local/archive-police-recall-s-incident-with-lockey/article_aa36b908-ee30-11e2-8e04-0019bb30f31a.html" xr:uid="{00000000-0004-0000-0300-000005050000}"/>
    <hyperlink ref="DW87" r:id="rId1088" display="https://www.heraldpalladium.com/localnews/killings-shock-friends-and-neighbors/article_1e98c855-92d1-5d68-aaa6-e68165370d57.html" xr:uid="{00000000-0004-0000-0300-000006050000}"/>
    <hyperlink ref="M88" r:id="rId1089" display="http://worldpopulationreview.com/us-cities/huntsville-population/" xr:uid="{00000000-0004-0000-0300-000007050000}"/>
    <hyperlink ref="O88" r:id="rId1090" display="https://www.nytimes.com/2003/02/26/us/gunman-kills-four-at-alabama-job-agency.html" xr:uid="{00000000-0004-0000-0300-000008050000}"/>
    <hyperlink ref="X88" r:id="rId1091" display="http://www.royalfh.com/memsol.cgi?page=profile&amp;section=tree&amp;user_id=1699016" xr:uid="{00000000-0004-0000-0300-000009050000}"/>
    <hyperlink ref="M89" r:id="rId1092" display="http://www.wafb.com/story/1352329/more-details-released-in-lockheed-martin-plant-shooting/" xr:uid="{00000000-0004-0000-0300-00000A050000}"/>
    <hyperlink ref="AI89" r:id="rId1093" display="https://www.cbsnews.com/news/girlfriend-plant-shooter-a-victim/" xr:uid="{00000000-0004-0000-0300-00000B050000}"/>
    <hyperlink ref="AQ89" r:id="rId1094" display="https://www.nytimes.com/2003/07/09/us/man-kills-5-co-workers-at-plant-and-himself.html?mcubz=0" xr:uid="{00000000-0004-0000-0300-00000C050000}"/>
    <hyperlink ref="DT89" r:id="rId1095" display="https://www.nytimes.com/2003/07/09/us/man-kills-5-co-workers-at-plant-and-himself.html?mcubz=0" xr:uid="{00000000-0004-0000-0300-00000D050000}"/>
    <hyperlink ref="M90" r:id="rId1096" display="https://www.census.gov/quickfacts/chicagocityillinois" xr:uid="{00000000-0004-0000-0300-00000E050000}"/>
    <hyperlink ref="Y90" r:id="rId1097" display="https://www.chicagotribune.com/news/ct-xpm-2003-08-28-0308280412-story.html" xr:uid="{00000000-0004-0000-0300-00000F050000}"/>
    <hyperlink ref="AL90" r:id="rId1098" display="https://www.nytimes.com/2003/08/28/us/man-fired-by-warehouse-kills-6-of-its-9-employees.html" xr:uid="{00000000-0004-0000-0300-000010050000}"/>
    <hyperlink ref="AU90" r:id="rId1099" display="https://www.chicagotribune.com/news/ct-xpm-2003-08-28-0308280412-story.html" xr:uid="{00000000-0004-0000-0300-000011050000}"/>
    <hyperlink ref="AV90" r:id="rId1100" display="https://www.chicagotribune.com/news/ct-xpm-2003-08-28-0308280412-story.html" xr:uid="{00000000-0004-0000-0300-000012050000}"/>
    <hyperlink ref="AW90" r:id="rId1101" display="https://www.chicagotribune.com/news/ct-xpm-2003-08-28-0308280412-story.html" xr:uid="{00000000-0004-0000-0300-000013050000}"/>
    <hyperlink ref="DR90" r:id="rId1102" display="https://www.chicagotribune.com/news/ct-xpm-2003-08-28-0308280412-story.html" xr:uid="{00000000-0004-0000-0300-000014050000}"/>
    <hyperlink ref="G91" r:id="rId1103" display="https://azdailysun.com/four-pe ople-killed-in-idaho-bar-shooting-suspect-kills-self/article_163bed64-5202-50e8-99ea-95c04515ad99.html" xr:uid="{00000000-0004-0000-0300-000015050000}"/>
    <hyperlink ref="O91" r:id="rId1104" display="https://azdailysun.com/four-pe ople-killed-in-idaho-bar-shooting-suspect-kills-self/article_163bed64-5202-50e8-99ea-95c04515ad99.html" xr:uid="{00000000-0004-0000-0300-000016050000}"/>
    <hyperlink ref="T91" r:id="rId1105" display="https://tdn.com/business /local/police-idaho-man-guns-down-four-in-bar-before-killing/article_e145b36b-be1e-5cd3-a099-5d8dca560b49.html" xr:uid="{00000000-0004-0000-0300-000017050000}"/>
    <hyperlink ref="AJ91" r:id="rId1106" display="https://tdn.com/business /local/police-idaho-man-guns-down-four-in-bar-before-killing/article_e145b36b-be1e-5cd3-a099-5d8dca560b49.html" xr:uid="{00000000-0004-0000-0300-000018050000}"/>
    <hyperlink ref="BD91" r:id="rId1107" display="http://pendoreillerivervalley.com/four-killed-in-oldtown-shooting-p111-119.htm" xr:uid="{00000000-0004-0000-0300-000019050000}"/>
    <hyperlink ref="M92" r:id="rId1108" display="https://www.cbsnews.com/news/sixth-death-in-kc-rampage/" xr:uid="{00000000-0004-0000-0300-00001A050000}"/>
    <hyperlink ref="AQ92" r:id="rId1109" display="http://www.nbcnews.com/id/5353964/ns/us_news-crime_and_courts/t/six-dead-kansas-workplace-shooting/" xr:uid="{00000000-0004-0000-0300-00001B050000}"/>
    <hyperlink ref="BD92" r:id="rId1110" display="http://www.nbcnews.com/id/5353964/ns/us_news-crime_and_courts/t/six-dead-kansas-workplace-shooting/" xr:uid="{00000000-0004-0000-0300-00001C050000}"/>
    <hyperlink ref="H93" r:id="rId1111" display="http://news.minnesota.publicradio.org/features/2004/11/22_kelleherb_huntershooting/" xr:uid="{00000000-0004-0000-0300-00001D050000}"/>
    <hyperlink ref="T93" r:id="rId1112" display="http://news.minnesota.publicradio.org/features/2004/11/22_kelleherb_huntershooting/" xr:uid="{00000000-0004-0000-0300-00001E050000}"/>
    <hyperlink ref="X93" r:id="rId1113" display="http://news.minnesota.publicradio.org/features/2004/11/22_kelleherb_huntershooting/" xr:uid="{00000000-0004-0000-0300-000020050000}"/>
    <hyperlink ref="Y93" r:id="rId1114" display="https://www.chicagotribune.com/news/watchdog/chi-0509070252sep07-story.html" xr:uid="{00000000-0004-0000-0300-000021050000}"/>
    <hyperlink ref="AB93" r:id="rId1115" display="https://www.chicagotribune.com/news/watchdog/chi-0509070252sep07-story.html" xr:uid="{00000000-0004-0000-0300-000022050000}"/>
    <hyperlink ref="AI93" r:id="rId1116" display="https://www.chicagotribune.com/news/watchdog/chi-0509070252sep07-story.html" xr:uid="{00000000-0004-0000-0300-000023050000}"/>
    <hyperlink ref="AQ93" r:id="rId1117" display="http://news.minnesota.publicradio.org/features/2004/11/22_kelleherb_huntershooting/" xr:uid="{00000000-0004-0000-0300-000024050000}"/>
    <hyperlink ref="AS93" r:id="rId1118" display="http://news.minnesota.publicradio.org/features/2004/11/22_kelleherb_huntershooting/" xr:uid="{00000000-0004-0000-0300-000025050000}"/>
    <hyperlink ref="AU93" r:id="rId1119" display="https://www.chicagotribune.com/investigations/chi-0509070252sep07-story.html" xr:uid="{00000000-0004-0000-0300-000026050000}"/>
    <hyperlink ref="AV93" r:id="rId1120" display="https://www.chicagotribune.com/investigations/chi-0509070252sep07-story.html" xr:uid="{00000000-0004-0000-0300-000027050000}"/>
    <hyperlink ref="BD93" r:id="rId1121" display="https://www.chicagotribune.com/news/watchdog/chi-0509070252sep07-story.html" xr:uid="{00000000-0004-0000-0300-000028050000}"/>
    <hyperlink ref="J94" r:id="rId1122" xr:uid="{00000000-0004-0000-0300-000029050000}"/>
    <hyperlink ref="M94" r:id="rId1123" display="http://censusviewer.com/city/OH/Columbus" xr:uid="{00000000-0004-0000-0300-00002A050000}"/>
    <hyperlink ref="T94" r:id="rId1124" display="https://www.cbsnews.com/news/mom-of-concert-killer-he-was-sick/" xr:uid="{00000000-0004-0000-0300-00002B050000}"/>
    <hyperlink ref="X94" r:id="rId1125" display="https://www.dallasnews.com/news/crime/2004/12/13/man-who-killed-dimebag-darrell-abbott-was-upset-by-panteras-breakup-ex-friend-say" xr:uid="{00000000-0004-0000-0300-00002C050000}"/>
    <hyperlink ref="Y94" r:id="rId1126" display="https://www.seattletimes.com/nation-world/friends-describe-bizarre-behavior-of-gunman-in-band-shooting/" xr:uid="{00000000-0004-0000-0300-00002D050000}"/>
    <hyperlink ref="AB94" r:id="rId1127" display="https://www.dallasnews.com/news/crime/2004/12/13/man-who-killed-dimebag-darrell-abbott-was-upset-by-panteras-breakup-ex-friend-say" xr:uid="{00000000-0004-0000-0300-00002E050000}"/>
    <hyperlink ref="AK94" r:id="rId1128" display="https://www.nydailynews.com/news/crime/darrell-dimebag-abbott-killed-pantera-fan-2004-article-1.572821" xr:uid="{00000000-0004-0000-0300-00002F050000}"/>
    <hyperlink ref="AQ94" r:id="rId1129" display="https://www.nytimes.com/2004/12/10/us/after-a-concert-shooting-a-who-but-not-a-why.html" xr:uid="{00000000-0004-0000-0300-000030050000}"/>
    <hyperlink ref="BL94" r:id="rId1130" display="https://www.seattletimes.com/nation-world/friends-describe-bizarre-behavior-of-gunman-in-band-shooting/" xr:uid="{00000000-0004-0000-0300-000031050000}"/>
    <hyperlink ref="BY94" r:id="rId1131" display="https://www.cbsnews.com/news/inside-the-mind-of-a-killer/" xr:uid="{00000000-0004-0000-0300-000032050000}"/>
    <hyperlink ref="DC94" r:id="rId1132" display="https://www.cbsnews.com/news/inside-the-mind-of-a-killer/" xr:uid="{00000000-0004-0000-0300-000034050000}"/>
    <hyperlink ref="O95" r:id="rId1133" display="https://www.cnn.com/2013/10/31/us/atlanta-courthouse-shootings-fast-facts/index.html" xr:uid="{00000000-0004-0000-0300-000035050000}"/>
    <hyperlink ref="AA95" r:id="rId1134" display="https://www.newyorker.com/magazine/2008/02/04/death-in-georgia" xr:uid="{00000000-0004-0000-0300-000037050000}"/>
    <hyperlink ref="AK95" r:id="rId1135" location=".XD0Ya1xKjps" display="http://www.nbcnews.com/id/7161961/ns/us_news-crime_and_courts/t/suspect-generated-fearconcern-killings/ - .XD0Ya1xKjps" xr:uid="{00000000-0004-0000-0300-000038050000}"/>
    <hyperlink ref="AQ95" r:id="rId1136" location=".XD0Ya1xKjps" display="http://www.nbcnews.com/id/7161961/ns/us_news-crime_and_courts/t/suspect-generated-fearconcern-killings/ - .XD0Ya1xKjps" xr:uid="{00000000-0004-0000-0300-000039050000}"/>
    <hyperlink ref="AS95" r:id="rId1137" location=".XD0Ya1xKjps" display="http://www.nbcnews.com/id/7161961/ns/us_news-crime_and_courts/t/suspect-generated-fearconcern-killings/ - .XD0Ya1xKjps" xr:uid="{00000000-0004-0000-0300-00003A050000}"/>
    <hyperlink ref="AT95" r:id="rId1138" display="https://www.baltimoresun.com/bal-te.to.nichols18mar18-story.html" xr:uid="{00000000-0004-0000-0300-00003B050000}"/>
    <hyperlink ref="AU95" r:id="rId1139" display="https://www.baltimoresun.com/bal-te.to.nichols18mar18-story.html" xr:uid="{00000000-0004-0000-0300-00003C050000}"/>
    <hyperlink ref="AV95" r:id="rId1140" display="https://www.baltimoresun.com/bal-te.to.nichols18mar18-story.html" xr:uid="{00000000-0004-0000-0300-00003D050000}"/>
    <hyperlink ref="AX95" r:id="rId1141" display="https://www.baltimoresun.com/bal-te.to.nichols18mar18-story.html" xr:uid="{00000000-0004-0000-0300-00003E050000}"/>
    <hyperlink ref="BD95" r:id="rId1142" display="https://web.archive.org/web/20081219070658/http:/www.ajc.com/services/content/metro/atlanta/stories/2008/10/22/nichols_trial_atlanta.html?cxtype=rss&amp;cxsvc=7&amp;cxcat=13" xr:uid="{00000000-0004-0000-0300-00003F050000}"/>
    <hyperlink ref="BE95" r:id="rId1143" display="http://articles.latimes.com/2005/mar/13/nation/na-nichols13" xr:uid="{00000000-0004-0000-0300-000040050000}"/>
    <hyperlink ref="BJ95" r:id="rId1144" display="http://www.foxnews.com/story/2005/03/16/nichols-wanted-to-be-with-his-baby-boy.html" xr:uid="{00000000-0004-0000-0300-000041050000}"/>
    <hyperlink ref="G96" r:id="rId1145" display="https://www.nytimes.com/2005/03/13/us/gunman-kills-7-in-church-group-near-milwaukee.html" xr:uid="{00000000-0004-0000-0300-000042050000}"/>
    <hyperlink ref="H96" r:id="rId1146" display="https://www.nytimes.com/2005/03/13/us/gunman-kills-7-in-church-group-near-milwaukee.html" xr:uid="{00000000-0004-0000-0300-000043050000}"/>
    <hyperlink ref="J96" r:id="rId1147" xr:uid="{00000000-0004-0000-0300-000044050000}"/>
    <hyperlink ref="K96" r:id="rId1148" display="https://www.nytimes.com/2005/03/13/us/gunman-kills-7-in-church-group-near-milwaukee.html" xr:uid="{00000000-0004-0000-0300-000045050000}"/>
    <hyperlink ref="M96" r:id="rId1149" display="http://archive.boston.com/news/nation/articles/2005/03/14/terry_dont_friend_cried_to_shooter/" xr:uid="{00000000-0004-0000-0300-000046050000}"/>
    <hyperlink ref="S96" r:id="rId1150" display="https://www.chicagotribune.com/news/ct-xpm-2005-03-13-0503130385-story.html" xr:uid="{00000000-0004-0000-0300-000047050000}"/>
    <hyperlink ref="T96" r:id="rId1151" display="https://www.cbsnews.com/news/church-police-probe-7-murders/" xr:uid="{00000000-0004-0000-0300-000048050000}"/>
    <hyperlink ref="V96" r:id="rId1152" display="https://www.nytimes.com/2005/03/13/us/gunman-kills-7-in-church-group-near-milwaukee.html" xr:uid="{00000000-0004-0000-0300-00004A050000}"/>
    <hyperlink ref="W96" r:id="rId1153" display="https://www.nytimes.com/2005/03/13/us/gunman-kills-7-in-church-group-near-milwaukee.html" xr:uid="{00000000-0004-0000-0300-00004B050000}"/>
    <hyperlink ref="AI96" r:id="rId1154" display="http://archive.boston.com/news/nation/articles/2005/03/14/terry_dont_friend_cried_to_shooter/" xr:uid="{00000000-0004-0000-0300-00004C050000}"/>
    <hyperlink ref="AK96" r:id="rId1155" display="http://articles.latimes.com/2005/mar/15/nation/na-church15" xr:uid="{00000000-0004-0000-0300-00004D050000}"/>
    <hyperlink ref="AM96" r:id="rId1156" display="https://www.chicagotribune.com/news/ct-xpm-2005-03-29-0503290160-story.html" xr:uid="{00000000-0004-0000-0300-00004E050000}"/>
    <hyperlink ref="AN96" r:id="rId1157" display="https://www.chicagotribune.com/news/ct-xpm-2005-03-29-0503290160-story.html" xr:uid="{00000000-0004-0000-0300-00004F050000}"/>
    <hyperlink ref="AQ96" r:id="rId1158" display="https://www.cbsnews.com/news/church-police-probe-7-murders/" xr:uid="{00000000-0004-0000-0300-000050050000}"/>
    <hyperlink ref="AS96" r:id="rId1159" display="https://www.cbsnews.com/news/church-police-probe-7-murders/" xr:uid="{00000000-0004-0000-0300-000051050000}"/>
    <hyperlink ref="BE96" r:id="rId1160" location="v=onepage&amp;q=terry%20ratzmann%20protector%20father&amp;f=false" display="https://books.google.com/books?id=MzhVs1852I0C&amp;pg=PA95&amp;dq=terry+ratzmann+protector+father&amp;hl=en&amp;sa=X&amp;ved=0ahUKEwi5xuLFjbzgAhVRY6wKHZcjDMQQ6AEIKDAA - v=onepage&amp;q=terry%20ratzmann%20protector%20father&amp;f=false" xr:uid="{00000000-0004-0000-0300-000052050000}"/>
    <hyperlink ref="BK96" r:id="rId1161" display="http://articles.latimes.com/2005/mar/15/nation/na-church15" xr:uid="{00000000-0004-0000-0300-000053050000}"/>
    <hyperlink ref="BL96" r:id="rId1162" display="https://www.chicagotribune.com/news/ct-xpm-2005-03-17-0503170230-story.html" xr:uid="{00000000-0004-0000-0300-000054050000}"/>
    <hyperlink ref="CI96" r:id="rId1163" location="v=onepage&amp;q=terry%20ratzmann%20auto" display="https://books.google.com/books?id=cmTxCQAAQBAJ&amp;pg=PA483&amp;lpg=PA483&amp;dq=terry+ratzmann+autopsy&amp;source=bl&amp;ots=eXUyJ-eUsC&amp;sig=ACfU3U0AnH0CEJQNTyozFGri7z8JmECjwg&amp;hl=en&amp;sa=X&amp;ved=2ahUKEwjfy9SyhrzgAhUYCDQIHdimD1s4ChDoATAAegQICRAB - v=onepage&amp;q=terry%20ratzmann%20auto" xr:uid="{00000000-0004-0000-0300-000055050000}"/>
    <hyperlink ref="CJ96" r:id="rId1164" location="v=onepage&amp;q=terry%20ratzmann%20aut&quot;&amp;&quot;o&amp;f=false" display="Thyroid condition, heart abnormality, parts of fingers missing from injury" xr:uid="{00000000-0004-0000-0300-000056050000}"/>
    <hyperlink ref="DT96" r:id="rId1165" display="https://www.starnewsonline.com/news/20050803/officials-end-investigation-of-deadly-church-shooting" xr:uid="{00000000-0004-0000-0300-000057050000}"/>
    <hyperlink ref="DW96" r:id="rId1166" display="https://www.nytimes.com/2005/03/13/us/gunman-kills-7-in-church-group-near-milwaukee.html" xr:uid="{00000000-0004-0000-0300-000059050000}"/>
    <hyperlink ref="G97" r:id="rId1167" display="https://www.mprnews.org/story/2015/03/18/red-lake-shooting-explained" xr:uid="{00000000-0004-0000-0300-00005A050000}"/>
    <hyperlink ref="H97" r:id="rId1168" display="https://www.mprnews.org/story/2015/03/18/red-lake-shooting-explained" xr:uid="{00000000-0004-0000-0300-00005B050000}"/>
    <hyperlink ref="J97" r:id="rId1169" xr:uid="{00000000-0004-0000-0300-00005C050000}"/>
    <hyperlink ref="K97" r:id="rId1170" display="http://news.minnesota.publicradio.org/features/2005/03/22_ap_redlakesuspect/" xr:uid="{00000000-0004-0000-0300-00005D050000}"/>
    <hyperlink ref="M97" r:id="rId1171" display="http://news.minnesota.publicradio.org/features/2005/03/21_gundersond_redlakeshooting/" xr:uid="{00000000-0004-0000-0300-00005E050000}"/>
    <hyperlink ref="N97" r:id="rId1172" display="http://news.minnesota.publicradio.org/features/2005/03/22_ap_redlakesuspect/" xr:uid="{00000000-0004-0000-0300-00005F050000}"/>
    <hyperlink ref="T97" r:id="rId1173" display="http://news.minnesota.publicradio.org/features/2005/03/21_gundersond_redlakeshooting/" xr:uid="{00000000-0004-0000-0300-000060050000}"/>
    <hyperlink ref="W97" r:id="rId1174" display="https://www.mprnews.org/story/2015/03/18/red-lake-shooting-explained" xr:uid="{00000000-0004-0000-0300-000061050000}"/>
    <hyperlink ref="X97" r:id="rId1175" display="http://news.minnesota.publicradio.org/features/2005/03/22_ap_redlakesuspect/" xr:uid="{00000000-0004-0000-0300-000062050000}"/>
    <hyperlink ref="AB97" r:id="rId1176" display="http://www.nytimes.com/2005/03/24/us/signs-of-danger-were-missed-in-a-troubled-teenagers-life.html" xr:uid="{00000000-0004-0000-0300-000063050000}"/>
    <hyperlink ref="AZ97" r:id="rId1177" display="http://www.cnn.com/2005/US/03/22/school.shooting/" xr:uid="{00000000-0004-0000-0300-000064050000}"/>
    <hyperlink ref="BC97" r:id="rId1178" display="http://www.nytimes.com/2005/03/24/us/signs-of-danger-were-missed-in-a-troubled-teenagers-life.html" xr:uid="{00000000-0004-0000-0300-000065050000}"/>
    <hyperlink ref="BD97" r:id="rId1179" display="http://www.nytimes.com/2005/03/24/us/signs-of-danger-were-missed-in-a-troubled-teenagers-life.html" xr:uid="{00000000-0004-0000-0300-000066050000}"/>
    <hyperlink ref="BL97" r:id="rId1180" display="http://www.nytimes.com/2005/03/24/us/signs-of-danger-were-missed-in-a-troubled-teenagers-life.html" xr:uid="{00000000-0004-0000-0300-000067050000}"/>
    <hyperlink ref="BZ97" r:id="rId1181" display="http://news.minnesota.publicradio.org/features/2005/03/25_galballye_mentalhealth/" xr:uid="{00000000-0004-0000-0300-000068050000}"/>
    <hyperlink ref="CA97" r:id="rId1182" display="http://www.nytimes.com/2005/03/24/us/signs-of-danger-were-missed-in-a-troubled-teenagers-life.html" xr:uid="{00000000-0004-0000-0300-000069050000}"/>
    <hyperlink ref="CC97" r:id="rId1183" display="http://news.minnesota.publicradio.org/features/2005/03/25_helmsm_prozacfolo/" xr:uid="{00000000-0004-0000-0300-00006A050000}"/>
    <hyperlink ref="DC97" r:id="rId1184" display="http://www.nytimes.com/2005/03/24/us/signs-of-danger-were-missed-in-a-troubled-teenagers-life.html" xr:uid="{00000000-0004-0000-0300-00006B050000}"/>
    <hyperlink ref="DK97" r:id="rId1185" xr:uid="{00000000-0004-0000-0300-00006C050000}"/>
    <hyperlink ref="G98" r:id="rId1186" display="https://www.chicagotribune.com/news/ct-xpm-2005-08-30-0508300294-story.html" xr:uid="{00000000-0004-0000-0300-00006D050000}"/>
    <hyperlink ref="H98" r:id="rId1187" display="http://articles.chicagotribune.com/2005-08-30/news/0508300294_1_gunman-killed-four-people-small-town-church-witnesses" xr:uid="{00000000-0004-0000-0300-00006E050000}"/>
    <hyperlink ref="J98" r:id="rId1188" xr:uid="{00000000-0004-0000-0300-00006F050000}"/>
    <hyperlink ref="S98" r:id="rId1189" display="http://articles.chicagotribune.com/2005-08-30/news/0508300294_1_gunman-killed-four-people-small-town-church-witnesses" xr:uid="{00000000-0004-0000-0300-000070050000}"/>
    <hyperlink ref="V98" r:id="rId1190" display="http://www.denverpost.com/2005/08/29/4-slain-near-texas-church/" xr:uid="{00000000-0004-0000-0300-000072050000}"/>
    <hyperlink ref="W98" r:id="rId1191" display="http://articles.chicagotribune.com/2005-08-30/news/0508300294_1_gunman-killed-four-people-small-town-church-witnesses" xr:uid="{00000000-0004-0000-0300-000073050000}"/>
    <hyperlink ref="AL98" r:id="rId1192" display="https://www.myplainview.com/news/article/Gunman-kills-self-after-shooting-four-at-rural-8725414.php" xr:uid="{00000000-0004-0000-0300-000074050000}"/>
    <hyperlink ref="AS98" r:id="rId1193" display="https://www.denverpost.com/2005/08/29/4-slain-near-texas-church/" xr:uid="{00000000-0004-0000-0300-000075050000}"/>
    <hyperlink ref="CI98" r:id="rId1194" display="https://www.myplainview.com/news/article/Gunman-kills-self-after-shooting-four-at-rural-8725414.php" xr:uid="{00000000-0004-0000-0300-000076050000}"/>
    <hyperlink ref="CJ98" r:id="rId1195" display="Born with only a partial right arm and used a prosthetic. " xr:uid="{00000000-0004-0000-0300-000077050000}"/>
    <hyperlink ref="DW98" r:id="rId1196" display="http://articles.chicagotribune.com/2005-08-30/news/0508300294_1_gunman-killed-four-people-small-town-church-witnesses" xr:uid="{00000000-0004-0000-0300-000078050000}"/>
    <hyperlink ref="G99" r:id="rId1197" display="https://www.independent.com/news/2013/jan/31/goleta-postal-murders/" xr:uid="{00000000-0004-0000-0300-000079050000}"/>
    <hyperlink ref="H99" r:id="rId1198" display="https://www.nytimes.com/2006/02/03/us/woman-in-california-postal-shootings-had-history-of-bizarre-behavior.html?mtrref=search.yahoo.com" xr:uid="{00000000-0004-0000-0300-00007A050000}"/>
    <hyperlink ref="J99" r:id="rId1199" xr:uid="{00000000-0004-0000-0300-00007B050000}"/>
    <hyperlink ref="K99" r:id="rId1200" display="https://www.nytimes.com/2006/02/03/us/woman-in-california-postal-shootings-had-history-of-bizarre-behavior.html?mtrref=search.yahoo.com" xr:uid="{00000000-0004-0000-0300-00007C050000}"/>
    <hyperlink ref="S99" r:id="rId1201" display="https://www.independent.com/news/2013/jan/31/goleta-postal-murders/" xr:uid="{00000000-0004-0000-0300-00007D050000}"/>
    <hyperlink ref="V99" r:id="rId1202" display="https://www.nytimes.com/2006/02/03/us/woman-in-california-postal-shootings-had-history-of-bizarre-behavior.html?mtrref=search.yahoo.com" xr:uid="{00000000-0004-0000-0300-00007E050000}"/>
    <hyperlink ref="W99" r:id="rId1203" display="https://www.nytimes.com/2006/02/03/us/woman-in-california-postal-shootings-had-history-of-bizarre-behavior.html?mtrref=search.yahoo.com" xr:uid="{00000000-0004-0000-0300-00007F050000}"/>
    <hyperlink ref="AI99" r:id="rId1204" display="https://www.cbsnews.com/news/postal-shooters-bizarre-behavior/" xr:uid="{00000000-0004-0000-0300-000080050000}"/>
    <hyperlink ref="AK99" r:id="rId1205" display="https://www.cbsnews.com/news/postal-shooters-bizarre-behavior/" xr:uid="{00000000-0004-0000-0300-000081050000}"/>
    <hyperlink ref="AL99" r:id="rId1206" display="https://www.cbsnews.com/news/postal-shooters-bizarre-behavior/" xr:uid="{00000000-0004-0000-0300-000082050000}"/>
    <hyperlink ref="AZ99" r:id="rId1207" display="https://www.cbsnews.com/news/postal-shooters-bizarre-behavior/" xr:uid="{00000000-0004-0000-0300-000083050000}"/>
    <hyperlink ref="BK99" r:id="rId1208" display="https://www.cbsnews.com/news/postal-shooters-bizarre-behavior/" xr:uid="{00000000-0004-0000-0300-000084050000}"/>
    <hyperlink ref="DK99" r:id="rId1209" location=".WfthQhOPLOQ" display="http://www.nbcnews.com/id/11167920/ns/us_news-crime_and_courts/t/postal-killer-believed-she-was-target-plot/ - .WfthQhOPLOQ" xr:uid="{00000000-0004-0000-0300-000085050000}"/>
    <hyperlink ref="DT99" r:id="rId1210" display="https://www.independent.com/news/2013/jan/31/goleta-postal-murders/" xr:uid="{00000000-0004-0000-0300-000086050000}"/>
    <hyperlink ref="J100" r:id="rId1211" xr:uid="{00000000-0004-0000-0300-00008B050000}"/>
    <hyperlink ref="K100" r:id="rId1212" display="http://www.nytimes.com/2006/03/28/us/seattle-police-and-partygoers-still-puzzle-over-attack.html" xr:uid="{00000000-0004-0000-0300-00008C050000}"/>
    <hyperlink ref="L100" r:id="rId1213" display="https://www.britannica.com/place/Seattle-Washington" xr:uid="{00000000-0004-0000-0300-00008D050000}"/>
    <hyperlink ref="M100" r:id="rId1214" display="https://www.thestranger.com/seattle/dead-quiet/Content?oid=31361" xr:uid="{00000000-0004-0000-0300-00008E050000}"/>
    <hyperlink ref="O100" r:id="rId1215" display="https://www.nytimes.com/2006/03/28/us/seattle-police-and-partygoers-still-puzzle-over-attack.html" xr:uid="{00000000-0004-0000-0300-00008F050000}"/>
    <hyperlink ref="S100" r:id="rId1216" display="http://www.nytimes.com/2006/03/28/us/seattle-police-and-partygoers-still-puzzle-over-attack.html" xr:uid="{00000000-0004-0000-0300-000090050000}"/>
    <hyperlink ref="V100" r:id="rId1217" display="http://www.nytimes.com/2006/03/28/us/seattle-police-and-partygoers-still-puzzle-over-attack.html" xr:uid="{00000000-0004-0000-0300-000091050000}"/>
    <hyperlink ref="Y100" r:id="rId1218" display="https://www.thestranger.com/seattle/dead-quiet/Content?oid=31361" xr:uid="{00000000-0004-0000-0300-000092050000}"/>
    <hyperlink ref="AB100" r:id="rId1219" display="http://www.thestranger.com/seattle/dead-quiet/Content?oid=31361" xr:uid="{00000000-0004-0000-0300-000093050000}"/>
    <hyperlink ref="AL100" r:id="rId1220" display="https://www.thestranger.com/seattle/dead-quiet/Content?oid=31361" xr:uid="{00000000-0004-0000-0300-000094050000}"/>
    <hyperlink ref="AQ100" r:id="rId1221" display="https://www.thestranger.com/seattle/dead-quiet/Content?oid=31361" xr:uid="{00000000-0004-0000-0300-000095050000}"/>
    <hyperlink ref="AS100" r:id="rId1222" display="https://www.thestranger.com/seattle/dead-quiet/Content?oid=31361" xr:uid="{00000000-0004-0000-0300-000096050000}"/>
    <hyperlink ref="DR100" r:id="rId1223" display="https://www.thestranger.com/seattle/dead-quiet/Content?oid=31361" xr:uid="{00000000-0004-0000-0300-000097050000}"/>
    <hyperlink ref="BC100" r:id="rId1224" display="https://www.thestranger.com/seattle/dead-quiet/Content?oid=31361" xr:uid="{00000000-0004-0000-0300-000098050000}"/>
    <hyperlink ref="BD100" r:id="rId1225" display="https://www.thestranger.com/seattle/dead-quiet/Content?oid=31361" xr:uid="{00000000-0004-0000-0300-000099050000}"/>
    <hyperlink ref="BI100" r:id="rId1226" display="https://www.thestranger.com/seattle/dead-quiet/Content?oid=31361" xr:uid="{00000000-0004-0000-0300-00009A050000}"/>
    <hyperlink ref="BK100" r:id="rId1227" display="https://www.thestranger.com/seattle/dead-quiet/Content?oid=31361" xr:uid="{00000000-0004-0000-0300-00009B050000}"/>
    <hyperlink ref="CH100" r:id="rId1228" display="https://www.thestranger.com/seattle/dead-quiet/Content?oid=31361" xr:uid="{00000000-0004-0000-0300-00009E050000}"/>
    <hyperlink ref="DJ100" r:id="rId1229" display="https://web.northeastern.edu/jfox/Documents/CapitolHillPanelReport.pdf" xr:uid="{00000000-0004-0000-0300-00009F050000}"/>
    <hyperlink ref="DK100" r:id="rId1230" display="http://www.thestranger.com/seattle/dead-quiet/Content?oid=31361" xr:uid="{00000000-0004-0000-0300-0000A0050000}"/>
    <hyperlink ref="DT100" r:id="rId1231" location=".XuefyRNKhQI" display="http://www.nbcnews.com/id/12035924/ns/us_news-crime_and_courts/t/police-seattle-shooter-said-plenty-everyone/ - .XuefyRNKhQI" xr:uid="{00000000-0004-0000-0300-0000A1050000}"/>
    <hyperlink ref="DW100" r:id="rId1232" display="http://www.nytimes.com/2006/03/30/us/seattles-shattered-rave-family-seeks-answers-to-killings.html" xr:uid="{00000000-0004-0000-0300-0000A5050000}"/>
    <hyperlink ref="AA101" r:id="rId1233" display="http://www.washingtonpost.com/wp-dyn/content/article/2006/05/22/AR2006052200226.html" xr:uid="{00000000-0004-0000-0300-0000A7050000}"/>
    <hyperlink ref="AS101" r:id="rId1234" display="http://www.washingtonpost.com/wp-dyn/content/article/2006/05/22/AR2006052200226.html" xr:uid="{00000000-0004-0000-0300-0000A8050000}"/>
    <hyperlink ref="AU101" r:id="rId1235" display="https://www.washingtonpost.com/wp-dyn/content/article/2006/05/22/AR2006052200226.html" xr:uid="{00000000-0004-0000-0300-0000A9050000}"/>
    <hyperlink ref="AV101" r:id="rId1236" display="https://caselaw.findlaw.com/la-supreme-court/1546275.html" xr:uid="{00000000-0004-0000-0300-0000AA050000}"/>
    <hyperlink ref="N102" r:id="rId1237" display="https://lancasterpa.com/amish/amish-school-shooting/" xr:uid="{00000000-0004-0000-0300-0000AB050000}"/>
    <hyperlink ref="T102" r:id="rId1238" display="https://www.dailymail.co.uk/news/article-2043764/Amish-school-massacre-Grieving-mother-gunman-Charles-Roberts-cares-victims.html" xr:uid="{00000000-0004-0000-0300-0000AC050000}"/>
    <hyperlink ref="AB102" r:id="rId1239" display="https://lancasteronline.com/news/a-killer-s-life-an-in-depth-look-at-nickel/article_d302e19f-a0df-5c4f-8fe7-2fa6b31a0dbf.html" xr:uid="{00000000-0004-0000-0300-0000AE050000}"/>
    <hyperlink ref="AL102" r:id="rId1240" display="https://www.nydailynews.com/news/crime/mystery-loving-dad-amish-slay-spree-article-1.1914649" xr:uid="{00000000-0004-0000-0300-0000AF050000}"/>
    <hyperlink ref="AQ102" r:id="rId1241" display="https://www.nydailynews.com/news/crime/mystery-loving-dad-amish-slay-spree-article-1.1914649" xr:uid="{00000000-0004-0000-0300-0000B0050000}"/>
    <hyperlink ref="AU102" r:id="rId1242" display="https://www.cnn.com/2006/US/10/03/amish.shooting/index.html" xr:uid="{00000000-0004-0000-0300-0000B1050000}"/>
    <hyperlink ref="BI102" r:id="rId1243" display="https://abcnews.go.com/US/amish-school-shooters-widow-marie-monville-remembers-tragedy/story?id=20417790" xr:uid="{00000000-0004-0000-0300-0000B2050000}"/>
    <hyperlink ref="BK102" r:id="rId1244" display="https://lancasteronline.com/news/a-killer-s-life-an-in-depth-look-at-nickel/article_d302e19f-a0df-5c4f-8fe7-2fa6b31a0dbf.html" xr:uid="{00000000-0004-0000-0300-0000B3050000}"/>
    <hyperlink ref="CA102" r:id="rId1245" display="https://abcnews.go.com/US/amish-school-shooters-widow-marie-monville-remembers-tragedy/story?id=20417790" xr:uid="{00000000-0004-0000-0300-0000B4050000}"/>
    <hyperlink ref="CC102" r:id="rId1246" display="https://abcnews.go.com/US/amish-school-shooters-widow-marie-monville-remembers-tragedy/story?id=20417790" xr:uid="{00000000-0004-0000-0300-0000B5050000}"/>
    <hyperlink ref="CE102" r:id="rId1247" display="https://abcnews.go.com/US/amish-school-shooters-widow-marie-monville-remembers-tragedy/story?id=20417790" xr:uid="{00000000-0004-0000-0300-0000B6050000}"/>
    <hyperlink ref="K103" r:id="rId1248" location="salt-lake-city-mayor-rocky-anderson-pauses-for-a-moment-while-speaking-at-a-press-conference-tuesday-in-salt-lake-city-just-hours-after-a-gunman-entered-&quot;&amp;&quot;the-trolley-square-mall-and-fatally-shot-5-patrons-monday-evening" display="https://www.deseret.com/2007/2/16/20001904/more-details-emerging-on-trolley-square-gunman-and-victims - salt-lake-city-mayor-rocky-anderson-pauses-for-a-moment-while-speaking-at-a-press-conference-tuesday-in-salt-lake-city-just-hours-after-a-gunman-entered-&quot;&amp;&quot;the-trolley-square-mall-and-fatally-shot-5-patrons-monday-evening" xr:uid="{00000000-0004-0000-0300-0000BA050000}"/>
    <hyperlink ref="T103" r:id="rId1249" display="https://www.ksl.com/article/6521661" xr:uid="{00000000-0004-0000-0300-0000BB050000}"/>
    <hyperlink ref="Y103" r:id="rId1250" display="https://www.deseretnews.com/article/660195184/More-details-emerging-on-Trolley-Square-gunman-and-victims.html" xr:uid="{00000000-0004-0000-0300-0000BC050000}"/>
    <hyperlink ref="BE103" r:id="rId1251" display="https://www.nytimes.com/2007/02/20/us/20mall.html?mtrref=undefined" xr:uid="{00000000-0004-0000-0300-0000BD050000}"/>
    <hyperlink ref="DQ103" r:id="rId1252" location="salt-lake-city-mayor-rocky-anderson-pauses-for-a-moment-while-speaking-at-a-press-conference-tuesday-in-salt-lake-city-just-hours-after-a-gunman-entered-&quot;&amp;&quot;the-trolley-square-mall-and-fatally-shot-5-patrons-monday-evening" display="https://www.deseret.com/2007/2/16/20001904/more-details-emerging-on-trolley-square-gunman-and-victims - salt-lake-city-mayor-rocky-anderson-pauses-for-a-moment-while-speaking-at-a-press-conference-tuesday-in-salt-lake-city-just-hours-after-a-gunman-entered-&quot;&amp;&quot;the-trolley-square-mall-and-fatally-shot-5-patrons-monday-evening" xr:uid="{00000000-0004-0000-0300-0000BF050000}"/>
    <hyperlink ref="N104" r:id="rId1253" display="https://www.nytimes.com/2007/04/16/us/16cnd-shooting.html?rref=collection%2Ftimestopic%2FVirginia%20Polytechnic%20Institute%20and%20State%20University&amp;action=click&amp;contentCollection=timestopics&amp;region=stream&amp;module=stream_unit&amp;version=search&amp;contentPlacem%22&amp;%22ent=1&amp;pgtype=collection" xr:uid="{00000000-0004-0000-0300-0000C0050000}"/>
    <hyperlink ref="O104" r:id="rId1254" display="https://www.nytimes.com/2007/04/16/us/16cnd-shooting.html?rref=collection%2Ftimestopic%2FVirginia%20Polytechnic%20Institute%20and%20State%20University&amp;action=click&amp;contentCollection=timestopics&amp;region=stream&amp;module=stream_unit&amp;version=search&amp;contentPlacem%22&amp;%22ent=1&amp;pgtype=collection" xr:uid="{00000000-0004-0000-0300-0000C1050000}"/>
    <hyperlink ref="P104" r:id="rId1255" display="https://www.nytimes.com/2007/04/16/us/16cnd-shooting.html?rref=collection%2Ftimestopic%2FVirginia%20Polytechnic%20Institute%20and%20State%20University&amp;action=click&amp;contentCollection=timestopics&amp;region=stream&amp;module=stream_unit&amp;version=search&amp;contentPlacem%22&amp;%22ent=1&amp;pgtype=collection" xr:uid="{00000000-0004-0000-0300-0000C2050000}"/>
    <hyperlink ref="T104" r:id="rId1256" display="https://scholar.lib.vt.edu/prevail/docs/VTReviewPanelReport.pdf" xr:uid="{00000000-0004-0000-0300-0000C3050000}"/>
    <hyperlink ref="Y104" r:id="rId1257" display="https://abcnews.go.com/US/seung-hui-chos-mental-health-records-released/story?id=8278195" xr:uid="{00000000-0004-0000-0300-0000C4050000}"/>
    <hyperlink ref="AM105" r:id="rId1258" display="https://www.nytimes.com/2007/12/08/us/08gunman.html" xr:uid="{00000000-0004-0000-0300-0000C6050000}"/>
    <hyperlink ref="AU105" r:id="rId1259" display="https://www.omaha.com/news/local/understanding-tragedy-teen-robbie-hawkins-had-no-remorse-empathy-after/article_5f9366dc-c4da-11e7-b5bc-eb3f5c40ffb2.html" xr:uid="{00000000-0004-0000-0300-0000C7050000}"/>
    <hyperlink ref="BE105" r:id="rId1260" display="https://www.nytimes.com/2007/12/08/us/08gunman.html" xr:uid="{00000000-0004-0000-0300-0000C8050000}"/>
    <hyperlink ref="G106" r:id="rId1261" display="https://www.denverpost.com/2008/03/27/arvada-shooting-report-offers-new-insights-into-killer/" xr:uid="{00000000-0004-0000-0300-0000C9050000}"/>
    <hyperlink ref="H106" r:id="rId1262" display="https://www.latimes.com/archives/la-xpm-2007-dec-11-na-shoot11-story.html" xr:uid="{00000000-0004-0000-0300-0000CA050000}"/>
    <hyperlink ref="K106" r:id="rId1263" display="https://www.latimes.com/archives/la-xpm-2007-dec-11-na-shoot11-story.html" xr:uid="{00000000-0004-0000-0300-0000CB050000}"/>
    <hyperlink ref="L106" r:id="rId1264" display="https://www.latimes.com/archives/la-xpm-2007-dec-11-na-shoot11-story.html" xr:uid="{00000000-0004-0000-0300-0000CC050000}"/>
    <hyperlink ref="V106" r:id="rId1265" display="https://www.denverpost.com/2008/03/27/arvada-shooting-report-offers-new-insights-into-killer/" xr:uid="{00000000-0004-0000-0300-0000CE050000}"/>
    <hyperlink ref="W106" r:id="rId1266" display="https://www.denverpost.com/2008/03/27/report-reveals-clues-to-killers-mind/" xr:uid="{00000000-0004-0000-0300-0000CF050000}"/>
    <hyperlink ref="AK106" r:id="rId1267" display="https://www.denverpost.com/2008/03/27/report-reveals-clues-to-killers-mind/" xr:uid="{00000000-0004-0000-0300-0000D0050000}"/>
    <hyperlink ref="AL106" r:id="rId1268" display="https://www.denverpost.com/2008/03/27/arvada-shooting-report-offers-new-insights-into-killer/" xr:uid="{00000000-0004-0000-0300-0000D1050000}"/>
    <hyperlink ref="AQ106" r:id="rId1269" display="https://www.foxnews.com/story/colorado-church-gunman-had-grudge-against-christian-group-cops-say" xr:uid="{00000000-0004-0000-0300-0000D2050000}"/>
    <hyperlink ref="DR106" r:id="rId1270" display="https://www.denverpost.com/2008/03/27/murray-obsesses-with-guns-shootings/" xr:uid="{00000000-0004-0000-0300-0000D3050000}"/>
    <hyperlink ref="BC106" r:id="rId1271" display="https://www.denverpost.com/2008/03/27/murray-obsesses-with-guns-shootings/" xr:uid="{00000000-0004-0000-0300-0000D4050000}"/>
    <hyperlink ref="BG106" r:id="rId1272" location="v=onepage&amp;q=matthew%20murra&quot;&amp;&quot;y&amp;f=false" display="https://books.google.com/books?id=y-N2TqJauQgC&amp;pg=PA51&amp;lpg=PA51&amp;dq=%22me,+i+remember+the+beatings+and+the+fighting%22&amp;source=bl&amp;ots=tcR74qr-VF&amp;sig=5LH6N2HYKp0Rgkhsh9O-jjDJAIA&amp;hl=en&amp;sa=X&amp;ei=kwYdU9HqCsKUqgHw0YHIDw&amp;ved=0CCYQ6AEwAA - v=onepage&amp;q=matthew%20murra&quot;&amp;&quot;y&amp;f=false" xr:uid="{00000000-0004-0000-0300-0000D5050000}"/>
    <hyperlink ref="BK106" r:id="rId1273" display="https://www.denverpost.com/2008/03/27/report-reveals-clues-to-killers-mind/" xr:uid="{00000000-0004-0000-0300-0000D6050000}"/>
    <hyperlink ref="BL106" r:id="rId1274" display="https://www.denverpost.com/2008/03/27/murray-obsesses-with-guns-shootings/" xr:uid="{00000000-0004-0000-0300-0000D7050000}"/>
    <hyperlink ref="BY106" r:id="rId1275" display="https://www.denverpost.com/2008/03/27/report-reveals-clues-to-killers-mind/" xr:uid="{00000000-0004-0000-0300-0000D8050000}"/>
    <hyperlink ref="CC106" r:id="rId1276" display="https://www.westword.com/news/matthew-murrays-nightmare-of-christianity-5824515" xr:uid="{00000000-0004-0000-0300-0000D9050000}"/>
    <hyperlink ref="DJ106" r:id="rId1277" display="https://www.denverpost.com/2008/03/27/arvada-shooting-report-offers-new-insights-into-killer/" xr:uid="{00000000-0004-0000-0300-0000DA050000}"/>
    <hyperlink ref="DK106" r:id="rId1278" display="https://www.denverpost.com/2008/03/27/murray-obsesses-with-guns-shootings/" xr:uid="{00000000-0004-0000-0300-0000DB050000}"/>
    <hyperlink ref="DP106" r:id="rId1279" display="https://www.denverpost.com/2008/03/27/arvada-shooting-report-offers-new-insights-into-killer/" xr:uid="{00000000-0004-0000-0300-0000DC050000}"/>
    <hyperlink ref="DT106" r:id="rId1280" display="https://www.kktv.com/home/headlines/12440361.html" xr:uid="{00000000-0004-0000-0300-0000DD050000}"/>
    <hyperlink ref="M107" r:id="rId1281" display="https://www.cbsnews.com/news/six-dead-in-missouri-city-council-shooting/" xr:uid="{00000000-0004-0000-0300-0000E2050000}"/>
    <hyperlink ref="N107" r:id="rId1282" display="https://www.stltoday.com/news/local/crime-and-courts/charles-lee-cookie-thornton-behind-the-smile/article_be96f13c-78b9-11df-bfdc-0017a4a78c22.html" xr:uid="{00000000-0004-0000-0300-0000E3050000}"/>
    <hyperlink ref="S107" r:id="rId1283" display="https://www.stltoday.com/news/local/metro/kirkwood-city-hall-shooting-years-after-tragedy-a-community-reflects/article_895f3748-b575-59bb-b02a-719dc551a4d4.html" xr:uid="{00000000-0004-0000-0300-0000E4050000}"/>
    <hyperlink ref="T107" r:id="rId1284" display="https://www.stltoday.com/news/local/metro/kirkwood-city-hall-shooting-years-after-tragedy-a-community-reflects/article_895f3748-b575-59bb-b02a-719dc551a4d4.html" xr:uid="{00000000-0004-0000-0300-0000E5050000}"/>
    <hyperlink ref="X107" r:id="rId1285" display="https://www.stltoday.com/news/local/crime-and-courts/charles-lee-cookie-thornton-behind-the-smile/article_be96f13c-78b9-11df-bfdc-0017a4a78c22.html" xr:uid="{00000000-0004-0000-0300-0000E6050000}"/>
    <hyperlink ref="BE107" r:id="rId1286" display="https://www.stltoday.com/news/local/crime-and-courts/charles-lee-cookie-thornton-behind-the-smile/article_be96f13c-78b9-11df-bfdc-0017a4a78c22.html" xr:uid="{00000000-0004-0000-0300-0000E7050000}"/>
    <hyperlink ref="Z108" r:id="rId1287" display="https://www.chicagotribune.com/news/ct-xpm-2008-07-10-0807090811-story.html" xr:uid="{00000000-0004-0000-0300-0000E9050000}"/>
    <hyperlink ref="AS108" r:id="rId1288" display="https://www.esquire.com/news-politics/a4863/steven-kazmierczak-0808/" xr:uid="{00000000-0004-0000-0300-0000EA050000}"/>
    <hyperlink ref="AU108" r:id="rId1289" display="https://www.niu.edu/forward/_pdfs/archives/feb14report.pdf" xr:uid="{00000000-0004-0000-0300-0000EB050000}"/>
    <hyperlink ref="AV108" r:id="rId1290" display="https://www.niu.edu/forward/_pdfs/archives/feb14report.pdf" xr:uid="{00000000-0004-0000-0300-0000EC050000}"/>
    <hyperlink ref="CH108" r:id="rId1291" display="https://www.esquire.com/news-politics/a4863/steven-kazmierczak-0808/" xr:uid="{00000000-0004-0000-0300-0000ED050000}"/>
    <hyperlink ref="DP108" r:id="rId1292" display="https://www.esquire.com/news-politics/a4863/steven-kazmierczak-0808/" xr:uid="{00000000-0004-0000-0300-0000EF050000}"/>
    <hyperlink ref="G109" r:id="rId1293" xr:uid="{00000000-0004-0000-0300-0000F0050000}"/>
    <hyperlink ref="H109" r:id="rId1294" xr:uid="{00000000-0004-0000-0300-0000F1050000}"/>
    <hyperlink ref="J109" r:id="rId1295" xr:uid="{00000000-0004-0000-0300-0000F2050000}"/>
    <hyperlink ref="K109" r:id="rId1296" location=".Wg3mgbSpn58" display="http://www.nbcnews.com/id/23699429/ns/us_news-crime_and_courts/t/suspect-held-after-killed-junk-yard-rampage/ - .Wg3mgbSpn58" xr:uid="{00000000-0004-0000-0300-0000F3050000}"/>
    <hyperlink ref="L109" r:id="rId1297" location=".Wg3mgbSpn58" display="http://www.nbcnews.com/id/23699429/ns/us_news-crime_and_courts/t/suspect-held-after-killed-junk-yard-rampage/ - .Wg3mgbSpn58" xr:uid="{00000000-0004-0000-0300-0000F4050000}"/>
    <hyperlink ref="M109" r:id="rId1298" location=".Wg3mgbSpn58" display="http://www.nbcnews.com/id/23699429/ns/us_news-crime_and_courts/t/suspect-held-after-killed-junk-yard-rampage/ - .Wg3mgbSpn58" xr:uid="{00000000-0004-0000-0300-0000F5050000}"/>
    <hyperlink ref="O109" r:id="rId1299" location=".XKfcPJhKjpt" display="http://www.nbcnews.com/id/23699429/ns/us_news-crime_and_courts/t/suspect-held-after-killed-junk-yard-rampage/ - .XKfcPJhKjpt" xr:uid="{00000000-0004-0000-0300-0000F6050000}"/>
    <hyperlink ref="S109" r:id="rId1300" location=".XKfcPJhKjpt" display="http://www.nbcnews.com/id/23699429/ns/us_news-crime_and_courts/t/suspect-held-after-killed-junk-yard-rampage/ - .XKfcPJhKjpt" xr:uid="{00000000-0004-0000-0300-0000F7050000}"/>
    <hyperlink ref="T109" r:id="rId1301" location=".XKfcPJhKjpt" display="http://www.nbcnews.com/id/23699429/ns/us_news-crime_and_courts/t/suspect-held-after-killed-junk-yard-rampage/ - .XKfcPJhKjpt" xr:uid="{00000000-0004-0000-0300-0000F8050000}"/>
    <hyperlink ref="V109" r:id="rId1302" location=".Wg3mgbSpn58" display="http://www.nbcnews.com/id/23699429/ns/us_news-crime_and_courts/t/suspect-held-after-killed-junk-yard-rampage/ - .Wg3mgbSpn58" xr:uid="{00000000-0004-0000-0300-0000F9050000}"/>
    <hyperlink ref="W109" r:id="rId1303" display="http://www.santamariasun.com/news/8536/leeds-will-spend-the-rest-of-his-life-in-prison--for-scrap-yard-killings/" xr:uid="{00000000-0004-0000-0300-0000FA050000}"/>
    <hyperlink ref="X109" r:id="rId1304" display="http://www.santamariasun.com/news/8536/leeds-will-spend-the-rest-of-his-life-in-prison--for-scrap-yard-killings/" xr:uid="{00000000-0004-0000-0300-0000FB050000}"/>
    <hyperlink ref="AB109" r:id="rId1305" display="http://web.archive.org/web/20161018033626/https:/mustangnews.net/policedoubtlinkbetweensantamariakillingssanluisobispomurder/" xr:uid="{00000000-0004-0000-0300-0000FC050000}"/>
    <hyperlink ref="AC109" r:id="rId1306" display="https://syvnews.com/news/local/crime-and-courts/leeds-believed-victims-were-mexican-mafia-defense-says/article_2182f8c2-8916-11e1-8bbd-0019bb2963f4.html" xr:uid="{00000000-0004-0000-0300-0000FD050000}"/>
    <hyperlink ref="AD109" r:id="rId1307" xr:uid="{00000000-0004-0000-0300-0000FE050000}"/>
    <hyperlink ref="AF109" r:id="rId1308" xr:uid="{00000000-0004-0000-0300-0000FF050000}"/>
    <hyperlink ref="AK109" r:id="rId1309" xr:uid="{00000000-0004-0000-0300-000000060000}"/>
    <hyperlink ref="AQ109" r:id="rId1310" display="http://web.archive.org/web/20161018033626/https:/mustangnews.net/policedoubtlinkbetweensantamariakillingssanluisobispomurder/" xr:uid="{00000000-0004-0000-0300-000001060000}"/>
    <hyperlink ref="AS109" r:id="rId1311" display="http://web.archive.org/web/20161018033626/https:/mustangnews.net/policedoubtlinkbetweensantamariakillingssanluisobispomurder/" xr:uid="{00000000-0004-0000-0300-000002060000}"/>
    <hyperlink ref="DR109" r:id="rId1312" display="https://lompocrecord.com/news/local/crime-and-courts/lee-leeds-to-spend-life-in-prison/article_d92f8400-d22b-11e1-907f-001a4bcf887a.html" xr:uid="{00000000-0004-0000-0300-000003060000}"/>
    <hyperlink ref="BI109" r:id="rId1313" xr:uid="{00000000-0004-0000-0300-000004060000}"/>
    <hyperlink ref="BK109" r:id="rId1314" xr:uid="{00000000-0004-0000-0300-000005060000}"/>
    <hyperlink ref="DJ109" r:id="rId1315" xr:uid="{00000000-0004-0000-0300-000006060000}"/>
    <hyperlink ref="DT109" r:id="rId1316" location=".Wg3mgbSpn58" display="http://www.nbcnews.com/id/23699429/ns/us_news-crime_and_courts/t/suspect-held-after-killed-junk-yard-rampage/ - .Wg3mgbSpn58" xr:uid="{00000000-0004-0000-0300-000007060000}"/>
    <hyperlink ref="DW109" r:id="rId1317" xr:uid="{00000000-0004-0000-0300-00000C060000}"/>
    <hyperlink ref="G110" r:id="rId1318" location=".XEfFUK17FsO" display="http://www.nbcnews.com/id/25361852/ns/us_news-crime_and_courts/t/dead-argument-boss-ends-rampage/ - .XEfFUK17FsO" xr:uid="{00000000-0004-0000-0300-00000D060000}"/>
    <hyperlink ref="H110" r:id="rId1319" location=".XEfFUK17FsO" display="http://www.nbcnews.com/id/25361852/ns/us_news-crime_and_courts/t/dead-argument-boss-ends-rampage/ - .XEfFUK17FsO" xr:uid="{00000000-0004-0000-0300-00000E060000}"/>
    <hyperlink ref="J110" r:id="rId1320" xr:uid="{00000000-0004-0000-0300-00000F060000}"/>
    <hyperlink ref="K110" r:id="rId1321" display="https://www.wkyt.com/home/headlines/25559494.html" xr:uid="{00000000-0004-0000-0300-000010060000}"/>
    <hyperlink ref="L110" r:id="rId1322" display="https://www.wkyt.com/home/headlines/25559494.html" xr:uid="{00000000-0004-0000-0300-000011060000}"/>
    <hyperlink ref="T110" r:id="rId1323" display="https://www.nytimes.com/2008/06/25/us/26kentuckycnd.html" xr:uid="{00000000-0004-0000-0300-000012060000}"/>
    <hyperlink ref="V110" r:id="rId1324" location=".XEfFUK17FsO" display="http://www.nbcnews.com/id/25361852/ns/us_news-crime_and_courts/t/dead-argument-boss-ends-rampage/ - .XEfFUK17FsO" xr:uid="{00000000-0004-0000-0300-000013060000}"/>
    <hyperlink ref="W110" r:id="rId1325" location=".XEfFUK17FsO" display="http://www.nbcnews.com/id/25361852/ns/us_news-crime_and_courts/t/dead-argument-boss-ends-rampage/ - .XEfFUK17FsO" xr:uid="{00000000-0004-0000-0300-000014060000}"/>
    <hyperlink ref="Y110" r:id="rId1326" display="https://www.nytimes.com/2008/06/26/us/26factory.html" xr:uid="{00000000-0004-0000-0300-000015060000}"/>
    <hyperlink ref="AB110" r:id="rId1327" display="https://www.wibw.com/home/headlines/22092024.html" xr:uid="{00000000-0004-0000-0300-000016060000}"/>
    <hyperlink ref="AI110" r:id="rId1328" display="https://www.wkyt.com/home/headlines/25559494.html" xr:uid="{00000000-0004-0000-0300-000017060000}"/>
    <hyperlink ref="AQ110" r:id="rId1329" display="https://www.nytimes.com/2008/06/26/us/26factory.html" xr:uid="{00000000-0004-0000-0300-000018060000}"/>
    <hyperlink ref="BJ110" r:id="rId1330" display="https://www.wkyt.com/home/headlines/25559494.html" xr:uid="{00000000-0004-0000-0300-000019060000}"/>
    <hyperlink ref="CA110" r:id="rId1331" location=".XBx9mFxKiUl" display="http://www.nbcnews.com/id/25361852/ns/us_news-crime_and_courts/t/dead-argument-boss-ends-rampage/ - .XBx9mFxKiUl" xr:uid="{00000000-0004-0000-0300-00001A060000}"/>
    <hyperlink ref="DC110" r:id="rId1332" display="https://www.wkyt.com/home/headlines/25559494.html" xr:uid="{00000000-0004-0000-0300-00001B060000}"/>
    <hyperlink ref="DP110" r:id="rId1333" display="https://www.wkyt.com/home/headlines/25559494.html" xr:uid="{00000000-0004-0000-0300-00001C060000}"/>
    <hyperlink ref="DT110" r:id="rId1334" location=".XEfFUK17FsO" display="http://www.nbcnews.com/id/25361852/ns/us_news-crime_and_courts/t/dead-argument-boss-ends-rampage/ - .XEfFUK17FsO" xr:uid="{00000000-0004-0000-0300-00001D060000}"/>
    <hyperlink ref="DW110" r:id="rId1335" location=".XBx9mFxKiUl" display="http://www.nbcnews.com/id/25361852/ns/us_news-crime_and_courts/t/dead-argument-boss-ends-rampage/ - .XBx9mFxKiUl" xr:uid="{00000000-0004-0000-0300-00001F060000}"/>
    <hyperlink ref="G111" r:id="rId1336" display="http://www.seattlepi.com/local/article/Isaac-Zamora-10781621.php" xr:uid="{00000000-0004-0000-0300-000020060000}"/>
    <hyperlink ref="H111" r:id="rId1337" display="http://www.nytimes.com/2008/09/04/us/04spree.html" xr:uid="{00000000-0004-0000-0300-000021060000}"/>
    <hyperlink ref="J111" r:id="rId1338" xr:uid="{00000000-0004-0000-0300-000022060000}"/>
    <hyperlink ref="K111" r:id="rId1339" display="http://www.nytimes.com/2008/09/04/us/04spree.html" xr:uid="{00000000-0004-0000-0300-000023060000}"/>
    <hyperlink ref="S111" r:id="rId1340" display="http://www.nytimes.com/2008/09/04/us/04spree.html" xr:uid="{00000000-0004-0000-0300-000024060000}"/>
    <hyperlink ref="T111" r:id="rId1341" display="https://www.nytimes.com/2008/09/04/us/04spree.html" xr:uid="{00000000-0004-0000-0300-000025060000}"/>
    <hyperlink ref="V111" r:id="rId1342" display="http://www.nytimes.com/2008/09/04/us/04spree.html" xr:uid="{00000000-0004-0000-0300-000027060000}"/>
    <hyperlink ref="W111" r:id="rId1343" display="http://www.nytimes.com/2008/09/04/us/04spree.html" xr:uid="{00000000-0004-0000-0300-000028060000}"/>
    <hyperlink ref="X111" r:id="rId1344" display="https://www.nytimes.com/2008/09/04/us/04spree.html" xr:uid="{00000000-0004-0000-0300-000029060000}"/>
    <hyperlink ref="AA111" r:id="rId1345" display="http://www.oregonlive.com/news/index.ssf/2008/09/court_documents_detail_washing.html" xr:uid="{00000000-0004-0000-0300-00002A060000}"/>
    <hyperlink ref="AI111" r:id="rId1346" display="http://www.nytimes.com/2008/09/04/us/04spree.html" xr:uid="{00000000-0004-0000-0300-00002B060000}"/>
    <hyperlink ref="BZ111" r:id="rId1347" display="https://www.seattletimes.com/seattle-news/shooting-rampage-suspect-described-as-deeply-troubled-1/" xr:uid="{00000000-0004-0000-0300-00002C060000}"/>
    <hyperlink ref="CA111" r:id="rId1348" display="https://www.seattletimes.com/seattle-news/shooting-rampage-suspect-described-as-deeply-troubled-1/" xr:uid="{00000000-0004-0000-0300-00002D060000}"/>
    <hyperlink ref="CC111" r:id="rId1349" display="https://www.seattletimes.com/seattle-news/shooting-rampage-suspect-described-as-deeply-troubled-1/" xr:uid="{00000000-0004-0000-0300-00002E060000}"/>
    <hyperlink ref="CD111" r:id="rId1350" display="https://caselaw.findlaw.com/wa-court-of-appeals/1693199.html" xr:uid="{00000000-0004-0000-0300-00002F060000}"/>
    <hyperlink ref="CH111" r:id="rId1351" display="https://www.seattletimes.com/seattle-news/shooting-rampage-suspect-described-as-deeply-troubled-1/" xr:uid="{00000000-0004-0000-0300-000030060000}"/>
    <hyperlink ref="CI111" r:id="rId1352" xr:uid="{00000000-0004-0000-0300-000031060000}"/>
    <hyperlink ref="DC111" r:id="rId1353" display="https://www.seattletimes.com/seattle-news/shooting-rampage-suspect-described-as-deeply-troubled-1/" xr:uid="{00000000-0004-0000-0300-000033060000}"/>
    <hyperlink ref="DT111" r:id="rId1354" display="http://www.oregonlive.com/news/index.ssf/2008/09/court_documents_detail_washing.html" xr:uid="{00000000-0004-0000-0300-000034060000}"/>
    <hyperlink ref="DW111" r:id="rId1355" display="https://www.seattletimes.com/seattle-news/shooting-rampage-suspect-described-as-deeply-troubled-1/" xr:uid="{00000000-0004-0000-0300-000039060000}"/>
    <hyperlink ref="M112" r:id="rId1356" display="https://abc11.com/archive/6734388/" xr:uid="{00000000-0004-0000-0300-00003A060000}"/>
    <hyperlink ref="T112" r:id="rId1357" display="https://www.wral.com/news/local/story/9936931/" xr:uid="{00000000-0004-0000-0300-00003B060000}"/>
    <hyperlink ref="AM112" r:id="rId1358" display="https://www.cbsnews.com/news/nc-man-convicted-of-killing-8-at-nursing-home/" xr:uid="{00000000-0004-0000-0300-00003C060000}"/>
    <hyperlink ref="AN112" r:id="rId1359" display="https://www.cbsnews.com/news/nc-man-convicted-of-killing-8-at-nursing-home/" xr:uid="{00000000-0004-0000-0300-00003D060000}"/>
    <hyperlink ref="AU112" r:id="rId1360" display="https://www.thepilot.com/news/pinelake-at-a-decade-in-the-shadow-of-north-carolina/article_33d2be06-522a-11e9-b3d5-230b8a7f488f.html" xr:uid="{00000000-0004-0000-0300-00003E060000}"/>
    <hyperlink ref="AV112" r:id="rId1361" display="https://www.wral.com/news/local/story/9845639/" xr:uid="{00000000-0004-0000-0300-00003F060000}"/>
    <hyperlink ref="BJ112" r:id="rId1362" display="https://www.foxnews.com/story/north-carolina-nursing-home-gunmans-wife-hid-in-bathroom-during-rampage" xr:uid="{00000000-0004-0000-0300-000040060000}"/>
    <hyperlink ref="CJ112" r:id="rId1363" xr:uid="{00000000-0004-0000-0300-000041060000}"/>
    <hyperlink ref="DP112" r:id="rId1364" display="https://web.archive.org/web/20120328181316/http:/www.fayobserver.com/articles/2011/09/03/1120314?sac=Home" xr:uid="{00000000-0004-0000-0300-000042060000}"/>
    <hyperlink ref="G113" r:id="rId1365" display="https://www.nytimes.com/2009/04/12/nyregion/12binghamton.html" xr:uid="{00000000-0004-0000-0300-000043060000}"/>
    <hyperlink ref="H113" r:id="rId1366" display="https://www.nytimes.com/2009/04/12/nyregion/12binghamton.html" xr:uid="{00000000-0004-0000-0300-000044060000}"/>
    <hyperlink ref="J113" r:id="rId1367" xr:uid="{00000000-0004-0000-0300-000045060000}"/>
    <hyperlink ref="V113" r:id="rId1368" display="https://www.nytimes.com/2009/04/12/nyregion/12binghamton.html" xr:uid="{00000000-0004-0000-0300-000046060000}"/>
    <hyperlink ref="W113" r:id="rId1369" display="https://www.nytimes.com/2009/04/12/nyregion/12binghamton.html" xr:uid="{00000000-0004-0000-0300-000047060000}"/>
    <hyperlink ref="AI113" r:id="rId1370" display="https://www.nytimes.com/2009/04/12/nyregion/12binghamton.html" xr:uid="{00000000-0004-0000-0300-000048060000}"/>
    <hyperlink ref="AK113" r:id="rId1371" display="https://www.nytimes.com/2009/04/12/nyregion/12binghamton.html" xr:uid="{00000000-0004-0000-0300-000049060000}"/>
    <hyperlink ref="AL113" r:id="rId1372" display="https://www.nytimes.com/2009/04/12/nyregion/12binghamton.html" xr:uid="{00000000-0004-0000-0300-00004A060000}"/>
    <hyperlink ref="AQ113" r:id="rId1373" display="https://www.nytimes.com/2009/04/12/nyregion/12binghamton.html" xr:uid="{00000000-0004-0000-0300-00004B060000}"/>
    <hyperlink ref="AS113" r:id="rId1374" display="https://www.syracuse.com/news/2009/04/jiverly_wongs_father_our_son_w.html" xr:uid="{00000000-0004-0000-0300-00004C060000}"/>
    <hyperlink ref="AU113" r:id="rId1375" display="https://www.syracuse.com/news/2009/04/jiverly_wongs_father_our_son_w.html" xr:uid="{00000000-0004-0000-0300-00004D060000}"/>
    <hyperlink ref="BD113" r:id="rId1376" display="https://www.nytimes.com/2009/04/12/nyregion/12binghamton.html" xr:uid="{00000000-0004-0000-0300-00004E060000}"/>
    <hyperlink ref="BJ113" r:id="rId1377" display="https://www.nytimes.com/2009/04/12/nyregion/12binghamton.html" xr:uid="{00000000-0004-0000-0300-00004F060000}"/>
    <hyperlink ref="BK113" r:id="rId1378" display="https://www.nytimes.com/2009/04/12/nyregion/12binghamton.html" xr:uid="{00000000-0004-0000-0300-000050060000}"/>
    <hyperlink ref="BL113" r:id="rId1379" display="https://www.syracuse.com/news/2009/04/jiverly_wongs_father_our_son_w.html" xr:uid="{00000000-0004-0000-0300-000051060000}"/>
    <hyperlink ref="BZ113" r:id="rId1380" display="https://www.syracuse.com/news/2009/04/jiverly_wongs_father_our_son_w.html" xr:uid="{00000000-0004-0000-0300-000052060000}"/>
    <hyperlink ref="CH113" r:id="rId1381" location=".XuOp3xNKhQI" display="http://www.nbcnews.com/id/30094954/ns/us_news-crime_and_courts/t/gunmen-mass-killings-had-permits/ - .XuOp3xNKhQI" xr:uid="{00000000-0004-0000-0300-000053060000}"/>
    <hyperlink ref="DT113" r:id="rId1382" display="http://www.nytimes.com/2009/04/04/nyregion/04hostage.html" xr:uid="{00000000-0004-0000-0300-000055060000}"/>
    <hyperlink ref="DW113" r:id="rId1383" display="https://www.nytimes.com/2009/04/12/nyregion/12binghamton.html" xr:uid="{00000000-0004-0000-0300-00005A060000}"/>
    <hyperlink ref="O115" r:id="rId1384" display="https://www.nytimes.com/2009/11/09/us/09reconstruct.html?pagewanted=all" xr:uid="{00000000-0004-0000-0300-00005B060000}"/>
    <hyperlink ref="BI115" r:id="rId1385" display="https://www.nytimes.com/2009/11/09/us/09reconstruct.html?pagewanted=all" xr:uid="{00000000-0004-0000-0300-00005C060000}"/>
    <hyperlink ref="BJ115" r:id="rId1386" display="https://www.nytimes.com/2009/11/09/us/09reconstruct.html?pagewanted=all" xr:uid="{00000000-0004-0000-0300-00005D060000}"/>
    <hyperlink ref="CC115" r:id="rId1387" display="https://abcnews.go.com/Blotter/inside-nidal-hasans-apartment/story?id=9058769" xr:uid="{00000000-0004-0000-0300-00005E060000}"/>
    <hyperlink ref="G116" r:id="rId1388" display="https://web.archive.org/web/20101021234307/http:/seattletimes.nwsource.com/html/localnews/2013170137_otherside21.html" xr:uid="{00000000-0004-0000-0300-00005F060000}"/>
    <hyperlink ref="H116" r:id="rId1389" display="https://web.archive.org/web/20101021234307/http:/seattletimes.nwsource.com/html/localnews/2013170137_otherside21.html" xr:uid="{00000000-0004-0000-0300-000060060000}"/>
    <hyperlink ref="J116" r:id="rId1390" xr:uid="{00000000-0004-0000-0300-000061060000}"/>
    <hyperlink ref="K116" r:id="rId1391" display="https://www.latimes.com/archives/la-xpm-2009-dec-02-la-na-police-shooting2-2009dec02-story.html" xr:uid="{00000000-0004-0000-0300-000062060000}"/>
    <hyperlink ref="L116" r:id="rId1392" display="http://www.washingtonpost.com/wp-dyn/content/article/2009/12/07/AR2009120702333.html" xr:uid="{00000000-0004-0000-0300-000063060000}"/>
    <hyperlink ref="M116" r:id="rId1393" display="https://www.latimes.com/archives/la-xpm-2009-dec-02-la-na-police-shooting2-2009dec02-story.html" xr:uid="{00000000-0004-0000-0300-000064060000}"/>
    <hyperlink ref="S116" r:id="rId1394" display="https://www.latimes.com/archives/la-xpm-2009-dec-02-la-na-police-shooting2-2009dec02-story.html" xr:uid="{00000000-0004-0000-0300-000065060000}"/>
    <hyperlink ref="T116" r:id="rId1395" display="https://web.archive.org/web/20101021234307/http:/seattletimes.nwsource.com/html/localnews/2013170137_otherside21.html" xr:uid="{00000000-0004-0000-0300-000066060000}"/>
    <hyperlink ref="V116" r:id="rId1396" display="http://articles.latimes.com/2009/dec/02/nation/la-na-police-shooting2-2009dec02" xr:uid="{00000000-0004-0000-0300-000067060000}"/>
    <hyperlink ref="W116" r:id="rId1397" display="https://web.archive.org/web/20091204124651/http:/seattletimes.nwsource.com/html/localnews/2010393433_webarrest01m.html" xr:uid="{00000000-0004-0000-0300-000068060000}"/>
    <hyperlink ref="X116" r:id="rId1398" display="https://www.npr.org/templates/story/story.php?storyId=130636272" xr:uid="{00000000-0004-0000-0300-000069060000}"/>
    <hyperlink ref="Y116" r:id="rId1399" display="https://www.seattletimes.com/seattle-news/a-path-to-murder-the-story-of-maurice-clemmons/" xr:uid="{00000000-0004-0000-0300-00006A060000}"/>
    <hyperlink ref="AI116" r:id="rId1400" display="https://web.archive.org/web/20101021234307/http:/seattletimes.nwsource.com/html/localnews/2013170137_otherside21.html" xr:uid="{00000000-0004-0000-0300-00006B060000}"/>
    <hyperlink ref="AL116" r:id="rId1401" display="https://www.latimes.com/archives/la-xpm-2009-dec-01-la-na-police-shootings1-2009dec01-story.html" xr:uid="{00000000-0004-0000-0300-00006C060000}"/>
    <hyperlink ref="AQ116" r:id="rId1402" display="https://www.seattletimes.com/seattle-news/a-path-to-murder-the-story-of-maurice-clemmons/" xr:uid="{00000000-0004-0000-0300-00006D060000}"/>
    <hyperlink ref="AS116" r:id="rId1403" display="https://www.seattletimes.com/seattle-news/a-path-to-murder-the-story-of-maurice-clemmons/" xr:uid="{00000000-0004-0000-0300-00006E060000}"/>
    <hyperlink ref="AU116" r:id="rId1404" display="https://www.pulitzer.org/winners/staff-71" xr:uid="{00000000-0004-0000-0300-00006F060000}"/>
    <hyperlink ref="BC116" r:id="rId1405" display="https://www.seattletimes.com/seattle-news/a-path-to-murder-the-story-of-maurice-clemmons/" xr:uid="{00000000-0004-0000-0300-000070060000}"/>
    <hyperlink ref="BD116" r:id="rId1406" display="https://www.seattletimes.com/seattle-news/a-path-to-murder-the-story-of-maurice-clemmons/" xr:uid="{00000000-0004-0000-0300-000071060000}"/>
    <hyperlink ref="BL116" r:id="rId1407" display="https://web.archive.org/web/20091209021105/http:/seattletimes.nwsource.com/html/localnews/2010436039_clemmonsprofile06m.html" xr:uid="{00000000-0004-0000-0300-000072060000}"/>
    <hyperlink ref="BY116" r:id="rId1408" display="https://www.seattletimes.com/seattle-news/a-path-to-murder-the-story-of-maurice-clemmons/" xr:uid="{00000000-0004-0000-0300-000073060000}"/>
    <hyperlink ref="CA116" r:id="rId1409" display="https://web.archive.org/web/20091209021105/http:/seattletimes.nwsource.com/html/localnews/2010436039_clemmonsprofile06m.html" xr:uid="{00000000-0004-0000-0300-000074060000}"/>
    <hyperlink ref="CC116" r:id="rId1410" display="https://web.archive.org/web/20091209021105/http:/seattletimes.nwsource.com/html/localnews/2010436039_clemmonsprofile06m.html" xr:uid="{00000000-0004-0000-0300-000075060000}"/>
    <hyperlink ref="CH116" r:id="rId1411" display="https://www.seattletimes.com/seattle-news/a-path-to-murder-the-story-of-maurice-clemmons/" xr:uid="{00000000-0004-0000-0300-000076060000}"/>
    <hyperlink ref="DT116" r:id="rId1412" display="https://www.latimes.com/archives/la-xpm-2009-dec-02-la-na-police-shooting2-2009dec02-story.html" xr:uid="{00000000-0004-0000-0300-000077060000}"/>
    <hyperlink ref="DW116" r:id="rId1413" display="https://web.archive.org/web/20091204124651/http:/seattletimes.nwsource.com/html/localnews/2010393433_webarrest01m.html" xr:uid="{00000000-0004-0000-0300-000078060000}"/>
    <hyperlink ref="O117" r:id="rId1414" display="https://www.latimes.com/local/lanow/la-me-ln-valley-village-sentencing-20161220-story.html" xr:uid="{00000000-0004-0000-0300-000079060000}"/>
    <hyperlink ref="X117" r:id="rId1415" display="https://www.scpr.org/news/2010/04/09/13972/suspect-identified-north-hollywood-shooting-left-f/" xr:uid="{00000000-0004-0000-0300-00007A060000}"/>
    <hyperlink ref="Y117" r:id="rId1416" display="https://www.scpr.org/news/2010/04/09/13972/suspect-identified-north-hollywood-shooting-left-f/" xr:uid="{00000000-0004-0000-0300-00007B060000}"/>
    <hyperlink ref="DR117" r:id="rId1417" display="https://www.lapd.com/article/suspect-valley-village-massacre-named" xr:uid="{00000000-0004-0000-0300-00007C060000}"/>
    <hyperlink ref="BD117" r:id="rId1418" display="https://www.latimes.com/archives/la-xpm-2010-apr-22-la-me-0423-valley-massacre-20100423-story.html" xr:uid="{00000000-0004-0000-0300-00007D060000}"/>
    <hyperlink ref="DT117" r:id="rId1419" display="https://www.latimes.com/local/lanow/la-me-ln-valley-village-sentencing-20161220-story.html" xr:uid="{00000000-0004-0000-0300-00007E060000}"/>
    <hyperlink ref="G118" r:id="rId1420" display="https://www.huffingtonpost.com/josh-sugarmann/hialeah-only-the-latest-m_b_3676274.html" xr:uid="{00000000-0004-0000-0300-000080060000}"/>
    <hyperlink ref="H118" r:id="rId1421" display="https://www.huffingtonpost.com/josh-sugarmann/hialeah-only-the-latest-m_b_3676274.html" xr:uid="{00000000-0004-0000-0300-000081060000}"/>
    <hyperlink ref="J118" r:id="rId1422" xr:uid="{00000000-0004-0000-0300-000082060000}"/>
    <hyperlink ref="K118" r:id="rId1423" display="https://www.cbsnews.com/news/florida-man-kills-four-women-in-restaurant-shooting-police-say/" xr:uid="{00000000-0004-0000-0300-000083060000}"/>
    <hyperlink ref="M118" r:id="rId1424" display="https://www.cbsnews.com/news/florida-man-kills-four-women-in-restaurant-shooting-police-say/" xr:uid="{00000000-0004-0000-0300-000084060000}"/>
    <hyperlink ref="V118" r:id="rId1425" display="https://www.cbsnews.com/news/florida-man-kills-four-women-in-restaurant-shooting-police-say/" xr:uid="{00000000-0004-0000-0300-000085060000}"/>
    <hyperlink ref="W118" r:id="rId1426" display="https://www.cbsnews.com/news/florida-man-kills-four-women-in-restaurant-shooting-police-say/" xr:uid="{00000000-0004-0000-0300-000086060000}"/>
    <hyperlink ref="AQ118" r:id="rId1427" display="https://www.sun-sentinel.com/news/fl-xpm-2010-06-13-sfl-hialeah-massacre-romance-06132010-story.html" xr:uid="{00000000-0004-0000-0300-000087060000}"/>
    <hyperlink ref="AS118" r:id="rId1428" display="https://www.sun-sentinel.com/news/fl-xpm-2010-06-13-sfl-hialeah-massacre-romance-06132010-story.html" xr:uid="{00000000-0004-0000-0300-000088060000}"/>
    <hyperlink ref="AU118" r:id="rId1429" display="https://www.sun-sentinel.com/news/fl-xpm-2010-06-13-sfl-hialeah-massacre-romance-06132010-story.html" xr:uid="{00000000-0004-0000-0300-000089060000}"/>
    <hyperlink ref="AV118" r:id="rId1430" display="https://www.sun-sentinel.com/news/fl-xpm-2010-06-13-sfl-hialeah-massacre-romance-06132010-story.html" xr:uid="{00000000-0004-0000-0300-00008A060000}"/>
    <hyperlink ref="AW118" r:id="rId1431" display="https://www.sun-sentinel.com/news/fl-xpm-2010-06-13-sfl-hialeah-massacre-romance-06132010-story.html" xr:uid="{00000000-0004-0000-0300-00008B060000}"/>
    <hyperlink ref="BC118" r:id="rId1432" display="https://www.sun-sentinel.com/news/fl-xpm-2010-06-13-sfl-hialeah-massacre-romance-06132010-story.html" xr:uid="{00000000-0004-0000-0300-00008C060000}"/>
    <hyperlink ref="DB118" r:id="rId1433" display="http://articles.sun-sentinel.com/2010-06-08/sports/fl-hialeah-restaurant-shootings-20100607_1_shooting-spree-estranged-hialeah" xr:uid="{00000000-0004-0000-0300-00008D060000}"/>
    <hyperlink ref="DT118" r:id="rId1434" display="http://www.nydailynews.com/sports/baseball/yankees/yankees-mets-pitcher-orlando-el-duque-hernandez-shock-half-brother-shootings-article-1.181967" xr:uid="{00000000-0004-0000-0300-00008E060000}"/>
    <hyperlink ref="DW118" r:id="rId1435" display="https://www.cbsnews.com/news/florida-man-kills-four-women-in-restaurant-shooting-police-say/" xr:uid="{00000000-0004-0000-0300-000093060000}"/>
    <hyperlink ref="O119" r:id="rId1436" display="https://www.nytimes.com/2010/08/04/nyregion/04shooting.html?mtrref=www.google.com" xr:uid="{00000000-0004-0000-0300-000094060000}"/>
    <hyperlink ref="AJ119" r:id="rId1437" display="https://www.courant.com/community/manchester/hc-ap-omar-thornton-racism-0808-20100808-story.html" xr:uid="{00000000-0004-0000-0300-000095060000}"/>
    <hyperlink ref="AQ119" r:id="rId1438" display="https://www.courant.com/community/hartford/hc-xpm-2010-08-04-hc-omar-s-thornton-connecticut-shooti20100804-story.html" xr:uid="{00000000-0004-0000-0300-000096060000}"/>
    <hyperlink ref="AS119" r:id="rId1439" display="https://www.chicagotribune.com/hc-omar-thornton-story-0804-20100803-story.html" xr:uid="{00000000-0004-0000-0300-000097060000}"/>
    <hyperlink ref="BC119" r:id="rId1440" display="https://www.courant.com/community/manchester/hc-ap-omar-thornton-racism-0808-20100808-story.html" xr:uid="{00000000-0004-0000-0300-000098060000}"/>
    <hyperlink ref="BL119" r:id="rId1441" display="https://www.masslive.com/news/2010/08/enfield_girlfriend_omar_thornt.html" xr:uid="{00000000-0004-0000-0300-000099060000}"/>
    <hyperlink ref="DB119" r:id="rId1442" display="https://www.courant.com/community/manchester/hc-ap-omar-thornton-racism-0808-20100808-story.html" xr:uid="{00000000-0004-0000-0300-00009A060000}"/>
    <hyperlink ref="DC119" r:id="rId1443" display="https://www.courant.com/health/hc-xpm-2011-05-12-hc-hartford-beer-distributor-shooting20110512-story.html" xr:uid="{00000000-0004-0000-0300-00009B060000}"/>
    <hyperlink ref="O120" r:id="rId1444" location=".XOWDuY5Kjps" display="http://www.nbcnews.com/id/42371480/ns/us_news-crime_and_courts/t/ex-gang-member-guilty-shooting-deadly--second-rampage/ - .XOWDuY5Kjps" xr:uid="{00000000-0004-0000-0300-00009C060000}"/>
    <hyperlink ref="AQ120" r:id="rId1445" location=".XFZKpPZFy3B" display="http://www.nbcnews.com/id/38853191/ns/us_news-crime_and_courts/t/man-surrenders-ny-shooting-deaths/ - .XFZKpPZFy3B" xr:uid="{00000000-0004-0000-0300-00009D060000}"/>
    <hyperlink ref="AS120" r:id="rId1446" location=".XOWCL45Kjpt" display="http://www.nbcnews.com/id/38853191/ns/us_news-crime_and_courts/t/man-surrenders-ny-shooting-deaths/ - .XOWCL45Kjpt" xr:uid="{00000000-0004-0000-0300-00009E060000}"/>
    <hyperlink ref="DT120" r:id="rId1447" display="https://www.sandiegouniontribune.com/sdut-gang-member-gets-life-for-upstate-ny-mass-shooting-2011jun02-story.html" xr:uid="{00000000-0004-0000-0300-00009F060000}"/>
    <hyperlink ref="AU121" r:id="rId1448" display="https://www.wkyt.com/home/headlines/102783529.html" xr:uid="{00000000-0004-0000-0300-0000A1060000}"/>
    <hyperlink ref="G122" r:id="rId1449" display="https://www.cbsnews.com/news/jared-loughner-who-shot-gabrielle-giffords-in-tucson-ranted-online/" xr:uid="{00000000-0004-0000-0300-0000A2060000}"/>
    <hyperlink ref="H122" r:id="rId1450" display="https://www.cbsnews.com/news/jared-loughner-who-shot-gabrielle-giffords-in-tucson-ranted-online/" xr:uid="{00000000-0004-0000-0300-0000A3060000}"/>
    <hyperlink ref="M122" r:id="rId1451" display="http://worldpopulationreview.com/us-cities/tucson-population/" xr:uid="{00000000-0004-0000-0300-0000A4060000}"/>
    <hyperlink ref="W122" r:id="rId1452" display="https://www.cbsnews.com/news/jared-loughner-who-shot-gabrielle-giffords-in-tucson-ranted-online/" xr:uid="{00000000-0004-0000-0300-0000A5060000}"/>
    <hyperlink ref="AB122" r:id="rId1453" display="https://www.nytimes.com/2011/01/16/us/16loughner.html" xr:uid="{00000000-0004-0000-0300-0000A6060000}"/>
    <hyperlink ref="AI122" r:id="rId1454" display="https://www.nytimes.com/2011/01/16/us/16loughner.html" xr:uid="{00000000-0004-0000-0300-0000A7060000}"/>
    <hyperlink ref="AL122" r:id="rId1455" display="https://www.nytimes.com/2011/01/16/us/16loughner.html" xr:uid="{00000000-0004-0000-0300-0000A8060000}"/>
    <hyperlink ref="AM122" r:id="rId1456" display="http://content.time.com/time/magazine/article/0,9171,2042358,00.html" xr:uid="{00000000-0004-0000-0300-0000A9060000}"/>
    <hyperlink ref="BC122" r:id="rId1457" display="https://www.nytimes.com/2011/01/16/us/16loughner.html" xr:uid="{00000000-0004-0000-0300-0000AA060000}"/>
    <hyperlink ref="BD122" r:id="rId1458" display="https://www.nytimes.com/2011/01/16/us/16loughner.html" xr:uid="{00000000-0004-0000-0300-0000AB060000}"/>
    <hyperlink ref="BJ122" r:id="rId1459" display="https://www.cbsnews.com/news/jared-loughner-who-shot-gabrielle-giffords-in-tucson-ranted-online/" xr:uid="{00000000-0004-0000-0300-0000AC060000}"/>
    <hyperlink ref="BY122" r:id="rId1460" xr:uid="{00000000-0004-0000-0300-0000AD060000}"/>
    <hyperlink ref="CH122" r:id="rId1461" display="https://www.nytimes.com/2011/01/16/us/16loughner.html" xr:uid="{00000000-0004-0000-0300-0000AE060000}"/>
    <hyperlink ref="DB122" r:id="rId1462" display="https://www.cbsnews.com/news/jared-loughner-who-shot-gabrielle-giffords-in-tucson-ranted-online/" xr:uid="{00000000-0004-0000-0300-0000B0060000}"/>
    <hyperlink ref="DC122" r:id="rId1463" display="https://www.cbsnews.com/news/jared-loughner-who-shot-gabrielle-giffords-in-tucson-ranted-online/" xr:uid="{00000000-0004-0000-0300-0000B1060000}"/>
    <hyperlink ref="BB122" r:id="rId1464" display="https://www.wsj.com/articles/SB10001424052748703791904576075851892478080" xr:uid="{00000000-0004-0000-0300-0000B2060000}"/>
    <hyperlink ref="DW122" r:id="rId1465" display="https://abcnews.go.com/US/jared-loughner-alleged-tucson-shooting-gunman-appears-court/story?id=12580344" xr:uid="{00000000-0004-0000-0300-0000B3060000}"/>
    <hyperlink ref="M124" r:id="rId1466" display="https://www.nj.com/news/index.ssf/2011/09/ihop_shooting_rampage_in_nevad.html" xr:uid="{00000000-0004-0000-0300-0000B4060000}"/>
    <hyperlink ref="T124" r:id="rId1467" display="https://www.rgj.com/story/news/2014/04/05/authorities-who-is-carson-city-ihop-gunman-eduardo-sencion/6671951/" xr:uid="{00000000-0004-0000-0300-0000B5060000}"/>
    <hyperlink ref="Y124" r:id="rId1468" display="https://www.nj.com/news/index.ssf/2011/09/ihop_shooting_rampage_in_nevad.html" xr:uid="{00000000-0004-0000-0300-0000B6060000}"/>
    <hyperlink ref="BE124" r:id="rId1469" display="https://www.rgj.com/story/news/2014/04/05/authorities-who-is-carson-city-ihop-gunman-eduardo-sencion/6671951/" xr:uid="{00000000-0004-0000-0300-0000B7060000}"/>
    <hyperlink ref="T125" r:id="rId1470" display="http://articles.latimes.com/2011/oct/12/local/la-me-1013-seal-beach-shooting-20111013" xr:uid="{00000000-0004-0000-0300-0000B9060000}"/>
    <hyperlink ref="AL125" r:id="rId1471" display="https://www.huffpost.com/entry/accused-killer-had-machin_n_1015671?guccounter=1&amp;guce_referrer=aHR0cHM6Ly93d3cuZ29vZ2xlLmNvbS8&amp;guce_referrer_sig=AQAAABPBDTAOCaE44U3QmXIA3_DTKkFOx8QzXX_UL3Mrfw6FNoJMk6OPuikUB83rPTSphaMiw76t8m-LBbTU3uFhNwROHR30G9tC1OGtqtICfrQ%22&amp;%22EMZp2N4GZ_x_Ma4ZVtWY7l2uQTFSOCsyu_2kXOsNJOy5kqJVE8b6U-B_D8CeKzsUh" xr:uid="{00000000-0004-0000-0300-0000BA060000}"/>
    <hyperlink ref="AT125" r:id="rId1472" location=".XtpdKBNKhQK" display="http://www.nbcnews.com/id/44913588/ns/us_news-crime_and_courts/t/details-calif-shooting-suspects-life-emerges/ - .XtpdKBNKhQK" xr:uid="{00000000-0004-0000-0300-0000BB060000}"/>
    <hyperlink ref="AU125" r:id="rId1473" location=".XtpdKBNKhQK" display="http://www.nbcnews.com/id/44913588/ns/us_news-crime_and_courts/t/details-calif-shooting-suspects-life-emerges/ - .XtpdKBNKhQK" xr:uid="{00000000-0004-0000-0300-0000BC060000}"/>
    <hyperlink ref="AV125" r:id="rId1474" location=".XtpdKBNKhQK" display="http://www.nbcnews.com/id/44913588/ns/us_news-crime_and_courts/t/details-calif-shooting-suspects-life-emerges/ - .XtpdKBNKhQK" xr:uid="{00000000-0004-0000-0300-0000BD060000}"/>
    <hyperlink ref="AW125" r:id="rId1475" location=".XtpdKBNKhQK" display="http://www.nbcnews.com/id/44913588/ns/us_news-crime_and_courts/t/details-calif-shooting-suspects-life-emerges/ - .XtpdKBNKhQK" xr:uid="{00000000-0004-0000-0300-0000BE060000}"/>
    <hyperlink ref="CA125" r:id="rId1476" display="https://www.nbclosangeles.com/news/local/seal-beach-shooting-suspect-suffered-from-pstd/1910334/" xr:uid="{00000000-0004-0000-0300-0000BF060000}"/>
    <hyperlink ref="CB125" r:id="rId1477" display="https://www.nbclosangeles.com/news/local/seal-beach-shooting-suspect-suffered-from-pstd/1910334/" xr:uid="{00000000-0004-0000-0300-0000C0060000}"/>
    <hyperlink ref="CC125" r:id="rId1478" display="http://articles.latimes.com/2011/oct/15/local/la-me-seal-beach-shooting-20111015" xr:uid="{00000000-0004-0000-0300-0000C1060000}"/>
    <hyperlink ref="O126" r:id="rId1479" display="https://www.latimes.com/local/lanow/la-me-ln-oikos-college-shooting-plea-no-contest-20170502-story.html" xr:uid="{00000000-0004-0000-0300-0000C2060000}"/>
    <hyperlink ref="Y126" r:id="rId1480" display="https://www.washingtonpost.com/blogs/blogpost/post/who-is-one-goh-oakland-school-shooting-suspect/2012/04/03/gIQACiZysS_blog.html?utm_term=.61b7b3dc6e06" xr:uid="{00000000-0004-0000-0300-0000C3060000}"/>
    <hyperlink ref="AI126" r:id="rId1481" display="https://www.mercurynews.com/2012/04/02/oakland-university-shooting-accused-oikos-university-shooter-one-goh-was-troubled-angry-said-those-who-knew-him/" xr:uid="{00000000-0004-0000-0300-0000C4060000}"/>
    <hyperlink ref="AJ126" r:id="rId1482" display="https://www.mercurynews.com/2012/04/02/oakland-university-shooting-accused-oikos-university-shooter-one-goh-was-troubled-angry-said-those-who-knew-him/" xr:uid="{00000000-0004-0000-0300-0000C5060000}"/>
    <hyperlink ref="AS126" r:id="rId1483" display="https://www.dailymail.co.uk/news/article-2124173/Oakland-shooting-Gunman-One-Gohs-boasts-massacre-Oikos-University-California-revealed.html" xr:uid="{00000000-0004-0000-0300-0000C6060000}"/>
    <hyperlink ref="BE126" r:id="rId1484" display="https://latimesblogs.latimes.com/lanow/2012/04/oakland-college-shooting-troubling-portrait-of-suspect-emerges.html" xr:uid="{00000000-0004-0000-0300-0000C7060000}"/>
    <hyperlink ref="BL126" r:id="rId1485" display="https://www.eastbaytimes.com/2017/07/14/oikos-nursing-school-massacre-suspect-one-goh-to-face-life-in-prison/" xr:uid="{00000000-0004-0000-0300-0000C8060000}"/>
    <hyperlink ref="G127" r:id="rId1486" display="http://www.kiro7.com/news/shooting-suspect-large-north-seattle/246788850" xr:uid="{00000000-0004-0000-0300-0000CA060000}"/>
    <hyperlink ref="J127" r:id="rId1487" xr:uid="{00000000-0004-0000-0300-0000CB060000}"/>
    <hyperlink ref="M127" r:id="rId1488" display="https://www.cnn.com/2012/05/31/us/washington-cafe-shooting/index.html" xr:uid="{00000000-0004-0000-0300-0000CC060000}"/>
    <hyperlink ref="AB127" r:id="rId1489" display="https://www.seattletimes.com/seattle-news/gunman-a-life-full-of-rage-a-shocking-final-act/" xr:uid="{00000000-0004-0000-0300-0000CD060000}"/>
    <hyperlink ref="AN127" r:id="rId1490" display="https://www.seattletimes.com/seattle-news/gunman-a-life-full-of-rage-a-shocking-final-act/" xr:uid="{00000000-0004-0000-0300-0000CE060000}"/>
    <hyperlink ref="AU127" r:id="rId1491" display="https://www.seattletimes.com/seattle-news/gunman-a-life-full-of-rage-a-shocking-final-act/" xr:uid="{00000000-0004-0000-0300-0000CF060000}"/>
    <hyperlink ref="BJ127" r:id="rId1492" xr:uid="{00000000-0004-0000-0300-0000D0060000}"/>
    <hyperlink ref="BK127" r:id="rId1493" display="https://komonews.com/news/local/family-seattle-gunman-had-a-concealed-weapon-permit-11-20-2015" xr:uid="{00000000-0004-0000-0300-0000D1060000}"/>
    <hyperlink ref="CC127" r:id="rId1494" display="http://www.npr.org/sections/thetwo-way/2012/05/31/154055287/we-could-see-this-coming-brother-says-of-man-idd-in-seattle-killings" xr:uid="{00000000-0004-0000-0300-0000D2060000}"/>
    <hyperlink ref="CI127" r:id="rId1495" display="https://komonews.com/news/local/family-seattle-gunman-had-a-concealed-weapon-permit-11-20-2015" xr:uid="{00000000-0004-0000-0300-0000D3060000}"/>
    <hyperlink ref="DB127" r:id="rId1496" display="http://mynorthwest.com/13664/father-of-cafe-racer-shooter-reflects-on-the-tragedy/" xr:uid="{00000000-0004-0000-0300-0000D5060000}"/>
    <hyperlink ref="DC127" r:id="rId1497" display="https://www.seattletimes.com/seattle-news/gunman-a-life-full-of-rage-a-shocking-final-act/" xr:uid="{00000000-0004-0000-0300-0000D6060000}"/>
    <hyperlink ref="DK127" r:id="rId1498" xr:uid="{00000000-0004-0000-0300-0000D7060000}"/>
    <hyperlink ref="DW127" r:id="rId1499" display="https://www.seattletimes.com/seattle-news/gunman-a-life-full-of-rage-a-shocking-final-act/" xr:uid="{00000000-0004-0000-0300-0000D8060000}"/>
    <hyperlink ref="G128" r:id="rId1500" display="http://www.cnn.com/2013/07/19/us/colorado-theater-shooting-fast-facts/index.html" xr:uid="{00000000-0004-0000-0300-0000D9060000}"/>
    <hyperlink ref="H128" r:id="rId1501" display="http://www.cnn.com/2013/07/19/us/colorado-theater-shooting-fast-facts/index.html" xr:uid="{00000000-0004-0000-0300-0000DA060000}"/>
    <hyperlink ref="J128" r:id="rId1502" xr:uid="{00000000-0004-0000-0300-0000DB060000}"/>
    <hyperlink ref="K128" r:id="rId1503" display="http://www.cnn.com/2013/07/19/us/colorado-theater-shooting-fast-facts/index.html" xr:uid="{00000000-0004-0000-0300-0000DC060000}"/>
    <hyperlink ref="M128" r:id="rId1504" display="http://worldpopulationreview.com/us-cities/aurora-co-population/" xr:uid="{00000000-0004-0000-0300-0000DD060000}"/>
    <hyperlink ref="S128" r:id="rId1505" display="http://www.cnn.com/2013/07/19/us/colorado-theater-shooting-fast-facts/index.html" xr:uid="{00000000-0004-0000-0300-0000DE060000}"/>
    <hyperlink ref="T128" r:id="rId1506" display="https://www.cnn.com/2013/07/19/us/colorado-theater-shooting-fast-facts/index.html" xr:uid="{00000000-0004-0000-0300-0000DF060000}"/>
    <hyperlink ref="V128" r:id="rId1507" display="http://www.nytimes.com/2012/08/27/us/before-gunfire-in-colorado-theater-hints-of-bad-news-about-james-holmes.html" xr:uid="{00000000-0004-0000-0300-0000E1060000}"/>
    <hyperlink ref="W128" r:id="rId1508" display="http://www.nytimes.com/2012/08/27/us/before-gunfire-in-colorado-theater-hints-of-bad-news-about-james-holmes.html" xr:uid="{00000000-0004-0000-0300-0000E2060000}"/>
    <hyperlink ref="X128" r:id="rId1509" display="http://www.nytimes.com/2012/08/27/us/before-gunfire-in-colorado-theater-hints-of-bad-news-about-james-holmes.html" xr:uid="{00000000-0004-0000-0300-0000E3060000}"/>
    <hyperlink ref="AA128" r:id="rId1510" display="https://www.cbsnews.com/news/holmes-sought-casual-sex-hinted-at-coming-crime/" xr:uid="{00000000-0004-0000-0300-0000E4060000}"/>
    <hyperlink ref="AB128" r:id="rId1511" display="http://www.cnn.com/2013/07/19/us/colorado-theater-shooting-fast-facts/index.html" xr:uid="{00000000-0004-0000-0300-0000E5060000}"/>
    <hyperlink ref="BC128" r:id="rId1512" display="https://www.cbsnews.com/news/colorado-theater-shooting-classmate-says-james-holmes-was-totally-non-aggressive-a-little-forgettable/" xr:uid="{00000000-0004-0000-0300-0000E6060000}"/>
    <hyperlink ref="BD128" r:id="rId1513" display="https://www.cbsnews.com/news/colorado-theater-shooting-classmate-says-james-holmes-was-totally-non-aggressive-a-little-forgettable/" xr:uid="{00000000-0004-0000-0300-0000E7060000}"/>
    <hyperlink ref="BJ128" r:id="rId1514" display="https://www.cbsnews.com/news/james-holmes-trial-colorado-shooter-ex-girlfriend-describes-him-as-shy/" xr:uid="{00000000-0004-0000-0300-0000E8060000}"/>
    <hyperlink ref="BY128" r:id="rId1515" display="http://www.latimes.com/nation/la-na-james-holmes-parents-20150504-story.html" xr:uid="{00000000-0004-0000-0300-0000E9060000}"/>
    <hyperlink ref="CC128" r:id="rId1516" display="http://www.cnn.com/2015/08/02/us/13th-juror-james-holmes-aurora-shooting/index.html" xr:uid="{00000000-0004-0000-0300-0000EA060000}"/>
    <hyperlink ref="CH128" r:id="rId1517" display="http://www.nytimes.com/2012/08/27/us/before-gunfire-in-colorado-theater-hints-of-bad-news-about-james-holmes.html" xr:uid="{00000000-0004-0000-0300-0000EB060000}"/>
    <hyperlink ref="CX128" r:id="rId1518" display="https://www.cnn.com/2015/05/26/us/james-holmes-trial-notebook/index.html" xr:uid="{00000000-0004-0000-0300-0000EC060000}"/>
    <hyperlink ref="DB128" r:id="rId1519" display="https://www.cbsnews.com/news/holmes-sought-casual-sex-hinted-at-coming-crime/" xr:uid="{00000000-0004-0000-0300-0000ED060000}"/>
    <hyperlink ref="DC128" r:id="rId1520" display="http://www.nytimes.com/2012/08/27/us/before-gunfire-in-colorado-theater-hints-of-bad-news-about-james-holmes.html" xr:uid="{00000000-0004-0000-0300-0000EE060000}"/>
    <hyperlink ref="DW128" r:id="rId1521" display="http://www.cnn.com/2013/07/19/us/colorado-theater-shooting-fast-facts/index.html" xr:uid="{00000000-0004-0000-0300-0000EF060000}"/>
    <hyperlink ref="G129" r:id="rId1522" display="https://www.splcenter.org/fighting-hate/intelligence-report/2012/sikh-temple-killer-wade-michael-page-radicalized-army" xr:uid="{00000000-0004-0000-0300-0000F0060000}"/>
    <hyperlink ref="H129" r:id="rId1523" display="http://www.bbc.com/news/world-us-canada-19167324" xr:uid="{00000000-0004-0000-0300-0000F1060000}"/>
    <hyperlink ref="J129" r:id="rId1524" xr:uid="{00000000-0004-0000-0300-0000F2060000}"/>
    <hyperlink ref="K129" r:id="rId1525" display="http://www.bbc.com/news/world-us-canada-19167324" xr:uid="{00000000-0004-0000-0300-0000F3060000}"/>
    <hyperlink ref="L129" r:id="rId1526" display="http://www.bbc.com/news/world-us-canada-19167324" xr:uid="{00000000-0004-0000-0300-0000F4060000}"/>
    <hyperlink ref="M129" r:id="rId1527" display="http://www.bbc.com/news/world-us-canada-19167324" xr:uid="{00000000-0004-0000-0300-0000F5060000}"/>
    <hyperlink ref="O129" r:id="rId1528" display="https://www.nytimes.com/2012/08/06/us/shooting-reported-at-temple-in-wisconsin.html" xr:uid="{00000000-0004-0000-0300-0000F6060000}"/>
    <hyperlink ref="V129" r:id="rId1529" display="https://www.splcenter.org/fighting-hate/intelligence-report/2012/sikh-temple-killer-wade-michael-page-radicalized-army" xr:uid="{00000000-0004-0000-0300-0000F7060000}"/>
    <hyperlink ref="W129" r:id="rId1530" display="http://www.bbc.com/news/world-us-canada-19167324" xr:uid="{00000000-0004-0000-0300-0000F8060000}"/>
    <hyperlink ref="Y129" r:id="rId1531" display="https://www.bbc.com/news/world-us-canada-19167324" xr:uid="{00000000-0004-0000-0300-0000F9060000}"/>
    <hyperlink ref="AB129" r:id="rId1532" display="http://www.bbc.com/news/world-us-canada-19167324" xr:uid="{00000000-0004-0000-0300-0000FA060000}"/>
    <hyperlink ref="AM129" r:id="rId1533" display="http://www.bbc.com/news/world-us-canada-19167324" xr:uid="{00000000-0004-0000-0300-0000FB060000}"/>
    <hyperlink ref="AN129" r:id="rId1534" display="http://www.bbc.com/news/world-us-canada-19167324" xr:uid="{00000000-0004-0000-0300-0000FC060000}"/>
    <hyperlink ref="AQ129" r:id="rId1535" display="https://www.cnn.com/2012/08/06/us/wisconsin-temple-shooting/index.html" xr:uid="{00000000-0004-0000-0300-0000FD060000}"/>
    <hyperlink ref="AY129" r:id="rId1536" display="https://www.splcenter.org/fighting-hate/intelligence-report/2012/sikh-temple-killer-wade-michael-page-radicalized-army" xr:uid="{00000000-0004-0000-0300-0000FE060000}"/>
    <hyperlink ref="DB129" r:id="rId1537" display="https://www.bbc.com/news/world-us-canada-19167324" xr:uid="{00000000-0004-0000-0300-0000FF060000}"/>
    <hyperlink ref="DP129" r:id="rId1538" display="https://www.splcenter.org/fighting-hate/intelligence-report/2012/sikh-temple-killer-wade-michael-page-radicalized-army" xr:uid="{00000000-0004-0000-0300-000000070000}"/>
    <hyperlink ref="DT129" r:id="rId1539" display="https://www.cbsnews.com/news/sikh-temple-shooting-weapon-obtained-legally/" xr:uid="{00000000-0004-0000-0300-000001070000}"/>
    <hyperlink ref="H130" r:id="rId1540" display="http://www.startribune.com/andrew-engeldinger-lost-his-job-then-opened-fire-killing-5/171774461/" xr:uid="{00000000-0004-0000-0300-000003070000}"/>
    <hyperlink ref="S130" r:id="rId1541" display="https://www.mprnews.org/story/2013/09/27/news/accent-signage-shooting-one-year" xr:uid="{00000000-0004-0000-0300-000004070000}"/>
    <hyperlink ref="T130" r:id="rId1542" display="http://www.startribune.com/andrew-engeldinger-lost-his-job-then-opened-fire-killing-5/171774461/" xr:uid="{00000000-0004-0000-0300-000005070000}"/>
    <hyperlink ref="AQ130" r:id="rId1543" display="https://www.mprnews.org/story/2013/09/27/news/accent-signage-shooting-one-year" xr:uid="{00000000-0004-0000-0300-000007070000}"/>
    <hyperlink ref="AS130" r:id="rId1544" display="https://www.mprnews.org/story/2012/10/16/engeldinger_1" xr:uid="{00000000-0004-0000-0300-000008070000}"/>
    <hyperlink ref="BE130" r:id="rId1545" display="https://www.mprnews.org/story/2012/10/16/engeldinger_1" xr:uid="{00000000-0004-0000-0300-000009070000}"/>
    <hyperlink ref="BK130" r:id="rId1546" display="https://www.mprnews.org/story/2013/09/27/news/accent-signage-shooting-one-year" xr:uid="{00000000-0004-0000-0300-00000A070000}"/>
    <hyperlink ref="CA130" r:id="rId1547" display="https://www.mprnews.org/story/2012/10/05/police-workplace-gunman-started-shooting-at-dismissal-meeting" xr:uid="{00000000-0004-0000-0300-00000B070000}"/>
    <hyperlink ref="CB130" r:id="rId1548" display="https://www.mprnews.org/story/2012/10/05/police-workplace-gunman-started-shooting-at-dismissal-meeting" xr:uid="{00000000-0004-0000-0300-00000C070000}"/>
    <hyperlink ref="CC130" r:id="rId1549" display="https://www.mprnews.org/story/2013/09/27/news/accent-signage-shooting-one-year" xr:uid="{00000000-0004-0000-0300-00000D070000}"/>
    <hyperlink ref="K131" r:id="rId1550" display="https://www.nytimes.com/2012/12/15/nyregion/shooting-reported-at-connecticut-elementary-school.html?mcubz=3" xr:uid="{00000000-0004-0000-0300-00000F070000}"/>
    <hyperlink ref="O131" r:id="rId1551" display="https://abcnews.go.com/US/twenty-children-died-newtown-connecticut-school-shooting/story?id=17973836" xr:uid="{00000000-0004-0000-0300-000010070000}"/>
    <hyperlink ref="T131" r:id="rId1552" display="https://www.nytimes.com/2012/12/15/nyregion/shooting-reported-at-connecticut-elementary-school.html?mcubz=3" xr:uid="{00000000-0004-0000-0300-000011070000}"/>
    <hyperlink ref="AB131" r:id="rId1553" display="https://www.washingtonpost.com/local/for-lanza-family-son-adams-difficulties-dominated/2012/12/17/3c0e8eb0-4890-11e2-ad54-580638ede391_story.html?utm_term=.06a5f9484507" xr:uid="{00000000-0004-0000-0300-000013070000}"/>
    <hyperlink ref="DR131" r:id="rId1554" display="https://www.theguardian.com/world/2013/mar/28/newtown-shooting-gunman-adam-lanza-weapons" xr:uid="{00000000-0004-0000-0300-000014070000}"/>
    <hyperlink ref="BZ131" r:id="rId1555" display="https://www.courant.com/news/connecticut/hc-newtown-adam-lanza-child-advocate-report-20141121-story.html" xr:uid="{00000000-0004-0000-0300-000015070000}"/>
    <hyperlink ref="CA131" r:id="rId1556" display="https://www.cbsnews.com/news/did-race-and-affluence-factor-into-mental-care-of-sandy-hook-shooter/" xr:uid="{00000000-0004-0000-0300-000016070000}"/>
    <hyperlink ref="CC131" r:id="rId1557" display="https://www.cbsnews.com/news/did-race-and-affluence-factor-into-mental-care-of-sandy-hook-shooter/" xr:uid="{00000000-0004-0000-0300-000017070000}"/>
    <hyperlink ref="DC131" r:id="rId1558" display="https://www.nytimes.com/2017/10/26/us/adam-lanza-sandy-hook.html" xr:uid="{00000000-0004-0000-0300-000018070000}"/>
    <hyperlink ref="DP131" r:id="rId1559" display="https://www.courant.com/news/connecticut/hc-newtown-adam-lanza-child-advocate-report-20141121-story.html" xr:uid="{00000000-0004-0000-0300-000019070000}"/>
    <hyperlink ref="G132" r:id="rId1560" display="http://www.nytimes.com/2013/03/14/nyregion/four-killed-in-shootings-in-upstate-new-york.html" xr:uid="{00000000-0004-0000-0300-00001A070000}"/>
    <hyperlink ref="H132" r:id="rId1561" display="http://www.nytimes.com/2013/03/14/nyregion/four-killed-in-shootings-in-upstate-new-york.html" xr:uid="{00000000-0004-0000-0300-00001B070000}"/>
    <hyperlink ref="K132" r:id="rId1562" xr:uid="{00000000-0004-0000-0300-00001C070000}"/>
    <hyperlink ref="L132" r:id="rId1563" display="https://www.srmt-nsn.gov/culture_and_history" xr:uid="{00000000-0004-0000-0300-00001D070000}"/>
    <hyperlink ref="M132" r:id="rId1564" display="https://www.huffpost.com/entry/kurt-myers-killed_n_2874981" xr:uid="{00000000-0004-0000-0300-00001E070000}"/>
    <hyperlink ref="O132" r:id="rId1565" display="https://www.cbsnews.com/news/upstate-new-york-shooting-update-kurt-myers-suspected-gunman-killed-by-police-in-shootout/" xr:uid="{00000000-0004-0000-0300-00001F070000}"/>
    <hyperlink ref="S132" r:id="rId1566" display="http://www.uticaod.com/article/20140313/NEWS/140319690" xr:uid="{00000000-0004-0000-0300-000020070000}"/>
    <hyperlink ref="T132" r:id="rId1567" display="https://www.cbsnews.com/news/upstate-new-york-shooting-update-kurt-myers-suspected-gunman-killed-by-police-in-shootout/" xr:uid="{00000000-0004-0000-0300-000021070000}"/>
    <hyperlink ref="V132" r:id="rId1568" display="http://www.uticaod.com/article/20140313/NEWS/140319690" xr:uid="{00000000-0004-0000-0300-000023070000}"/>
    <hyperlink ref="W132" r:id="rId1569" display="https://www.cbsnews.com/news/upstate-new-york-shooting-update-kurt-myers-suspected-gunman-killed-by-police-in-shootout/" xr:uid="{00000000-0004-0000-0300-000024070000}"/>
    <hyperlink ref="X132" r:id="rId1570" display="https://www.cbsnews.com/news/upstate-new-york-shooting-update-kurt-myers-suspected-gunman-killed-by-police-in-shootout/" xr:uid="{00000000-0004-0000-0300-000025070000}"/>
    <hyperlink ref="AB132" r:id="rId1571" display="https://www.uticaod.com/article/20140313/NEWS/140319690" xr:uid="{00000000-0004-0000-0300-000026070000}"/>
    <hyperlink ref="AJ132" r:id="rId1572" xr:uid="{00000000-0004-0000-0300-000027070000}"/>
    <hyperlink ref="AK132" r:id="rId1573" display="https://www.uticaod.com/x930813837/2-people-reportedly-shot-at-Herkimer-car-wash" xr:uid="{00000000-0004-0000-0300-000028070000}"/>
    <hyperlink ref="AL132" r:id="rId1574" display="https://www.uticaod.com/x930813837/2-people-reportedly-shot-at-Herkimer-car-wash" xr:uid="{00000000-0004-0000-0300-000029070000}"/>
    <hyperlink ref="AS132" r:id="rId1575" display="https://www.nytimes.com/2013/03/14/nyregion/four-killed-in-shootings-in-upstate-new-york.html" xr:uid="{00000000-0004-0000-0300-00002A070000}"/>
    <hyperlink ref="BC132" r:id="rId1576" xr:uid="{00000000-0004-0000-0300-00002B070000}"/>
    <hyperlink ref="BD132" r:id="rId1577" xr:uid="{00000000-0004-0000-0300-00002C070000}"/>
    <hyperlink ref="BK132" r:id="rId1578" xr:uid="{00000000-0004-0000-0300-00002D070000}"/>
    <hyperlink ref="CH132" r:id="rId1579" xr:uid="{00000000-0004-0000-0300-00002E070000}"/>
    <hyperlink ref="DP132" r:id="rId1580" xr:uid="{00000000-0004-0000-0300-00002F070000}"/>
    <hyperlink ref="T133" r:id="rId1581" display="https://www.seattletimes.com/seattle-news/witnesses-among-5-dead-in-federal-way/" xr:uid="{00000000-0004-0000-0300-000030070000}"/>
    <hyperlink ref="AU133" r:id="rId1582" display="https://www.seattletimes.com/seattle-news/federal-way-gunman-charged-at-17-in-bb-gun-attack-on-an-ex/" xr:uid="{00000000-0004-0000-0300-000031070000}"/>
    <hyperlink ref="AV133" r:id="rId1583" display="https://www.seattletimes.com/seattle-news/federal-way-gunman-charged-at-17-in-bb-gun-attack-on-an-ex/" xr:uid="{00000000-0004-0000-0300-000032070000}"/>
    <hyperlink ref="AW133" r:id="rId1584" display="https://www.seattletimes.com/seattle-news/federal-way-gunman-charged-at-17-in-bb-gun-attack-on-an-ex/" xr:uid="{00000000-0004-0000-0300-000033070000}"/>
    <hyperlink ref="BC133" r:id="rId1585" display="http://www.federalwaymirror.com/news/names-of-victims-emerge-after-deadly-federal-way-shooting/" xr:uid="{00000000-0004-0000-0300-000034070000}"/>
    <hyperlink ref="BE133" r:id="rId1586" display="https://www.seattletimes.com/seattle-news/witnesses-among-5-dead-in-federal-way/" xr:uid="{00000000-0004-0000-0300-000035070000}"/>
    <hyperlink ref="DP133" r:id="rId1587" display="https://www.seattletimes.com/seattle-news/witnesses-among-5-dead-in-federal-way/" xr:uid="{00000000-0004-0000-0300-000036070000}"/>
    <hyperlink ref="G134" r:id="rId1588" display="https://www.businessinsider.com/santa-monica-college-shooting-rampage-dead-obama-fundraiser-2013-6" xr:uid="{00000000-0004-0000-0300-000037070000}"/>
    <hyperlink ref="H134" r:id="rId1589" display="https://www.businessinsider.com/santa-monica-college-shooting-rampage-dead-obama-fundraiser-2013-6" xr:uid="{00000000-0004-0000-0300-000038070000}"/>
    <hyperlink ref="J134" r:id="rId1590" xr:uid="{00000000-0004-0000-0300-000039070000}"/>
    <hyperlink ref="M134" r:id="rId1591" display="https://www.cnn.com/2013/06/09/justice/california-college-gunman/index.html" xr:uid="{00000000-0004-0000-0300-00003A070000}"/>
    <hyperlink ref="V134" r:id="rId1592" display="http://www.nydailynews.com/news/national/short-article-1.1372515" xr:uid="{00000000-0004-0000-0300-00003C070000}"/>
    <hyperlink ref="W134" r:id="rId1593" display="https://www.nbclosangeles.com/news/local/Santa-Monica-Shooting-Police-News-Conference-Watch-Live-211492801.html" xr:uid="{00000000-0004-0000-0300-00003D070000}"/>
    <hyperlink ref="AB134" r:id="rId1594" display="https://www.nydailynews.com/news/national/santa-monica-killer-family-dark-article-1.1368498" xr:uid="{00000000-0004-0000-0300-00003E070000}"/>
    <hyperlink ref="AK134" r:id="rId1595" display="https://www.nbclosangeles.com/news/local/Santa-Monica-Shooting-Police-News-Conference-Watch-Live-211492801.html" xr:uid="{00000000-0004-0000-0300-00003F070000}"/>
    <hyperlink ref="AU134" r:id="rId1596" display="https://casetext.com/case/estate-of-zawahri-v-fayad" xr:uid="{00000000-0004-0000-0300-000040070000}"/>
    <hyperlink ref="AV134" r:id="rId1597" display="https://casetext.com/case/estate-of-zawahri-v-fayad" xr:uid="{00000000-0004-0000-0300-000041070000}"/>
    <hyperlink ref="DT134" r:id="rId1598" display="https://www.latimes.com/local/la-xpm-2013-jun-12-la-me-santa-monica-gun-20130613-story.html" xr:uid="{00000000-0004-0000-0300-000042070000}"/>
    <hyperlink ref="DW134" r:id="rId1599" display="http://www.nydailynews.com/news/national/short-article-1.1372515" xr:uid="{00000000-0004-0000-0300-000047070000}"/>
    <hyperlink ref="O135" r:id="rId1600" display="https://www.nytimes.com/2013/07/28/us/6-shot-dead-by-neighbor-at-building-near-miami.html" xr:uid="{00000000-0004-0000-0300-000048070000}"/>
    <hyperlink ref="AJ135" r:id="rId1601" display="https://www.miamiherald.com/news/special-reports/hialeah-mass-shooting/article1953794.html" xr:uid="{00000000-0004-0000-0300-000049070000}"/>
    <hyperlink ref="AM135" r:id="rId1602" display="https://www.miamiherald.com/news/special-reports/hialeah-mass-shooting/article1953794.html" xr:uid="{00000000-0004-0000-0300-00004A070000}"/>
    <hyperlink ref="AU135" r:id="rId1603" display="https://www.cbsnews.com/news/pedro-vargas-idd-as-gunman-behind-deadly-rampage-in-hialeah-florida/" xr:uid="{00000000-0004-0000-0300-00004B070000}"/>
    <hyperlink ref="BJ135" r:id="rId1604" display="https://www.miamiherald.com/news/special-reports/hialeah-mass-shooting/article1953794.html" xr:uid="{00000000-0004-0000-0300-00004C070000}"/>
    <hyperlink ref="CH135" r:id="rId1605" display="https://www.miamiherald.com/news/special-reports/hialeah-mass-shooting/article1953794.html" xr:uid="{00000000-0004-0000-0300-00004D070000}"/>
    <hyperlink ref="DK135" r:id="rId1606" display="https://www.nbcmiami.com/news/Gunman-Called-911-Hours-Before-Shooting-Rampage-in-Hialeah-Apartment-Complex-217794021.html" xr:uid="{00000000-0004-0000-0300-00004F070000}"/>
    <hyperlink ref="K136" r:id="rId1607" display="https://www.nytimes.com/2013/09/17/us/shooting-reported-at-washington-navy-yard.html?pagewanted=all&amp;mcubz=0" xr:uid="{00000000-0004-0000-0300-000050070000}"/>
    <hyperlink ref="M136" r:id="rId1608" display="http://www.washingtonpost.com/local/dc-navy-yard-rampage-leaves-14-dead-alleged-shooter-killed-idd-as-aaron-alexis/2013/09/16/d084842e-1ef9-11e3-94a2-6c66b668ea55_story.html" xr:uid="{00000000-0004-0000-0300-000051070000}"/>
    <hyperlink ref="T136" r:id="rId1609" display="https://www.nytimes.com/2013/09/17/us/shooting-reported-at-washington-navy-yard.html?pagewanted=all&amp;mcubz=0" xr:uid="{00000000-0004-0000-0300-000052070000}"/>
    <hyperlink ref="W136" r:id="rId1610" display="https://www.theguardian.com/world/2013/sep/16/aaron-alexis-washington-navy-yard-shooting" xr:uid="{00000000-0004-0000-0300-000053070000}"/>
    <hyperlink ref="AB136" r:id="rId1611" display="https://www.usatoday.com/story/news/nation/2013/09/16/aaron-alexis-navy-yard-shooter/2822731/" xr:uid="{00000000-0004-0000-0300-000054070000}"/>
    <hyperlink ref="AS136" r:id="rId1612" display="https://www.usatoday.com/story/news/nation/2013/09/16/aaron-alexis-navy-yard-shooter/2822731/" xr:uid="{00000000-0004-0000-0300-000055070000}"/>
    <hyperlink ref="BC136" r:id="rId1613" display="https://www.usatoday.com/story/news/nation/2013/09/16/aaron-alexis-navy-yard-shooter/2822731/" xr:uid="{00000000-0004-0000-0300-000056070000}"/>
    <hyperlink ref="BE136" r:id="rId1614" display="https://www.theguardian.com/world/2013/sep/20/aaron-alexis-washington-navy-yard-shooter" xr:uid="{00000000-0004-0000-0300-000057070000}"/>
    <hyperlink ref="BI136" r:id="rId1615" display="https://www.telegraph.co.uk/news/worldnews/northamerica/usa/10317234/Aaron-Alexis-Washington-Navy-yard-gunman-had-string-of-failed-relationships-with-Asian-women.html" xr:uid="{00000000-0004-0000-0300-000058070000}"/>
    <hyperlink ref="BL136" r:id="rId1616" display="https://www.washingtonpost.com/local/before-navy-yard-shooting-alleged-gunman-heard-voices-and-sought-help/2013/09/17/874970d8-1fd2-11e3-94a2-6c66b668ea55_story.html?utm_term=.ea960a9934f6" xr:uid="{00000000-0004-0000-0300-000059070000}"/>
    <hyperlink ref="DW136" r:id="rId1617" display="https://www.washingtonpost.com/local/crime/fbi-police-detail-shooting-navy-yard-shooting/2013/09/25/ee321abe-2600-11e3-b3e9-d97fb087acd6_story.html?utm_term=.87ba3df643e9" xr:uid="{00000000-0004-0000-0300-00005B070000}"/>
    <hyperlink ref="N137" r:id="rId1618" display="https://www.cbsnews.com/news/woman-allegedly-kills-4-at-american-indian-hq-in-california/" xr:uid="{00000000-0004-0000-0300-00005C070000}"/>
    <hyperlink ref="T137" r:id="rId1619" display="https://www.cbsnews.com/news/woman-allegedly-kills-4-at-american-indian-hq-in-california/" xr:uid="{00000000-0004-0000-0300-00005D070000}"/>
    <hyperlink ref="BK137" r:id="rId1620" xr:uid="{00000000-0004-0000-0300-00005E070000}"/>
    <hyperlink ref="DP137" r:id="rId1621" xr:uid="{00000000-0004-0000-0300-00005F070000}"/>
    <hyperlink ref="DW137" r:id="rId1622" xr:uid="{00000000-0004-0000-0300-000060070000}"/>
    <hyperlink ref="AA138" r:id="rId1623" display="https://medium.com/@TXHart/child-of-our-time-the-elliot-rodgers-autobiography-e51d067c8dff" xr:uid="{00000000-0004-0000-0300-000061070000}"/>
    <hyperlink ref="AS138" r:id="rId1624" display="https://www.washingtonpost.com/national/sheriff-calif-shooter-rodger-flew-under-the-radar-when-deputies-visited-him-in-april/2014/05/25/88123026-e3b4-11e3-8dcc-d6b7fede081a_story.html?noredirect=on&amp;utm_term=.22acb12d0b39" xr:uid="{00000000-0004-0000-0300-000062070000}"/>
    <hyperlink ref="G139" r:id="rId1625" display="http://www.cnn.com/2014/10/24/us/washington-school-shooter/index.html" xr:uid="{00000000-0004-0000-0300-000063070000}"/>
    <hyperlink ref="H139" r:id="rId1626" display="http://www.cnn.com/2014/10/24/us/washington-school-shooter/index.html" xr:uid="{00000000-0004-0000-0300-000064070000}"/>
    <hyperlink ref="J139" r:id="rId1627" xr:uid="{00000000-0004-0000-0300-000065070000}"/>
    <hyperlink ref="K139" r:id="rId1628" display="http://www.nbcnews.com/storyline/marysville-school-shooting/two=dead-including-gunman-school-schooting-near-seattle-n233371" xr:uid="{00000000-0004-0000-0300-000066070000}"/>
    <hyperlink ref="M139" r:id="rId1629" display="https://www.marysvillewa.gov/226/Demographics" xr:uid="{00000000-0004-0000-0300-000067070000}"/>
    <hyperlink ref="N139" r:id="rId1630" display="http://6abc.com/news/suspect-among-2-dead-in-washington-high-school-shooting/364543/" xr:uid="{00000000-0004-0000-0300-000068070000}"/>
    <hyperlink ref="W139" r:id="rId1631" display="http://www.cnn.com/2014/10/24/us/washington-school-shooter/index.html" xr:uid="{00000000-0004-0000-0300-000069070000}"/>
    <hyperlink ref="AA139" r:id="rId1632" display="https://www.newsweek.com/2015/09/25/jaylen-ray-fryberg-marysville-pilchuck-high-school-shooting-372669.html" xr:uid="{00000000-0004-0000-0300-00006A070000}"/>
    <hyperlink ref="AB139" r:id="rId1633" display="https://www.seattletimes.com/seattle-news/they-survived-a-school-shooting-as-freshmen-four-years-later-a-diploma-doesnt-erase-the-pain/" xr:uid="{00000000-0004-0000-0300-00006B070000}"/>
    <hyperlink ref="AI139" r:id="rId1634" display="http://www.kiro7.com/news/survivor-marysville-school-shooting-told-police-gi/27079664" xr:uid="{00000000-0004-0000-0300-00006C070000}"/>
    <hyperlink ref="AU139" r:id="rId1635" display="https://www.newsweek.com/2015/09/25/jaylen-ray-fryberg-marysville-pilchuck-high-school-shooting-372669.html" xr:uid="{00000000-0004-0000-0300-00006D070000}"/>
    <hyperlink ref="BC139" r:id="rId1636" display="http://www.newsweek.com/2015/09/25/jaylen-ray-fryberg-marysville-pilchuck-high-school-shooting-372669.html" xr:uid="{00000000-0004-0000-0300-00006E070000}"/>
    <hyperlink ref="BD139" r:id="rId1637" display="https://www.cnn.com/2014/10/24/us/washington-school-shooter/index.html" xr:uid="{00000000-0004-0000-0300-00006F070000}"/>
    <hyperlink ref="BG139" r:id="rId1638" display="https://www.newsweek.com/2015/09/25/jaylen-ray-fryberg-marysville-pilchuck-high-school-shooting-372669.html" xr:uid="{00000000-0004-0000-0300-000070070000}"/>
    <hyperlink ref="BL139" r:id="rId1639" display="http://www.newsweek.com/2015/09/25/jaylen-ray-fryberg-marysville-pilchuck-high-school-shooting-372669.html" xr:uid="{00000000-0004-0000-0300-000071070000}"/>
    <hyperlink ref="BY139" r:id="rId1640" display="http://www.newsweek.com/2015/09/25/jaylen-ray-fryberg-marysville-pilchuck-high-school-shooting-372669.html" xr:uid="{00000000-0004-0000-0300-000072070000}"/>
    <hyperlink ref="CI139" r:id="rId1641" display="http://www.newsweek.com/2015/09/25/jaylen-ray-fryberg-marysville-pilchuck-high-school-shooting-372669.html" xr:uid="{00000000-0004-0000-0300-000073070000}"/>
    <hyperlink ref="CJ139" r:id="rId1642" xr:uid="{00000000-0004-0000-0300-000074070000}"/>
    <hyperlink ref="DB139" r:id="rId1643" display="https://www.nbcnews.com/storyline/marysville-school-shooting/two-dead-including-gunman-school-shooting-near-seattle-n233371" xr:uid="{00000000-0004-0000-0300-000075070000}"/>
    <hyperlink ref="DT139" r:id="rId1644" display="http://www.nbcnews.com/storyline/marysville-school-shooting/two=dead-including-gunman-school-schooting-near-seattle-n233371" xr:uid="{00000000-0004-0000-0300-000076070000}"/>
    <hyperlink ref="DW139" r:id="rId1645" display="http://www.newsweek.com/2015/09/25/jaylen-ray-fryberg-marysville-pilchuck-high-school-shooting-372669.html" xr:uid="{00000000-0004-0000-0300-00007B070000}"/>
    <hyperlink ref="M140" r:id="rId1646" display="https://www.nytimes.com/2015/06/19/us/charleston-church-shooting.html" xr:uid="{00000000-0004-0000-0300-00007C070000}"/>
    <hyperlink ref="AS140" r:id="rId1647" display="https://www.nytimes.com/2015/07/17/us/charleston-shooting-dylann-roof-troubled-past.html" xr:uid="{00000000-0004-0000-0300-00007D070000}"/>
    <hyperlink ref="BK140" r:id="rId1648" display="https://www.nytimes.com/2015/07/17/us/charleston-shooting-dylann-roof-troubled-past.html" xr:uid="{00000000-0004-0000-0300-00007E070000}"/>
    <hyperlink ref="BY140" r:id="rId1649" display="https://www.courthousenews.com/wp-content/uploads/2017/05/ROOF-MENTAL-HEALTH-RECORDS.pdf" xr:uid="{00000000-0004-0000-0300-00007F070000}"/>
    <hyperlink ref="H141" r:id="rId1650" display="http://time.com/3962344/chattanooga-muhammad-youssef-abdulazeez/" xr:uid="{00000000-0004-0000-0300-000080070000}"/>
    <hyperlink ref="M141" r:id="rId1651" display="https://www.washingtonpost.com/world/national-security/chattanooga-shooter-came-from-middle-class-muslim-family/2015/07/16/815c39c2-2c04-11e5-bd33-395c05608059_story.html?utm_term=.1890d54b46b6" xr:uid="{00000000-0004-0000-0300-000081070000}"/>
    <hyperlink ref="T141" r:id="rId1652" display="https://www.cnn.com/2015/07/18/us/tennessee-naval-reserve-shooting/index.html" xr:uid="{00000000-0004-0000-0300-000082070000}"/>
    <hyperlink ref="Y141" r:id="rId1653" display="https://www.washingtonpost.com/world/national-security/chattanooga-shooter-came-from-middle-class-muslim-family/2015/07/16/815c39c2-2c04-11e5-bd33-395c05608059_story.html?utm_term=.1890d54b46b6" xr:uid="{00000000-0004-0000-0300-000083070000}"/>
    <hyperlink ref="AS141" r:id="rId1654" display="https://www.washingtonpost.com/politics/chattanooga-shooter-an-aimless-young-man-who-smoked-dope-and-shot-guns/2015/07/18/c213f6a6-2d7d-11e5-a5ea-cf74396e59ec_story.html?utm_term=.045ed5c9dce6" xr:uid="{00000000-0004-0000-0300-000084070000}"/>
    <hyperlink ref="DR141" r:id="rId1655" display="https://www.washingtonpost.com/politics/chattanooga-shooter-an-aimless-young-man-who-smoked-dope-and-shot-guns/2015/07/18/c213f6a6-2d7d-11e5-a5ea-cf74396e59ec_story.html?utm_term=.045ed5c9dce6" xr:uid="{00000000-0004-0000-0300-000085070000}"/>
    <hyperlink ref="AZ141" r:id="rId1656" display="https://www.timesfreepress.com/news/local/story/2016/jul/01/fbi-people-knew-july-16-shooter-wradicalized/373894/" xr:uid="{00000000-0004-0000-0300-000086070000}"/>
    <hyperlink ref="BE141" r:id="rId1657" display="https://www.washingtonpost.com/politics/chattanooga-shooter-an-aimless-young-man-who-smoked-dope-and-shot-guns/2015/07/18/c213f6a6-2d7d-11e5-a5ea-cf74396e59ec_story.html?utm_term=.045ed5c9dce6" xr:uid="{00000000-0004-0000-0300-000087070000}"/>
    <hyperlink ref="BI141" r:id="rId1658" display="https://www.washingtonpost.com/politics/chattanooga-shooter-an-aimless-young-man-who-smoked-dope-and-shot-guns/2015/07/18/c213f6a6-2d7d-11e5-a5ea-cf74396e59ec_story.html?utm_term=.045ed5c9dce6" xr:uid="{00000000-0004-0000-0300-000088070000}"/>
    <hyperlink ref="CH141" r:id="rId1659" display="https://www.cnn.com/2015/07/17/us/tennessee-shooter-mohammad-youssuf-abdulazeez/index.html" xr:uid="{00000000-0004-0000-0300-000089070000}"/>
    <hyperlink ref="CI141" r:id="rId1660" display="https://www.washingtonpost.com/politics/chattanooga-shooter-an-aimless-young-man-who-smoked-dope-and-shot-guns/2015/07/18/c213f6a6-2d7d-11e5-a5ea-cf74396e59ec_story.html?utm_term=.045ed5c9dce6" xr:uid="{00000000-0004-0000-0300-00008A070000}"/>
    <hyperlink ref="DT141" r:id="rId1661" display="https://www.cnn.com/2015/07/18/us/tennessee-naval-reserve-shooting/index.html" xr:uid="{00000000-0004-0000-0300-00008B070000}"/>
    <hyperlink ref="T142" r:id="rId1662" display="https://www.latimes.com/nation/la-na-school-shootings-2017-story.html" xr:uid="{00000000-0004-0000-0300-000090070000}"/>
    <hyperlink ref="AJ142" r:id="rId1663" display="https://www.nytimes.com/2015/10/03/us/chris-harper-mercer-umpqua-community-college-shooting.html" xr:uid="{00000000-0004-0000-0300-000091070000}"/>
    <hyperlink ref="AN142" r:id="rId1664" display="https://www.nytimes.com/2015/10/03/us/chris-harper-mercer-umpqua-community-college-shooting.html" xr:uid="{00000000-0004-0000-0300-000092070000}"/>
    <hyperlink ref="AQ142" r:id="rId1665" display="https://www.oregonlive.com/pacific-northwest-news/2017/09/umpqua_community_college_inves.html" xr:uid="{00000000-0004-0000-0300-000093070000}"/>
    <hyperlink ref="AS142" r:id="rId1666" display="https://www.latimes.com/nation/la-na-school-shootings-2017-story.html" xr:uid="{00000000-0004-0000-0300-000094070000}"/>
    <hyperlink ref="AU142" r:id="rId1667" display="https://www.latimes.com/nation/la-na-school-shootings-2017-story.html" xr:uid="{00000000-0004-0000-0300-000095070000}"/>
    <hyperlink ref="DR142" r:id="rId1668" display="https://www.latimes.com/nation/nationnow/la-na-nn-chris-harper-mercer-oregon-shooting-20151002-htmlstory.html" xr:uid="{00000000-0004-0000-0300-000096070000}"/>
    <hyperlink ref="BE142" r:id="rId1669" display="https://www.latimes.com/nation/nationnow/la-na-nn-chris-harper-mercer-oregon-shooting-20151002-htmlstory.html" xr:uid="{00000000-0004-0000-0300-000097070000}"/>
    <hyperlink ref="BG142" r:id="rId1670" display="https://www.oregonlive.com/pacific-northwest-news/2017/09/umpqua_community_college_inves.html" xr:uid="{00000000-0004-0000-0300-000098070000}"/>
    <hyperlink ref="BL142" r:id="rId1671" display="https://www.latimes.com/nation/la-na-school-shootings-2017-story.html" xr:uid="{00000000-0004-0000-0300-000099070000}"/>
    <hyperlink ref="DK142" r:id="rId1672" display="https://www.latimes.com/nation/la-na-school-shootings-2017-story.html" xr:uid="{00000000-0004-0000-0300-00009A070000}"/>
    <hyperlink ref="DP142" r:id="rId1673" display="https://www.latimes.com/nation/la-na-school-shootings-2017-story.html" xr:uid="{00000000-0004-0000-0300-00009B070000}"/>
    <hyperlink ref="G143" r:id="rId1674" display="https://www.usatoday.com/story/news/nation-now/2015/11/16/family-confirms-6-killed-texas-campsite/75893806/" xr:uid="{00000000-0004-0000-0300-00009E070000}"/>
    <hyperlink ref="H143" r:id="rId1675" display="https://www.nydailynews.com/news/crime/man-accused-killing-campsite-guilty-capital-murder-article-1.3619755" xr:uid="{00000000-0004-0000-0300-00009F070000}"/>
    <hyperlink ref="K143" r:id="rId1676" display="https://www.nydailynews.com/news/crime/man-accused-killing-campsite-guilty-capital-murder-article-1.3619755" xr:uid="{00000000-0004-0000-0300-0000A0070000}"/>
    <hyperlink ref="L143" r:id="rId1677" display="https://www.usatoday.com/story/news/nation-now/2015/11/16/family-confirms-6-killed-texas-campsite/75893806/" xr:uid="{00000000-0004-0000-0300-0000A1070000}"/>
    <hyperlink ref="S143" r:id="rId1678" display="https://www.usatoday.com/story/news/nation-now/2015/11/16/family-confirms-6-killed-texas-campsite/75893806/" xr:uid="{00000000-0004-0000-0300-0000A2070000}"/>
    <hyperlink ref="V143" r:id="rId1679" display="https://www.usatoday.com/story/news/nation-now/2015/11/16/family-confirms-6-killed-texas-campsite/75893806/" xr:uid="{00000000-0004-0000-0300-0000A3070000}"/>
    <hyperlink ref="W143" r:id="rId1680" display="https://www.nydailynews.com/news/crime/man-accused-killing-campsite-guilty-capital-murder-article-1.3619755" xr:uid="{00000000-0004-0000-0300-0000A4070000}"/>
    <hyperlink ref="X143" r:id="rId1681" display="https://www.nydailynews.com/news/crime/man-accused-killing-campsite-guilty-capital-murder-article-1.3619755" xr:uid="{00000000-0004-0000-0300-0000A5070000}"/>
    <hyperlink ref="AI143" r:id="rId1682" display="https://www.dailymail.co.uk/news/article-3325766/How-Texas-campground-massacre-unfolded-drunken-wife-beating-local-obsessed-idea-outdoors-loving-family-stolen-land-family-squa?tted-years.html" xr:uid="{00000000-0004-0000-0300-0000A6070000}"/>
    <hyperlink ref="AT143" r:id="rId1683" display="https://www.theeagle.com/news/crime/ex-wife-testifies-about-abuse-in-punishment-phase-of-hudson-capital-murder-trial/article_1ec79c32-c4b6-11e7-8e5d-cb2285514a7a.html" xr:uid="{00000000-0004-0000-0300-0000A7070000}"/>
    <hyperlink ref="AU143" r:id="rId1684" display="https://www.theeagle.com/news/crime/ex-wife-testifies-about-abuse-in-punishment-phase-of-hudson-capital-murder-trial/article_1ec79c32-c4b6-11e7-8e5d-cb2285514a7a.html" xr:uid="{00000000-0004-0000-0300-0000A8070000}"/>
    <hyperlink ref="AV143" r:id="rId1685" display="https://www.theeagle.com/news/crime/ex-wife-testifies-about-abuse-in-punishment-phase-of-hudson-capital-murder-trial/article_1ec79c32-c4b6-11e7-8e5d-cb2285514a7a.html" xr:uid="{00000000-0004-0000-0300-0000A9070000}"/>
    <hyperlink ref="BI143" r:id="rId1686" display="https://www.theeagle.com/townnews/crime/trial-update-psychiatrist-testifies-that-east-texas-man-who-killed/article_ce6124e0-c8b4-11e7-a603-87b213d2a2d2.html" xr:uid="{00000000-0004-0000-0300-0000AA070000}"/>
    <hyperlink ref="BZ143" r:id="rId1687" display="https://www.theeagle.com/news/mother-of-man-convicted-of-killing-six-people-says-her-son-changed-after-a-car/article_1c073cfc-c6ad-11e7-a923-bf84ac2aa25c.html" xr:uid="{00000000-0004-0000-0300-0000AB070000}"/>
    <hyperlink ref="CC143" r:id="rId1688" display="https://www.theeagle.com/news/mother-of-man-convicted-of-killing-six-people-says-her-son-changed-after-a-car/article_1c073cfc-c6ad-11e7-a923-bf84ac2aa25c.html" xr:uid="{00000000-0004-0000-0300-0000AC070000}"/>
    <hyperlink ref="CD143" r:id="rId1689" display="https://www.theeagle.com/news/mother-of-man-convicted-of-killing-six-people-says-her-son-changed-after-a-car/article_1c073cfc-c6ad-11e7-a923-bf84ac2aa25c.html" xr:uid="{00000000-0004-0000-0300-0000AD070000}"/>
    <hyperlink ref="CE143" r:id="rId1690" display="https://www.theeagle.com/news/mother-of-man-convicted-of-killing-six-people-says-her-son-changed-after-a-car/article_1c073cfc-c6ad-11e7-a923-bf84ac2aa25c.html" xr:uid="{00000000-0004-0000-0300-0000AE070000}"/>
    <hyperlink ref="DW143" r:id="rId1691" display="https://www.usatoday.com/story/news/nation-now/2015/11/16/family-confirms-6-killed-texas-campsite/75893806/" xr:uid="{00000000-0004-0000-0300-0000B3070000}"/>
    <hyperlink ref="Y144" r:id="rId1692" display="https://www.telegraph.co.uk/news/worldnews/northamerica/usa/12030481/Syed-Farook-what-we-know-about-the-San-Bernardino-gunman.html" xr:uid="{00000000-0004-0000-0300-0000B6070000}"/>
    <hyperlink ref="V145" r:id="rId1693" display="https://www.cnn.com/2015/12/03/us/syed-farook-tashfeen-malik-mass-shooting-profile/index.html" xr:uid="{00000000-0004-0000-0300-0000B9070000}"/>
    <hyperlink ref="W145" r:id="rId1694" display="https://www.cnn.com/2015/12/03/us/syed-farook-tashfeen-malik-mass-shooting-profile/index.html" xr:uid="{00000000-0004-0000-0300-0000BA070000}"/>
    <hyperlink ref="AB145" r:id="rId1695" display="https://www.nytimes.com/2015/12/08/world/asia/tashfeen-malik-attended-conservative-religious-school-in-pakistan.html" xr:uid="{00000000-0004-0000-0300-0000BB070000}"/>
    <hyperlink ref="AK145" r:id="rId1696" display="https://www.cnn.com/2015/12/04/us/tashfeen-malik-san-bernardino-shooting-what-we-know/index.html" xr:uid="{00000000-0004-0000-0300-0000BC070000}"/>
    <hyperlink ref="AZ145" r:id="rId1697" display="https://www.washingtonpost.com/news/post-nation/wp/2016/12/02/one-year-after-san-bernardino-police-offer-a-possible-motive-as-questions-still-linger/?utm_term=.d7da1d9b0cc2" xr:uid="{00000000-0004-0000-0300-0000BD070000}"/>
    <hyperlink ref="BE145" r:id="rId1698" display="https://www.washingtonpost.com/news/post-nation/wp/2015/12/05/fbi-investigating-san-bernardino-shooting-as-an-act-of-terrorism/?utm_term=.26778606e72e" xr:uid="{00000000-0004-0000-0300-0000BE070000}"/>
    <hyperlink ref="DW145" r:id="rId1699" display="https://www.washingtonpost.com/world/national-security/2015/12/03/a0c7861e-99ef-11e5-b499-76cbec161973_story.html?utm_term=.4a077214221c" xr:uid="{00000000-0004-0000-0300-0000BF070000}"/>
    <hyperlink ref="J146" r:id="rId1700" xr:uid="{00000000-0004-0000-0300-0000C0070000}"/>
    <hyperlink ref="K146" r:id="rId1701" display="http://www.al.com/news/index.ssf/2016/02/who_is_jason_dalton_man_accuse.html" xr:uid="{00000000-0004-0000-0300-0000C1070000}"/>
    <hyperlink ref="S146" r:id="rId1702" display="http://www.dailymail.co.uk/news/article-3463851/Uber-gunman-Jason-Dalton-tired-depressed-days-leading-deadly-shooting-rampage-wife-s-attorney-reveals.html" xr:uid="{00000000-0004-0000-0300-0000C2070000}"/>
    <hyperlink ref="V146" r:id="rId1703" display="http://www.al.com/news/index.ssf/2016/02/who_is_jason_dalton_man_accuse.html" xr:uid="{00000000-0004-0000-0300-0000C3070000}"/>
    <hyperlink ref="W146" r:id="rId1704" display="http://www.al.com/news/index.ssf/2016/02/who_is_jason_dalton_man_accuse.html" xr:uid="{00000000-0004-0000-0300-0000C4070000}"/>
    <hyperlink ref="X146" r:id="rId1705" display="http://heavy.com/news/2016/02/jason-dalton-kalamazoo-shooting-spree-suspect-gunman-shooter-name-photos-pictures-facebook-motive-age/" xr:uid="{00000000-0004-0000-0300-0000C5070000}"/>
    <hyperlink ref="AB146" r:id="rId1706" display="https://www.freep.com/story/news/local/michigan/2016/02/24/alleged-mass-killer-had-arsenal-guns-home/80848040/" xr:uid="{00000000-0004-0000-0300-0000C6070000}"/>
    <hyperlink ref="AK146" r:id="rId1707" display="https://www.freep.com/story/news/local/michigan/2016/02/21/neighbors-kalamazoo-suspect-good-family-man-liked-guns/80702198/" xr:uid="{00000000-0004-0000-0300-0000C7070000}"/>
    <hyperlink ref="AQ146" r:id="rId1708" display="https://www.freep.com/story/news/local/michigan/2016/02/21/neighbors-kalamazoo-suspect-good-family-man-liked-guns/80702198/" xr:uid="{00000000-0004-0000-0300-0000C8070000}"/>
    <hyperlink ref="BC146" r:id="rId1709" xr:uid="{00000000-0004-0000-0300-0000C9070000}"/>
    <hyperlink ref="DC146" r:id="rId1710" display="http://www.dailymail.co.uk/news/article-3463851/Uber-gunman-Jason-Dalton-tired-depressed-days-leading-deadly-shooting-rampage-wife-s-attorney-reveals.html" xr:uid="{00000000-0004-0000-0300-0000CA070000}"/>
    <hyperlink ref="DW146" r:id="rId1711" display="http://www.mlive.com/news/kalamazoo/index.ssf/2017/03/june_13_trial_date_set_for_jas.html" xr:uid="{00000000-0004-0000-0300-0000CB070000}"/>
    <hyperlink ref="AU148" r:id="rId1712" display="https://www.nytimes.com/2016/06/14/us/politics/orlando-shooting-omar-mateen.html" xr:uid="{00000000-0004-0000-0300-0000CC070000}"/>
    <hyperlink ref="AV148" r:id="rId1713" display="https://www.nytimes.com/2016/06/14/us/politics/orlando-shooting-omar-mateen.html" xr:uid="{00000000-0004-0000-0300-0000CD070000}"/>
    <hyperlink ref="DR148" r:id="rId1714" display="https://www.orlandoweekly.com/Blogs/archives/2018/04/03/noor-salmans-trial-gave-us-the-best-glimpse-of-what-actually-led-to-the-pulse-shooting" xr:uid="{00000000-0004-0000-0300-0000CE070000}"/>
    <hyperlink ref="CH148" r:id="rId1715" display="https://www.washingtonpost.com/national/troubled-quiet-macho-angry-the-volatile-life-of-omar-mateen/2016/06/17/15229250-34a6-11e6-8758-d58e76e11b12_story.html?utm_term=.54fe6438e576" xr:uid="{00000000-0004-0000-0300-0000CF070000}"/>
    <hyperlink ref="G149" r:id="rId1716" display="https://www.washingtonpost.com/news/morning-mix/wp/2016/07/08/like-a-little-war-snipers-shoot-11-police-officers-during-dallas-protest-march-killing-five/?utm_term=.ee535b655b3e" xr:uid="{00000000-0004-0000-0300-0000D0070000}"/>
    <hyperlink ref="H149" r:id="rId1717" display="https://www.washingtonpost.com/news/morning-mix/wp/2016/07/08/like-a-little-war-snipers-shoot-11-police-officers-during-dallas-protest-march-killing-five/?utm_term=.ee535b655b3e" xr:uid="{00000000-0004-0000-0300-0000D1070000}"/>
    <hyperlink ref="J149" r:id="rId1718" xr:uid="{00000000-0004-0000-0300-0000D2070000}"/>
    <hyperlink ref="K149" r:id="rId1719" display="http://www.cnn.com/2016/07/08/us/philando-castile-alton-sterling-protests/index.html" xr:uid="{00000000-0004-0000-0300-0000D3070000}"/>
    <hyperlink ref="L149" r:id="rId1720" display="http://www.cnn.com/2016/07/08/us/philando-castile-alton-sterling-protests/index.html" xr:uid="{00000000-0004-0000-0300-0000D4070000}"/>
    <hyperlink ref="M149" r:id="rId1721" display="http://www.cnn.com/2016/07/08/us/philando-castile-alton-sterling-protests/index.html" xr:uid="{00000000-0004-0000-0300-0000D5070000}"/>
    <hyperlink ref="O149" r:id="rId1722" display="https://www.cnn.com/2016/07/08/us/philando-castile-alton-sterling-protests/index.html" xr:uid="{00000000-0004-0000-0300-0000D6070000}"/>
    <hyperlink ref="S149" r:id="rId1723" display="https://www.washingtonpost.com/news/morning-mix/wp/2016/07/08/like-a-little-war-snipers-shoot-11-police-officers-during-dallas-protest-march-killing-five/?utm_term=.ccb434f573d5" xr:uid="{00000000-0004-0000-0300-0000D7070000}"/>
    <hyperlink ref="T149" r:id="rId1724" display="https://www.telegraph.co.uk/news/2016/07/08/dallas-shooting-who-is-micah-johnson/" xr:uid="{00000000-0004-0000-0300-0000D8070000}"/>
    <hyperlink ref="V149" r:id="rId1725" display="http://abcnews.go.com/US/dallas-shooting-suspect-wanted-kill-white-people-white/story?id=40431306" xr:uid="{00000000-0004-0000-0300-0000D9070000}"/>
    <hyperlink ref="W149" r:id="rId1726" display="https://www.nbcnews.com/storyline/dallas-police-ambush/dallas-gunman-micah-johnson-used-saiga-ak-74-assault-style-n608311" xr:uid="{00000000-0004-0000-0300-0000DA070000}"/>
    <hyperlink ref="Y149" r:id="rId1727" display="https://www.telegraph.co.uk/news/2016/07/08/dallas-shooting-who-is-micah-johnson/" xr:uid="{00000000-0004-0000-0300-0000DB070000}"/>
    <hyperlink ref="AA149" r:id="rId1728" display="https://www.telegraph.co.uk/news/2016/07/08/dallas-shooting-who-is-micah-johnson/" xr:uid="{00000000-0004-0000-0300-0000DC070000}"/>
    <hyperlink ref="AB149" r:id="rId1729" display="https://www.nbcnews.com/storyline/dallas-police-ambush/dallas-shooter-micah-xavier-johnson-was-army-veteran-n606101" xr:uid="{00000000-0004-0000-0300-0000DD070000}"/>
    <hyperlink ref="AI149" r:id="rId1730" display="https://www.telegraph.co.uk/news/2016/07/08/dallas-shooting-who-is-micah-johnson/" xr:uid="{00000000-0004-0000-0300-0000DE070000}"/>
    <hyperlink ref="AK149" r:id="rId1731" display="https://www.nbcnews.com/storyline/dallas-police-ambush/dallas-shooter-micah-xavier-johnson-was-army-veteran-n606101" xr:uid="{00000000-0004-0000-0300-0000DF070000}"/>
    <hyperlink ref="AL149" r:id="rId1732" display="https://www.nbcnews.com/storyline/dallas-police-ambush/dallas-shooter-micah-xavier-johnson-was-army-veteran-n606101" xr:uid="{00000000-0004-0000-0300-0000E0070000}"/>
    <hyperlink ref="AM149" r:id="rId1733" display="http://www.cnn.com/2016/07/08/us/micah-xavier-johnson-dallas-shooter/index.html" xr:uid="{00000000-0004-0000-0300-0000E1070000}"/>
    <hyperlink ref="AS149" r:id="rId1734" display="https://www.wusa9.com/article/news/documents-dallas-cop-killer-had-violent-outburst-gun-taken-while-in-army/287-300919192" xr:uid="{00000000-0004-0000-0300-0000E2070000}"/>
    <hyperlink ref="DR149" r:id="rId1735" display="https://www.washingtonpost.com/news/morning-mix/wp/2016/07/09/dallas-shooter-was-a-good-kid-says-neighbor-i-believe-he-just-snapped/?utm_term=.4fb3cd5314c8" xr:uid="{00000000-0004-0000-0300-0000E3070000}"/>
    <hyperlink ref="AZ149" r:id="rId1736" xr:uid="{00000000-0004-0000-0300-0000E4070000}"/>
    <hyperlink ref="BC149" r:id="rId1737" display="https://www.washingtonpost.com/news/morning-mix/wp/2016/07/09/dallas-shooter-was-a-good-kid-says-neighbor-i-believe-he-just-snapped/?utm_term=.4fb3cd5314c8" xr:uid="{00000000-0004-0000-0300-0000E5070000}"/>
    <hyperlink ref="BD149" r:id="rId1738" display="https://www.washingtonpost.com/news/morning-mix/wp/2016/07/09/dallas-shooter-was-a-good-kid-says-neighbor-i-believe-he-just-snapped/?utm_term=.4fb3cd5314c8" xr:uid="{00000000-0004-0000-0300-0000E6070000}"/>
    <hyperlink ref="BE149" r:id="rId1739" display="https://www.telegraph.co.uk/news/2016/07/08/dallas-shooting-who-is-micah-johnson/" xr:uid="{00000000-0004-0000-0300-0000E7070000}"/>
    <hyperlink ref="BI149" r:id="rId1740" display="https://www.telegraph.co.uk/news/2016/07/08/dallas-shooting-who-is-micah-johnson/" xr:uid="{00000000-0004-0000-0300-0000E8070000}"/>
    <hyperlink ref="DB149" r:id="rId1741" display="https://www.nbcnews.com/storyline/dallas-police-ambush/dallas-shooter-micah-xavier-johnson-was-army-veteran-n606101" xr:uid="{00000000-0004-0000-0300-0000E9070000}"/>
    <hyperlink ref="DJ149" r:id="rId1742" display="https://www.telegraph.co.uk/news/2016/07/08/dallas-shooting-who-is-micah-johnson/" xr:uid="{00000000-0004-0000-0300-0000EA070000}"/>
    <hyperlink ref="DT149" r:id="rId1743" display="https://www.nbcnews.com/storyline/dallas-police-ambush/dallas-gunman-micah-johnson-used-saiga-ak-74-assault-style-n608311" xr:uid="{00000000-0004-0000-0300-0000EB070000}"/>
    <hyperlink ref="DW149" r:id="rId1744" display="https://www.washingtonpost.com/news/morning-mix/wp/2016/07/08/like-a-little-war-snipers-shoot-11-police-officers-during-dallas-protest-march-killing-five/?utm_term=.9661f2cd4d78" xr:uid="{00000000-0004-0000-0300-0000F0070000}"/>
    <hyperlink ref="O150" r:id="rId1745" display="https://www.washingtonpost.com/news/post-nation/wp/2016/09/25/after-day-long-manhunt-police-arrest-20-year-old-in-washington-state-mall-killings/?utm_term=.335996c4ae24" xr:uid="{00000000-0004-0000-0300-0000F1070000}"/>
    <hyperlink ref="Y150" r:id="rId1746" display="https://www.seattleweekly.com/news/the-bitter-life-and-sudden-death-of-arcan-cetin/" xr:uid="{00000000-0004-0000-0300-0000F3070000}"/>
    <hyperlink ref="AI150" r:id="rId1747" display="http://www.seattleweekly.com/news/the-bitter-life-and-sudden-death-of-arcan-cetin/" xr:uid="{00000000-0004-0000-0300-0000F4070000}"/>
    <hyperlink ref="AL150" r:id="rId1748" display="http://www.seattleweekly.com/news/the-bitter-life-and-sudden-death-of-arcan-cetin/" xr:uid="{00000000-0004-0000-0300-0000F5070000}"/>
    <hyperlink ref="AS150" r:id="rId1749" display="https://www.king5.com/article/news/local/ex-girlfriend-describes-macys-shooting-suspects-rage-and-abuse/281-353593808" xr:uid="{00000000-0004-0000-0300-0000F6070000}"/>
    <hyperlink ref="AU150" r:id="rId1750" display="https://www.king5.com/article/news/local/ex-girlfriend-describes-macys-shooting-suspects-rage-and-abuse/281-353593808" xr:uid="{00000000-0004-0000-0300-0000F7070000}"/>
    <hyperlink ref="AV150" r:id="rId1751" display="https://www.king5.com/article/news/local/ex-girlfriend-describes-macys-shooting-suspects-rage-and-abuse/281-353593808" xr:uid="{00000000-0004-0000-0300-0000F8070000}"/>
    <hyperlink ref="AW150" r:id="rId1752" display="https://www.king5.com/article/news/local/ex-girlfriend-describes-macys-shooting-suspects-rage-and-abuse/281-353593808" xr:uid="{00000000-0004-0000-0300-0000F9070000}"/>
    <hyperlink ref="DR150" r:id="rId1753" display="https://www.seattleweekly.com/news/the-bitter-life-and-sudden-death-of-arcan-cetin/" xr:uid="{00000000-0004-0000-0300-0000FA070000}"/>
    <hyperlink ref="BE150" r:id="rId1754" display="https://www.seattletimes.com/seattle-news/crime/suspected-cascade-mall-gunman-charged-with-5-counts-of-premeditated-murder/" xr:uid="{00000000-0004-0000-0300-0000FB070000}"/>
    <hyperlink ref="BJ150" r:id="rId1755" display="https://www.king5.com/article/news/local/ex-girlfriend-describes-macys-shooting-suspects-rage-and-abuse/281-353593808" xr:uid="{00000000-0004-0000-0300-0000FC070000}"/>
    <hyperlink ref="CC150" r:id="rId1756" display="https://www.seattletimes.com/seattle-news/crime/suspected-cascade-mall-gunman-charged-with-5-counts-of-premeditated-murder/" xr:uid="{00000000-0004-0000-0300-0000FD070000}"/>
    <hyperlink ref="DB150" r:id="rId1757" display="http://www.seattleweekly.com/news/the-bitter-life-and-sudden-death-of-arcan-cetin/" xr:uid="{00000000-0004-0000-0300-0000FE070000}"/>
    <hyperlink ref="DT150" r:id="rId1758" display="https://www.washingtonpost.com/news/post-nation/wp/2016/09/25/after-day-long-manhunt-police-arrest-20-year-old-in-washington-state-mall-killings/?utm_term=.335996c4ae24" xr:uid="{00000000-0004-0000-0300-0000FF070000}"/>
    <hyperlink ref="G151" r:id="rId1759" display="http://www.sun-sentinel.com/news/fort-lauderdale-hollywood-airport-shooting/fl-airport-shooting-esteban-santiago-indicted-20170126-story.html" xr:uid="{00000000-0004-0000-0300-000001080000}"/>
    <hyperlink ref="H151" r:id="rId1760" display="http://www.sun-sentinel.com/news/fort-lauderdale-hollywood-airport-shooting/fl-airport-shooting-esteban-santiago-indicted-20170126-story.html" xr:uid="{00000000-0004-0000-0300-000002080000}"/>
    <hyperlink ref="J151" r:id="rId1761" xr:uid="{00000000-0004-0000-0300-000003080000}"/>
    <hyperlink ref="M151" r:id="rId1762" display="https://www.fortlauderdale.gov/government/about-fort-lauderdale" xr:uid="{00000000-0004-0000-0300-000004080000}"/>
    <hyperlink ref="V151" r:id="rId1763" display="http://www.sun-sentinel.com/news/fort-lauderdale-hollywood-airport-shooting/fl-esteban-santiago-arraignment-airport-shootings-20170130-story.html" xr:uid="{00000000-0004-0000-0300-000006080000}"/>
    <hyperlink ref="W151" r:id="rId1764" display="https://www.usatoday.com/story/news/2017/01/26/esteban-santiago-charged-florida-airport-killings/97099234/" xr:uid="{00000000-0004-0000-0300-000007080000}"/>
    <hyperlink ref="AB151" r:id="rId1765" display="https://www.sun-sentinel.com/news/fort-lauderdale-hollywood-airport-shooting/fl-esteban-santiago-brother-talks-20170109-story.html" xr:uid="{00000000-0004-0000-0300-000008080000}"/>
    <hyperlink ref="AJ151" r:id="rId1766" display="http://www.miamiherald.com/news/nation-world/article126025249.html" xr:uid="{00000000-0004-0000-0300-000009080000}"/>
    <hyperlink ref="AU151" r:id="rId1767" display="https://www.miamiherald.com/news/nation-world/article126025249.html" xr:uid="{00000000-0004-0000-0300-00000A080000}"/>
    <hyperlink ref="AY151" r:id="rId1768" display="http://www.sun-sentinel.com/news/fort-lauderdale-hollywood-airport-shooting/fl-esteban-santiago-arraignment-airport-shootings-20170130-story.html" xr:uid="{00000000-0004-0000-0300-00000B080000}"/>
    <hyperlink ref="AZ151" r:id="rId1769" display="https://www.miamiherald.com/news/local/article211654694.html" xr:uid="{00000000-0004-0000-0300-00000C080000}"/>
    <hyperlink ref="BY151" r:id="rId1770" display="http://www.sun-sentinel.com/news/fort-lauderdale-hollywood-airport-shooting/fl-esteban-santiago-arraignment-airport-shootings-20170130-story.html" xr:uid="{00000000-0004-0000-0300-00000D080000}"/>
    <hyperlink ref="CA151" r:id="rId1771" display="https://www.nbcnewyork.com/news/local/NJ-Shooter-Esteban-Santiago-who-was-fort-lauderdale-409914655.html" xr:uid="{00000000-0004-0000-0300-00000E080000}"/>
    <hyperlink ref="DK151" r:id="rId1772" display="http://timelines.latimes.com/deadliest-shooting-rampages/" xr:uid="{00000000-0004-0000-0300-000010080000}"/>
    <hyperlink ref="BJ152" r:id="rId1773" display="https://www.clarionledger.com/story/news/local/2017/02/06/4-killed-yazoo-city-nightclub-shooting/97541814/" xr:uid="{00000000-0004-0000-0300-000012080000}"/>
    <hyperlink ref="AU153" r:id="rId1774" display="https://www.wausaudailyherald.com/story/news/2017/05/08/wife-details-troubles-before-her-husband-gunned-down-4-people/100164526/" xr:uid="{00000000-0004-0000-0300-000013080000}"/>
    <hyperlink ref="AV153" r:id="rId1775" display="https://www.wausaudailyherald.com/story/news/2017/05/08/wife-details-troubles-before-her-husband-gunned-down-4-people/100164526/" xr:uid="{00000000-0004-0000-0300-000014080000}"/>
    <hyperlink ref="DP153" r:id="rId1776" display="https://www.wausaudailyherald.com/story/news/2017/05/08/wife-details-troubles-before-her-husband-gunned-down-4-people/100164526/" xr:uid="{00000000-0004-0000-0300-000015080000}"/>
    <hyperlink ref="G154" r:id="rId1777" display="http://www.cnn.com/2017/06/05/us/orlando-fatalities/index.html" xr:uid="{00000000-0004-0000-0300-000016080000}"/>
    <hyperlink ref="H154" r:id="rId1778" display="http://www.cnn.com/2017/06/05/us/orlando-fatalities/index.html" xr:uid="{00000000-0004-0000-0300-000017080000}"/>
    <hyperlink ref="J154" r:id="rId1779" xr:uid="{00000000-0004-0000-0300-000018080000}"/>
    <hyperlink ref="K154" r:id="rId1780" display="http://www.cnn.com/2017/06/05/us/orlando-fatalities/index.html" xr:uid="{00000000-0004-0000-0300-000019080000}"/>
    <hyperlink ref="M154" r:id="rId1781" display="https://www.cbsnews.com/news/friend-orlando-victim-feared-workplace-shooter-would-seek-revenge-over-firing/" xr:uid="{00000000-0004-0000-0300-00001A080000}"/>
    <hyperlink ref="S154" r:id="rId1782" display="http://www.cnn.com/2017/06/05/us/orlando-fatalities/index.html" xr:uid="{00000000-0004-0000-0300-00001B080000}"/>
    <hyperlink ref="W154" r:id="rId1783" display="http://www.cnn.com/2017/06/05/us/orlando-fatalities/index.html" xr:uid="{00000000-0004-0000-0300-00001C080000}"/>
    <hyperlink ref="X154" r:id="rId1784" display="http://www.orlandosentinel.com/news/orlando-workplace-shooting/os-john-robert-neumann-shooting-suspect-20170605-story.html" xr:uid="{00000000-0004-0000-0300-00001D080000}"/>
    <hyperlink ref="AK154" r:id="rId1785" display="https://www.cbsnews.com/news/friend-orlando-victim-feared-workplace-shooter-would-seek-revenge-over-firing/" xr:uid="{00000000-0004-0000-0300-00001E080000}"/>
    <hyperlink ref="AM154" r:id="rId1786" display="http://www.cnn.com/2017/06/05/us/orlando-fatalities/index.html" xr:uid="{00000000-0004-0000-0300-00001F080000}"/>
    <hyperlink ref="CH154" r:id="rId1787" display="http://www.cnn.com/2017/06/05/us/orlando-fatalities/index.html" xr:uid="{00000000-0004-0000-0300-000020080000}"/>
    <hyperlink ref="DW154" r:id="rId1788" display="http://www.chicagotribune.com/news/nationworld/ct-orlando-workplace-shooting-20170605-story.html" xr:uid="{00000000-0004-0000-0300-000021080000}"/>
    <hyperlink ref="M155" r:id="rId1789" display="https://www.latimes.com/business/la-fi-las-vegas-campaign-20180102-story.html" xr:uid="{00000000-0004-0000-0300-000022080000}"/>
    <hyperlink ref="AU155" r:id="rId1790" display="https://www.huffpost.com/entry/stephen-paddock-abuse-girlfriend_n_59d40429e4b0218923e60bcc" xr:uid="{00000000-0004-0000-0300-000023080000}"/>
    <hyperlink ref="DT155" r:id="rId1791" display="https://www.ktnv.com/news/las-vegas-shooting/list-guns-and-evidence-from-las-vegas-shooter-stephen-paddock" xr:uid="{00000000-0004-0000-0300-000024080000}"/>
    <hyperlink ref="G156" r:id="rId1792" display="https://www.nbcnews.com/storyline/texas-church-shooting/who-devin-kelley-alleged-texas-church-shooter-n817806" xr:uid="{00000000-0004-0000-0300-000026080000}"/>
    <hyperlink ref="H156" r:id="rId1793" display="https://www.nbcnews.com/storyline/texas-church-shooting/who-devin-kelley-alleged-texas-church-shooter-n817806" xr:uid="{00000000-0004-0000-0300-000027080000}"/>
    <hyperlink ref="J156" r:id="rId1794" xr:uid="{00000000-0004-0000-0300-000028080000}"/>
    <hyperlink ref="L156" r:id="rId1795" display="https://www.aljazeera.com/news/2017/11/texas-church-shooting-devin-patrick-kelley-171106181800494.html" xr:uid="{00000000-0004-0000-0300-000029080000}"/>
    <hyperlink ref="T156" r:id="rId1796" display="https://www.aljazeera.com/news/2017/11/texas-church-shooting-devin-patrick-kelley-171106181800494.html" xr:uid="{00000000-0004-0000-0300-00002A080000}"/>
    <hyperlink ref="V156" r:id="rId1797" display="https://www.nbcnews.com/storyline/texas-church-shooting/who-devin-kelley-alleged-texas-church-shooter-n817806" xr:uid="{00000000-0004-0000-0300-00002D080000}"/>
    <hyperlink ref="W156" r:id="rId1798" display="https://www.nbcnews.com/storyline/texas-church-shooting/who-devin-kelley-alleged-texas-church-shooter-n817806" xr:uid="{00000000-0004-0000-0300-00002E080000}"/>
    <hyperlink ref="X156" r:id="rId1799" display="https://www.nbcnews.com/storyline/texas-church-shooting/who-devin-kelley-alleged-texas-church-shooter-n817806" xr:uid="{00000000-0004-0000-0300-00002F080000}"/>
    <hyperlink ref="Y156" r:id="rId1800" display="https://www.aljazeera.com/news/2017/11/texas-church-shooting-devin-patrick-kelley-171106181800494.html" xr:uid="{00000000-0004-0000-0300-000030080000}"/>
    <hyperlink ref="AB156" r:id="rId1801" display="https://www.nbcnews.com/storyline/texas-church-shooting/who-devin-kelley-alleged-texas-church-shooter-n817806" xr:uid="{00000000-0004-0000-0300-000031080000}"/>
    <hyperlink ref="AC156" r:id="rId1802" display="https://www.nytimes.com/2017/11/07/us/texas-shooting-church.html" xr:uid="{00000000-0004-0000-0300-000032080000}"/>
    <hyperlink ref="AD156" r:id="rId1803" xr:uid="{00000000-0004-0000-0300-000033080000}"/>
    <hyperlink ref="AK156" r:id="rId1804" display="https://edition.cnn.com/2017/11/06/us/devin-kelley-texas-church-shooting-suspect/index.html" xr:uid="{00000000-0004-0000-0300-000034080000}"/>
    <hyperlink ref="AM156" r:id="rId1805" display="https://www.aljazeera.com/news/2017/11/texas-church-shooting-devin-patrick-kelley-171106181800494.html" xr:uid="{00000000-0004-0000-0300-000035080000}"/>
    <hyperlink ref="AN156" r:id="rId1806" display="https://www.aljazeera.com/news/2017/11/texas-church-shooting-devin-patrick-kelley-171106181800494.html" xr:uid="{00000000-0004-0000-0300-000036080000}"/>
    <hyperlink ref="AQ156" r:id="rId1807" display="https://www.cnn.com/2017/11/06/us/devin-kelley-texas-church-shooting-suspect/index.html" xr:uid="{00000000-0004-0000-0300-000037080000}"/>
    <hyperlink ref="AU156" r:id="rId1808" display="https://media.defense.gov/2018/Dec/07/2002070069/-1/-1/1/DODIG-2019-030_REDACTED.PDF" xr:uid="{00000000-0004-0000-0300-000038080000}"/>
    <hyperlink ref="AV156" r:id="rId1809" display="https://www.washingtonpost.com/news/post-nation/wp/2017/11/12/texas-gunmans-ex-wife-said-he-once-put-a-gun-to-her-head-and-asked-do-you-want-to-die/" xr:uid="{00000000-0004-0000-0300-000039080000}"/>
    <hyperlink ref="AW156" r:id="rId1810" display="https://www.cbsnews.com/news/sutherland-springs-texas-church-gunman-devin-kelley-wife-speaks-out/" xr:uid="{00000000-0004-0000-0300-00003A080000}"/>
    <hyperlink ref="AX156" r:id="rId1811" display="https://media.defense.gov/2018/Dec/07/2002070069/-1/-1/1/DODIG-2019-030_REDACTED.PDF" xr:uid="{00000000-0004-0000-0300-00003B080000}"/>
    <hyperlink ref="BK156" r:id="rId1812" display="https://www.cnn.com/2017/11/06/us/devin-kelley-texas-church-shooting-suspect/index.html" xr:uid="{00000000-0004-0000-0300-00003C080000}"/>
    <hyperlink ref="BY156" r:id="rId1813" display="https://media.defense.gov/2018/Dec/07/2002070069/-1/-1/1/DODIG-2019-030_REDACTED.PDF" xr:uid="{00000000-0004-0000-0300-00003D080000}"/>
    <hyperlink ref="CA156" r:id="rId1814" display="https://media.defense.gov/2018/Dec/07/2002070069/-1/-1/1/DODIG-2019-030_REDACTED.PDF" xr:uid="{00000000-0004-0000-0300-00003E080000}"/>
    <hyperlink ref="CB156" r:id="rId1815" display="https://media.defense.gov/2018/Dec/07/2002070069/-1/-1/1/DODIG-2019-030_REDACTED.PDF" xr:uid="{00000000-0004-0000-0300-00003F080000}"/>
    <hyperlink ref="CC156" r:id="rId1816" display="https://media.defense.gov/2018/Dec/07/2002070069/-1/-1/1/DODIG-2019-030_REDACTED.PDF" xr:uid="{00000000-0004-0000-0300-000040080000}"/>
    <hyperlink ref="CE156" r:id="rId1817" display="https://media.defense.gov/2018/Dec/07/2002070069/-1/-1/1/DODIG-2019-030_REDACTED.PDF" xr:uid="{00000000-0004-0000-0300-000041080000}"/>
    <hyperlink ref="CH156" r:id="rId1818" display="https://www.wfmynews2.com/article/news/nation-now/autopsy-for-texas-church-gunman-confirms-death-by-suicide/465-e911222a-e949-4a4a-92b4-a176c65e1184" xr:uid="{00000000-0004-0000-0300-000042080000}"/>
    <hyperlink ref="DB156" r:id="rId1819" display="https://edition.cnn.com/2017/11/06/us/devin-kelley-texas-church-shooting-suspect/index.html" xr:uid="{00000000-0004-0000-0300-000043080000}"/>
    <hyperlink ref="DT156" r:id="rId1820" display="https://edition.cnn.com/2017/11/06/us/devin-kelley-texas-church-shooting-suspect/index.html" xr:uid="{00000000-0004-0000-0300-000044080000}"/>
    <hyperlink ref="DW156" r:id="rId1821" display="https://www.aljazeera.com/news/2017/11/texas-church-shooting-devin-patrick-kelley-171106181800494.html" xr:uid="{00000000-0004-0000-0300-000047080000}"/>
    <hyperlink ref="H157" r:id="rId1822" display="https://www.nbcnews.com/news/us-news/gunman-california-shooting-spree-needed-mental-help-sister-says-n821216" xr:uid="{00000000-0004-0000-0300-000048080000}"/>
    <hyperlink ref="J157" r:id="rId1823" xr:uid="{00000000-0004-0000-0300-000049080000}"/>
    <hyperlink ref="K157" r:id="rId1824" display="https://www.nbcnews.com/news/us-news/gunman-california-shooting-spree-needed-mental-help-sister-says-n821216" xr:uid="{00000000-0004-0000-0300-00004A080000}"/>
    <hyperlink ref="L157" r:id="rId1825" display="https://www.nbcnews.com/news/us-news/gunman-california-shooting-spree-needed-mental-help-sister-says-n821216" xr:uid="{00000000-0004-0000-0300-00004B080000}"/>
    <hyperlink ref="M157" r:id="rId1826" display="https://www.cbsnews.com/news/california-shooting-gunman-kevin-janson-neal-threatened-victim-son-neighbor/" xr:uid="{00000000-0004-0000-0300-00004C080000}"/>
    <hyperlink ref="S157" r:id="rId1827" display="https://www.nbcnews.com/news/us-news/gunman-california-shooting-spree-needed-mental-help-sister-says-n821216" xr:uid="{00000000-0004-0000-0300-00004D080000}"/>
    <hyperlink ref="V157" r:id="rId1828" display="https://www.nbcnews.com/news/us-news/gunman-california-shooting-spree-needed-mental-help-sister-says-n821216" xr:uid="{00000000-0004-0000-0300-00004E080000}"/>
    <hyperlink ref="W157" r:id="rId1829" display="https://www.nbcnews.com/news/us-news/gunman-california-shooting-spree-needed-mental-help-sister-says-n821216" xr:uid="{00000000-0004-0000-0300-00004F080000}"/>
    <hyperlink ref="X157" r:id="rId1830" display="https://www.nbcnews.com/news/us-news/gunman-california-shooting-spree-needed-mental-help-sister-says-n821216" xr:uid="{00000000-0004-0000-0300-000050080000}"/>
    <hyperlink ref="AI157" r:id="rId1831" display="https://www.nbcnews.com/news/us-news/gunman-california-shooting-spree-needed-mental-help-sister-says-n821216" xr:uid="{00000000-0004-0000-0300-000051080000}"/>
    <hyperlink ref="AM157" r:id="rId1832" display="https://www.nbcnews.com/news/us-news/gunman-california-shooting-spree-needed-mental-help-sister-says-n821216" xr:uid="{00000000-0004-0000-0300-000052080000}"/>
    <hyperlink ref="AU157" r:id="rId1833" display="https://www.cbsnews.com/news/california-shooting-kevin-janson-neal-mom-call-rampage/" xr:uid="{00000000-0004-0000-0300-000053080000}"/>
    <hyperlink ref="AV157" r:id="rId1834" display="https://www.latimes.com/local/lanow/la-me-ln-tehama-shooting-neighbor-20171130-story.html" xr:uid="{00000000-0004-0000-0300-000054080000}"/>
    <hyperlink ref="BL157" r:id="rId1835" display="https://www.nbcnews.com/news/us-news/gunman-california-shooting-spree-needed-mental-help-sister-says-n821216" xr:uid="{00000000-0004-0000-0300-000055080000}"/>
    <hyperlink ref="BY157" r:id="rId1836" display="https://www.nbcnews.com/news/us-news/gunman-california-shooting-spree-needed-mental-help-sister-says-n821216" xr:uid="{00000000-0004-0000-0300-000056080000}"/>
    <hyperlink ref="DC157" r:id="rId1837" display="https://www.nbcnews.com/news/us-news/gunman-california-shooting-spree-needed-mental-help-sister-says-n821216" xr:uid="{00000000-0004-0000-0300-000057080000}"/>
    <hyperlink ref="G158" r:id="rId1838" display="https://www.cbsnews.com/news/pennsylvania-car-wash-shooting-suspect-jealousy-relatives-say/" xr:uid="{00000000-0004-0000-0300-000058080000}"/>
    <hyperlink ref="J158" r:id="rId1839" xr:uid="{00000000-0004-0000-0300-000059080000}"/>
    <hyperlink ref="K158" r:id="rId1840" display="https://www.cbsnews.com/news/pennsylvania-car-wash-shooting-suspect-jealousy-relatives-say/" xr:uid="{00000000-0004-0000-0300-00005A080000}"/>
    <hyperlink ref="V158" r:id="rId1841" display="https://www.cbsnews.com/news/pennsylvania-car-wash-shooting-suspect-jealousy-relatives-say/" xr:uid="{00000000-0004-0000-0300-00005C080000}"/>
    <hyperlink ref="W158" r:id="rId1842" display="https://www.cbsnews.com/news/pennsylvania-car-wash-shooting-suspect-jealousy-relatives-say/" xr:uid="{00000000-0004-0000-0300-00005D080000}"/>
    <hyperlink ref="AB158" r:id="rId1843" display="https://heavy.com/news/2018/01/timothy-tim-smith-melcroft-shooting-suspect-photos/" xr:uid="{00000000-0004-0000-0300-00005E080000}"/>
    <hyperlink ref="AJ158" r:id="rId1844" display="https://www.cbsnews.com/news/pennsylvania-car-wash-shooting-suspect-jealousy-relatives-say/" xr:uid="{00000000-0004-0000-0300-00005F080000}"/>
    <hyperlink ref="AK158" r:id="rId1845" display="https://heavy.com/news/2018/01/timothy-tim-smith-melcroft-shooting-suspect-photos/" xr:uid="{00000000-0004-0000-0300-000060080000}"/>
    <hyperlink ref="AL158" r:id="rId1846" display="https://heavy.com/news/2018/01/timothy-tim-smith-melcroft-shooting-suspect-photos/" xr:uid="{00000000-0004-0000-0300-000061080000}"/>
    <hyperlink ref="AQ158" r:id="rId1847" display="https://www.foxnews.com/us/pennsylvania-car-wash-alleged-gunman-had-run-in-with-target-before-deadly-shooting-family-says" xr:uid="{00000000-0004-0000-0300-000062080000}"/>
    <hyperlink ref="AS158" r:id="rId1848" display="https://www.foxnews.com/us/pennsylvania-car-wash-alleged-gunman-had-run-in-with-target-before-deadly-shooting-family-says" xr:uid="{00000000-0004-0000-0300-000063080000}"/>
    <hyperlink ref="DR158" r:id="rId1849" display="https://www.washingtonpost.com/news/post-nation/wp/2018/01/29/jealousy-and-obsession-may-have-led-carwash-shooting-suspect-to-kill-four-relatives-say/?utm_term=.d7cd9d707838" xr:uid="{00000000-0004-0000-0300-000064080000}"/>
    <hyperlink ref="BC158" r:id="rId1850" display="https://www.foxnews.com/us/correction-deadly-car-wash-shooting-story" xr:uid="{00000000-0004-0000-0300-000065080000}"/>
    <hyperlink ref="BE158" r:id="rId1851" display="https://www.foxnews.com/us/correction-deadly-car-wash-shooting-story" xr:uid="{00000000-0004-0000-0300-000066080000}"/>
    <hyperlink ref="BK158" r:id="rId1852" display="https://heavy.com/news/2018/01/timothy-tim-smith-melcroft-shooting-suspect-photos/" xr:uid="{00000000-0004-0000-0300-000067080000}"/>
    <hyperlink ref="G159" r:id="rId1853" display="https://www.cnn.com/2018/02/25/us/nikolas-cruz-warning-signs/index.html" xr:uid="{00000000-0004-0000-0300-000068080000}"/>
    <hyperlink ref="H159" r:id="rId1854" display="https://www.usatoday.com/story/news/nation-now/2018/02/15/parkland-florida-high-school-shooting/340071002/" xr:uid="{00000000-0004-0000-0300-000069080000}"/>
    <hyperlink ref="K159" r:id="rId1855" display="https://www.cnn.com/2018/02/25/us/nikolas-cruz-warning-signs/index.html" xr:uid="{00000000-0004-0000-0300-00006A080000}"/>
    <hyperlink ref="N159" r:id="rId1856" display="https://www.sun-sentinel.com/local/broward/parkland/florida-school-shooting/fl-florida-school-shooting-nikolas-cruz-life-20180220-story.html" xr:uid="{00000000-0004-0000-0300-00006B080000}"/>
    <hyperlink ref="V159" r:id="rId1857" display="https://www.cnn.com/2018/02/25/us/nikolas-cruz-warning-signs/index.html" xr:uid="{00000000-0004-0000-0300-00006C080000}"/>
    <hyperlink ref="W159" r:id="rId1858" display="https://www.usatoday.com/story/news/nation-now/2018/02/15/parkland-florida-high-school-shooting/340071002/" xr:uid="{00000000-0004-0000-0300-00006D080000}"/>
    <hyperlink ref="X159" r:id="rId1859" display="https://www.cnn.com/2018/02/25/us/nikolas-cruz-warning-signs/index.html" xr:uid="{00000000-0004-0000-0300-00006E080000}"/>
    <hyperlink ref="AB159" r:id="rId1860" display="https://www.cnn.com/2018/02/14/us/nikolas-cruz-florida-shooting-suspect/index.html" xr:uid="{00000000-0004-0000-0300-00006F080000}"/>
    <hyperlink ref="AK159" r:id="rId1861" display="https://www.cnn.com/2018/02/14/us/nikolas-cruz-florida-shooting-suspect/index.html" xr:uid="{00000000-0004-0000-0300-000070080000}"/>
    <hyperlink ref="AL159" r:id="rId1862" display="https://www.cnn.com/2018/02/14/us/nikolas-cruz-florida-shooting-suspect/index.html" xr:uid="{00000000-0004-0000-0300-000071080000}"/>
    <hyperlink ref="AU159" r:id="rId1863" display="https://www.sun-sentinel.com/local/broward/parkland/florida-school-shooting/fl-ne-henderson-liability-question-nikolas-cruz-20190423-story.html" xr:uid="{00000000-0004-0000-0300-000072080000}"/>
    <hyperlink ref="AV159" r:id="rId1864" display="https://www.miamiherald.com/news/local/community/broward/article216909390.html" xr:uid="{00000000-0004-0000-0300-000073080000}"/>
    <hyperlink ref="DR159" r:id="rId1865" display="https://www.cnn.com/2018/02/25/us/nikolas-cruz-warning-signs/index.html" xr:uid="{00000000-0004-0000-0300-000074080000}"/>
    <hyperlink ref="BD159" r:id="rId1866" display="https://www.sun-sentinel.com/local/broward/parkland/florida-school-shooting/fl-florida-school-shooting-nikolas-cruz-life-20180220-story.html" xr:uid="{00000000-0004-0000-0300-000075080000}"/>
    <hyperlink ref="BE159" r:id="rId1867" display="https://www.cnn.com/2018/02/25/us/nikolas-cruz-warning-signs/index.html" xr:uid="{00000000-0004-0000-0300-000076080000}"/>
    <hyperlink ref="BI159" r:id="rId1868" display="https://www.cnn.com/2018/02/25/us/nikolas-cruz-warning-signs/index.html" xr:uid="{00000000-0004-0000-0300-000077080000}"/>
    <hyperlink ref="BL159" r:id="rId1869" display="https://www.cnn.com/2018/02/25/us/nikolas-cruz-warning-signs/index.html" xr:uid="{00000000-0004-0000-0300-000078080000}"/>
    <hyperlink ref="DP159" r:id="rId1870" display="https://www.cnn.com/2018/02/25/us/nikolas-cruz-warning-signs/index.html" xr:uid="{00000000-0004-0000-0300-000079080000}"/>
    <hyperlink ref="DW159" r:id="rId1871" display="https://www.usatoday.com/story/news/nation-now/2018/02/15/parkland-florida-high-school-shooting/340071002/" xr:uid="{00000000-0004-0000-0300-00007A080000}"/>
    <hyperlink ref="S161" r:id="rId1872" display="https://www.abc.net.au/news/2018-04-24/waffle-house-shooting-suspect-travis-reinking-arrested/9690348" xr:uid="{00000000-0004-0000-0300-00007B080000}"/>
    <hyperlink ref="T161" r:id="rId1873" display="https://www.abc.net.au/news/2018-04-24/waffle-house-shooting-suspect-travis-reinking-arrested/9690348" xr:uid="{00000000-0004-0000-0300-00007C080000}"/>
    <hyperlink ref="V161" r:id="rId1874" display="https://www.abc.net.au/news/2018-04-24/waffle-house-shooting-suspect-travis-reinking-arrested/9690348" xr:uid="{00000000-0004-0000-0300-00007D080000}"/>
    <hyperlink ref="W161" r:id="rId1875" display="https://www.tennessean.com/story/news/crime/2018/12/17/waffle-house-shooting-travis-reinking-father-lawsuit/2339094002/" xr:uid="{00000000-0004-0000-0300-00007E080000}"/>
    <hyperlink ref="X161" r:id="rId1876" display="https://www.abc.net.au/news/2018-04-24/waffle-house-shooting-suspect-travis-reinking-arrested/9690348" xr:uid="{00000000-0004-0000-0300-00007F080000}"/>
    <hyperlink ref="Y161" r:id="rId1877" display="https://edition.cnn.com/2018/04/22/us/travis-reinking-waffle-house-shooting/index.html" xr:uid="{00000000-0004-0000-0300-000080080000}"/>
    <hyperlink ref="AA161" r:id="rId1878" display="https://www.chicagotribune.com/news/breaking/ct-met-waffle-house-shooting-suspect-morton-20180423-story.html" xr:uid="{00000000-0004-0000-0300-000081080000}"/>
    <hyperlink ref="AB161" r:id="rId1879" display="https://www.chicagotribune.com/news/breaking/ct-met-waffle-house-shooting-suspect-morton-20180423-story.html" xr:uid="{00000000-0004-0000-0300-000082080000}"/>
    <hyperlink ref="AL161" r:id="rId1880" display="https://edition.cnn.com/2018/04/22/us/travis-reinking-waffle-house-shooting/index.html" xr:uid="{00000000-0004-0000-0300-000083080000}"/>
    <hyperlink ref="AQ161" r:id="rId1881" display="https://edition.cnn.com/2018/04/22/us/travis-reinking-waffle-house-shooting/index.html" xr:uid="{00000000-0004-0000-0300-000084080000}"/>
    <hyperlink ref="BE161" r:id="rId1882" display="https://www.tennessean.com/story/news/crime/2018/12/17/waffle-house-shooting-travis-reinking-father-lawsuit/2339094002/" xr:uid="{00000000-0004-0000-0300-000085080000}"/>
    <hyperlink ref="BK161" r:id="rId1883" display="https://edition.cnn.com/2018/04/22/us/travis-reinking-waffle-house-shooting/index.html" xr:uid="{00000000-0004-0000-0300-000086080000}"/>
    <hyperlink ref="BL161" r:id="rId1884" display="https://www.tennessean.com/story/news/crime/2018/12/17/waffle-house-shooting-travis-reinking-father-lawsuit/2339094002/" xr:uid="{00000000-0004-0000-0300-000087080000}"/>
    <hyperlink ref="BY161" r:id="rId1885" display="https://www.usatoday.com/story/opinion/2018/04/27/red-flags-before-waffle-house-shooting-editorials-debates/547346002/" xr:uid="{00000000-0004-0000-0300-000088080000}"/>
    <hyperlink ref="CA161" r:id="rId1886" display="https://www.tennessean.com/story/news/crime/2019/02/13/waffle-house-shooting-travis-reinking-arraignment/2847784002/" xr:uid="{00000000-0004-0000-0300-000089080000}"/>
    <hyperlink ref="CH161" r:id="rId1887" display="https://abc7chicago.com/tenn-waffle-house-shooting-suspect-from-illinois-in-custody-police-say/3381353/" xr:uid="{00000000-0004-0000-0300-00008A080000}"/>
    <hyperlink ref="DJ161" r:id="rId1888" display="https://edition.cnn.com/2018/04/22/us/travis-reinking-waffle-house-shooting/index.html" xr:uid="{00000000-0004-0000-0300-00008C080000}"/>
    <hyperlink ref="DK161" r:id="rId1889" display="https://edition.cnn.com/2018/04/22/us/travis-reinking-waffle-house-shooting/index.html" xr:uid="{00000000-0004-0000-0300-00008D080000}"/>
    <hyperlink ref="DP161" r:id="rId1890" display="https://www.nytimes.com/2018/04/23/us/waffle-house-shooting-nashville.htmlhttps:/www.nytimes.com/2018/04/23/us/waffle-house-shooting-nashville.html" xr:uid="{00000000-0004-0000-0300-00008E080000}"/>
    <hyperlink ref="DT161" r:id="rId1891" display="https://www.nytimes.com/2018/04/23/us/waffle-house-shooting-nashville.html" xr:uid="{00000000-0004-0000-0300-00008F080000}"/>
    <hyperlink ref="G162" r:id="rId1892" display="https://abc13.com/no-federal-charges-for-santa-fe-high-shooting-suspect/5211138/" xr:uid="{00000000-0004-0000-0300-000092080000}"/>
    <hyperlink ref="H162" r:id="rId1893" display="https://www.npr.org/sections/thetwo-way/2018/05/19/612468377/what-we-know-about-dimitrios-pagourtzis-the-alleged-texas-high-school-shooter" xr:uid="{00000000-0004-0000-0300-000093080000}"/>
    <hyperlink ref="K162" r:id="rId1894" display="https://www.npr.org/sections/thetwo-way/2018/05/19/612468377/what-we-know-about-dimitrios-pagourtzis-the-alleged-texas-high-school-shooter" xr:uid="{00000000-0004-0000-0300-000094080000}"/>
    <hyperlink ref="L162" r:id="rId1895" display="https://abc13.com/no-federal-charges-for-santa-fe-high-shooting-suspect/5211138/" xr:uid="{00000000-0004-0000-0300-000095080000}"/>
    <hyperlink ref="N162" r:id="rId1896" display="https://www.npr.org/sections/thetwo-way/2018/05/19/612468377/what-we-know-about-dimitrios-pagourtzis-the-alleged-texas-high-school-shooter" xr:uid="{00000000-0004-0000-0300-000096080000}"/>
    <hyperlink ref="O162" r:id="rId1897" display="https://www.nytimes.com/2018/05/18/us/dimitrios-pagourtzis-gunman-texas-shooting.html" xr:uid="{00000000-0004-0000-0300-000097080000}"/>
    <hyperlink ref="S162" r:id="rId1898" display="https://abc13.com/no-federal-charges-for-santa-fe-high-shooting-suspect/5211138/" xr:uid="{00000000-0004-0000-0300-000098080000}"/>
    <hyperlink ref="T162" r:id="rId1899" display="https://abc13.com/no-federal-charges-for-santa-fe-high-shooting-suspect/5211138/" xr:uid="{00000000-0004-0000-0300-000099080000}"/>
    <hyperlink ref="V162" r:id="rId1900" display="https://www.npr.org/sections/thetwo-way/2018/05/19/612468377/what-we-know-about-dimitrios-pagourtzis-the-alleged-texas-high-school-shooter" xr:uid="{00000000-0004-0000-0300-00009A080000}"/>
    <hyperlink ref="Y162" r:id="rId1901" display="https://www.reuters.com/article/us-texas-shooting-greece-village/greek-village-lost-for-words-over-news-of-texan-teen-gunman-idUSKCN1IK0F7" xr:uid="{00000000-0004-0000-0300-00009B080000}"/>
    <hyperlink ref="AB162" r:id="rId1902" display="https://www.newyorker.com/news/news-desk/this-is-a-dream-i-cant-wake-up-from" xr:uid="{00000000-0004-0000-0300-00009C080000}"/>
    <hyperlink ref="AI162" r:id="rId1903" display="https://www.standard.co.uk/news/world/texas-school-shooting-suspect-dimitrios-pagourtzis-shared-gun-photo-on-instagram-and-had-born-to-a3843281.html" xr:uid="{00000000-0004-0000-0300-00009D080000}"/>
    <hyperlink ref="AK162" r:id="rId1904" display="https://www.newyorker.com/news/news-desk/this-is-a-dream-i-cant-wake-up-from" xr:uid="{00000000-0004-0000-0300-00009E080000}"/>
    <hyperlink ref="AM162" r:id="rId1905" display="https://www.bbc.com/news/world-us-canada-44173960" xr:uid="{00000000-0004-0000-0300-00009F080000}"/>
    <hyperlink ref="AQ162" r:id="rId1906" display="https://www.bbc.com/news/world-us-canada-44173960" xr:uid="{00000000-0004-0000-0300-0000A0080000}"/>
    <hyperlink ref="AS162" r:id="rId1907" display="https://www.washingtonpost.com/national/alleged-school-killer-dimitrios-pagourtzis-was-nondescript-betraying-a-growing-darkness/2018/05/18/d69f5b88-5ade-11e8-8836-a4a123c359ab_story.html?utm_term=.6f701179d871" xr:uid="{00000000-0004-0000-0300-0000A1080000}"/>
    <hyperlink ref="DR162" r:id="rId1908" display="https://www.newyorker.com/news/news-desk/this-is-a-dream-i-cant-wake-up-from" xr:uid="{00000000-0004-0000-0300-0000A2080000}"/>
    <hyperlink ref="BC162" r:id="rId1909" display="https://www.newyorker.com/news/news-desk/this-is-a-dream-i-cant-wake-up-from" xr:uid="{00000000-0004-0000-0300-0000A3080000}"/>
    <hyperlink ref="BD162" r:id="rId1910" display="https://www.washingtonpost.com/national/alleged-school-killer-dimitrios-pagourtzis-was-nondescript-betraying-a-growing-darkness/2018/05/18/d69f5b88-5ade-11e8-8836-a4a123c359ab_story.html?utm_term=.6f701179d871" xr:uid="{00000000-0004-0000-0300-0000A4080000}"/>
    <hyperlink ref="BG162" r:id="rId1911" display="https://www.newyorker.com/news/news-desk/this-is-a-dream-i-cant-wake-up-from" xr:uid="{00000000-0004-0000-0300-0000A5080000}"/>
    <hyperlink ref="BL162" r:id="rId1912" display="https://abc13.com/no-federal-charges-for-santa-fe-high-shooting-suspect/5211138/" xr:uid="{00000000-0004-0000-0300-0000A6080000}"/>
    <hyperlink ref="DC162" r:id="rId1913" display="https://www.standard.co.uk/news/world/texas-school-shooting-suspect-dimitrios-pagourtzis-shared-gun-photo-on-instagram-and-had-born-to-a3843281.html" xr:uid="{00000000-0004-0000-0300-0000A8080000}"/>
    <hyperlink ref="DT162" r:id="rId1914" display="https://www.nytimes.com/2018/05/18/us/dimitrios-pagourtzis-gunman-texas-shooting.html" xr:uid="{00000000-0004-0000-0300-0000A9080000}"/>
    <hyperlink ref="DW162" r:id="rId1915" display="https://www.washingtonpost.com/national/alleged-school-killer-dimitrios-pagourtzis-was-nondescript-betraying-a-growing-darkness/2018/05/18/d69f5b88-5ade-11e8-8836-a4a123c359ab_story.html?utm_term=.6f701179d871" xr:uid="{00000000-0004-0000-0300-0000AA080000}"/>
    <hyperlink ref="G163" r:id="rId1916" display="https://www.baltimoresun.com/news/maryland/crime/bs-md-ramos-search-20180628-story.html" xr:uid="{00000000-0004-0000-0300-0000AB080000}"/>
    <hyperlink ref="H163" r:id="rId1917" display="https://www.baltimoresun.com/news/maryland/crime/bs-md-ramos-search-20180628-story.html" xr:uid="{00000000-0004-0000-0300-0000AC080000}"/>
    <hyperlink ref="J163" r:id="rId1918" xr:uid="{00000000-0004-0000-0300-0000AD080000}"/>
    <hyperlink ref="K163" r:id="rId1919" display="https://www.cbsnews.com/news/jarrod-ramos-annapolis-shooting-suspect-identified-maryland-shooting-capital-gazette-today-2018-06-28/" xr:uid="{00000000-0004-0000-0300-0000AE080000}"/>
    <hyperlink ref="M163" r:id="rId1920" display="https://www.cbsnews.com/news/jarrod-ramos-annapolis-shooting-suspect-identified-maryland-shooting-capital-gazette-today-2018-06-28/" xr:uid="{00000000-0004-0000-0300-0000AF080000}"/>
    <hyperlink ref="S163" r:id="rId1921" display="https://www.businessinsider.com/who-is-jarrod-ramos-capital-gazette-suspect-shooter-lawsuit-2018-6" xr:uid="{00000000-0004-0000-0300-0000B0080000}"/>
    <hyperlink ref="T163" r:id="rId1922" display="http://time.com/5326090/capital-gazette-maryland-shooting-victims/" xr:uid="{00000000-0004-0000-0300-0000B1080000}"/>
    <hyperlink ref="V163" r:id="rId1923" display="https://www.cbsnews.com/news/jarrod-ramos-annapolis-shooting-suspect-identified-maryland-shooting-capital-gazette-today-2018-06-28/" xr:uid="{00000000-0004-0000-0300-0000B2080000}"/>
    <hyperlink ref="W163" r:id="rId1924" display="https://www.cbsnews.com/news/jarrod-ramos-annapolis-shooting-suspect-identified-maryland-shooting-capital-gazette-today-2018-06-28/" xr:uid="{00000000-0004-0000-0300-0000B3080000}"/>
    <hyperlink ref="AB163" r:id="rId1925" display="https://www.baltimoresun.com/news/maryland/crime/bs-md-ramos-search-20180628-story.html" xr:uid="{00000000-0004-0000-0300-0000B4080000}"/>
    <hyperlink ref="AM163" r:id="rId1926" display="http://time.com/5326056/capital-gazette-shooter-jarrod-w-ramos/" xr:uid="{00000000-0004-0000-0300-0000B5080000}"/>
    <hyperlink ref="AQ163" r:id="rId1927" display="https://www.cbsnews.com/news/jarrod-ramos-annapolis-shooting-suspect-identified-maryland-shooting-capital-gazette-today-2018-06-28/" xr:uid="{00000000-0004-0000-0300-0000B6080000}"/>
    <hyperlink ref="AU163" r:id="rId1928" display="https://www.businessinsider.com/maryland-newspaper-shooter-had-a-history-of-harassing-a-woman-2018-6" xr:uid="{00000000-0004-0000-0300-0000B7080000}"/>
    <hyperlink ref="CG163" r:id="rId1929" display="https://www.wbaltv.com/article/health-department-report-jarrod-ramos-criminally-responsible/29538682" xr:uid="{00000000-0004-0000-0300-0000B8080000}"/>
    <hyperlink ref="DJ163" r:id="rId1930" display="https://www.baltimoresun.com/news/maryland/crime/bs-md-ramos-search-20180628-story.html" xr:uid="{00000000-0004-0000-0300-0000B9080000}"/>
    <hyperlink ref="DW163" r:id="rId1931" display="http://time.com/5326056/capital-gazette-shooter-jarrod-w-ramos/" xr:uid="{00000000-0004-0000-0300-0000BE080000}"/>
    <hyperlink ref="AU164" r:id="rId1932" display="https://bakersfieldnow.com/news/local/law-office-employee-talks-about-woman-her-killer-husband-he-was-obsessive-jealous" xr:uid="{00000000-0004-0000-0300-0000BF080000}"/>
    <hyperlink ref="BC165" r:id="rId1933" display="https://www.nytimes.com/2018/10/28/us/pittsburgh-shooting-robert-bowers.html" xr:uid="{00000000-0004-0000-0300-0000C0080000}"/>
    <hyperlink ref="AU166" r:id="rId1934" display="https://www.usatoday.com/story/news/nation/2018/11/08/ian-long-gunman-thousand-oaks-california-borderline-bar-grill/1928231002/" xr:uid="{00000000-0004-0000-0300-0000C1080000}"/>
    <hyperlink ref="AV166" r:id="rId1935" display="https://www.usatoday.com/story/news/nation/2018/11/08/ian-long-gunman-thousand-oaks-california-borderline-bar-grill/1928231002/" xr:uid="{00000000-0004-0000-0300-0000C2080000}"/>
    <hyperlink ref="AU168" r:id="rId1936" display="https://www.chicagotribune.com/news/breaking/ct-met-gary-martin-aurora-shooter-20190216-story.html" xr:uid="{00000000-0004-0000-0300-0000C6080000}"/>
    <hyperlink ref="AV168" r:id="rId1937" display="https://www.chicagotribune.com/news/breaking/ct-met-gary-martin-aurora-shooter-20190216-story.html" xr:uid="{00000000-0004-0000-0300-0000C7080000}"/>
    <hyperlink ref="AW168" r:id="rId1938" display="https://www.chicagotribune.com/news/breaking/ct-met-gary-martin-aurora-shooter-20190216-story.html" xr:uid="{00000000-0004-0000-0300-0000C8080000}"/>
    <hyperlink ref="CE169" r:id="rId1939" display="https://www.vbgov.com/government/departments/city-auditors-office/Documents/Hillard Heintze Final Report for Virginia Beach 11-13-2019.pdf" xr:uid="{00000000-0004-0000-0300-0000C9080000}"/>
    <hyperlink ref="AE170" r:id="rId1940" display="https://www.washingtonpost.com/national/as-his-environment-changed-suspect-in-el-paso-shooting-learned-to-hate/2019/08/09/8ebabf2c-817b-40a3-a79e-e56fbac94cd5_story.html" xr:uid="{00000000-0004-0000-0300-0000CA080000}"/>
    <hyperlink ref="AU171" r:id="rId1941" display="https://abcnews.go.com/US/federal-charges-filed-friend-dayton-gunman-connor-betts/story?id=64925831" xr:uid="{00000000-0004-0000-0300-0000CB080000}"/>
    <hyperlink ref="DV171" r:id="rId1942" xr:uid="{00000000-0004-0000-0300-0000CC080000}"/>
    <hyperlink ref="AU172" r:id="rId1943" display="https://www.cnn.com/2019/09/29/us/seth-ator-previous-police-encounter-invs/index.html" xr:uid="{00000000-0004-0000-0300-0000CD080000}"/>
    <hyperlink ref="AU173" r:id="rId1944" display="https://www.nytimes.com/2019/12/15/nyregion/jersey-city-shooting-terrorism.html" xr:uid="{00000000-0004-0000-0300-0000CF080000}"/>
    <hyperlink ref="AU175" r:id="rId1945" display="https://www.jsonline.com/story/news/politics/2020/02/28/milwaukee-molson-coors-shooting-gwen-moore-says-victim-old-friend/4902693002/" xr:uid="{00000000-0004-0000-0300-0000D0080000}"/>
    <hyperlink ref="CE175" r:id="rId1946" display="https://www.jsonline.com/story/news/crime/2020/03/03/milwaukee-molson-coors-shooting-facts-behind-racism-noose-rumors/4934728002/?utm_source=oembed&amp;utm_medium=onsite&amp;utm_campaign=storylines&amp;utm_content=news&amp;utm_term=4893028002" xr:uid="{00000000-0004-0000-0300-0000D1080000}"/>
    <hyperlink ref="AE11" r:id="rId1947" location="v=snippet&amp;q=mark%20essex%20born&amp;f=fal&quot;&amp;&quot;se" display="https://books.google.com/books?id=V7IluPG0GJ8C&amp;pg=PA111&amp;lpg=PA111&amp;dq=mark+essex+siblings&amp;source=bl&amp;ots=bcqfSfwZNX&amp;sig=ACfU3U3l8i0aE1ncTi8_Xwu_idbD_kDVjA&amp;hl=en&amp;sa=X&amp;ved=2ahUKEwjtjoWcmoboAhXTaM0KHR9DDT04ChDoATAFegQIBxAB - v=snippet&amp;q=mark%20essex%20born&amp;f=fal&quot;&amp;&quot;se" xr:uid="{339CBBE4-FC9B-4B3D-AAA1-6E1608878707}"/>
    <hyperlink ref="AF11" r:id="rId1948" location="v=snippet&amp;q=mark%20essex%20born&amp;f=fal&quot;&amp;&quot;se" display="https://books.google.com/books?id=V7IluPG0GJ8C&amp;pg=PA111&amp;lpg=PA111&amp;dq=mark+essex+siblings&amp;source=bl&amp;ots=bcqfSfwZNX&amp;sig=ACfU3U3l8i0aE1ncTi8_Xwu_idbD_kDVjA&amp;hl=en&amp;sa=X&amp;ved=2ahUKEwjtjoWcmoboAhXTaM0KHR9DDT04ChDoATAFegQIBxAB - v=snippet&amp;q=mark%20essex%20born&amp;f=fal&quot;&amp;&quot;se" xr:uid="{89536517-C0CC-4D8F-BAF3-E78CAEAE2625}"/>
    <hyperlink ref="AG11" r:id="rId1949" location="v=snippet&amp;q=mark%20essex%20born&amp;f=fal&quot;&amp;&quot;se" display="https://books.google.com/books?id=V7IluPG0GJ8C&amp;pg=PA111&amp;lpg=PA111&amp;dq=mark+essex+siblings&amp;source=bl&amp;ots=bcqfSfwZNX&amp;sig=ACfU3U3l8i0aE1ncTi8_Xwu_idbD_kDVjA&amp;hl=en&amp;sa=X&amp;ved=2ahUKEwjtjoWcmoboAhXTaM0KHR9DDT04ChDoATAFegQIBxAB - v=snippet&amp;q=mark%20essex%20born&amp;f=fal&quot;&amp;&quot;se" xr:uid="{7640BE5D-D64F-4254-88E0-3E681B2B2374}"/>
    <hyperlink ref="AH11" r:id="rId1950" location="v=snippet&amp;q=mark%20essex%20born&amp;f=fal&quot;&amp;&quot;se" display="https://books.google.com/books?id=V7IluPG0GJ8C&amp;pg=PA111&amp;lpg=PA111&amp;dq=mark+essex+siblings&amp;source=bl&amp;ots=bcqfSfwZNX&amp;sig=ACfU3U3l8i0aE1ncTi8_Xwu_idbD_kDVjA&amp;hl=en&amp;sa=X&amp;ved=2ahUKEwjtjoWcmoboAhXTaM0KHR9DDT04ChDoATAFegQIBxAB - v=snippet&amp;q=mark%20essex%20born&amp;f=fal&quot;&amp;&quot;se" xr:uid="{D0FD2202-431E-4E1A-B436-9DE0A1D28BAF}"/>
    <hyperlink ref="CH11" r:id="rId1951" location="v=snippet&amp;q=mark%20essex%20born&amp;f=fal&quot;&amp;&quot;se" display="https://books.google.com/books?id=V7IluPG0GJ8C&amp;pg=PA111&amp;lpg=PA111&amp;dq=mark+essex+siblings&amp;source=bl&amp;ots=bcqfSfwZNX&amp;sig=ACfU3U3l8i0aE1ncTi8_Xwu_idbD_kDVjA&amp;hl=en&amp;sa=X&amp;ved=2ahUKEwjtjoWcmoboAhXTaM0KHR9DDT04ChDoATAFegQIBxAB - v=snippet&amp;q=mark%20essex%20born&amp;f=fal&quot;&amp;&quot;se" xr:uid="{C611D34E-112F-4AE3-A7A1-7A0BAE68B0CE}"/>
    <hyperlink ref="AO15" r:id="rId1952" location="v=onepage&amp;q=%22dewitt%20h&quot;&amp;&quot;%22&amp;f=true" display="v=onepage&amp;q=%22dewitt%20h&quot;&amp;&quot;%22&amp;f=true" xr:uid="{54E2880C-B63D-435F-85C6-A7B2F1B2745E}"/>
    <hyperlink ref="AO17" r:id="rId1953" location="v=onepage&amp;q=gan%20fong%20chin%20shoo&quot;&amp;&quot;%22&amp;f=false" display="https://books.google.com/books?id=3HOuBAAAQBAJ&amp;pg=PA105&amp;lpg=PA105&amp;dq=gan+fong+chin+shooting&amp;source=bl&amp;ots=uX_nRz_bVE&amp;sig=ACfU3U0cED2lO2rngkh3ECFVdbDrf_pcBA&amp;hl=en&amp;sa=X&amp;ved=2ahUKEwjD9byjmKnjAhUEac0KHfaODEkQ6AEwBnoECAkQAQ - v=onepage&amp;q=gan%20fong%20chin%20shoo&quot;&amp;&quot;%22&amp;f=false" xr:uid="{54E313F7-6381-4654-A2EC-3EDCD8CCF197}"/>
    <hyperlink ref="AC27" r:id="rId1954" location="v=onepage&amp;q=louis%20hastings%20sh&quot;&amp;&quot;%22&amp;f=false" display="https://books.google.com/books?id=DIG_9oBssrAC&amp;pg=PA172&amp;lpg=PA172&amp;dq=louis+hastings+shooting&amp;source=bl&amp;ots=fgzBCtAqod&amp;sig=ACfU3U21h7KG-aA-JpBFEfRVx_ylGhnNEQ&amp;hl=en&amp;sa=X&amp;ved=2ahUKEwjG1veU6MPhAhUFQ6wKHYJHBIQ4ChDoATALegQIBhAB - v=onepage&amp;q=louis%20hastings%20sh&quot;&amp;&quot;%22&amp;f=false" xr:uid="{F7B5707B-2A45-4A61-A582-82508CDBE0B3}"/>
    <hyperlink ref="AD27" r:id="rId1955" location="v=onepage&amp;q=louis%20hastings%20sh&quot;&amp;&quot;%22&amp;f=false" xr:uid="{27F8F428-ABD8-4719-950C-A62D8DBD76D1}"/>
    <hyperlink ref="AF27" r:id="rId1956" location="v=onepage&amp;q=louis%20hastings%20si&quot;&amp;&quot;ster&amp;f=false" display="https://books.google.com/books?id=DIG_9oBssrAC&amp;pg=PA172&amp;lpg=PA172&amp;dq=louis+hastings+shooting&amp;source=bl&amp;ots=fgzBCtAqod&amp;sig=ACfU3U21h7KG-aA-JpBFEfRVx_ylGhnNEQ&amp;hl=en&amp;sa=X&amp;ved=2ahUKEwjG1veU6MPhAhUFQ6wKHYJHBIQ4ChDoATALegQIBhAB - v=onepage&amp;q=louis%20hastings%20si&quot;&amp;&quot;ster&amp;f=false" xr:uid="{883C79D3-A54A-43DE-AABE-947EF2456D9A}"/>
    <hyperlink ref="AO27" r:id="rId1957" location="v=onepage&amp;q=louis%20hastings%20sh&quot;&amp;&quot;%22&amp;f=false" display="https://books.google.com/books?id=DIG_9oBssrAC&amp;pg=PA172&amp;lpg=PA172&amp;dq=louis+hastings+shooting&amp;source=bl&amp;ots=fgzBCtAqod&amp;sig=ACfU3U21h7KG-aA-JpBFEfRVx_ylGhnNEQ&amp;hl=en&amp;sa=X&amp;ved=2ahUKEwjG1veU6MPhAhUFQ6wKHYJHBIQ4ChDoATALegQIBhAB - v=onepage&amp;q=louis%20hastings%20sh&quot;&amp;&quot;%22&amp;f=false" xr:uid="{1A9ADBB0-E806-4EC0-BB56-260D8F8B3AE4}"/>
    <hyperlink ref="AP27" r:id="rId1958" location="v=onepage&amp;q=louis%20hastings%20sh&quot;&amp;&quot;%22&amp;f=false" xr:uid="{B9BCD81C-799A-4217-A17D-42D40C5D2B90}"/>
    <hyperlink ref="DS27" r:id="rId1959" location="v=onepage&amp;q=louis%20hastings%20sh&quot;&amp;&quot;%22&amp;f=false" display="https://books.google.com/books?id=DIG_9oBssrAC&amp;pg=PA172&amp;lpg=PA172&amp;dq=louis+hastings+shooting&amp;source=bl&amp;ots=fgzBCtAqod&amp;sig=ACfU3U21h7KG-aA-JpBFEfRVx_ylGhnNEQ&amp;hl=en&amp;sa=X&amp;ved=2ahUKEwjG1veU6MPhAhUFQ6wKHYJHBIQ4ChDoATALegQIBhAB - v=onepage&amp;q=louis%20hastings%20sh&quot;&amp;&quot;%22&amp;f=false" xr:uid="{2701D54D-3A8E-474B-988D-F59DF54B67DE}"/>
    <hyperlink ref="AC34" r:id="rId1960" location="v=onepage&amp;q=patrick%20sherrill&quot;&amp;&quot;%20older%20brother&amp;f=false" display="https://books.google.com/books?id=cy_wBQAAQBAJ&amp;pg=PT71&amp;lpg=PT71&amp;dq=patrick+sherrill+older+brother&amp;source=bl&amp;ots=P-F6sLNp9_&amp;sig=ACfU3U3UirvTzkaI0bsxNrBUZyo_hKLpHg&amp;hl=en&amp;sa=X&amp;ved=2ahUKEwiQrKW84oboAhXaWM0KHQWYASgQ6AEwDnoECAoQAQ - v=onepage&amp;q=patrick%20sherrill&quot;&amp;&quot;%20older%20brother&amp;f=false" xr:uid="{BBA1AAAD-253C-4578-BD77-EF96BBA3EC24}"/>
    <hyperlink ref="AE34" r:id="rId1961" location="v=onepage&amp;q=patrick%20sherrill&quot;&amp;&quot;%20older%20brother&amp;f=false" display="https://books.google.com/books?id=cy_wBQAAQBAJ&amp;pg=PT71&amp;lpg=PT71&amp;dq=patrick+sherrill+older+brother&amp;source=bl&amp;ots=P-F6sLNp9_&amp;sig=ACfU3U3UirvTzkaI0bsxNrBUZyo_hKLpHg&amp;hl=en&amp;sa=X&amp;ved=2ahUKEwiQrKW84oboAhXaWM0KHQWYASgQ6AEwDnoECAoQAQ - v=onepage&amp;q=patrick%20sherrill&quot;&amp;&quot;%20older%20brother&amp;f=false" xr:uid="{6E39AF4E-D65F-4D20-9AD6-74836E8B7664}"/>
    <hyperlink ref="AF34" r:id="rId1962" location="v=onepage&amp;q=patrick%20sherrill&quot;&amp;&quot;%20older%20brother&amp;f=false" display="https://books.google.com/books?id=cy_wBQAAQBAJ&amp;pg=PT71&amp;lpg=PT71&amp;dq=patrick+sherrill+older+brother&amp;source=bl&amp;ots=P-F6sLNp9_&amp;sig=ACfU3U3UirvTzkaI0bsxNrBUZyo_hKLpHg&amp;hl=en&amp;sa=X&amp;ved=2ahUKEwiQrKW84oboAhXaWM0KHQWYASgQ6AEwDnoECAoQAQ - v=onepage&amp;q=patrick%20sherrill&quot;&amp;&quot;%20older%20brother&amp;f=false" xr:uid="{19C32072-2C9C-438C-BA94-DA8E71B79160}"/>
    <hyperlink ref="AG34" r:id="rId1963" location="v=onepage&amp;q=patrick%20sherrill&quot;&amp;&quot;%20older%20brother&amp;f=false" display="https://books.google.com/books?id=cy_wBQAAQBAJ&amp;pg=PT71&amp;lpg=PT71&amp;dq=patrick+sherrill+older+brother&amp;source=bl&amp;ots=P-F6sLNp9_&amp;sig=ACfU3U3UirvTzkaI0bsxNrBUZyo_hKLpHg&amp;hl=en&amp;sa=X&amp;ved=2ahUKEwiQrKW84oboAhXaWM0KHQWYASgQ6AEwDnoECAoQAQ - v=onepage&amp;q=patrick%20sherrill&quot;&amp;&quot;%20older%20brother&amp;f=false" xr:uid="{D2A1496E-D90C-4FB4-AA01-ED27EAC2CFE1}"/>
    <hyperlink ref="AH34" r:id="rId1964" location="v=onepage&amp;q=patrick%20sherrill&quot;&amp;&quot;%20older%20brother&amp;f=false" display="https://books.google.com/books?id=cy_wBQAAQBAJ&amp;pg=PT71&amp;lpg=PT71&amp;dq=patrick+sherrill+older+brother&amp;source=bl&amp;ots=P-F6sLNp9_&amp;sig=ACfU3U3UirvTzkaI0bsxNrBUZyo_hKLpHg&amp;hl=en&amp;sa=X&amp;ved=2ahUKEwiQrKW84oboAhXaWM0KHQWYASgQ6AEwDnoECAoQAQ - v=onepage&amp;q=patrick%20sherrill&quot;&amp;&quot;%20older%20brother&amp;f=false" xr:uid="{B65477C3-3C23-4D61-AE18-CA27EADAAB2E}"/>
    <hyperlink ref="AD34" r:id="rId1965" location="v=onepage&amp;q=patrick%20sherrill&quot;&amp;&quot;%20older%20brother&amp;f=false" xr:uid="{84C2FA07-A498-4B0B-ACA7-6F4FD820F7ED}"/>
    <hyperlink ref="AE36" r:id="rId1966" location="v=onepage&amp;q=richard%20farley%20shoo&quot;&amp;&quot;%22&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22&amp;f=false" xr:uid="{427A0F90-9D6D-4D12-87DB-B8030344B623}"/>
    <hyperlink ref="AF36" r:id="rId1967" location="v=onepage&amp;q=richard%20farley%20shoo&quot;&amp;&quot;%22&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22&amp;f=false" xr:uid="{370E5FB5-C292-4061-8284-2E7ACA1608B3}"/>
    <hyperlink ref="AG36" r:id="rId1968" location="v=onepage&amp;q=richard%20farley%20shoo&quot;&amp;&quot;%22&amp;f=false" display="v=onepage&amp;q=richard%20farley%20shoo&quot;&amp;&quot;%22&amp;f=false" xr:uid="{9BF00611-58FA-4E02-BBE8-055FD5105146}"/>
    <hyperlink ref="AH36" r:id="rId1969" location="v=onepage&amp;q=richard%20farley%20shoo&quot;&amp;&quot;%22&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22&amp;f=false" xr:uid="{4A2AE9DD-E7BD-4DA3-98FB-AEB9E897E3DC}"/>
    <hyperlink ref="CD30" r:id="rId1970" location="v=onepage&amp;q=abdelkri&quot;&amp;&quot;m%20belachheb%20psychiatric%20hospital&amp;f=false" display="https://books.google.com/books?id=Hr3OBwP-lbUC&amp;pg=PA73&amp;lpg=PA73&amp;dq=abdelkrim+belachheb+psychiatric+hospital&amp;source=bl&amp;ots=D79qicMtnl&amp;sig=ACfU3U0xAqTIjC8KPA-HjDkLC-rH21j6HQ&amp;hl=en&amp;sa=X&amp;ved=2ahUKEwiT267F6O_nAhXkB50JHfKtB1oQ6AEwA3oECAoQAQ - v=onepage&amp;q=abdelkri&quot;&amp;&quot;m%20belachheb%20psychiatric%20hospital&amp;f=false" xr:uid="{5464879C-C033-4B43-A9E4-B684E1CEB9C7}"/>
    <hyperlink ref="BE34" r:id="rId1971" location="v=onepage&amp;q=patrick%20sherrill&quot;&amp;&quot;%20older%20brother&amp;f=false" display="https://books.google.com/books?id=cy_wBQAAQBAJ&amp;pg=PT71&amp;lpg=PT71&amp;dq=patrick+sherrill+older+brother&amp;source=bl&amp;ots=P-F6sLNp9_&amp;sig=ACfU3U3UirvTzkaI0bsxNrBUZyo_hKLpHg&amp;hl=en&amp;sa=X&amp;ved=2ahUKEwiQrKW84oboAhXaWM0KHQWYASgQ6AEwDnoECAoQAQ - v=onepage&amp;q=patrick%20sherrill&quot;&amp;&quot;%20older%20brother&amp;f=false" xr:uid="{C93FEDCD-F401-496F-9F85-08C2158D813E}"/>
    <hyperlink ref="BF34" r:id="rId1972" location="v=onepage&amp;q=patrick%20sherrill&quot;&amp;&quot;%20older%20brother&amp;f=false" display="https://books.google.com/books?id=cy_wBQAAQBAJ&amp;pg=PT71&amp;lpg=PT71&amp;dq=patrick+sherrill+older+brother&amp;source=bl&amp;ots=P-F6sLNp9_&amp;sig=ACfU3U3UirvTzkaI0bsxNrBUZyo_hKLpHg&amp;hl=en&amp;sa=X&amp;ved=2ahUKEwiQrKW84oboAhXaWM0KHQWYASgQ6AEwDnoECAoQAQ - v=onepage&amp;q=patrick%20sherrill&quot;&amp;&quot;%20older%20brother&amp;f=false" xr:uid="{58B10DDA-3A53-4626-B5C0-7CFA1D860548}"/>
    <hyperlink ref="BG34" r:id="rId1973" location="v=onepage&amp;q=patrick%20sherrill&quot;&amp;&quot;%20older%20brother&amp;f=false" display="https://books.google.com/books?id=cy_wBQAAQBAJ&amp;pg=PT71&amp;lpg=PT71&amp;dq=patrick+sherrill+older+brother&amp;source=bl&amp;ots=P-F6sLNp9_&amp;sig=ACfU3U3UirvTzkaI0bsxNrBUZyo_hKLpHg&amp;hl=en&amp;sa=X&amp;ved=2ahUKEwiQrKW84oboAhXaWM0KHQWYASgQ6AEwDnoECAoQAQ - v=onepage&amp;q=patrick%20sherrill&quot;&amp;&quot;%20older%20brother&amp;f=false" xr:uid="{E274D118-7D32-4ED6-8BAF-046473AE8B97}"/>
    <hyperlink ref="CB36" r:id="rId1974" location="v=onepage&amp;q=richard%20farley%20shoo&quot;&amp;&quot;%22&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22&amp;f=false" xr:uid="{671EAF5F-C44B-46A3-A97F-05935E31F89A}"/>
    <hyperlink ref="CD36" r:id="rId1975" location="v=onepage&amp;q=richard%20farley%20shoo&quot;&amp;&quot;%22&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22&amp;f=false" xr:uid="{C7FB5BD9-3E61-42D0-B67C-105E7FA299BC}"/>
    <hyperlink ref="CF34" r:id="rId1976" location="v=onepage&amp;q=mentally%20ill&amp;f=f&quot;&amp;&quot;alse" display="https://books.google.com/books?id=cy_wBQAAQBAJ&amp;pg=PT71&amp;lpg=PT71&amp;dq=patrick+sherrill+older+brother&amp;source=bl&amp;ots=P-F6sLNp9_&amp;sig=ACfU3U3UirvTzkaI0bsxNrBUZyo_hKLpHg&amp;hl=en&amp;sa=X&amp;ved=2ahUKEwiQrKW84oboAhXaWM0KHQWYASgQ6AEwDnoECAoQAQ - v=onepage&amp;q=mentally%20ill&amp;f=f&quot;&amp;&quot;alse" xr:uid="{371F3AB0-194B-45C2-8D60-6DF898EDFC62}"/>
    <hyperlink ref="CA50" r:id="rId1977" location="v=onepa&quot;&amp;&quot;ge&amp;q=lynwood%20drake&amp;f=false" display="v=onepa&quot;&amp;&quot;ge&amp;q=lynwood%20drake&amp;f=false" xr:uid="{2216D8CE-3F7C-4B5A-AC39-E289968C3222}"/>
    <hyperlink ref="CA57" r:id="rId1978" display="https://www.google.com/books/edition/Cases_Reported/tKIWmLnYO5oC?hl=en&amp;gbpv=1&amp;dq=dean+mellberg+family+history+mental+illness&amp;pg=PA790&amp;printsec=frontcover" xr:uid="{080CBD3D-84FF-4663-8A72-ED89476F5028}"/>
    <hyperlink ref="CB57" r:id="rId1979" location="v=onepage&amp;q=dea&quot;&amp;&quot;n%20mellberg%20family%20history%20mental%20illness&amp;f=false" display="https://books.google.com/books?id=tKIWmLnYO5oC&amp;pg=PA790&amp;lpg=PA790&amp;dq=dean+mellberg+family+history+mental+illness&amp;source=bl&amp;ots=mMWIliitWh&amp;sig=ACfU3U0m2AxhqKMl5W2XB-ne0YrnX--c9A&amp;hl=en&amp;sa=X&amp;ved=2ahUKEwiNm7it55LoAhUEY6wKHe0iD9wQ6AEwBXoECAoQAQ - v=onepage&amp;q=dea&quot;&amp;&quot;n%20mellberg%20family%20history%20mental%20illness&amp;f=false" xr:uid="{7B4095DD-24EE-4C56-B31D-718835771004}"/>
    <hyperlink ref="CD68" r:id="rId1980" location="v=onepage&amp;q=matthew%20beck%20shooting&quot;&amp;&quot;%20march%206%201998&amp;f=false" display="https://books.google.com/books?id=3ewAoOHQQzcC&amp;pg=PA158&amp;lpg=PA158&amp;dq=matthew+beck+shooting+march+6+1998&amp;source=bl&amp;ots=FyjXTPh7sz&amp;sig=qN7NzBuWHk2XbdHNZgZAMYsS6YY&amp;hl=en&amp;sa=X&amp;ved=0ahUKEwj_7cuqhufYAhUJ7awKHU7JAa0Q6AEIOTAD - v=onepage&amp;q=matthew%20beck%20shooting&quot;&amp;&quot;%20march%206%201998&amp;f=false" xr:uid="{E206C50D-01C1-44B2-82DB-04C959198F5B}"/>
    <hyperlink ref="BB71" r:id="rId1981" location="v=onepage&amp;q=kip%20kink&quot;&amp;&quot;el%20shooting%20video%20games%20doom&amp;f=false" display="https://books.google.com/books?id=UEVWCHCuckMC&amp;pg=PA188&amp;lpg=PA188&amp;dq=kip+kinkel+shooting+video+games+doom&amp;source=bl&amp;ots=L7UppAZQyP&amp;sig=ACfU3U1Jwz6hA7arzD-cuQip9nhGOeCl1g&amp;hl=en&amp;sa=X&amp;ved=2ahUKEwiS96W3vMfoAhUPOs0KHTWZBegQ6AEwA3oECAkQKA - v=onepage&amp;q=kip%20kink&quot;&amp;&quot;el%20shooting%20video%20games%20doom&amp;f=false" xr:uid="{91395EB7-868B-429E-98AF-08F80360C0E6}"/>
    <hyperlink ref="CI73" r:id="rId1982" location="v=onepage&amp;q=dylan%20klebold%20&quot;&amp;&quot;pyloric%20stenosis&amp;f=false" display="https://books.google.com/books?id=yfnbDQAAQBAJ&amp;pg=PA56&amp;lpg=PA56&amp;dq=dylan+klebold+pyloric+stenosis&amp;source=bl&amp;ots=Tvf7U3dfgt&amp;sig=ACfU3U1V55j6Gaq2MaSU9umJdTBmO3CfJw&amp;hl=en&amp;sa=X&amp;ved=2ahUKEwjLpIWdz5DoAhVSHM0KHbUgABQQ6AEwAXoECAsQAQ - v=onepage&amp;q=dylan%20klebold%20&quot;&amp;&quot;pyloric%20stenosis&amp;f=false" xr:uid="{A5DB544B-9393-4E12-A46B-7B6C805AE62F}"/>
    <hyperlink ref="CJ73" r:id="rId1983" location="v=onepage&amp;q=dylan%20klebold%20&quot;&amp;&quot;pyloric%20stenosis&amp;f=false" xr:uid="{70BB4B7D-1913-43A1-8B7D-34F440AA98A8}"/>
    <hyperlink ref="BA81" r:id="rId1984" location="v=onepage&amp;q=richard%20b&quot;&amp;&quot;aumhammers%20free%20market%20party&amp;f=false" display="v=onepage&amp;q=richard%20b&quot;&amp;&quot;aumhammers%20free%20market%20party&amp;f=false" xr:uid="{8E117116-C096-44ED-A666-AFEF11D01EBD}"/>
    <hyperlink ref="AE96" r:id="rId1985" location="v=onepage&amp;q=terry%20ratzmann%20&quot;&amp;&quot;oldest%20child&amp;f=false" display="https://books.google.com/books?id=MzhVs1852I0C&amp;pg=PA122&amp;lpg=PA122&amp;dq=terry+ratzmann+oldest+child&amp;source=bl&amp;ots=uwlfHvLdlF&amp;sig=ACfU3U0Ot1iDHGbzXX8a3RAXg1psvshOEw&amp;hl=en&amp;sa=X&amp;ved=2ahUKEwjL0_SyqpDoAhUFZc0KHQl6CGIQ6AEwC3oECAsQAQ - v=onepage&amp;q=terry%20ratzmann%20&quot;&amp;&quot;oldest%20child&amp;f=false" xr:uid="{92D20859-CAC3-418B-9043-9E8D2DB3ABC2}"/>
    <hyperlink ref="AG96" r:id="rId1986" location="v=onepage&amp;q=terry%20ratzmann%20&quot;&amp;&quot;oldest%20child&amp;f=false" display="https://books.google.com/books?id=MzhVs1852I0C&amp;pg=PA122&amp;lpg=PA122&amp;dq=terry+ratzmann+oldest+child&amp;source=bl&amp;ots=uwlfHvLdlF&amp;sig=ACfU3U0Ot1iDHGbzXX8a3RAXg1psvshOEw&amp;hl=en&amp;sa=X&amp;ved=2ahUKEwjL0_SyqpDoAhUFZc0KHQl6CGIQ6AEwC3oECAsQAQ - v=onepage&amp;q=terry%20ratzmann%20&quot;&amp;&quot;oldest%20child&amp;f=false" xr:uid="{63A6CDDF-F83C-4656-9FAD-11D55956B26F}"/>
    <hyperlink ref="BE116" r:id="rId1987" location="v=onepage&amp;q=maurice%20clemmons%2&quot;&amp;&quot;0childhood&amp;f=false" display="https://books.google.com/books?id=ms5s4g_e6zEC&amp;pg=PA191&amp;lpg=PA191&amp;dq=maurice+clemmons+childhood&amp;source=bl&amp;ots=xZXMNp_4yR&amp;sig=ACfU3U1yCsYo7senIGlVGcQJBbEmmHBi8w&amp;hl=en&amp;sa=X&amp;ved=2ahUKEwi2nobf7f7nAhWoIjQIHaJEBe8Q6AEwCXoECA0QAQ - v=onepage&amp;q=maurice%20clemmons%2&quot;&amp;&quot;0childhood&amp;f=false" xr:uid="{176A39E8-3A52-4C80-B31E-C73B8A48DCE6}"/>
    <hyperlink ref="AE126" r:id="rId1988" location="v=onepage&amp;q=one%20goh%20older%20brot&quot;&amp;&quot;hers&amp;f=false" display="https://books.google.com/books?id=SMexDwAAQBAJ&amp;pg=PA296&amp;lpg=PA296&amp;dq=one+goh+older+brothers&amp;source=bl&amp;ots=-4-pHOiO6V&amp;sig=ACfU3U2540CY121ivQRTH01uHVG-FRUazQ&amp;hl=en&amp;sa=X&amp;ved=2ahUKEwikr4Lznf_nAhVVnp4KHQh4DM0Q6AEwAnoECAkQAQ - v=onepage&amp;q=one%20goh%20older%20brot&quot;&amp;&quot;hers&amp;f=false" xr:uid="{FFE9D102-5486-436C-A392-FBDFF7B0B9CB}"/>
    <hyperlink ref="AF126" r:id="rId1989" location="v=onepage&amp;q=one%20goh%20older%20brot&quot;&amp;&quot;hers&amp;f=false" display="https://books.google.com/books?id=SMexDwAAQBAJ&amp;pg=PA296&amp;lpg=PA296&amp;dq=one+goh+older+brothers&amp;source=bl&amp;ots=-4-pHOiO6V&amp;sig=ACfU3U2540CY121ivQRTH01uHVG-FRUazQ&amp;hl=en&amp;sa=X&amp;ved=2ahUKEwikr4Lznf_nAhVVnp4KHQh4DM0Q6AEwAnoECAkQAQ - v=onepage&amp;q=one%20goh%20older%20brot&quot;&amp;&quot;hers&amp;f=false" xr:uid="{4EC145D3-EF5A-42DC-A7AD-2DAD1A74E6C7}"/>
    <hyperlink ref="AG126" r:id="rId1990" location="v=onepage&amp;q=one%20goh%20older%20brot&quot;&amp;&quot;hers&amp;f=false" display="https://books.google.com/books?id=SMexDwAAQBAJ&amp;pg=PA296&amp;lpg=PA296&amp;dq=one+goh+older+brothers&amp;source=bl&amp;ots=-4-pHOiO6V&amp;sig=ACfU3U2540CY121ivQRTH01uHVG-FRUazQ&amp;hl=en&amp;sa=X&amp;ved=2ahUKEwikr4Lznf_nAhVVnp4KHQh4DM0Q6AEwAnoECAkQAQ - v=onepage&amp;q=one%20goh%20older%20brot&quot;&amp;&quot;hers&amp;f=false" xr:uid="{6C109A6A-585D-4EA0-8288-3A45069A4A05}"/>
    <hyperlink ref="AH126" r:id="rId1991" location="v=onepage&amp;q=one%20goh%20older%20brot&quot;&amp;&quot;hers&amp;f=false" display="https://books.google.com/books?id=SMexDwAAQBAJ&amp;pg=PA296&amp;lpg=PA296&amp;dq=one+goh+older+brothers&amp;source=bl&amp;ots=-4-pHOiO6V&amp;sig=ACfU3U2540CY121ivQRTH01uHVG-FRUazQ&amp;hl=en&amp;sa=X&amp;ved=2ahUKEwikr4Lznf_nAhVVnp4KHQh4DM0Q6AEwAnoECAkQAQ - v=onepage&amp;q=one%20goh%20older%20brot&quot;&amp;&quot;hers&amp;f=false" xr:uid="{43DD3D25-CB33-45B9-9909-696CE3FF5430}"/>
    <hyperlink ref="Q3" r:id="rId1992" display="https://www.washingtonpost.com/sf/local/2016/07/31/the-loaded-legacy-of-the-ut-tower-shooting/" xr:uid="{C84C1412-4115-494B-A04E-BE02F2EA6A74}"/>
    <hyperlink ref="R3" r:id="rId1993" display="https://www.washingtonpost.com/sf/local/2016/07/31/the-loaded-legacy-of-the-ut-tower-shooting/" xr:uid="{10622507-CD93-492D-BA0D-90C8A6945C6D}"/>
    <hyperlink ref="Q4" r:id="rId1994" display="https://www.nydailynews.com/news/crime/beauty-salon-massacre-article-1.273663" xr:uid="{F81314A2-231F-44E0-B5FF-9F81272397AE}"/>
    <hyperlink ref="R4" r:id="rId1995" display="https://www.nydailynews.com/news/crime/beauty-salon-massacre-article-1.273663" xr:uid="{C340EF71-9E89-4EBF-B4A3-7880C220A2D7}"/>
    <hyperlink ref="Q5" r:id="rId1996" display="https://www.nydailynews.com/news/crime/experts-clueless-man-fatally-shot-50-years-article-1.3548519" xr:uid="{8356AD50-5D9B-4974-8421-31319A2AC94D}"/>
    <hyperlink ref="R5" r:id="rId1997" display="https://www.nydailynews.com/news/crime/experts-clueless-man-fatally-shot-50-years-article-1.3548519" xr:uid="{94682895-1F37-4541-95D4-59F5E152CC3B}"/>
    <hyperlink ref="Q6" r:id="rId1998" display="https://news.google.com/newspapers?id=ZRgMAAAAIBAJ&amp;sjid=rlwDAAAAIBAJ&amp;pg=6550,4991780&amp;dq=&amp;hl=en" xr:uid="{3DE9AB5C-B38E-43EB-A5E0-E7DF26CCA06B}"/>
    <hyperlink ref="R6" r:id="rId1999" display="https://news.google.com/newspapers?id=ZRgMAAAAIBAJ&amp;sjid=rlwDAAAAIBAJ&amp;pg=6550,4991780&amp;dq=&amp;hl=en" xr:uid="{ECCFCDD7-D4C1-478F-9F98-DD160D4934DA}"/>
    <hyperlink ref="Q7" r:id="rId2000" display="https://newspaperarchive.com/hillsdale-daily-news-apr-07-1969-p-1/" xr:uid="{5823C604-BCD8-460D-BD7A-C5BFD9D82019}"/>
    <hyperlink ref="R7" r:id="rId2001" display="https://newspaperarchive.com/hillsdale-daily-news-apr-07-1969-p-1/" xr:uid="{DD2CFC19-4180-4B7E-A50F-0ED461059DDA}"/>
    <hyperlink ref="Q8" r:id="rId2002" display="https://www.nytimes.com/1970/09/24/archives/state-employe-kills-4-coworkers-and-himself-in-albany-office.html" xr:uid="{AB0720D2-75A8-4702-8641-E16EAD1CEEA9}"/>
    <hyperlink ref="R8" r:id="rId2003" display="https://www.nytimes.com/1970/09/24/archives/state-employe-kills-4-coworkers-and-himself-in-albany-office.html" xr:uid="{D4017E89-F176-4B99-877C-2AA41E70765E}"/>
    <hyperlink ref="Q9" r:id="rId2004" display="https://www.nytimes.com/1972/05/30/archives/gunman-slays-3-in-shopping-mall-wounds-8-and-then-kills-himself.html" xr:uid="{C8EB6702-C9C6-4F66-86AB-B5B57FA0A005}"/>
    <hyperlink ref="R9" r:id="rId2005" display="https://www.nytimes.com/1972/05/30/archives/gunman-slays-3-in-shopping-mall-wounds-8-and-then-kills-himself.html" xr:uid="{62FC7494-484D-4DD6-AAC3-720F2511FA8B}"/>
    <hyperlink ref="Q10" r:id="rId2006" display="https://www.nytimes.com/1972/06/23/archives/anger-with-employment-agency-is-cited-as-gunmans-motivation-for.html" xr:uid="{CD21EB3E-FEBD-4DD6-B34E-39A4BE92BAB0}"/>
    <hyperlink ref="R10" r:id="rId2007" display="https://www.nytimes.com/1972/06/23/archives/anger-with-employment-agency-is-cited-as-gunmans-motivation-for.html" xr:uid="{3E58EBC0-11F0-4729-B7C4-358ED33B6723}"/>
    <hyperlink ref="Q11" r:id="rId2008" display="http://www.crimemagazine.com/sniper-mark-essex" xr:uid="{5CDCB023-7E60-47E0-9B1F-E31D08FB9AB0}"/>
    <hyperlink ref="R11" r:id="rId2009" display="http://www.crimemagazine.com/sniper-mark-essex" xr:uid="{5DD2185F-1DEB-49FC-AB9E-7807CFDED939}"/>
    <hyperlink ref="Q13" r:id="rId2010" display="https://www.latimes.com/socal/weekend/news/tn-wknd-et-0703-cal-state-fullerton-memorial-20160702-story.html" xr:uid="{26528EF2-8ED4-4F96-AE27-E42CAEABD6D3}"/>
    <hyperlink ref="R13" r:id="rId2011" display="https://www.latimes.com/socal/weekend/news/tn-wknd-et-0703-cal-state-fullerton-memorial-20160702-story.html" xr:uid="{E16DBB72-5EB0-4CC3-B76F-1B1813BC1BC0}"/>
    <hyperlink ref="Q14" r:id="rId2012" display="https://www.nytimes.com/1977/02/15/archives/nazi-admirer-also-wounds-5-in-wild-attack-followed-by-a-siege-at.html" xr:uid="{27551A6F-0D45-47D7-B833-3902B629D5DB}"/>
    <hyperlink ref="R14" r:id="rId2013" display="https://www.nytimes.com/1977/02/15/archives/nazi-admirer-also-wounds-5-in-wild-attack-followed-by-a-siege-at.html" xr:uid="{B6A5BF03-2ADC-492A-8962-C87E758E2237}"/>
    <hyperlink ref="Q15" r:id="rId2014" location="v=onepage&amp;q=dewitt%20henry%20Oregon&amp;f=false" display="https://books.google.com/books?id=sdd3ihupC_AC&amp;pg=PA102&amp;lpg=PA102&amp;dq=dewitt+henry+Oregon&amp;source=bl&amp;ots=z5RZDR5AY0&amp;sig=fkhOTQ4bBGZ_KfVqm4tp6TfvhBU&amp;hl=en&amp;sa=X&amp;ved=0ahUKEwj05J7qyZvZAhVKIqwKHRZADU44ChDoAQhZMA8 - v=onepage&amp;q=dewitt%20henry%20Oregon&amp;f=false" xr:uid="{FB5721B9-26FC-4D3E-ACCB-9785135B3626}"/>
    <hyperlink ref="R15" r:id="rId2015" location="v=onepage&amp;q=dewitt%20henry%20Oregon&amp;f=false" display="https://books.google.com/books?id=sdd3ihupC_AC&amp;pg=PA102&amp;lpg=PA102&amp;dq=dewitt+henry+Oregon&amp;source=bl&amp;ots=z5RZDR5AY0&amp;sig=fkhOTQ4bBGZ_KfVqm4tp6TfvhBU&amp;hl=en&amp;sa=X&amp;ved=0ahUKEwj05J7qyZvZAhVKIqwKHRZADU44ChDoAQhZMA8 - v=onepage&amp;q=dewitt%20henry%20Oregon&amp;f=false" xr:uid="{438B2614-EEEA-4BD2-81B0-B714AE794E2B}"/>
    <hyperlink ref="Q16" r:id="rId2016" display="https://www.nytimes.com/1977/08/28/archives/police-feel-sniper-killed-6-at-random-authorities-at-loss-for-a.html" xr:uid="{702959DF-6631-4FCA-B369-7577E71C730A}"/>
    <hyperlink ref="R16" r:id="rId2017" display="https://www.nytimes.com/1977/08/28/archives/police-feel-sniper-killed-6-at-random-authorities-at-loss-for-a.html" xr:uid="{6F39403F-C6F8-4061-A970-481DBAA67341}"/>
    <hyperlink ref="Q17" r:id="rId2018" display="https://www.upi.com/Archives/1987/09/02/Former-cook-convicted-in-restaurant-massacre/2502557553600/" xr:uid="{C1EDED26-081E-406E-AB8A-700E3CC8FC0C}"/>
    <hyperlink ref="R17" r:id="rId2019" display="https://www.upi.com/Archives/1987/09/02/Former-cook-convicted-in-restaurant-massacre/2502557553600/" xr:uid="{5789A739-87D5-45D7-B91C-4D1C941F7A82}"/>
    <hyperlink ref="Q18" r:id="rId2020" display="http://fultonhistory.com/Newspaper 11/Geneva NY Finger Lake Times/Geneva NY Finger Lake Times 1980 Feb 1980/Geneva NY Finger Lake Times 1980 Feb 1980 - 0064.pdf" xr:uid="{2E59E64E-6558-46AC-8F3D-4070B00CB278}"/>
    <hyperlink ref="R18" r:id="rId2021" display="http://fultonhistory.com/Newspaper 11/Geneva NY Finger Lake Times/Geneva NY Finger Lake Times 1980 Feb 1980/Geneva NY Finger Lake Times 1980 Feb 1980 - 0064.pdf" xr:uid="{5DC89054-0922-4CEE-992C-D60F1BF53B5D}"/>
    <hyperlink ref="Q19" r:id="rId2022" display="https://news.google.com/newspapers?id=xtNWAAAAIBAJ&amp;sjid=O_kDAAAAIBAJ&amp;pg=5283%2C2408948" xr:uid="{0E666F1D-A649-4BDD-B418-A68673859E06}"/>
    <hyperlink ref="R19" r:id="rId2023" display="https://news.google.com/newspapers?id=xtNWAAAAIBAJ&amp;sjid=O_kDAAAAIBAJ&amp;pg=5283%2C2408948" xr:uid="{9B911378-C87F-4F1B-9E2A-397DC3D3FF87}"/>
    <hyperlink ref="Q20" r:id="rId2024" display="https://www.newspapers.com/image/?clipping_id=15631009&amp;fcfToken=eyJhbGciOiJIUzI1NiIsInR5cCI6IkpXVCJ9.eyJmcmVlLXZpZXctaWQiOjE3Mzk0Njg2MSwiaWF0IjoxNTY4Mzk3NzkwLCJleHAiOjE1Njg0ODQxOTB9.TNb3lTHrUhjeg4la5IOgT9nXTqOZfrfFoEvlWIsAQ3o" xr:uid="{49205FD2-510D-4211-BA22-8A8CA4AECCA3}"/>
    <hyperlink ref="R20" r:id="rId2025" display="https://www.newspapers.com/image/?clipping_id=15631009&amp;fcfToken=eyJhbGciOiJIUzI1NiIsInR5cCI6IkpXVCJ9.eyJmcmVlLXZpZXctaWQiOjE3Mzk0Njg2MSwiaWF0IjoxNTY4Mzk3NzkwLCJleHAiOjE1Njg0ODQxOTB9.TNb3lTHrUhjeg4la5IOgT9nXTqOZfrfFoEvlWIsAQ3o" xr:uid="{61D6C049-F5C0-48FA-96D4-53484BDA4529}"/>
    <hyperlink ref="Q21" r:id="rId2026" display="https://www.nytimes.com/1981/05/09/us/four-slain-and-20-wounded-in-bar-as-oregon-man-shoots-into-crowd.html" xr:uid="{716C20E0-1A7F-45C8-A703-D54DB3FF03AE}"/>
    <hyperlink ref="R21" r:id="rId2027" display="https://www.nytimes.com/1981/05/09/us/four-slain-and-20-wounded-in-bar-as-oregon-man-shoots-into-crowd.html" xr:uid="{C05141B6-3571-431D-8470-35D192E24CB1}"/>
    <hyperlink ref="Q22" r:id="rId2028" display="https://www.upi.com/Archives/1981/10/16/A-gunman-burst-into-an-auto-parts-store-Friday/9402372052800/" xr:uid="{B7E63E96-B3C6-446F-857C-19522B62A818}"/>
    <hyperlink ref="R22" r:id="rId2029" display="https://www.upi.com/Archives/1981/10/16/A-gunman-burst-into-an-auto-parts-store-Friday/9402372052800/" xr:uid="{C525BB64-9605-4699-BCBF-83917B095623}"/>
    <hyperlink ref="Q23" r:id="rId2030"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E4046111-FF41-46E5-808A-39EDBD021A05}"/>
    <hyperlink ref="R23" r:id="rId2031"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5F0737F6-D9D2-4862-8184-5C8BD45B3E0E}"/>
    <hyperlink ref="Q24" r:id="rId2032" display="https://www.upi.com/Archives/1982/08/09/Yes-I-know-hes-killing-people/2899397713600/" xr:uid="{CBE4D00F-DA59-45B9-8963-C51A4E8D6244}"/>
    <hyperlink ref="R24" r:id="rId2033" display="https://www.upi.com/Archives/1982/08/09/Yes-I-know-hes-killing-people/2899397713600/" xr:uid="{3FF4C39D-F0CF-434A-80F5-B2D2ADB70492}"/>
    <hyperlink ref="Q25" r:id="rId2034" display="https://www.nytimes.com/1982/08/24/us/no-charges-planned-against-miami-man-who-shot-gunman.html" xr:uid="{CDB9DD21-9457-496B-97AF-56A39A3F930D}"/>
    <hyperlink ref="R25" r:id="rId2035" display="https://www.nytimes.com/1982/08/24/us/no-charges-planned-against-miami-man-who-shot-gunman.html" xr:uid="{A486204D-A08A-4185-834E-D66492FC0801}"/>
    <hyperlink ref="Q26" r:id="rId2036" display="https://www.nytimes.com/1983/02/04/nyregion/gunman-kills-four-and-wounds-a-fifth-at-a-west-side-hotel.html" xr:uid="{0A2E72DA-24AC-42E7-86DB-EC00BB9C1B78}"/>
    <hyperlink ref="R26" r:id="rId2037" display="https://www.nytimes.com/1983/02/04/nyregion/gunman-kills-four-and-wounds-a-fifth-at-a-west-side-hotel.html" xr:uid="{CF66800E-AD28-4DC3-B9E5-6D14F3272519}"/>
    <hyperlink ref="Q28" r:id="rId2038" display="https://www.upi.com/Archives/1983/10/12/Multiple-charges-filed-in-murder-kidnapping-spree/9012434779200/" xr:uid="{69DF5E9E-5ED9-40B3-A663-C6D76B76E8C7}"/>
    <hyperlink ref="R28" r:id="rId2039" display="https://www.upi.com/Archives/1983/10/12/Multiple-charges-filed-in-murder-kidnapping-spree/9012434779200/" xr:uid="{F782CE64-22A2-4DF8-95EE-FB73D20236C6}"/>
    <hyperlink ref="Q29" r:id="rId2040"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4B772237-7780-42DD-8102-F9B9ED353A30}"/>
    <hyperlink ref="R29" r:id="rId2041"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D0D029D3-D9C6-4CB4-9364-5B3A61C712D2}"/>
    <hyperlink ref="Q30" r:id="rId2042" display="https://www.nytimes.com/1984/06/30/us/6-die-in-dallas-club-as-enraged-man-fires-wildly.html?mcubz=0" xr:uid="{C48C3C4F-98A4-4FE1-B0D8-2F140C1D6176}"/>
    <hyperlink ref="R30" r:id="rId2043" display="https://www.nytimes.com/1984/06/30/us/6-die-in-dallas-club-as-enraged-man-fires-wildly.html?mcubz=0" xr:uid="{DA333EBC-DE3B-42C0-B377-77B8B3E8C64A}"/>
    <hyperlink ref="Q31" r:id="rId2044" display="https://www.nytimes.com/1984/07/19/us/coast-man-kills-20-in-rampage-at-a-restaurant.html" xr:uid="{D2C8CA15-7167-4D93-8E52-40ABC623B3DA}"/>
    <hyperlink ref="R31" r:id="rId2045" display="https://www.nytimes.com/1984/07/19/us/coast-man-kills-20-in-rampage-at-a-restaurant.html" xr:uid="{77C3F828-E424-4C7A-89A6-3FC10F46275E}"/>
    <hyperlink ref="Q32" r:id="rId2046" display="https://www.upi.com/Archives/1984/07/25/A-gunman-who-killed-four-people-and-wounded-another/3627459576000/" xr:uid="{3A6ADEEA-983A-42B4-99D2-00FC6A3DEB22}"/>
    <hyperlink ref="R32" r:id="rId2047" display="https://www.upi.com/Archives/1984/07/25/A-gunman-who-killed-four-people-and-wounded-another/3627459576000/" xr:uid="{CA4E1910-3B74-4489-B963-35CD245F6D97}"/>
    <hyperlink ref="Q33" r:id="rId2048" display="https://www.chicagotribune.com/news/ct-xpm-1985-03-17-8501150150-story.html" xr:uid="{3C5679C7-8ADF-4450-A1F7-867DBDA46640}"/>
    <hyperlink ref="R33" r:id="rId2049" display="https://www.chicagotribune.com/news/ct-xpm-1985-03-17-8501150150-story.html" xr:uid="{A515866A-35E4-4058-8DCE-E6529F366E95}"/>
    <hyperlink ref="Q34" r:id="rId2050" display="https://www.latimes.com/archives/la-xpm-1986-08-21-mn-17529-story.html" xr:uid="{BF66A910-DBE5-458B-8CA5-F1623ACD2945}"/>
    <hyperlink ref="R34" r:id="rId2051" display="https://www.latimes.com/archives/la-xpm-1986-08-21-mn-17529-story.html" xr:uid="{47C5E445-9F6A-4EA4-84B7-526D94774ED5}"/>
    <hyperlink ref="Q35" r:id="rId2052" display="https://www.latimes.com/archives/la-xpm-1987-04-25-mn-990-story.html" xr:uid="{C2AE994B-57A0-4C58-BE3C-DC19A56F145A}"/>
    <hyperlink ref="R35" r:id="rId2053" display="https://www.latimes.com/archives/la-xpm-1987-04-25-mn-990-story.html" xr:uid="{CF9C739D-CA05-4235-82D8-A863C59221C2}"/>
    <hyperlink ref="Q36" r:id="rId2054" display="https://www.washingtonpost.com/archive/politics/1988/02/18/sudden-death-in-sunnyvale/4f50e5d7-0804-4a56-a2af-ced693c3b577/" xr:uid="{FBFACEAC-240C-4CD1-9214-7A8D509A5F3B}"/>
    <hyperlink ref="R36" r:id="rId2055" display="https://www.washingtonpost.com/archive/politics/1988/02/18/sudden-death-in-sunnyvale/4f50e5d7-0804-4a56-a2af-ced693c3b577/" xr:uid="{016AD325-8ED2-42BD-A337-8B980DD6A388}"/>
    <hyperlink ref="Q37" r:id="rId2056" display="https://www.nytimes.com/1988/07/19/us/four-motorists-are-shot-to-death-gunman-wounded-in-12-minutes.html" xr:uid="{F4EC8988-A1CC-4232-958F-71434F4DD26E}"/>
    <hyperlink ref="R37" r:id="rId2057" display="https://www.nytimes.com/1988/07/19/us/four-motorists-are-shot-to-death-gunman-wounded-in-12-minutes.html" xr:uid="{CF5A3C80-BEF5-47E6-B5A1-D4C6D06B6E65}"/>
    <hyperlink ref="Q38" r:id="rId2058" display="https://www.chicagotribune.com/news/ct-xpm-1988-09-23-8802010552-story.html" xr:uid="{F4736F3F-9ADB-468E-B3EC-D191BEF897D1}"/>
    <hyperlink ref="R38" r:id="rId2059" display="https://www.chicagotribune.com/news/ct-xpm-1988-09-23-8802010552-story.html" xr:uid="{991F2A46-D9DD-45AD-B268-40B75A409AF2}"/>
    <hyperlink ref="Q39" r:id="rId2060" display="https://schoolshooters.info/sites/default/files/Purdy - official report.pdf" xr:uid="{40A16BA4-255C-4880-84E5-55D0F859105A}"/>
    <hyperlink ref="R39" r:id="rId2061" display="https://schoolshooters.info/sites/default/files/Purdy - official report.pdf" xr:uid="{26EDE619-FD6A-46B3-873E-07C82B4C9268}"/>
    <hyperlink ref="Q40" r:id="rId2062" display="https://www.latimes.com/archives/la-xpm-1989-09-15-mn-152-story.html" xr:uid="{453B7967-8C9A-4388-AE1E-D2C5CF1A0451}"/>
    <hyperlink ref="R40" r:id="rId2063" display="https://www.latimes.com/archives/la-xpm-1989-09-15-mn-152-story.html" xr:uid="{1C3CEC65-5099-4F30-819B-0B93CCC25E07}"/>
    <hyperlink ref="Q41" r:id="rId2064" display="https://www.deseretnews.com/article/107923/911-TAPE-TELLS-HORROR-OF-FLORIDA-MASSACRE.html" xr:uid="{6CB25EAE-D2D7-4D65-8FF2-2185A07F1497}"/>
    <hyperlink ref="R41" r:id="rId2065" display="https://www.deseretnews.com/article/107923/911-TAPE-TELLS-HORROR-OF-FLORIDA-MASSACRE.html" xr:uid="{143FA63B-B57D-47B5-9C19-C3BB22048697}"/>
    <hyperlink ref="Q42" r:id="rId2066" display="https://www.nytimes.com/1991/10/11/nyregion/4-slain-in-2-new-jersey-attacks-and-former-postal-clerk-is-held.html?pagewanted=all" xr:uid="{3ED11C4B-9D73-4371-BCC9-362C5F961670}"/>
    <hyperlink ref="R42" r:id="rId2067" display="https://www.nytimes.com/1991/10/11/nyregion/4-slain-in-2-new-jersey-attacks-and-former-postal-clerk-is-held.html?pagewanted=all" xr:uid="{391AE227-A830-4006-B4C7-3491707C1BF8}"/>
    <hyperlink ref="Q43" r:id="rId2068" display="http://www.crimemagazine.com/lubys-cafeteria-massacre-1991" xr:uid="{C71DDC0B-84FA-4046-B65F-0CC3D186C273}"/>
    <hyperlink ref="R43" r:id="rId2069" display="http://www.crimemagazine.com/lubys-cafeteria-massacre-1991" xr:uid="{2F889E4C-81A3-4249-9B8B-BEC714C53F31}"/>
    <hyperlink ref="Q44" r:id="rId2070" display="https://www.nytimes.com/1991/11/03/us/gunman-in-iowa-wrote-of-plans-in-five-letters.html" xr:uid="{F1FAC695-8EC7-47A5-AAC6-314E31E744C7}"/>
    <hyperlink ref="R44" r:id="rId2071" display="https://www.nytimes.com/1991/11/03/us/gunman-in-iowa-wrote-of-plans-in-five-letters.html" xr:uid="{23059FD3-A266-4DD1-B64F-7AE2AFFD4F5B}"/>
    <hyperlink ref="Q45" r:id="rId2072" display="https://www.apnews.com/2ef3eeb1eb4f91024720120a176329c8" xr:uid="{AAE0BF0D-98D8-4803-AD9B-C834D1F8064A}"/>
    <hyperlink ref="R45" r:id="rId2073" display="https://www.apnews.com/2ef3eeb1eb4f91024720120a176329c8" xr:uid="{E2397C35-7A82-46F5-94C2-A7E6394A1D7E}"/>
    <hyperlink ref="Q46" r:id="rId2074" display="https://www.nytimes.com/1991/11/15/us/ex-postal-worker-kills-3-and-wounds-6-in-michigan.html" xr:uid="{BABA7577-F92F-4191-AE85-FF0C379A74AD}"/>
    <hyperlink ref="R46" r:id="rId2075" display="https://www.nytimes.com/1991/11/15/us/ex-postal-worker-kills-3-and-wounds-6-in-michigan.html" xr:uid="{E0CCD275-7A1A-4FFB-9D0A-065EB9BAE94C}"/>
    <hyperlink ref="Q47" r:id="rId2076" display="https://casetext.com/case/rogovich-v-schriro-2" xr:uid="{941B26CF-0625-4472-A319-DADB5D328662}"/>
    <hyperlink ref="R47" r:id="rId2077" display="https://casetext.com/case/rogovich-v-schriro-2" xr:uid="{4CFCF4B9-8181-43A4-9F91-9CAB598EB01A}"/>
    <hyperlink ref="Q48" r:id="rId2078" display="https://www.nbcbayarea.com/news/local/State-Court-Upholds-1993-Death-Penalty-Case-164819036.html" xr:uid="{260EDDC3-B8BA-4588-9DCA-6146FA5E7CFF}"/>
    <hyperlink ref="R48" r:id="rId2079" display="https://www.nbcbayarea.com/news/local/State-Court-Upholds-1993-Death-Penalty-Case-164819036.html" xr:uid="{03F7811D-4EFD-4130-A261-7BADCB97186E}"/>
    <hyperlink ref="Q49" r:id="rId2080" display="https://www.nytimes.com/1992/10/16/nyregion/gunman-kills-4-who-collected-child-payments.html" xr:uid="{CFD6AAD9-96DB-407F-8D5D-E4FDF8D5CB31}"/>
    <hyperlink ref="R49" r:id="rId2081" display="https://www.nytimes.com/1992/10/16/nyregion/gunman-kills-4-who-collected-child-payments.html" xr:uid="{29FB3004-1774-4376-97DB-367195F15F6A}"/>
    <hyperlink ref="Q50" r:id="rId2082" display="https://www.greensboro.com/man-kills-self-after-shooting-to-death-and-taking-hostage/article_f4245908-0e66-5e73-bf3a-2a57f2810346.html" xr:uid="{017814A4-8409-4E12-920A-3DA8CB84B247}"/>
    <hyperlink ref="R50" r:id="rId2083" display="https://www.greensboro.com/man-kills-self-after-shooting-to-death-and-taking-hostage/article_f4245908-0e66-5e73-bf3a-2a57f2810346.html" xr:uid="{85C2AEE3-2010-4DEE-A25E-3689148E197D}"/>
    <hyperlink ref="Q51" r:id="rId2084" display="https://www.baltimoresun.com/news/bs-xpm-1993-07-02-1993183014-story.html" xr:uid="{6317682D-0FCA-4FB6-B5C6-62AA26EEDAB4}"/>
    <hyperlink ref="R51" r:id="rId2085" display="https://www.baltimoresun.com/news/bs-xpm-1993-07-02-1993183014-story.html" xr:uid="{FB06BB4E-D91E-493C-AFA8-AA478BC6F525}"/>
    <hyperlink ref="Q52" r:id="rId2086" display="https://www.nytimes.com/1993/08/08/us/soldier-kills-4-people-and-hurts-6-in-a-restaurant-in-north-carolina.html" xr:uid="{0F3FB523-7E1E-456B-9D2E-85F27A34FF1F}"/>
    <hyperlink ref="R52" r:id="rId2087" display="https://www.nytimes.com/1993/08/08/us/soldier-kills-4-people-and-hurts-6-in-a-restaurant-in-north-carolina.html" xr:uid="{AB1F50C0-3DC8-45DC-BA67-D9CB363D413A}"/>
    <hyperlink ref="Q53" r:id="rId2088" display="https://www.latimes.com/archives/la-xpm-1993-10-15-mn-45964-story.html" xr:uid="{299CFEB0-533E-4404-B94C-C9E174987C59}"/>
    <hyperlink ref="R53" r:id="rId2089" display="https://www.latimes.com/archives/la-xpm-1993-10-15-mn-45964-story.html" xr:uid="{41C8273F-C094-4DF7-86F5-F846736A6E51}"/>
    <hyperlink ref="Q54" r:id="rId2090" display="https://www.nytimes.com/1993/12/04/us/man-s-7-year-search-to-find-job-ended-with-5-dead-in-california.html" xr:uid="{6F15F55A-6B85-4B4B-90D0-42F49869046D}"/>
    <hyperlink ref="R54" r:id="rId2091" display="https://www.nytimes.com/1993/12/04/us/man-s-7-year-search-to-find-job-ended-with-5-dead-in-california.html" xr:uid="{4AE64B01-E373-4182-8B27-E0325397E5EB}"/>
    <hyperlink ref="Q55" r:id="rId2092" display="https://www.nydailynews.com/new-york/lirr-bloodbath-remembered-20-years-article-1.1539603" xr:uid="{16739F33-E32E-4B7F-AFF2-1018EFA8C1E3}"/>
    <hyperlink ref="R55" r:id="rId2093" display="https://www.nydailynews.com/new-york/lirr-bloodbath-remembered-20-years-article-1.1539603" xr:uid="{246504D0-0036-4184-9112-B3521044FAA7}"/>
    <hyperlink ref="Q56" r:id="rId2094" display="https://www.nytimes.com/1993/12/16/us/gunman-kills-4-workers-at-colorado-restaurant.html" xr:uid="{1C03D3ED-D528-4B97-9373-BD5B24AA2869}"/>
    <hyperlink ref="R56" r:id="rId2095" display="https://www.nytimes.com/1993/12/16/us/gunman-kills-4-workers-at-colorado-restaurant.html" xr:uid="{67026695-7B58-4712-8E8C-9FE757D2E6E7}"/>
    <hyperlink ref="Q57" r:id="rId2096" display="https://www.nytimes.com/1994/06/22/us/an-airman-s-revenge-5-minutes-of-terror.html?mtrref=undefined" xr:uid="{D8C1C2A3-3152-48B4-87D9-CCA73CA5C495}"/>
    <hyperlink ref="R57" r:id="rId2097" display="https://www.nytimes.com/1994/06/22/us/an-airman-s-revenge-5-minutes-of-terror.html?mtrref=undefined" xr:uid="{7315DAFE-4B6C-453F-8373-4865B694C240}"/>
    <hyperlink ref="Q59" r:id="rId2098" display="https://www.nytimes.com/1995/04/04/us/6-die-in-texas-office-shooting.html" xr:uid="{E4C44EE3-BDD9-417E-BF20-86A07BDA1862}"/>
    <hyperlink ref="R59" r:id="rId2099" display="https://www.nytimes.com/1995/04/04/us/6-die-in-texas-office-shooting.html" xr:uid="{EC54F6A6-842C-451C-8D2F-71B5E5D46923}"/>
    <hyperlink ref="Q60" r:id="rId2100" display="https://www.latimes.com/archives/la-xpm-1996-11-06-me-61893-story.html" xr:uid="{4C6754A9-CD16-4A04-B412-5781852265CE}"/>
    <hyperlink ref="R60" r:id="rId2101" display="https://www.latimes.com/archives/la-xpm-1996-11-06-me-61893-story.html" xr:uid="{77DD7EDC-6761-4C5F-9AC6-A5E9A2259011}"/>
    <hyperlink ref="Q61" r:id="rId2102" display="https://www.nytimes.com/1995/12/20/us/5-are-killed-by-gunman-in-bronx-shoe-store.html" xr:uid="{295C4323-9B87-428D-8E46-5C60A0C11C45}"/>
    <hyperlink ref="R61" r:id="rId2103" display="https://www.nytimes.com/1995/12/20/us/5-are-killed-by-gunman-in-bronx-shoe-store.html" xr:uid="{F63F9416-D884-4644-81D4-6F91338BA9E6}"/>
    <hyperlink ref="Q62" r:id="rId2104" display="https://www.washingtonpost.com/archive/politics/1996/02/10/fired-worker-shoots-5-dead-kills-himself/fe3750b6-0748-4f95-a3b6-bb8948705e80/?noredirect=on&amp;utm_term=.cb3ee21d275f" xr:uid="{14E62CEC-3845-4EA8-9F19-E696EE017505}"/>
    <hyperlink ref="R62" r:id="rId2105" display="https://www.washingtonpost.com/archive/politics/1996/02/10/fired-worker-shoots-5-dead-kills-himself/fe3750b6-0748-4f95-a3b6-bb8948705e80/?noredirect=on&amp;utm_term=.cb3ee21d275f" xr:uid="{BA63B6B6-B1C1-4648-83E2-52FCB60808D9}"/>
    <hyperlink ref="Q63" r:id="rId2106" display="https://www.wlbt.com/story/18995724/new-book-details-shooting-rampage-at-jackson-fire-station/" xr:uid="{C9E90967-4121-44EA-9886-F2325AA58725}"/>
    <hyperlink ref="R63" r:id="rId2107" display="https://www.wlbt.com/story/18995724/new-book-details-shooting-rampage-at-jackson-fire-station/" xr:uid="{256489A8-44EE-474C-8684-8845B6504BFE}"/>
    <hyperlink ref="Q64" r:id="rId2108" display="http://content.time.com/time/magazine/article/0,9171,138219,00.html" xr:uid="{769E9890-A8EC-42C3-B71C-C6CC6614C98F}"/>
    <hyperlink ref="R64" r:id="rId2109" display="http://content.time.com/time/magazine/article/0,9171,138219,00.html" xr:uid="{85625D86-7469-4662-907A-0C37A7F36313}"/>
    <hyperlink ref="Q65" r:id="rId2110" display="https://www.wrdw.com/home/headlines/Survivors-of-Aiken-Phelon-shooting-reflect-15-years-later-169856506.html" xr:uid="{DFAF8577-37A5-4A61-8D01-D4E7CDD25521}"/>
    <hyperlink ref="R65" r:id="rId2111" display="https://www.wrdw.com/home/headlines/Survivors-of-Aiken-Phelon-shooting-reflect-15-years-later-169856506.html" xr:uid="{5339A519-8B09-4979-8AA5-2031FD5CE3A3}"/>
    <hyperlink ref="Q66" r:id="rId2112" display="https://caselaw.findlaw.com/fl-supreme-court/1559835.html" xr:uid="{FE5BC089-E3D4-4A3F-BD34-312569C2133B}"/>
    <hyperlink ref="R66" r:id="rId2113" display="https://caselaw.findlaw.com/fl-supreme-court/1559835.html" xr:uid="{D960BE3E-3A49-4F30-B53D-2C7EB0C0F157}"/>
    <hyperlink ref="Q67" r:id="rId2114" display="https://www.latimes.com/archives/la-xpm-1997-dec-20-mn-431-story.html" xr:uid="{34D06157-8DF3-4472-B654-17201A1F8B01}"/>
    <hyperlink ref="R67" r:id="rId2115" display="https://www.latimes.com/archives/la-xpm-1997-dec-20-mn-431-story.html" xr:uid="{B7D033CD-821C-4008-93CB-CE1E3976378A}"/>
    <hyperlink ref="Q68" r:id="rId2116" display="https://www.nytimes.com/1998/03/08/nyregion/in-a-province-of-winners-worker-who-lost-out-takes-revenge.html" xr:uid="{BC37FEB6-4D56-4157-82DC-46182D4D06F3}"/>
    <hyperlink ref="R68" r:id="rId2117" display="https://www.nytimes.com/1998/03/08/nyregion/in-a-province-of-winners-worker-who-lost-out-takes-revenge.html" xr:uid="{33EEAACD-D545-4E7F-963C-FE00900B9AA1}"/>
    <hyperlink ref="Q69" r:id="rId2118" display="https://www.nytimes.com/1998/03/29/us/from-wild-talk-and-friendship-to-five-deaths-in-a-schoolyard.html?mcubz=0" xr:uid="{A4EE4157-7225-4F2E-BCBE-0D6AE992F5F0}"/>
    <hyperlink ref="R69" r:id="rId2119" display="https://www.nytimes.com/1998/03/29/us/from-wild-talk-and-friendship-to-five-deaths-in-a-schoolyard.html?mcubz=0" xr:uid="{46DAA508-6E3D-4830-8625-502814DF3218}"/>
    <hyperlink ref="Q70" r:id="rId2120" display="https://www.nytimes.com/1998/03/29/us/from-wild-talk-and-friendship-to-five-deaths-in-a-schoolyard.html?mcubz=0" xr:uid="{941F3026-2551-4798-95C1-6F63CFCE30A2}"/>
    <hyperlink ref="R70" r:id="rId2121" display="https://www.nytimes.com/1998/03/29/us/from-wild-talk-and-friendship-to-five-deaths-in-a-schoolyard.html?mcubz=0" xr:uid="{74C09AA9-BE09-4D81-BE42-13B1C264F589}"/>
    <hyperlink ref="Q71" r:id="rId2122" display="https://www.nytimes.com/1998/05/22/us/shootings-school-overview-oregon-student-held-3-killings-one-dead-23-hurt-his.html" xr:uid="{DCF6B384-2A6C-49FE-A917-4BB630E26CB6}"/>
    <hyperlink ref="R71" r:id="rId2123" display="https://www.nytimes.com/1998/05/22/us/shootings-school-overview-oregon-student-held-3-killings-one-dead-23-hurt-his.html" xr:uid="{1CA7A295-38C7-4408-9238-E21A084CB255}"/>
    <hyperlink ref="Q72" r:id="rId2124" display="https://www.weeklycitizen.com/article/20080610/NEWS/306109986" xr:uid="{9C5B7D23-0FC7-4EF3-8589-B37846CF5AF3}"/>
    <hyperlink ref="R72" r:id="rId2125" display="https://www.weeklycitizen.com/article/20080610/NEWS/306109986" xr:uid="{6FE715E2-E14F-4AC7-9F09-E954FF724263}"/>
    <hyperlink ref="Q73" r:id="rId2126" display="https://www.theguardian.com/world/2009/apr/17/columbine-massacre-gun-crime-us" xr:uid="{0763E0F5-2D24-450C-AC37-F220F505274C}"/>
    <hyperlink ref="R73" r:id="rId2127" display="https://www.theguardian.com/world/2009/apr/17/columbine-massacre-gun-crime-us" xr:uid="{1BAF598B-0C39-444B-A892-7F11957A7F13}"/>
    <hyperlink ref="Q74" r:id="rId2128" display="https://www.theguardian.com/world/2009/apr/17/columbine-massacre-gun-crime-us" xr:uid="{0275B324-A2A2-475C-9523-581F2F565C89}"/>
    <hyperlink ref="R74" r:id="rId2129" display="https://www.theguardian.com/world/2009/apr/17/columbine-massacre-gun-crime-us" xr:uid="{E3984DD7-1A61-4FEF-90FF-8AD5A31CA28B}"/>
    <hyperlink ref="Q75" r:id="rId2130" display="https://lasvegassun.com/news/1999/jun/03/four-killed-in-shooting-at-grocery-store/" xr:uid="{3482D370-8D78-43E5-BF13-8F756E7DDDA2}"/>
    <hyperlink ref="R75" r:id="rId2131" display="https://lasvegassun.com/news/1999/jun/03/four-killed-in-shooting-at-grocery-store/" xr:uid="{D62F3FB5-B3AC-420D-A630-C1A7FD674B7E}"/>
    <hyperlink ref="Q76" r:id="rId2132" display="https://www.nytimes.com/1999/07/31/us/shootings-in-atlanta-the-overview-killer-confessed-in-a-letter-spiked-with-rage.html" xr:uid="{D63474C6-741E-4E09-B2BD-85CDF5B3FAAC}"/>
    <hyperlink ref="R76" r:id="rId2133" display="https://www.nytimes.com/1999/07/31/us/shootings-in-atlanta-the-overview-killer-confessed-in-a-letter-spiked-with-rage.html" xr:uid="{E6CBB9E0-B4D1-4206-8F6A-76E20E6D232C}"/>
    <hyperlink ref="Q77" r:id="rId2134" display="http://www.washingtonpost.com/wp-srv/national/daily/sept99/texas16.htm" xr:uid="{5623CE98-BC4A-4DAB-B072-6373C9AB4624}"/>
    <hyperlink ref="R77" r:id="rId2135" display="http://www.washingtonpost.com/wp-srv/national/daily/sept99/texas16.htm" xr:uid="{DB5E8116-5215-4E9E-B8F5-62337FB19594}"/>
    <hyperlink ref="Q78" r:id="rId2136" display="https://www.nytimes.com/1999/11/03/us/man-opens-fire-in-xerox-office-killing-7.html?mcubz=1" xr:uid="{58C9EBDC-B1C1-4C46-9111-B5432B49BB9D}"/>
    <hyperlink ref="R78" r:id="rId2137" display="https://www.nytimes.com/1999/11/03/us/man-opens-fire-in-xerox-office-killing-7.html?mcubz=1" xr:uid="{47135F51-54C5-4BB7-9061-486E8F5B72EC}"/>
    <hyperlink ref="Q79" r:id="rId2138" display="https://www.deseret.com/1999/12/31/19483268/5-killed-when-hotel-worker-goes-on-rampage-in-florida" xr:uid="{0E2D1FFB-1267-4B13-9D50-BBD28AE647F9}"/>
    <hyperlink ref="R79" r:id="rId2139" display="https://www.deseret.com/1999/12/31/19483268/5-killed-when-hotel-worker-goes-on-rampage-in-florida" xr:uid="{9F6A6320-A272-4115-BF2A-D262500C95F7}"/>
    <hyperlink ref="Q80" r:id="rId2140" display="https://www.dallasnews.com/news/news/2012/09/20/texas-executes-man-who-murdered-5-at-irving-car-wash-12-years-ago" xr:uid="{109320D1-1F40-460B-A2A5-C155B6423B39}"/>
    <hyperlink ref="R80" r:id="rId2141" display="https://www.dallasnews.com/news/news/2012/09/20/texas-executes-man-who-murdered-5-at-irving-car-wash-12-years-ago" xr:uid="{A4781019-10AF-4755-8FD0-46534C95E147}"/>
    <hyperlink ref="Q81" r:id="rId2142" display="http://old.post-gazette.com/regionstate/20000429shootings2.asp" xr:uid="{0907CBD1-80CE-497D-A967-0A5495DC02E2}"/>
    <hyperlink ref="R81" r:id="rId2143" display="http://old.post-gazette.com/regionstate/20000429shootings2.asp" xr:uid="{6C000B1D-2FFA-408C-B80D-3CE19D20B0C1}"/>
    <hyperlink ref="Q82" r:id="rId2144" display="https://www.nytimes.com/2000/12/27/us/7-die-in-rampage-at-company-co-worker-of-victims-arrested.html" xr:uid="{56591CDF-ED05-4029-A816-40B34C5532EB}"/>
    <hyperlink ref="R82" r:id="rId2145" display="https://www.nytimes.com/2000/12/27/us/7-die-in-rampage-at-company-co-worker-of-victims-arrested.html" xr:uid="{EBBC7DE9-D2BE-45E9-9DBA-C2C73D0B24A9}"/>
    <hyperlink ref="Q83" r:id="rId2146" display="https://www.latimes.com/archives/la-xpm-2001-jan-10-mn-10586-story.html" xr:uid="{5B4F15C6-DF0C-480F-9A9B-1B6D8B6C05A9}"/>
    <hyperlink ref="R83" r:id="rId2147" display="https://www.latimes.com/archives/la-xpm-2001-jan-10-mn-10586-story.html" xr:uid="{B1145F36-C060-4F09-AE76-414ADBC07167}"/>
    <hyperlink ref="Q84" r:id="rId2148" display="https://www.holmesreport.com/latest/article/navistar-respons-to-workplace-shooting" xr:uid="{C617A380-6029-4DFC-94B0-6BEBDC6DFE3C}"/>
    <hyperlink ref="R84" r:id="rId2149" display="https://www.holmesreport.com/latest/article/navistar-respons-to-workplace-shooting" xr:uid="{22602335-86D4-4821-8C56-B4D783A55971}"/>
    <hyperlink ref="Q85" r:id="rId2150" display="https://www.upi.com/Archives/2001/07/05/Bond-denied-suspect-in-deadly-shooting/6717994305600/" xr:uid="{ADA5AF06-CFED-4783-A564-6AC518A2B135}"/>
    <hyperlink ref="R85" r:id="rId2151" display="https://www.upi.com/Archives/2001/07/05/Bond-denied-suspect-in-deadly-shooting/6717994305600/" xr:uid="{BBB5DB99-4351-4F29-BBF7-6AD3E61DBBDA}"/>
    <hyperlink ref="Q86" r:id="rId2152" display="https://www.latimes.com/archives/la-xpm-2001-sep-11-mn-44550-story.html" xr:uid="{41CC712E-0425-457A-BD6A-42FFBE804DB1}"/>
    <hyperlink ref="R86" r:id="rId2153" display="https://www.latimes.com/archives/la-xpm-2001-sep-11-mn-44550-story.html" xr:uid="{5D464326-5F70-4322-B954-1858985C88DD}"/>
    <hyperlink ref="Q87" r:id="rId2154" display="https://www.latimes.com/archives/la-xpm-2002-mar-23-mn-34383-story.html" xr:uid="{B35C50B4-48E8-4023-9412-E84400AB0925}"/>
    <hyperlink ref="R87" r:id="rId2155" display="https://www.latimes.com/archives/la-xpm-2002-mar-23-mn-34383-story.html" xr:uid="{F3652BA7-E51D-4557-8823-A4ACD4FF9374}"/>
    <hyperlink ref="Q88" r:id="rId2156" display="https://www.gainesville.com/news/20030226/four-dead-in-ala-shooting-at-job-agency" xr:uid="{A9BAD68A-0338-4CEB-8CA7-BE809F82F448}"/>
    <hyperlink ref="R88" r:id="rId2157" display="https://www.gainesville.com/news/20030226/four-dead-in-ala-shooting-at-job-agency" xr:uid="{A31CF1BC-463B-4A28-9DD0-50033B3026B3}"/>
    <hyperlink ref="Q89" r:id="rId2158" display="https://www.nytimes.com/2003/07/09/us/man-kills-5-co-workers-at-plant-and-himself.html?mcubz=0" xr:uid="{7BDEC7AF-CA05-4003-98CB-902F68ECC547}"/>
    <hyperlink ref="R89" r:id="rId2159" display="https://www.nytimes.com/2003/07/09/us/man-kills-5-co-workers-at-plant-and-himself.html?mcubz=0" xr:uid="{176EA91D-48A7-43A8-BD2B-0C7DFD25B557}"/>
    <hyperlink ref="Q90" r:id="rId2160" display="https://www.chicagotribune.com/news/ct-xpm-2003-08-29-0308290321-story.html" xr:uid="{F9F03578-95D1-4CDE-BCC1-CC6830504818}"/>
    <hyperlink ref="R90" r:id="rId2161" display="https://www.chicagotribune.com/news/ct-xpm-2003-08-29-0308290321-story.html" xr:uid="{BC92B109-A89C-4621-88F7-20A784C3C7C1}"/>
    <hyperlink ref="Q91" r:id="rId2162" display="http://pendoreillerivervalley.com/four-killed-in-oldtown-shooting-p111-119.htm" xr:uid="{6B91A724-97F1-4A3B-A5DE-B1761318B8FD}"/>
    <hyperlink ref="R91" r:id="rId2163" display="http://pendoreillerivervalley.com/four-killed-in-oldtown-shooting-p111-119.htm" xr:uid="{44299A31-550F-4A8E-A1A0-1D66F2DE7E5C}"/>
    <hyperlink ref="Q92" r:id="rId2164" display="https://www2.ljworld.com/news/2004/jul/04/chaos_reigned_at/" xr:uid="{CED96CC0-3222-4600-A23B-E8C13D852AEF}"/>
    <hyperlink ref="R92" r:id="rId2165" display="https://www2.ljworld.com/news/2004/jul/04/chaos_reigned_at/" xr:uid="{E6842A90-DDFC-42EB-AECE-F90553FA2E53}"/>
    <hyperlink ref="Q93" r:id="rId2166" display="https://www.chicagotribune.com/news/ct-xpm-2005-11-09-0511090194-story.html" xr:uid="{594E5451-459B-4B70-B8C3-CEF2E42D27CE}"/>
    <hyperlink ref="Q94" r:id="rId2167" display="https://www.nytimes.com/2004/12/10/us/after-a-concert-shooting-a-who-but-not-a-why.html" xr:uid="{E8C3451B-C8C4-499F-BC65-3A19158CE1BC}"/>
    <hyperlink ref="R94" r:id="rId2168" display="https://www.nytimes.com/2004/12/10/us/after-a-concert-shooting-a-who-but-not-a-why.html" xr:uid="{DE3D2385-A845-4DCA-B6A0-26BEBD5AE1FA}"/>
    <hyperlink ref="Q95" r:id="rId2169" display="https://www.newyorker.com/magazine/2008/02/04/death-in-georgia" xr:uid="{82654C37-BBCA-42CB-82E7-8135EB09D9A8}"/>
    <hyperlink ref="R95" r:id="rId2170" display="https://www.newyorker.com/magazine/2008/02/04/death-in-georgia" xr:uid="{0AF7FA3E-3B3F-4D13-B1F3-2EEE6E78AB02}"/>
    <hyperlink ref="Q96" r:id="rId2171" display="http://archive.boston.com/news/nation/articles/2005/03/14/terry_dont_friend_cried_to_shooter/" xr:uid="{CA1BE9D7-7F9C-4560-85EA-06CECDD23DBF}"/>
    <hyperlink ref="R96" r:id="rId2172" display="http://archive.boston.com/news/nation/articles/2005/03/14/terry_dont_friend_cried_to_shooter/" xr:uid="{27A9C911-BA24-4C4D-8FD4-695D87298C2A}"/>
    <hyperlink ref="Q97" r:id="rId2173" display="https://www.mprnews.org/story/2015/03/18/red-lake-shooting-explained" xr:uid="{636F1C0B-0CC0-46C6-8846-B6FD3317A3F9}"/>
    <hyperlink ref="R97" r:id="rId2174" display="https://www.mprnews.org/story/2015/03/18/red-lake-shooting-explained" xr:uid="{C7B75CAF-9293-4024-AED9-8E153290DA95}"/>
    <hyperlink ref="Q98" r:id="rId2175" display="https://www.denverpost.com/2005/08/29/4-slain-near-texas-church/" xr:uid="{DD342850-A41B-4337-8CE7-43DFDC9FBC4B}"/>
    <hyperlink ref="R98" r:id="rId2176" display="https://www.denverpost.com/2005/08/29/4-slain-near-texas-church/" xr:uid="{5F920C47-9DDD-4751-B98D-9392EE2A61BD}"/>
    <hyperlink ref="Q99" r:id="rId2177" display="https://www.foxnews.com/story/six-dead-in-calif-post-office-shooting" xr:uid="{3515FF4F-8786-44C6-AAD7-3E3059D22778}"/>
    <hyperlink ref="R99" r:id="rId2178" display="https://www.foxnews.com/story/six-dead-in-calif-post-office-shooting" xr:uid="{FF80D777-3303-4160-A866-2BE14F687C0C}"/>
    <hyperlink ref="Q100" r:id="rId2179" display="https://www.seattletimes.com/seattle-news/cop-cant-shake-memory-of-capitol-hill-massacre/" xr:uid="{DF64DB5A-F8DE-4FD3-8515-95D04163749B}"/>
    <hyperlink ref="R100" r:id="rId2180" display="https://www.seattletimes.com/seattle-news/cop-cant-shake-memory-of-capitol-hill-massacre/" xr:uid="{FA535524-37AC-4F1E-83FC-936A4F10A282}"/>
    <hyperlink ref="Q101" r:id="rId2181" display="https://caselaw.findlaw.com/la-supreme-court/1546275.html" xr:uid="{E45B3088-71AD-4594-A81B-F0B7EFD7FE31}"/>
    <hyperlink ref="R101" r:id="rId2182" display="https://caselaw.findlaw.com/la-supreme-court/1546275.html" xr:uid="{515360C6-19DE-4B3C-9BBF-B8D497E3794D}"/>
    <hyperlink ref="Q102" r:id="rId2183" display="https://lancasterpa.com/amish/amish-school-shooting/" xr:uid="{69439130-6E84-485E-8D74-7AD796D00795}"/>
    <hyperlink ref="R102" r:id="rId2184" display="https://lancasterpa.com/amish/amish-school-shooting/" xr:uid="{E83B6A54-D6F6-4088-B8FE-DFC9CD46075E}"/>
    <hyperlink ref="Q103" r:id="rId2185" display="https://www.deseret.com/2007/2/19/20002722/police-da-give-further-details-in-trolley-shooting" xr:uid="{EA388D5C-BB75-4B52-B589-2BDA01E69002}"/>
    <hyperlink ref="R103" r:id="rId2186" display="https://www.deseret.com/2007/2/19/20002722/police-da-give-further-details-in-trolley-shooting" xr:uid="{F36633DE-ADBE-4871-B889-5A39F11DE511}"/>
    <hyperlink ref="Q104" r:id="rId2187" display="https://www.npr.org/templates/story/story.php?storyId=9636137" xr:uid="{ACFD6C0C-9E2A-445D-91E7-89A059ED4FBF}"/>
    <hyperlink ref="R104" r:id="rId2188" display="https://www.npr.org/templates/story/story.php?storyId=9636137" xr:uid="{488CA16D-6425-4BE7-AB5B-A981D56D4059}"/>
    <hyperlink ref="Q105" r:id="rId2189" display="https://www.nytimes.com/2007/12/06/us/06cnd-shoot.html" xr:uid="{547F1297-B5A8-4891-9972-EFE5CAB38B71}"/>
    <hyperlink ref="R105" r:id="rId2190" display="https://www.nytimes.com/2007/12/06/us/06cnd-shoot.html" xr:uid="{575C35F8-1286-4AF8-889A-633F92D0BA05}"/>
    <hyperlink ref="Q106" r:id="rId2191" display="https://www.latimes.com/archives/la-xpm-2007-dec-11-na-shoot11-story.html" xr:uid="{566984FB-3E18-4F20-8C9E-5922BB1795D4}"/>
    <hyperlink ref="R106" r:id="rId2192" display="https://www.latimes.com/archives/la-xpm-2007-dec-11-na-shoot11-story.html" xr:uid="{135976FE-A8CB-4046-B0BA-00BF84300C6E}"/>
    <hyperlink ref="Q107" r:id="rId2193" display="https://www.cbsnews.com/news/six-dead-in-missouri-city-council-shooting/" xr:uid="{1778364B-622F-41CA-840C-A708CD371EE9}"/>
    <hyperlink ref="R107" r:id="rId2194" display="https://www.cbsnews.com/news/six-dead-in-missouri-city-council-shooting/" xr:uid="{6BAB36C2-2A89-4DD7-8D3C-13B3D25DDE72}"/>
    <hyperlink ref="Q108" r:id="rId2195" display="http://content.time.com/time/nation/article/0,8599,1714069,00.html" xr:uid="{2D6C4493-1331-4440-B602-980D2BE6D113}"/>
    <hyperlink ref="R108" r:id="rId2196" display="http://content.time.com/time/nation/article/0,8599,1714069,00.html" xr:uid="{B81E8E24-1F8E-46D3-8500-A386B7677962}"/>
    <hyperlink ref="Q109" r:id="rId2197" location=".XUiM2JNKjBJ" display="http://www.nbcnews.com/id/23699429/ns/us_news-crime_and_courts/t/suspect-held-after-killed-junk-yard-rampage/ - .XUiM2JNKjBJ" xr:uid="{6EBADBCC-2E50-4B07-AC29-6C924427064A}"/>
    <hyperlink ref="R109" r:id="rId2198" location=".XUiM2JNKjBJ" display="http://www.nbcnews.com/id/23699429/ns/us_news-crime_and_courts/t/suspect-held-after-killed-junk-yard-rampage/ - .XUiM2JNKjBJ" xr:uid="{4208131E-DB36-4012-903B-5A19BB9106E2}"/>
    <hyperlink ref="Q110" r:id="rId2199" display="https://www.nytimes.com/2008/06/25/us/26kentuckycnd.html" xr:uid="{2E1BB643-186A-4577-93DA-E65E92A42BE4}"/>
    <hyperlink ref="R110" r:id="rId2200" display="https://www.nytimes.com/2008/06/25/us/26kentuckycnd.html" xr:uid="{37697A42-3430-4019-AED9-5A715B75ACA3}"/>
    <hyperlink ref="Q111" r:id="rId2201" display="https://www.seattlepi.com/local/article/Isaac-Zamora-10781621.php" xr:uid="{9D80D8B5-1D18-4068-9CC7-069EF9F99E41}"/>
    <hyperlink ref="R111" r:id="rId2202" display="https://www.seattlepi.com/local/article/Isaac-Zamora-10781621.php" xr:uid="{E2F86654-E3F3-4DF5-B754-9DF8DA825C26}"/>
    <hyperlink ref="Q112" r:id="rId2203" display="https://abc11.com/archive/6734388/" xr:uid="{CEE434D6-6CFA-4F2F-B79A-F22B46F54906}"/>
    <hyperlink ref="R112" r:id="rId2204" display="https://abc11.com/archive/6734388/" xr:uid="{1156E354-45EB-4BDD-A3A1-9FCA23A9F8B8}"/>
    <hyperlink ref="Q113" r:id="rId2205" display="https://www.nytimes.com/2009/04/04/nyregion/04hostage.html" xr:uid="{04618FD9-C732-4599-B17F-BEF1202E6F3A}"/>
    <hyperlink ref="R113" r:id="rId2206" display="https://www.nytimes.com/2009/04/04/nyregion/04hostage.html" xr:uid="{951CC490-7AE5-47EF-B6AF-E82C3DD7422A}"/>
    <hyperlink ref="Q114" r:id="rId2207" display="https://www.mtairynews.com/archive/18387/view-full_story-12350459-article-murderer_gets_three_life_terms" xr:uid="{41D7DF87-2856-4E02-BEBD-4C7823C449F6}"/>
    <hyperlink ref="R114" r:id="rId2208" display="https://www.mtairynews.com/archive/18387/view-full_story-12350459-article-murderer_gets_three_life_terms" xr:uid="{B3251A4A-EEA6-4F03-AAB5-129719EF0624}"/>
    <hyperlink ref="Q115" r:id="rId2209" display="https://www.theguardian.com/world/2013/jun/03/fort-hood-nidal-hasan-trial?guni=Network%20front:network-front%20main-3%20Main%20trailblock:Network%20front%20-%20main%20trailblock:Position6" xr:uid="{5598CF1E-4EBA-4805-90FE-1A0C4A542F59}"/>
    <hyperlink ref="R115" r:id="rId2210" display="https://www.theguardian.com/world/2013/jun/03/fort-hood-nidal-hasan-trial?guni=Network%20front:network-front%20main-3%20Main%20trailblock:Network%20front%20-%20main%20trailblock:Position6" xr:uid="{D9781C8E-6955-4A95-A690-8C5DEAB0762F}"/>
    <hyperlink ref="Q116" r:id="rId2211" display="https://web.archive.org/web/20101021234307/http:/seattletimes.nwsource.com/html/localnews/2013170137_otherside21.html" xr:uid="{8ECE44F2-BD73-48BB-B5AD-5056F8CB11E3}"/>
    <hyperlink ref="R116" r:id="rId2212" display="https://web.archive.org/web/20101021234307/http:/seattletimes.nwsource.com/html/localnews/2013170137_otherside21.html" xr:uid="{357553CC-316B-4AFD-BC7E-40A927188663}"/>
    <hyperlink ref="Q117" r:id="rId2213" display="https://www.dailynews.com/2016/04/04/killer-of-4-at-valley-village-restaurant-escapes-death-penalty/" xr:uid="{94B4E09D-180D-4272-AECE-2329FC8D36FD}"/>
    <hyperlink ref="R117" r:id="rId2214" display="https://www.dailynews.com/2016/04/04/killer-of-4-at-valley-village-restaurant-escapes-death-penalty/" xr:uid="{0766E356-31DB-4AFD-8BF1-7D8FFA26242A}"/>
    <hyperlink ref="Q118" r:id="rId2215" display="https://www.sun-sentinel.com/news/fl-xpm-2010-06-13-sfl-hialeah-massacre-romance-06132010-story.html" xr:uid="{3140D78B-8000-470C-8A84-1DE277899EB0}"/>
    <hyperlink ref="R118" r:id="rId2216" display="https://www.sun-sentinel.com/news/fl-xpm-2010-06-13-sfl-hialeah-massacre-romance-06132010-story.html" xr:uid="{D3D0DE76-714E-422E-9CC8-AF22BF35B673}"/>
    <hyperlink ref="Q119" r:id="rId2217" display="https://www.nytimes.com/2010/08/04/nyregion/04shooting.html?mtrref=www.google.com" xr:uid="{A2EC0DC5-574F-4AFE-B45A-905A15F01F88}"/>
    <hyperlink ref="R119" r:id="rId2218" display="https://www.nytimes.com/2010/08/04/nyregion/04shooting.html?mtrref=www.google.com" xr:uid="{D97463CE-7735-4FB0-98D1-6AAF3033AB9B}"/>
    <hyperlink ref="Q120" r:id="rId2219" display="https://www.tmcnet.com/usubmit/2011/04/03/5420269.htm" xr:uid="{8256C0E2-26EF-43C5-A341-CE98C78806C4}"/>
    <hyperlink ref="R120" r:id="rId2220" display="https://www.tmcnet.com/usubmit/2011/04/03/5420269.htm" xr:uid="{3814FE4E-45D3-4A3C-8186-D7060F1CD7C0}"/>
    <hyperlink ref="Q121" r:id="rId2221" display="https://www.nytimes.com/2010/09/12/us/12kentucky.html" xr:uid="{06DED136-42C6-4AED-8904-63A7DB04275B}"/>
    <hyperlink ref="R121" r:id="rId2222" display="https://www.nytimes.com/2010/09/12/us/12kentucky.html" xr:uid="{1CEC4D05-0C08-466A-B1A6-139654F69007}"/>
    <hyperlink ref="Q122" r:id="rId2223" display="https://www.nytimes.com/2011/01/09/us/politics/09giffords.html" xr:uid="{8C75C16C-6AED-4298-BF8F-44E3CEF0E8BD}"/>
    <hyperlink ref="R122" r:id="rId2224" display="https://www.nytimes.com/2011/01/09/us/politics/09giffords.html" xr:uid="{0CF8C61C-FB94-4C12-8246-22DD7CA628F4}"/>
    <hyperlink ref="Q123" r:id="rId2225" display="https://www.news-herald.com/news/police-identify-th-victim-in-copley-shooting-spree/article_3622d646-2a2c-52db-825d-d6c21c163e61.html" xr:uid="{262621CB-3061-4200-A5FD-EA1C0E72C83F}"/>
    <hyperlink ref="R123" r:id="rId2226" display="https://www.news-herald.com/news/police-identify-th-victim-in-copley-shooting-spree/article_3622d646-2a2c-52db-825d-d6c21c163e61.html" xr:uid="{53A864A8-2DD9-4CAA-B391-F9084374DDC2}"/>
    <hyperlink ref="Q124" r:id="rId2227" display="https://www.nj.com/news/2011/09/ihop_shooting_rampage_in_nevad.html" xr:uid="{E65EB2C2-EC50-4693-8974-C4F52C4BB804}"/>
    <hyperlink ref="R124" r:id="rId2228" display="https://www.nj.com/news/2011/09/ihop_shooting_rampage_in_nevad.html" xr:uid="{F93BE70C-AD0B-4A82-8FFF-BDDB883A9901}"/>
    <hyperlink ref="Q125" r:id="rId2229" display="https://www.latimes.com/archives/la-xpm-2011-oct-12-la-me-1013-seal-beach-shooting-20111013-story.html" xr:uid="{25756245-E86A-45A6-A352-06F6A5B49C9B}"/>
    <hyperlink ref="R125" r:id="rId2230" display="https://www.latimes.com/archives/la-xpm-2011-oct-12-la-me-1013-seal-beach-shooting-20111013-story.html" xr:uid="{97B9206F-0861-4CEA-A148-9F0E9D11A0AA}"/>
    <hyperlink ref="Q126" r:id="rId2231" display="https://www.sfgate.com/crime/article/Oakland-school-massacre-Jury-told-of-5-minutes-5760283.php" xr:uid="{A89F3CCF-C2F5-4A05-9653-12FACEE5B054}"/>
    <hyperlink ref="R126" r:id="rId2232" display="https://www.sfgate.com/crime/article/Oakland-school-massacre-Jury-told-of-5-minutes-5760283.php" xr:uid="{1DFAFE54-7789-409F-8639-FDD1B6BACA15}"/>
    <hyperlink ref="Q127" r:id="rId2233" display="https://www.cnn.com/2012/05/31/us/washington-cafe-shooting/index.html" xr:uid="{251E53DF-0BDE-4592-86D2-95984B5C8746}"/>
    <hyperlink ref="R127" r:id="rId2234" display="https://www.cnn.com/2012/05/31/us/washington-cafe-shooting/index.html" xr:uid="{64B20B90-8530-4E45-AFF4-83CAAF78129F}"/>
    <hyperlink ref="Q128" r:id="rId2235" display="https://www.cnn.com/2013/07/19/us/colorado-theater-shooting-fast-facts/index.html" xr:uid="{90F8BE2C-8E99-4C4C-911D-AF97D4CAD943}"/>
    <hyperlink ref="R128" r:id="rId2236" display="https://www.cnn.com/2013/07/19/us/colorado-theater-shooting-fast-facts/index.html" xr:uid="{91B1E82A-D5C4-4B81-B440-95476D4738D0}"/>
    <hyperlink ref="Q129" r:id="rId2237" display="https://www.cnn.com/2012/08/09/justice/wisconsin-temple-shooting/index.html" xr:uid="{CFAEEE16-1731-4299-863E-FF2CECF04D7A}"/>
    <hyperlink ref="R129" r:id="rId2238" display="https://www.cnn.com/2012/08/09/justice/wisconsin-temple-shooting/index.html" xr:uid="{C57D186A-8C6E-4A8A-A5AD-960ED88037EB}"/>
    <hyperlink ref="Q130" r:id="rId2239" display="http://www.startribune.com/andrew-engeldinger-lost-his-job-then-opened-fire-killing-5/171774461/" xr:uid="{B2F17A94-9B5F-4C27-9DD2-B2C8053C0529}"/>
    <hyperlink ref="R130" r:id="rId2240" display="http://www.startribune.com/andrew-engeldinger-lost-his-job-then-opened-fire-killing-5/171774461/" xr:uid="{5D8A0C59-C9A6-4FE1-840F-E1DA1C58968B}"/>
    <hyperlink ref="Q131" r:id="rId2241" display="https://www.nytimes.com/2012/12/15/nyregion/shooting-reported-at-connecticut-elementary-school.html?mcubz=3" xr:uid="{26C580BD-DE4E-4729-81A6-73939E8325C7}"/>
    <hyperlink ref="R131" r:id="rId2242" display="https://www.nytimes.com/2012/12/15/nyregion/shooting-reported-at-connecticut-elementary-school.html?mcubz=3" xr:uid="{954433B5-57F0-40C6-890F-0FD4EEC8146A}"/>
    <hyperlink ref="Q132" r:id="rId2243" display="https://www.cbsnews.com/news/upstate-new-york-shooting-update-kurt-myers-suspected-gunman-killed-by-police-in-shootout/" xr:uid="{3D6549B2-A1CF-4F53-A4F0-4186FD02D773}"/>
    <hyperlink ref="R132" r:id="rId2244" display="https://www.cbsnews.com/news/upstate-new-york-shooting-update-kurt-myers-suspected-gunman-killed-by-police-in-shootout/" xr:uid="{ED940E3A-200C-4625-A801-851E8CEDC662}"/>
    <hyperlink ref="Q133" r:id="rId2245" display="https://www.seattletimes.com/seattle-news/witnesses-among-5-dead-in-federal-way/" xr:uid="{1C675848-3031-4A15-96C6-CC3CC9163835}"/>
    <hyperlink ref="R133" r:id="rId2246" display="https://www.seattletimes.com/seattle-news/witnesses-among-5-dead-in-federal-way/" xr:uid="{65D3D890-1C30-4857-9941-E20A0F8F2F0D}"/>
    <hyperlink ref="Q134" r:id="rId2247" display="https://www.nbclosangeles.com/news/local/Santa-Monica-Shooting-Police-News-Conference-Watch-Live-211492801.html" xr:uid="{C04917CD-CBDD-499E-9BC7-A481FAF81E77}"/>
    <hyperlink ref="R134" r:id="rId2248" display="https://www.nbclosangeles.com/news/local/Santa-Monica-Shooting-Police-News-Conference-Watch-Live-211492801.html" xr:uid="{0CF21927-677B-4C78-8A35-8FE8A1C2BE18}"/>
    <hyperlink ref="Q135" r:id="rId2249" display="https://www.miamiherald.com/news/special-reports/hialeah-mass-shooting/article1953794.html" xr:uid="{E804690C-F178-4AD8-915B-EEEB709ABD32}"/>
    <hyperlink ref="R135" r:id="rId2250" display="https://www.miamiherald.com/news/special-reports/hialeah-mass-shooting/article1953794.html" xr:uid="{28D1975B-9381-40C5-BD2D-57D57BCBB4F5}"/>
    <hyperlink ref="Q136" r:id="rId2251" display="https://www.theguardian.com/world/2013/sep/20/aaron-alexis-washington-navy-yard-shooter" xr:uid="{8B95B100-ECA2-491F-BEF2-B6DA57ADB12F}"/>
    <hyperlink ref="R136" r:id="rId2252" display="https://www.theguardian.com/world/2013/sep/20/aaron-alexis-washington-navy-yard-shooter" xr:uid="{A7088918-F085-4A11-9032-D8B7AF48DA56}"/>
    <hyperlink ref="Q137" r:id="rId2253" display="https://www.sacbee.com/news/local/crime/article143794574.html" xr:uid="{8EF062E2-89AD-4109-9090-CCB4870A026B}"/>
    <hyperlink ref="R137" r:id="rId2254" display="https://www.sacbee.com/news/local/crime/article143794574.html" xr:uid="{A33A1BE2-884B-495A-B782-947D9A2E5B90}"/>
    <hyperlink ref="Q138" r:id="rId2255" display="https://www.theguardian.com/us-news/2015/feb/20/mass-shooter-elliot-rodger-isla-vista-killings-report" xr:uid="{1694B128-EE35-4401-A143-4742AD8794F3}"/>
    <hyperlink ref="R138" r:id="rId2256" display="https://www.theguardian.com/us-news/2015/feb/20/mass-shooter-elliot-rodger-isla-vista-killings-report" xr:uid="{DE103311-12D4-4737-92DC-CC33230D8DF0}"/>
    <hyperlink ref="Q139" r:id="rId2257" display="https://www.nbcnews.com/storyline/marysville-school-shooting/two=dead-including-gunman-school-schooting-near-seattle-n233371" xr:uid="{AC3BCD44-1522-42E6-80BD-4A9BEF81F4E7}"/>
    <hyperlink ref="R139" r:id="rId2258" display="https://www.nbcnews.com/storyline/marysville-school-shooting/two=dead-including-gunman-school-schooting-near-seattle-n233371" xr:uid="{1976BB76-C5D6-4870-B36B-EC0759C463D7}"/>
    <hyperlink ref="Q140" r:id="rId2259" display="https://www.nytimes.com/2017/01/10/us/dylann-roof-trial-charleston.html" xr:uid="{7B9BF598-E336-46B2-8518-9FEC1B6FC17A}"/>
    <hyperlink ref="R140" r:id="rId2260" display="https://www.nytimes.com/2017/01/10/us/dylann-roof-trial-charleston.html" xr:uid="{352B621F-706F-4242-B72B-2BFC015E57A6}"/>
    <hyperlink ref="Q141" r:id="rId2261" display="https://www.timesfreepress.com/news/local/story/2016/jul/01/fbi-people-knew-july-16-shooter-wradicalized/373894/" xr:uid="{AA8EF45C-1FC4-4E10-A9AA-5C8CE711BD31}"/>
    <hyperlink ref="R141" r:id="rId2262" display="https://www.timesfreepress.com/news/local/story/2016/jul/01/fbi-people-knew-july-16-shooter-wradicalized/373894/" xr:uid="{41501489-1865-49D0-97A4-9ED36703C3C8}"/>
    <hyperlink ref="Q142" r:id="rId2263" display="https://www.nytimes.com/2015/10/10/us/roseburg-oregon-shooting-christopher-harper-mercer.html" xr:uid="{C125AEDF-0EE6-4BBB-BF4C-17C90E7BD20E}"/>
    <hyperlink ref="R142" r:id="rId2264" display="https://www.nytimes.com/2015/10/10/us/roseburg-oregon-shooting-christopher-harper-mercer.html" xr:uid="{E36AED52-D82B-42A3-AD6C-5C001946ABFC}"/>
    <hyperlink ref="Q143" r:id="rId2265" display="https://www.theeagle.com/news/local/a-night-of-terror-lawyer-describes-killings-to-brazos-county/article_adda0cbb-e386-5bea-9806-cf4b2b2e80a5.html" xr:uid="{80DBB550-DD0D-4A90-A5CA-FA398620B3D0}"/>
    <hyperlink ref="R143" r:id="rId2266" display="https://www.theeagle.com/news/local/a-night-of-terror-lawyer-describes-killings-to-brazos-county/article_adda0cbb-e386-5bea-9806-cf4b2b2e80a5.html" xr:uid="{0EAB0E28-D555-44B3-8323-B900EFC30FEE}"/>
    <hyperlink ref="Q144" r:id="rId2267" display="https://www.washingtonpost.com/news/post-nation/wp/2016/12/02/one-year-after-san-bernardino-police-offer-a-possible-motive-as-questions-still-linger/" xr:uid="{EE85DA91-E2A1-4084-8F05-65C48ADFB149}"/>
    <hyperlink ref="R144" r:id="rId2268" display="https://www.washingtonpost.com/news/post-nation/wp/2016/12/02/one-year-after-san-bernardino-police-offer-a-possible-motive-as-questions-still-linger/" xr:uid="{2260A0CB-2F44-4FFF-AB84-8CC7F26954AE}"/>
    <hyperlink ref="Q145" r:id="rId2269" display="https://www.washingtonpost.com/news/post-nation/wp/2016/12/02/one-year-after-san-bernardino-police-offer-a-possible-motive-as-questions-still-linger/" xr:uid="{DD0EA69A-9E1D-400A-A1FA-A30E9B0C809B}"/>
    <hyperlink ref="R145" r:id="rId2270" display="https://www.washingtonpost.com/news/post-nation/wp/2016/12/02/one-year-after-san-bernardino-police-offer-a-possible-motive-as-questions-still-linger/" xr:uid="{32ADE2C4-028E-47A5-B748-53F0A4C9DA1A}"/>
    <hyperlink ref="Q146" r:id="rId2271" display="https://heavy.com/news/2016/02/jason-dalton-kalamazoo-shooting-spree-suspect-gunman-shooter-name-photos-pictures-facebook-motive-age/" xr:uid="{2D7C30B0-C515-404F-8127-2410AA5BAC44}"/>
    <hyperlink ref="R146" r:id="rId2272" display="https://heavy.com/news/2016/02/jason-dalton-kalamazoo-shooting-spree-suspect-gunman-shooter-name-photos-pictures-facebook-motive-age/" xr:uid="{21FFB651-991D-47A3-AE43-7B63A3F32D97}"/>
    <hyperlink ref="Q148" r:id="rId2273" display="https://www.cnn.com/2018/03/06/us/pulse-shooting-mateen-scouted-other-sites/index.html" xr:uid="{A81FF1D3-133C-455F-9601-41A138491FFE}"/>
    <hyperlink ref="R148" r:id="rId2274" display="https://www.cnn.com/2018/03/06/us/pulse-shooting-mateen-scouted-other-sites/index.html" xr:uid="{9CA865DD-00AF-408A-A54C-ABDC9008D1A7}"/>
    <hyperlink ref="Q149" r:id="rId2275" display="https://www.cnn.com/2016/07/08/us/philando-castile-alton-sterling-protests/index.html" xr:uid="{93EE5C54-DE04-4A52-8A98-C53291AE84D6}"/>
    <hyperlink ref="R149" r:id="rId2276" display="https://www.cnn.com/2016/07/08/us/philando-castile-alton-sterling-protests/index.html" xr:uid="{9B1589FC-5761-4856-9B2A-C97F929F73F7}"/>
    <hyperlink ref="Q150" r:id="rId2277" display="https://www.latimes.com/nation/la-na-washington-mall-shooting-2016-story.html" xr:uid="{5AE69744-CB33-4C4B-ADE5-9B6C464EF890}"/>
    <hyperlink ref="R150" r:id="rId2278" display="https://www.latimes.com/nation/la-na-washington-mall-shooting-2016-story.html" xr:uid="{5E44DEBA-567C-4262-B89B-62390B48BE89}"/>
    <hyperlink ref="Q151" r:id="rId2279" display="https://www.miamiherald.com/news/local/article211654694.html" xr:uid="{A24D9C35-124F-489B-8A44-C8E258F20255}"/>
    <hyperlink ref="R151" r:id="rId2280" display="https://www.miamiherald.com/news/local/article211654694.html" xr:uid="{0C251331-FF61-4E36-AFB2-FBA93E98EBA0}"/>
    <hyperlink ref="Q153" r:id="rId2281" display="https://www.doj.state.wi.us/sites/default/files/oid-reports/17-1860/AAG Decision Regarding Marathon Co OID - Nengmy Vang%281%29.pdf" xr:uid="{7B9AA00C-DF8D-4F3F-8CDB-A54B5FFF0371}"/>
    <hyperlink ref="R153" r:id="rId2282" display="https://www.doj.state.wi.us/sites/default/files/oid-reports/17-1860/AAG Decision Regarding Marathon Co OID - Nengmy Vang%281%29.pdf" xr:uid="{639B4FC5-47D8-4525-8C24-320ABFFCC9C7}"/>
    <hyperlink ref="Q154" r:id="rId2283" display="https://www.cbsnews.com/news/friend-orlando-victim-feared-workplace-shooter-would-seek-revenge-over-firing/" xr:uid="{36359311-ED2A-4609-9FB8-0A28C1AE10E5}"/>
    <hyperlink ref="R154" r:id="rId2284" display="https://www.cbsnews.com/news/friend-orlando-victim-feared-workplace-shooter-would-seek-revenge-over-firing/" xr:uid="{9BAC604E-3CBD-4D4A-B6EB-9DE8DABDAF49}"/>
    <hyperlink ref="Q155" r:id="rId2285" display="https://www.nytimes.com/2019/07/03/us/las-vegas-shooting-police-officer.html" xr:uid="{02C24451-1614-457F-BEB2-31FCB5882F76}"/>
    <hyperlink ref="R155" r:id="rId2286" display="https://www.nytimes.com/2019/07/03/us/las-vegas-shooting-police-officer.html" xr:uid="{606AAB34-B624-4949-917B-367815E96E64}"/>
    <hyperlink ref="Q156" r:id="rId2287" display="https://www.cnn.com/2017/11/05/us/texas-church-shooting-resident-action/index.html" xr:uid="{97C393AF-081F-41CE-AA58-DF9AD1F692EE}"/>
    <hyperlink ref="R156" r:id="rId2288" display="https://www.cnn.com/2017/11/05/us/texas-church-shooting-resident-action/index.html" xr:uid="{98545B54-9046-4619-84DD-33407D7DA39A}"/>
    <hyperlink ref="Q157" r:id="rId2289" display="https://www.sacbee.com/news/local/crime/article184754473.html" xr:uid="{E7834A57-2D5B-4E1B-87D8-A038C182592A}"/>
    <hyperlink ref="Q158" r:id="rId2290" display="https://beta.washingtonpost.com/news/post-nation/wp/2018/01/29/jealousy-and-obsession-may-have-led-carwash-shooting-suspect-to-kill-four-relatives-say/" xr:uid="{9A79E6F0-3370-4670-8852-CE7AFE2777A2}"/>
    <hyperlink ref="R158" r:id="rId2291" display="https://beta.washingtonpost.com/news/post-nation/wp/2018/01/29/jealousy-and-obsession-may-have-led-carwash-shooting-suspect-to-kill-four-relatives-say/" xr:uid="{4D215FCB-6A2B-4818-920C-304F600FF3CE}"/>
    <hyperlink ref="Q159" r:id="rId2292" display="https://www.cnn.com/2018/02/25/us/nikolas-cruz-warning-signs/index.html" xr:uid="{D913B912-1C30-478B-A7E9-33EF1CAB542B}"/>
    <hyperlink ref="R159" r:id="rId2293" display="https://www.cnn.com/2018/02/25/us/nikolas-cruz-warning-signs/index.html" xr:uid="{C49C3707-5B7B-426A-A60F-5E84F40FB8FD}"/>
    <hyperlink ref="Q160" r:id="rId2294" display="https://www.mlive.com/news/detroit/2018/02/manhunt_for_quadruple_homicide.html" xr:uid="{E1F68AD2-EA82-43B3-B3F0-7C16C8A82C3D}"/>
    <hyperlink ref="R160" r:id="rId2295" display="https://www.mlive.com/news/detroit/2018/02/manhunt_for_quadruple_homicide.html" xr:uid="{583B7B69-F48C-4B56-A284-E415D32992A7}"/>
    <hyperlink ref="Q161" r:id="rId2296" display="https://www.tennessean.com/story/news/2018/04/22/antioch-tn-waffle-house-shooting-naked-suspect/540033002/" xr:uid="{1ADB926F-DBF5-4CBF-8EC7-2171E9C21229}"/>
    <hyperlink ref="R161" r:id="rId2297" display="https://www.tennessean.com/story/news/2018/04/22/antioch-tn-waffle-house-shooting-naked-suspect/540033002/" xr:uid="{93FB06F7-6EC9-4379-BA45-2B80D2DA537D}"/>
    <hyperlink ref="Q162" r:id="rId2298" display="https://www.nytimes.com/2018/05/18/us/school-shooting-santa-fe-texas.html?action=click&amp;module=RelatedCoverage&amp;pgtype=Article&amp;region=Footer" xr:uid="{9723318F-7DF4-4C86-AA4F-3A48DD880EF6}"/>
    <hyperlink ref="R162" r:id="rId2299" display="https://www.nytimes.com/2018/05/18/us/school-shooting-santa-fe-texas.html?action=click&amp;module=RelatedCoverage&amp;pgtype=Article&amp;region=Footer" xr:uid="{B5884A37-1D51-45AB-AE6F-46A6EC2C56D4}"/>
    <hyperlink ref="Q163" r:id="rId2300" display="https://www.cbsnews.com/news/annapolis-shooting-five-dead-in-shooting-at-capital-gazette-newspaper-in-maryland-suspect-in-custody-2018-06-28-live-updates/" xr:uid="{7C8CFD5C-0E83-467C-9D3B-28C997A79BD4}"/>
    <hyperlink ref="R163" r:id="rId2301" display="https://www.cbsnews.com/news/annapolis-shooting-five-dead-in-shooting-at-capital-gazette-newspaper-in-maryland-suspect-in-custody-2018-06-28-live-updates/" xr:uid="{357CE87B-2110-4F1B-AAD2-5D9E1A560C53}"/>
    <hyperlink ref="Q164" r:id="rId2302" display="https://www.upi.com/Top_News/US/2018/09/14/California-gunman-who-killed-5-divorced-wife-last-year-police-say/1441536924815/" xr:uid="{6DF9C25C-1C77-4406-BC92-5A13D8A5E42F}"/>
    <hyperlink ref="R164" r:id="rId2303" display="https://www.upi.com/Top_News/US/2018/09/14/California-gunman-who-killed-5-divorced-wife-last-year-police-say/1441536924815/" xr:uid="{FB723329-9EAB-4182-8522-518E3E5AD5F0}"/>
    <hyperlink ref="Q165" r:id="rId2304" display="https://www.cnn.com/2018/10/27/politics/trump-jba-death-penalty-pittsburgh/index.html" xr:uid="{07EFA5B1-327A-4A14-89F2-C68190FC1C6A}"/>
    <hyperlink ref="R165" r:id="rId2305" display="https://www.cnn.com/2018/10/27/politics/trump-jba-death-penalty-pittsburgh/index.html" xr:uid="{3CC87CF6-912B-405B-88F4-C1EAADAAC62B}"/>
    <hyperlink ref="Q166" r:id="rId2306" display="https://www.washingtonpost.com/nation/2018/11/27/investigators-still-seeking-motive-thousand-oaks-shooting/?noredirect=on&amp;utm_term=.889384b0c0b7" xr:uid="{81F79985-FDA4-4B77-973D-8D7DC4CB5B2E}"/>
    <hyperlink ref="R166" r:id="rId2307" display="https://www.washingtonpost.com/nation/2018/11/27/investigators-still-seeking-motive-thousand-oaks-shooting/?noredirect=on&amp;utm_term=.889384b0c0b7" xr:uid="{04ABC4A4-664F-4D31-9576-6CDC3C0AFBEA}"/>
    <hyperlink ref="Q167" r:id="rId2308" display="https://www.cnn.com/2019/01/24/us/sebring-florida-bank-shooting/index.html" xr:uid="{42AB93D3-0202-47F0-9282-F77382DD415E}"/>
    <hyperlink ref="R167" r:id="rId2309" display="https://www.cnn.com/2019/01/24/us/sebring-florida-bank-shooting/index.html" xr:uid="{3AC6C2AF-3F42-4BFA-BE84-9E4A83EF2329}"/>
    <hyperlink ref="Q168" r:id="rId2310" display="https://chicago.cbslocal.com/2019/04/29/gary-martin-henry-pratt-shooting-report-police-justified/" xr:uid="{98997EFE-0E21-4629-BF7C-1BA34EDB377A}"/>
    <hyperlink ref="R168" r:id="rId2311" display="https://chicago.cbslocal.com/2019/04/29/gary-martin-henry-pratt-shooting-report-police-justified/" xr:uid="{93EA9147-CB11-45ED-84AD-A89791014BA1}"/>
    <hyperlink ref="Q169" r:id="rId2312" display="https://www.nytimes.com/2019/06/02/us/virginia-beach-dewayne-craddock.html?module=inline" xr:uid="{032412D4-D830-443C-8BD7-6B4D4B5D94BF}"/>
    <hyperlink ref="R169" r:id="rId2313" display="https://www.nytimes.com/2019/06/02/us/virginia-beach-dewayne-craddock.html?module=inline" xr:uid="{40EB3382-2E5F-4AA5-8C59-37574DDF7E97}"/>
    <hyperlink ref="Q171" r:id="rId2314" display="https://time.com/5643405/what-to-know-shooting-dayton-ohio/" xr:uid="{54BEE7C1-BD32-489E-8C87-33F94EE10AF9}"/>
    <hyperlink ref="R171" r:id="rId2315" display="https://time.com/5643405/what-to-know-shooting-dayton-ohio/" xr:uid="{9AFAF15D-DD8B-48ED-9F2E-08DF87779908}"/>
    <hyperlink ref="Q172" r:id="rId2316" display="https://www.cnn.com/2019/09/01/us/odessa-texas-shooting-sunday/index.html" xr:uid="{1EA2505D-68E0-46DA-AAEA-D8FAADCA085B}"/>
    <hyperlink ref="R172" r:id="rId2317" display="https://www.cnn.com/2019/09/01/us/odessa-texas-shooting-sunday/index.html" xr:uid="{8F987087-5F0A-43D1-8BA3-702378461A82}"/>
    <hyperlink ref="Q173" r:id="rId2318" display="https://heavy.com/news/2019/12/francine-graham/" xr:uid="{A84EC2AB-C86D-4549-89DA-0FEA3DBCA5AA}"/>
    <hyperlink ref="R173" r:id="rId2319" display="https://heavy.com/news/2019/12/francine-graham/" xr:uid="{CB55FAF4-9787-45FC-B6B1-5A9CF67BBCF1}"/>
    <hyperlink ref="Q174" r:id="rId2320" display="https://heavy.com/news/2019/12/francine-graham/" xr:uid="{8F3CAB44-8172-4BD0-AB31-B5D38F60C559}"/>
    <hyperlink ref="R174" r:id="rId2321" display="https://heavy.com/news/2019/12/francine-graham/" xr:uid="{2362544C-B737-46FB-BB37-FDF99297707A}"/>
    <hyperlink ref="Q175" r:id="rId2322" display="https://www.usatoday.com/story/news/nation/2020/03/02/milwaukee-molson-coors-shooting-miller-brewery-anthony-ferrill/4928061002/" xr:uid="{BCCC9AF9-F6C2-4FF3-8333-865F6354DC58}"/>
    <hyperlink ref="R175" r:id="rId2323" display="https://www.usatoday.com/story/news/nation/2020/03/02/milwaukee-molson-coors-shooting-miller-brewery-anthony-ferrill/4928061002/" xr:uid="{D7D6F883-300C-4348-A8AD-D9E0ACD9B0EC}"/>
    <hyperlink ref="BA159" r:id="rId2324" display="https://www.cnn.com/2018/02/16/us/exclusive-school-shooter-instagram-group/index.html" xr:uid="{8B58471F-3C04-41CA-AF18-86C369363735}"/>
    <hyperlink ref="BA165" r:id="rId2325" display="https://www.post-gazette.com/news/crime-courts/2018/11/10/Robert-Bowers-extremism-Tree-of-Life-massacre-shooting-pittsburgh-Gab-Warroom/stories/201811080165" xr:uid="{4EBA2FA5-B4B3-49A8-9C56-2CD415C55F28}"/>
    <hyperlink ref="CV156" r:id="rId2326" display="https://www.nbcnews.com/storyline/texas-church-shooting/texas-church-shooter-may-have-been-targeting-his-mother-law-n817961" xr:uid="{0B08E473-E311-453A-BE59-9C7541A2A08F}"/>
    <hyperlink ref="CK9" r:id="rId2327" display="https://newspaperarchive.com/murder-clipping-may-31-1972-173463/" xr:uid="{8FE29B4F-8509-470F-B65B-61917B393BD9}"/>
    <hyperlink ref="CK13" r:id="rId2328" display="https://www.latimes.com/archives/la-xpm-1986-07-06-me-23088-story.html" xr:uid="{D315F140-7895-4F86-AEA1-9645FCB0D98B}"/>
    <hyperlink ref="CK25" r:id="rId2329" display="https://www.nydailynews.com/news/crime/ex-teacher-gunned-8-fla-1982-offered-hint-future-article-1.3840706" xr:uid="{769E712A-CEB9-4E3E-B7B0-527925210F00}"/>
    <hyperlink ref="CK52" r:id="rId2330" display="https://deathpenaltycurriculum.org/node/87" xr:uid="{4FC06FC6-0168-4450-A0E1-065DA414CB4A}"/>
    <hyperlink ref="CK81" r:id="rId2331" display="https://caselaw.findlaw.com/pa-supreme-court/1166214.html" xr:uid="{20E229D0-B245-4D8F-A7EF-A71121152507}"/>
    <hyperlink ref="CK86" r:id="rId2332" display="https://www.nytimes.com/2001/09/11/national/slaying-suspect-commits-suicide.html" xr:uid="{D399A7DE-0DC7-4D2B-8424-B8AA73428D96}"/>
    <hyperlink ref="CK85" r:id="rId2333" location="v=onepage&amp;q=steven%20stagner%20&amp;f=false" display="https://books.google.com/books?id=OPp3ZxY6b5kC&amp;pg=PA55&amp;lpg=PA55&amp;dq=steven+stagner+colorado+white&amp;source=bl&amp;ots=CIYH9mlgce&amp;sig=ACfU3U24HTgtfisKroDSyMLiDP2UUsieRQ&amp;hl=en&amp;sa=X&amp;ved=2ahUKEwjNzfiXjbDgAhVM1IMKHVT3AoIQ6AEwDHoECAUQAQ - v=onepage&amp;q=steven%20stagner%20&amp;f=false" xr:uid="{49E3E885-6839-4DBF-8786-96B8AB4467DD}"/>
    <hyperlink ref="CK97" r:id="rId2334" display="https://schoolshooters.info/sites/default/files/Jeffrey Weise Online.pdf" xr:uid="{32013398-CF48-45EA-8C71-4AA49703F9FB}"/>
    <hyperlink ref="CK103" r:id="rId2335" display="https://www.ksl.com/article/6521661" xr:uid="{8B0387F9-4A77-47E4-8887-479CD5779F1F}"/>
    <hyperlink ref="CK105" r:id="rId2336" display="https://www.omaha.com/news/local/understanding-tragedy-hawkins-family-turmoil-drug-use-fill-angry-teen-years-in-foster-care/article_5e992db6-c4da-11e7-a77b-031bf3c11181.html" xr:uid="{4286AA8D-B210-47E0-BFC1-C0E3D0B5FDC9}"/>
    <hyperlink ref="CK140" r:id="rId2337" display="https://www.nytimes.com/interactive/2016/12/10/us/dylann-roof-exhibit2.html" xr:uid="{015C6AAA-7578-41D1-BCEC-45709C8E74FC}"/>
    <hyperlink ref="CY166" r:id="rId2338" display="https://www.washingtonpost.com/nation/2018/11/27/investigators-still-seeking-motive-thousand-oaks-shooting/?noredirect=on" xr:uid="{431FAA19-033D-42FD-8C90-E07AF7F505DC}"/>
    <hyperlink ref="DA5" r:id="rId2339" display="https://timesmachine.nytimes.com/timesmachine/1967/10/25/81841391.html?pageNumber=26" xr:uid="{933EF43E-F607-4188-90C3-7D36C81677B4}"/>
    <hyperlink ref="DA7" r:id="rId2340" location="v=onepage&amp;q&amp;f=false" display="https://books.google.com.au/books?id=8TgDAAAAMBAJ&amp;pg=PA46&amp;lpg=PA46&amp;dq=donald+lambright+%2B+shooting&amp;source=bl&amp;ots=Aato8f0Juy&amp;sig=HU7GC0ZCYmFZI1jtR93xfr2pDk0&amp;hl=en&amp;sa=X&amp;redir_esc=y - v=onepage&amp;q&amp;f=false" xr:uid="{A5FCC748-2BB5-4323-B02C-D7AFA2304BA4}"/>
    <hyperlink ref="DA21" r:id="rId2341" display="https://www.upi.com/Archives/1981/10/16/Man-convicted-for-wild-nightclub-shootings/6579372052800/" xr:uid="{D5590439-3481-4577-B7ED-5DF948598D0A}"/>
    <hyperlink ref="DA25" r:id="rId2342" display="https://www.nydailynews.com/news/crime/ex-teacher-gunned-8-fla-1982-offered-hint-future-article-1.3840706" xr:uid="{1E61394E-34E1-47B6-AA68-A1751B1415B7}"/>
    <hyperlink ref="DA30" r:id="rId2343" location="v=snippet&amp;q=psychotic&amp;f=false" display="https://books.google.com/books?id=Hr3OBwP-lbUC&amp;pg=PA232&amp;dq=abdelkrim+belachheb+no+formal+education&amp;hl=en&amp;sa=X&amp;ved=0ahUKEwjgtZ_68vXfAhXDpYMKHdLHAzYQ6AEIKDAA - v=snippet&amp;q=psychotic&amp;f=false" xr:uid="{9FB803F9-9F3D-4517-B1FB-457310B62C72}"/>
    <hyperlink ref="DA38" r:id="rId2344" display="https://www.chicagotribune.com/news/ct-xpm-1988-09-23-8802010546-story.html" xr:uid="{1A37AEFC-5A73-41EA-A5F1-CCA6A6BFD484}"/>
    <hyperlink ref="DA54" r:id="rId2345" display="https://www.wired.com/1994/06/rage/" xr:uid="{15A7FE67-7DB9-4113-9388-7F9C8E08EBFB}"/>
    <hyperlink ref="DA56" r:id="rId2346" display="https://web.archive.org/web/20150421030616/http:/www.cofpd.org/docs-dun/final-clemency-petition-5-6.pdf" xr:uid="{8FBB7184-2F06-473F-A1F1-907BB34A4A52}"/>
    <hyperlink ref="DA61" r:id="rId2347" display="https://www.nytimes.com/1997/09/23/nyregion/trial-opens-in-fatal-shootings-at-bronx-shoe-store-in-1995.html" xr:uid="{D398B055-CDF3-4377-8199-0C94D34B5F90}"/>
    <hyperlink ref="DA71" r:id="rId2348" display="https://www.pbs.org/wgbh/pages/frontline/shows/kinkel/trial/" xr:uid="{655B91F0-6483-4975-9EF2-D5C8219D0209}"/>
    <hyperlink ref="DA76" r:id="rId2349" display="https://www.chicagotribune.com/news/ct-xpm-1999-08-05-9908050109-story.html" xr:uid="{902D4015-B810-4F3B-9CB8-51FA5D90BF55}"/>
    <hyperlink ref="DA77" r:id="rId2350" display="https://www.cnn.com/US/9909/18/texas.shooter.profile/" xr:uid="{DFE68266-607C-4B6B-9D47-4B806E0BD512}"/>
    <hyperlink ref="DA82" r:id="rId2351" display="https://caselaw.findlaw.com/ma-supreme-judicial-court/1448833.html" xr:uid="{C6716F92-41E8-43C3-BDAD-A1243DE55D7F}"/>
    <hyperlink ref="DA83" r:id="rId2352" display="https://www.latimes.com/archives/la-xpm-2001-jan-10-mn-10586-story.html" xr:uid="{8622975E-4416-4851-9B32-4C8AFC513728}"/>
    <hyperlink ref="DA94" r:id="rId2353" display="https://www.seattletimes.com/nation-world/friends-describe-bizarre-behavior-of-gunman-in-band-shooting/" xr:uid="{7C4837D0-BD4D-4386-8A73-FC19609DCB0A}"/>
    <hyperlink ref="DA104" r:id="rId2354" display="https://slate.com/technology/2007/04/was-cho-a-psychopath-a-depressive-or-a-psychotic.html" xr:uid="{EB1C61E5-7075-4C1B-BAD4-EC8A372FFBEE}"/>
    <hyperlink ref="DA108" r:id="rId2355" display="https://schoolshooters.info/sites/default/files/Northern Illinois University Official Report.pdf" xr:uid="{53D455E0-39AC-46FD-9B6B-88C3CE89CBCD}"/>
    <hyperlink ref="DA111" r:id="rId2356" display="https://www.seattlepi.com/seattlenews/article/Isaac-Zamora-10781621.php" xr:uid="{819A8078-8079-449A-8643-CBCE155C4136}"/>
    <hyperlink ref="DA113" r:id="rId2357" display="https://spectrumlocalnews.com/nys/central-ny/news/2019/04/03/aca-shooting-jiverly-wong-letter" xr:uid="{55A25507-7AB4-4A65-B7D0-7E27A0D82231}"/>
    <hyperlink ref="DA122" r:id="rId2358" display="https://www.nytimes.com/2011/01/16/us/16loughner.html" xr:uid="{441C00C6-934D-4B70-915E-D5C5B36D245A}"/>
    <hyperlink ref="DA124" r:id="rId2359" display="https://sacramento.cbslocal.com/2011/10/05/rifle-in-ihop-shooting-was-illegally-altered/" xr:uid="{6CE95BE4-DB26-4449-8ED2-0EF6BEBD181B}"/>
    <hyperlink ref="DA126" r:id="rId2360" display="https://www.theguardian.com/us-news/2015/dec/05/oakland-shooting-hearing-oikos-university-psychiatrist-one-goh" xr:uid="{750FD7C5-CA2F-4AC7-8228-24DF84A4D1A5}"/>
    <hyperlink ref="DA127" r:id="rId2361" display="https://www.seattletimes.com/seattle-news/gunman-a-life-full-of-rage-a-shocking-final-act/" xr:uid="{AA9742C8-68D8-44FD-8073-1C6AC2BB4115}"/>
    <hyperlink ref="DA130" r:id="rId2362" display="https://www.mprnews.org/story/2012/10/16/engeldinger-parents-describe-their-sons-struggles-with-mental-illness" xr:uid="{0CEFA254-FF32-4B85-9989-590FCD751B78}"/>
    <hyperlink ref="DA135" r:id="rId2363" display="https://www.local10.com/news/police-may-have-motive-in-hialeah-massacre" xr:uid="{FAC6540F-7F76-44F0-9D42-30E5286523E1}"/>
    <hyperlink ref="DA143" r:id="rId2364" display="https://www.theeagle.com/news/mother-of-man-convicted-of-killing-six-people-says-her-son-changed-after-a-car/article_1c073cfc-c6ad-11e7-a923-bf84ac2aa25c.html" xr:uid="{C69189CC-622A-4CEA-920A-717F1D475C9B}"/>
    <hyperlink ref="DA151" r:id="rId2365" display="https://www.nytimes.com/2017/01/08/us/fort-lauderdale-esteban-santiago-schizophrenia-military.html" xr:uid="{1F187D2A-8322-4717-B567-B412BB31F602}"/>
    <hyperlink ref="DA161" r:id="rId2366" display="https://beta.washingtonpost.com/news/post-nation/wp/2018/04/23/waffle-house-shooting-travis-reinking-manhunt-continues-nashville-police-say/" xr:uid="{4DE97B0C-2B79-425F-B3A1-AD44BBA327C1}"/>
    <hyperlink ref="DA162" r:id="rId2367" display="https://www.buzzfeednews.com/article/briannasacks/santa-fe-shooting-suspect-lawyer-bullying-memory" xr:uid="{99CF4A5D-D826-4CDF-A3E6-6A2C75C8E2A2}"/>
    <hyperlink ref="DA172" r:id="rId2368" display="https://www.cnn.com/2019/09/29/us/seth-ator-previous-police-encounter-invs/index.html" xr:uid="{96E59E13-8157-4CF2-A134-22EC5893756A}"/>
    <hyperlink ref="DA175" r:id="rId2369" display="https://www.jsonline.com/story/news/crime/2020/03/03/milwaukee-molson-coors-shooting-facts-behind-racism-noose-rumors/4934728002/?utm_source=oembed&amp;utm_medium=onsite&amp;utm_campaign=storylines&amp;utm_content=news&amp;utm_term=4893028002" xr:uid="{E819C184-A141-4C6F-81C0-BAB450763CD2}"/>
    <hyperlink ref="CZ7" r:id="rId2370" location="v=onepage&amp;q=donald%20lambright%20%2B%2&quot;&amp;&quot;0shooting&amp;f=false" display="https://books.google.com/books?id=8TgDAAAAMBAJ&amp;pg=PA46&amp;lpg=PA46&amp;dq=donald+lambright+%2B+shooting&amp;source=bl&amp;ots=Aato8f0Juy&amp;sig=HU7GC0ZCYmFZI1jtR93xfr2pDk0&amp;hl=en&amp;sa=X&amp;ved=2ahUKEwiDqMzhsdHaAhUE8YMKHXLqD78Q6AEwBHoECAAQQQ - v=onepage&amp;q=donald%20lambright%20%2B%2&quot;&amp;&quot;0shooting&amp;f=false" xr:uid="{19FAAB89-0918-4908-98A9-CB790A09C624}"/>
    <hyperlink ref="CZ23" r:id="rId2371"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4F0384A8-3061-44F9-9172-8F62B28EE295}"/>
    <hyperlink ref="CZ27" r:id="rId2372"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317F68DF-E18B-4B8F-9F4F-C62E54B04A4B}"/>
    <hyperlink ref="CZ36" r:id="rId2373" location="v=onepage&amp;q=richard%20farley%20shoo&quot;&amp;&quot;ting&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ting&amp;f=false" xr:uid="{963408F4-8AA2-4A8E-99C5-03B4E9D7CBC3}"/>
    <hyperlink ref="CZ63" r:id="rId2374" display="https://www.deseret.com/1996/4/25/19238561/fireman-was-time-bomb-waiting" xr:uid="{428AA10D-9152-462E-AED9-DAF1C765920C}"/>
    <hyperlink ref="CZ103" r:id="rId2375" location="salt-lake-city-mayor-rocky-anderson-pauses-for-a-moment-while-speaking-at-a-press-conference-tuesday-in-salt-lake-city-just-hours-after-a-gunman-entered-&quot;&amp;&quot;the-trolley-square-mall-and-fatally-shot-5-patrons-monday-evening" display="https://www.deseret.com/2007/2/16/20001904/more-details-emerging-on-trolley-square-gunman-and-victims - salt-lake-city-mayor-rocky-anderson-pauses-for-a-moment-while-speaking-at-a-press-conference-tuesday-in-salt-lake-city-just-hours-after-a-gunman-entered-&quot;&amp;&quot;the-trolley-square-mall-and-fatally-shot-5-patrons-monday-evening" xr:uid="{77D5A639-5868-4C0A-9BE1-A91E772BE119}"/>
    <hyperlink ref="CY3" r:id="rId2376" display="https://www.washingtonpost.com/sf/local/2016/07/31/the-loaded-legacy-of-the-ut-tower-shooting/" xr:uid="{F6ECE6B0-1E4A-4C22-95D6-B7E4CB325F78}"/>
    <hyperlink ref="CX7" r:id="rId2377" display="https://newspaperarchive.com/lebanon-daily-news-apr-07-1969-p-1/" xr:uid="{2A3DE1BE-02AD-4010-A11F-21D9BA7DF2B9}"/>
    <hyperlink ref="CR8" r:id="rId2378" display="http://web.archive.org/web/20160820143545/http:/www.ghe101library.com/non-fiction-articles/fishers-burkean-analysis-of-a-multiple-murder" xr:uid="{E37B1531-1030-4599-9E36-CB945AD9E4CD}"/>
    <hyperlink ref="CN11" r:id="rId2379" display="http://www.crimemagazine.com/sniper-mark-essex" xr:uid="{826AFA38-97B8-4B95-A096-A98D1E8E87EA}"/>
    <hyperlink ref="CQ13" r:id="rId2380" display="https://www.ocregister.com/2006/05/20/shootings-recall-csuf-ordeal-31-years-ago/" xr:uid="{FE1CCB6C-8C2D-47FE-AE23-022194BD4078}"/>
    <hyperlink ref="CX13" r:id="rId2381" display="https://www.ocregister.com/2006/05/20/shootings-recall-csuf-ordeal-31-years-ago/" xr:uid="{DBFC6F6E-D78D-42DB-A0BB-95753AA027BF}"/>
    <hyperlink ref="CR14" r:id="rId2382" display="https://www.nytimes.com/1977/02/15/archives/nazi-admirer-also-wounds-5-in-wild-attack-followed-by-a-siege-at.html" xr:uid="{FF8E5CA3-E473-4E34-8FBC-CBE024C55C49}"/>
    <hyperlink ref="CV15" r:id="rId2383" display="https://kobi5.com/news/regional-news/roseburg-shootings-trigger-mass-murder-memories-in-klamath-falls-2417/" xr:uid="{F0BF6F21-F8A4-44F1-BFA9-F048EE778B71}"/>
    <hyperlink ref="CS15" r:id="rId2384" display="https://kobi5.com/news/regional-news/roseburg-shootings-trigger-mass-murder-memories-in-klamath-falls-2417/" xr:uid="{27FE8E9D-9035-4FAD-90B1-C9A226746CCB}"/>
    <hyperlink ref="CX17" r:id="rId2385" location="v=onepage&amp;q=gan%20fong%20chin%20shoo&amp;f=false" display="https://books.google.com/books?id=3HOuBAAAQBAJ&amp;pg=PA105&amp;lpg=PA105&amp;dq=gan+fong+chin+shooting&amp;source=bl&amp;ots=uX_nRz_bVE&amp;sig=ACfU3U0cED2lO2rngkh3ECFVdbDrf_pcBA&amp;hl=en&amp;sa=X&amp;ved=2ahUKEwjD9byjmKnjAhUEac0KHfaODEkQ6AEwBnoECAkQAQ - v=onepage&amp;q=gan%20fong%20chin%20shoo&amp;f=false" xr:uid="{FEA73E2B-4B66-45A3-A5BC-51FDB207DB15}"/>
    <hyperlink ref="CX16" r:id="rId2386" display="https://www.nytimes.com/1977/08/29/archives/quarrels-at-home-cited-as-cause-in-jersey-shootings.html" xr:uid="{77052E6B-4DCB-4C04-A1DB-05DF680651BF}"/>
    <hyperlink ref="CX20" r:id="rId2387" display="https://www.leagle.com/decision/1985350349pasuper11350" xr:uid="{E0788964-80BE-42F4-AB89-D4103E2013E3}"/>
    <hyperlink ref="CX21" r:id="rId2388" display="https://www.upi.com/Archives/1981/10/16/Man-convicted-for-wild-nightclub-shootings/6579372052800/" xr:uid="{33EC2DF9-D625-40A8-AAA6-31CB9194DEB9}"/>
    <hyperlink ref="CP21" r:id="rId2389" xr:uid="{88DDCA43-9ED7-4B34-A5D0-B6A3D64A6470}"/>
    <hyperlink ref="CO21" r:id="rId2390" display="1" xr:uid="{B6AC4E26-B72C-4A96-98F1-518FDD419966}"/>
    <hyperlink ref="CZ26" r:id="rId2391" display="https://www.nytimes.com/1983/02/04/nyregion/gunman-kills-four-and-wounds-a-fifth-at-a-west-side-hotel.html" xr:uid="{CA485F7A-0BB6-4D09-A0A0-088B52ED3BE9}"/>
    <hyperlink ref="CR26" r:id="rId2392" display="https://www.nytimes.com/1983/02/04/nyregion/gunman-kills-four-and-wounds-a-fifth-at-a-west-side-hotel.html" xr:uid="{061DBB85-9EFE-49EE-B7EA-CBAD859E1586}"/>
    <hyperlink ref="CY26" r:id="rId2393" display="https://www.nytimes.com/1983/02/04/nyregion/gunman-kills-four-and-wounds-a-fifth-at-a-west-side-hotel.html" xr:uid="{F59B220E-628C-438A-B0FD-5F88BE3632EE}"/>
    <hyperlink ref="CY28" r:id="rId2394" display="https://www.nytimes.com/1987/03/05/us/texan-who-killed-6-in-1983-is-executed-by-lethal-injection.html" xr:uid="{8EFDB6A0-0760-4DE9-A3F1-B547966E3E1D}"/>
    <hyperlink ref="CV29" r:id="rId2395"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57E39071-E8C8-4269-9C78-5BF98161ED47}"/>
    <hyperlink ref="CY29" r:id="rId2396"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EF69B938-45AE-41B3-9402-0295FBA6898C}"/>
    <hyperlink ref="CN31" r:id="rId2397" display="https://www.nytimes.com/1984/07/20/us/neighbors-term-mass-slayer-a-quiet-but-hotheaded-loner.html" xr:uid="{3FB756C8-3E19-4327-87A3-E10DFD138A15}"/>
    <hyperlink ref="CU32" r:id="rId2398" display="https://www.odmp.org/officer/13864-sergeant-wayne-m-warwick" xr:uid="{C8DD68D1-9D92-4F36-93F4-502AEE22F14B}"/>
    <hyperlink ref="CR33" r:id="rId2399" display="https://www.washingtonpost.com/archive/politics/1985/04/05/in-factory-town-fear-of-a-killing-pace/795719f4-fac5-45ee-a5ea-908b039750a8/?noredirect=on" xr:uid="{53770F2C-7848-4315-9F39-CC538E4C3317}"/>
    <hyperlink ref="CQ35" r:id="rId2400" display="https://www.orlandosentinel.com/news/os-xpm-1989-03-21-8903210118-story.html" xr:uid="{8651A08E-FD81-4E7B-B6CF-CA28DAF7062C}"/>
    <hyperlink ref="CK36" r:id="rId2401" location="v=onepage&amp;q=richard%20farley%20shoo&amp;f=false" display="https://books.google.com/books?id=b54xcYkbSlcC&amp;pg=PA87&amp;lpg=PA87&amp;dq=richard+farley+shooting&amp;source=bl&amp;ots=mmtKSPaUm7&amp;sig=ACfU3U3aVSj4M4X2jtLTryFI834aRIh3yA&amp;hl=en&amp;sa=X&amp;ved=2ahUKEwjx2dqB9ZHkAhVGeawKHZ2FDHU4FBDoATAJegQICRAB - v=onepage&amp;q=richard%20farley%20shoo&amp;f=false" xr:uid="{18CDF691-37D2-427D-9F4E-76FC5A54ED84}"/>
    <hyperlink ref="CV36" r:id="rId2402" display="https://www.leagle.com/decision/incaco20090702055" xr:uid="{4C88818F-20EE-4D4D-B0C8-03E7D411B15A}"/>
    <hyperlink ref="CX37" r:id="rId2403" display="https://www.journalnow.com/news/local/for-first-time-in-years-michael-hayes-is-free-of/article_d5514c21-a980-5bf3-934e-53b3e76e8c05.html" xr:uid="{A6B57B0B-4C9B-466B-955F-3D5205F0598F}"/>
    <hyperlink ref="CK43" r:id="rId2404" display="https://www.washingtonpost.com/archive/politics/1991/10/18/texas-killer-said-to-have-problem-with-women/0af79d27-5ed2-4a1a-afb2-f6a38e9c32c2/" xr:uid="{250465EF-5A07-428A-94E3-920488E5D6F7}"/>
    <hyperlink ref="CP43" r:id="rId2405" display="https://www.nytimes.com/1991/10/18/us/portrait-of-texas-killer-impatient-and-troubled.html" xr:uid="{B0EA8776-F1CC-4DFF-B833-5011923F72BF}"/>
    <hyperlink ref="CX44" r:id="rId2406" display="https://www.nytimes.com/1991/11/03/us/gunman-in-iowa-wrote-of-plans-in-five-letters.html" xr:uid="{1C8683F6-1B2D-48FF-9077-6CE4F752F941}"/>
    <hyperlink ref="CV44" r:id="rId2407" display="https://www.desmoinesregister.com/story/news/2018/11/01/gang-lu-shooting-university-iowa-campus-iowa-city-guns-handgun-jessup-hall-van-allen-jessup-hall/1847462002/" xr:uid="{D2451B5F-CB05-40DD-A852-186D7E14A675}"/>
    <hyperlink ref="CR44" r:id="rId2408" display="https://www.desmoinesregister.com/story/news/2018/11/01/gang-lu-shooting-university-iowa-campus-iowa-city-guns-handgun-jessup-hall-van-allen-jessup-hall/1847462002/" xr:uid="{194231CC-D2EB-4FC3-AB44-5F27D7822D6A}"/>
    <hyperlink ref="CR46" r:id="rId2409" display="https://www.latimes.com/archives/la-xpm-1991-11-15-mn-1435-story.html" xr:uid="{B5AAF534-B0A6-474D-B8A7-58339A1CBB96}"/>
    <hyperlink ref="CY47" r:id="rId2410" display="http://cdn.ca9.uscourts.gov/datastore/opinions/2012/09/18/08-99015.pdf" xr:uid="{812C340B-7608-4991-BD84-C42DF031A8EA}"/>
    <hyperlink ref="CT50" r:id="rId2411" display="https://news.google.com/newspapers?id=_SdZAAAAIBAJ&amp;sjid=C0cNAAAAIBAJ&amp;pg=6601,992534&amp;dq=" xr:uid="{1CDA70DE-D7AA-4B2A-8C12-FDDAC435F8F4}"/>
    <hyperlink ref="CT51" r:id="rId2412" display="https://www.chicagotribune.com/news/ct-xpm-1993-07-04-9307040062-story.html" xr:uid="{CBE40F6A-363F-46F9-9AD6-AA4A96CE3CE0}"/>
    <hyperlink ref="CS51" r:id="rId2413" display="https://www.chicagotribune.com/news/ct-xpm-1993-07-04-9307040062-story.html" xr:uid="{B98C6717-62FB-4100-B7D4-4B0F29831E3D}"/>
    <hyperlink ref="CN55" r:id="rId2414" display="https://www.nytimes.com/1993/12/12/nyregion/tormented-life-special-report-long-slide-privilege-ends-slaughter-train.html" xr:uid="{7DFEF0FE-D03A-4EBF-9FFC-44B59ACC3533}"/>
    <hyperlink ref="AU55" r:id="rId2415" display="https://www.nytimes.com/1993/12/12/nyregion/tormented-life-special-report-long-slide-privilege-ends-slaughter-train.html" xr:uid="{ED376310-C71A-4895-8214-D7069F87FA85}"/>
    <hyperlink ref="AV55" r:id="rId2416" display="https://www.nytimes.com/1993/12/12/nyregion/tormented-life-special-report-long-slide-privilege-ends-slaughter-train.html" xr:uid="{64B97E10-9B64-4EAB-84FD-7D821F06656E}"/>
    <hyperlink ref="CS55" r:id="rId2417" display="https://www.nytimes.com/1993/12/12/nyregion/tormented-life-special-report-long-slide-privilege-ends-slaughter-train.html" xr:uid="{C0959A25-1DDA-4487-A8BC-67663B75248E}"/>
    <hyperlink ref="CT55" r:id="rId2418" display="https://www.nytimes.com/1993/12/12/nyregion/tormented-life-special-report-long-slide-privilege-ends-slaughter-train.html" xr:uid="{4458D836-1FD8-4BC6-BA0E-EA3F96689927}"/>
    <hyperlink ref="CV58" r:id="rId2419" display="https://caselaw.findlaw.com/nc-court-of-appeals/1359423.html" xr:uid="{1D19FC11-D365-4485-AD0E-B3266CBB14A7}"/>
    <hyperlink ref="CR59" r:id="rId2420" display="https://apnews.com/43e3a168e8024ac986b4794bea137e07" xr:uid="{6BB402F2-747D-417E-9EF1-0A7D463DCEEB}"/>
    <hyperlink ref="CR62" r:id="rId2421" display="https://www.washingtonpost.com/archive/politics/1996/02/10/fired-worker-shoots-5-dead-kills-himself/fe3750b6-0748-4f95-a3b6-bb8948705e80/?noredirect=on" xr:uid="{6410B09C-689B-4919-A79D-7E4AFD88F313}"/>
    <hyperlink ref="CK62" r:id="rId2422" display="https://apnews.com/cec11122f0b4c232725599b3ae3d7bcf" xr:uid="{4A81BBC5-6242-4D0F-AFE9-3A58687A2901}"/>
    <hyperlink ref="CT64" r:id="rId2423" display="https://www.concordmonitor.com/Somber-memories-20-years-after-small-town-shootings-11846765" xr:uid="{6DF7E4EA-BA59-4F76-9ECB-C45723DB55DF}"/>
    <hyperlink ref="CR67" r:id="rId2424" display="https://www.latimes.com/archives/la-xpm-1997-dec-20-mn-431-story.html" xr:uid="{F070BA23-7352-4E7A-9F4F-C1C5A3CDAD77}"/>
    <hyperlink ref="CT67" r:id="rId2425" display="https://www.latimes.com/archives/la-xpm-1997-dec-20-mn-431-story.html" xr:uid="{E1276201-B5B1-4F15-886F-4B6EF97C698E}"/>
    <hyperlink ref="CX73" r:id="rId2426" display="https://slate.com/news-and-politics/2004/04/at-last-we-know-why-the-columbine-killers-did-it.html" xr:uid="{26A23AF4-FAFD-46F9-AAFC-A96B9DFE5836}"/>
    <hyperlink ref="CY75" r:id="rId2427" display="https://caselaw.findlaw.com/nv-supreme-court/1322079.html" xr:uid="{A0380BD2-27C5-4754-9222-1055E2D0D3A0}"/>
    <hyperlink ref="CU76" r:id="rId2428" location="v=onepage&amp;q&amp;f=false" display="https://books.google.com/books?id=b54xcYkbSlcC&amp;lpg=PA67&amp;ots=mlvGRSb_k6&amp;dq=mark%20barton%20biography&amp;pg=PA67 - v=onepage&amp;q&amp;f=false" xr:uid="{B69EDB40-8D00-4C75-9DB7-F3DB93C92514}"/>
    <hyperlink ref="CX77" r:id="rId2429" display="http://www.cnn.com/US/9909/18/texas.shooter.profile/" xr:uid="{C6684E2B-A071-445E-B7F8-CA319467EE39}"/>
    <hyperlink ref="CV83" r:id="rId2430" display="https://www.latimes.com/archives/la-xpm-2001-jan-10-mn-10586-story.html" xr:uid="{9A3B3606-D765-4EF2-BC8C-BBCA04A26FA1}"/>
    <hyperlink ref="CU83" r:id="rId2431" display="https://www.latimes.com/archives/la-xpm-2001-jan-10-mn-10586-story.html" xr:uid="{36CE71F4-EFBA-4C7A-B8E5-4F49E277EBC3}"/>
    <hyperlink ref="CS83" r:id="rId2432" display="https://www.latimes.com/archives/la-xpm-2001-jan-10-mn-10586-story.html" xr:uid="{491530EF-0321-478A-851F-09765D1C2581}"/>
    <hyperlink ref="CX85" r:id="rId2433" display="https://www.postindependent.com/news/stagner-insane-judge-confirms" xr:uid="{B7B2D053-B008-4EBC-9AE6-AE9750DAE362}"/>
    <hyperlink ref="CR87" r:id="rId2434" display="https://www.heraldpalladium.com/localnews/killings-shock-friends-and-neighbors/article_1e98c855-92d1-5d68-aaa6-e68165370d57.html" xr:uid="{BC1E53CA-6AFB-40EF-B282-99FC78BAD5DF}"/>
    <hyperlink ref="CV88" r:id="rId2435" display="https://www.cbsnews.com/news/employment-agency-bloodbath/" xr:uid="{EBE62BBE-938E-45B3-A440-98476A459091}"/>
    <hyperlink ref="CK89" r:id="rId2436" display="https://www.cbsnews.com/news/six-dead-in-mississippi-massacre/" xr:uid="{93DD4379-6944-4D0D-983B-2188E9065E29}"/>
    <hyperlink ref="CR89" r:id="rId2437" display="https://www.nytimes.com/2003/07/09/us/man-kills-5-co-workers-at-plant-and-himself.html?mcubz=0" xr:uid="{9E069E7C-56BE-478C-83CD-E4FAC66B24FB}"/>
    <hyperlink ref="CU91" r:id="rId2438" display="https://apnews.com/17e5f1c6ceacc876bab747f7ddfe0908" xr:uid="{FABB2675-E603-4980-AE22-6D022A3E310F}"/>
    <hyperlink ref="CR92" r:id="rId2439" display="https://www2.ljworld.com/news/2004/jul/04/chaos_reigned_at/" xr:uid="{2EA63DEC-7E21-4E8F-9C5E-0AA1B057E357}"/>
    <hyperlink ref="CR96" r:id="rId2440" display="https://www.starnewsonline.com/news/20050803/officials-end-investigation-of-deadly-church-shooting" xr:uid="{A9812285-1FC9-40F9-BD22-F17E3E9A7CD3}"/>
    <hyperlink ref="CS96" r:id="rId2441" display="https://www.starnewsonline.com/news/20050803/officials-end-investigation-of-deadly-church-shooting" xr:uid="{C40EE073-7D1A-41B1-AE1D-EA9CC1F92D57}"/>
    <hyperlink ref="CO96" r:id="rId2442" display="https://www.starnewsonline.com/news/20050803/officials-end-investigation-of-deadly-church-shooting" xr:uid="{225DCB86-CB0D-4617-8DE0-85D69C089AC3}"/>
    <hyperlink ref="CV98" r:id="rId2443" display="https://www.myplainview.com/news/article/Gunman-kills-self-after-shooting-four-at-rural-8725414.php" xr:uid="{44DB8280-FEB4-47B0-B5D5-8F4F62AA5B9E}"/>
    <hyperlink ref="CV99" r:id="rId2444" display="https://www.independent.com/2013/01/31/goleta-postal-murders/" xr:uid="{82DBA7B0-7E2F-4C1A-BC14-D797FF95A69F}"/>
    <hyperlink ref="CX100" r:id="rId2445" display="https://archive.seattletimes.com/archive/?date=20060718&amp;slug=huff18m" xr:uid="{FD9DC450-2527-4AEC-A1E4-547B4E59D7B1}"/>
    <hyperlink ref="CX105" r:id="rId2446" display="https://www.nytimes.com/2007/12/08/us/08gunman.html" xr:uid="{E4F8251D-6314-4418-9217-13BC3FCA06FD}"/>
    <hyperlink ref="CS107" r:id="rId2447" display="https://www.stltoday.com/news/local/crime-and-courts/thornton-s-smile-gave-in-to-anger/article_6c8dfcc8-77e7-11df-ba06-0017a4a78c22.html" xr:uid="{9B031955-7D87-4D21-8F74-501980E8E255}"/>
    <hyperlink ref="CX109" r:id="rId2448" display="https://caselaw.findlaw.com/ca-court-of-appeal/1714165.html" xr:uid="{62481DCA-F5D6-4974-A929-62ADC22B76C1}"/>
    <hyperlink ref="CV110" r:id="rId2449" display="http://archive.courierpress.com/news/rampage-at-atlantis-plastics-ends-with-six-dead-ep-448401177-325078951.html/" xr:uid="{C0276324-A69A-4B8F-BCAA-9043F1DDBBF2}"/>
    <hyperlink ref="CX111" r:id="rId2450" display="https://www.seattlepi.com/seattlenews/article/Isaac-Zamora-10781621.php" xr:uid="{6F704E38-C7E0-4255-B56A-5302DA471932}"/>
    <hyperlink ref="CX113" r:id="rId2451" display="https://spectrumlocalnews.com/nys/central-ny/news/2019/04/03/aca-shooting-jiverly-wong-letter" xr:uid="{0FFE0CD3-F0E7-46D8-A668-1C4634CB5623}"/>
    <hyperlink ref="CV114" r:id="rId2452" display="https://www.mtairynews.com/archive/18387/view-full_story-12350459-article-murderer_gets_three_life_terms" xr:uid="{4C4053EA-B657-4BE5-8BF2-EA3C0D51A8DD}"/>
    <hyperlink ref="CN119" r:id="rId2453" display="https://www.courant.com/community/manchester/hc-ap-omar-thornton-racism-0808-20100808-story.html" xr:uid="{50A7E18A-533A-4826-A782-4A04B0452E2D}"/>
    <hyperlink ref="CV120" r:id="rId2454" display="https://www.mpnnow.com/x905911221/Jurors-get-case-of-Buffalo-shooting-that-killed-4" xr:uid="{76601DAD-9BF9-451D-B078-7D8067EC4905}"/>
    <hyperlink ref="CU121" r:id="rId2455" display="https://www.theguardian.com/world/2010/sep/12/man-shot-wife-cooked-eggs" xr:uid="{ED6227DB-5A39-4788-A8B8-756D0FEC08F0}"/>
    <hyperlink ref="CX122" r:id="rId2456" display="https://www.nytimes.com/2011/01/16/us/16loughner.html" xr:uid="{58552B08-10B2-4893-A006-25F944E23435}"/>
    <hyperlink ref="CT123" r:id="rId2457" location=".XaJyRS3Mz-Y" display="http://www.nbcnews.com/id/44057589/ns/us_news-crime_and_courts/t/woman-alleged-ohio-killer-estate-dispute/ - .XaJyRS3Mz-Y" xr:uid="{10CD8306-67AF-4542-8DE8-B93FA7E7101F}"/>
    <hyperlink ref="CV123" r:id="rId2458" location=".XaJyRS3Mz-Y" display="http://www.nbcnews.com/id/44057589/ns/us_news-crime_and_courts/t/woman-alleged-ohio-killer-estate-dispute/ - .XaJyRS3Mz-Y" xr:uid="{E87E4095-553D-4577-90BC-509CFE8E9D5B}"/>
    <hyperlink ref="CS126" r:id="rId2459" display="https://www.theguardian.com/us-news/2015/dec/05/oakland-shooting-hearing-oikos-university-psychiatrist-one-goh" xr:uid="{5C1ED3DF-7E42-4832-A229-44E46EC61448}"/>
    <hyperlink ref="CX126" r:id="rId2460" display="https://www.theguardian.com/us-news/2015/dec/05/oakland-shooting-hearing-oikos-university-psychiatrist-one-goh" xr:uid="{C6E21295-AE07-4BB5-9450-BA2C0365AA54}"/>
    <hyperlink ref="CU133" r:id="rId2461" display="https://www.seattletimes.com/seattle-news/witnesses-among-5-dead-in-federal-way" xr:uid="{CA3AF3DF-306B-428D-8120-76DED5C1A593}"/>
    <hyperlink ref="CY134" r:id="rId2462" display="https://www.smdp.com/gunmans-mother-opens-up-in-new-santa-monica-shooting-documentary/163119" xr:uid="{7361B588-B4E3-4C3F-9144-DC6F12651E74}"/>
    <hyperlink ref="CX135" r:id="rId2463" display="https://www.local10.com/news/2013/08/01/police-may-have-motive-in-hialeah-massacre/" xr:uid="{3041A547-9410-4F68-B7E6-FC2E4DF4052D}"/>
    <hyperlink ref="CX136" r:id="rId2464" display="https://www.washingtonpost.com/local/crime/fbi-police-detail-shooting-navy-yard-shooting/2013/09/25/ee321abe-2600-11e3-b3e9-d97fb087acd6_story.html" xr:uid="{BCA6C1F5-1C0C-4BF7-9EB1-57C954D9CBC3}"/>
    <hyperlink ref="AF137" r:id="rId2465" xr:uid="{06956AE1-A74A-4ADE-897D-E20AC3561F13}"/>
    <hyperlink ref="CT137" r:id="rId2466" xr:uid="{65FA1B04-816A-48A2-91A7-D95C3B03D23C}"/>
    <hyperlink ref="CS137" r:id="rId2467" xr:uid="{FFC2FE63-6608-4956-A237-5F686BF397E8}"/>
    <hyperlink ref="CN140" r:id="rId2468" display="https://www.gq.com/story/dylann-roof-making-of-an-american-terrorist" xr:uid="{54D43163-A8C7-4D7C-91AB-BB071857BE79}"/>
    <hyperlink ref="CW142" r:id="rId2469" display="https://www.latimes.com/nation/la-na-school-shootings-2017-story.html" xr:uid="{304F7ED5-1758-476F-89ED-F25558541F23}"/>
    <hyperlink ref="CX142" r:id="rId2470" display="https://www.latimes.com/nation/la-na-school-shootings-2017-story.html" xr:uid="{D5F80C73-78D8-47F5-A3DF-563A6536F920}"/>
    <hyperlink ref="CX146" r:id="rId2471" display="https://www.gq.com/story/the-uber-killer" xr:uid="{B0AC88FD-2526-4590-B3AC-C27EF40FB837}"/>
    <hyperlink ref="CQ148" r:id="rId2472" display="https://www.cnn.com/2018/03/06/us/pulse-shooting-mateen-scouted-other-sites/index.html" xr:uid="{2A4B2DE6-482D-4299-952D-5C6988FE8578}"/>
    <hyperlink ref="CX148" r:id="rId2473" display="https://time.com/4371910/orlando-shooting-omar-mateen-facebook/" xr:uid="{A6C51BDB-6CA2-48A1-8E99-39FDF005FEF2}"/>
    <hyperlink ref="CN149" r:id="rId2474" display="https://www.cnn.com/2016/07/08/us/philando-castile-alton-sterling-protests/index.html" xr:uid="{A467E88E-A4BB-4687-BE61-A5B78056237D}"/>
    <hyperlink ref="CK149" r:id="rId2475" display="1, 4" xr:uid="{59D14388-5397-422E-AF4F-BD9E1E6C0881}"/>
    <hyperlink ref="CT157" r:id="rId2476" display="https://www.sacbee.com/news/local/crime/article184754473.html" xr:uid="{E5257F8E-4083-4E9E-99E3-4D4096279B2D}"/>
    <hyperlink ref="CU160" r:id="rId2477" display="https://www.mlive.com/news/detroit/2018/02/manhunt_for_quadruple_homicide.html" xr:uid="{5276B0FD-6FFC-412F-9C12-18DFC347FCA9}"/>
    <hyperlink ref="CV160" r:id="rId2478" display="https://www.mlive.com/news/detroit/2018/02/manhunt_for_quadruple_homicide.html" xr:uid="{D2FBA191-91D2-4154-B84B-2826DACAEE46}"/>
    <hyperlink ref="CT163" r:id="rId2479" display="https://www.baltimoresun.com/news/crime/bs-md-ramos-search-20180628-story.html" xr:uid="{EA67927E-4517-4ACC-BA67-AD829ACF2881}"/>
    <hyperlink ref="CW166" r:id="rId2480" display="https://www.usatoday.com/story/news/nation/2018/11/10/thousand-oaks-shooting-gunman-posted-instagram-during-bar-massacre/1958013002/" xr:uid="{5156493B-9068-44E1-8998-E9B28E5355F0}"/>
    <hyperlink ref="CV175" r:id="rId2481" display="https://www.jsonline.com/story/news/2020/02/27/milwaukee-miller-coors-shooting-anthony-ferrill-identified-molsoncoors-gunman-shooter/4891164002/" xr:uid="{C8CA99C1-8AB3-43A7-8FB3-DABC6C7F8144}"/>
    <hyperlink ref="N7" r:id="rId2482" display="https://cdnc.ucr.edu/cgi-bin/cdnc?a=d&amp;d=DS19690407.2.35&amp;e=-------en--20--1--txt-txIN--------1" xr:uid="{06D5D2A7-66AD-4232-A53C-5CF8CF45858A}"/>
    <hyperlink ref="N16" r:id="rId2483" display="https://news.google.com/newspapers?nid=1891&amp;dat=19770827&amp;id=3d4pAAAAIBAJ&amp;sjid=KtYEAAAAIBAJ&amp;pg=3878,3973758" xr:uid="{F5A0EC0D-7377-450E-90AF-401987F05027}"/>
    <hyperlink ref="P16" r:id="rId2484" display="https://news.google.com/newspapers?nid=1891&amp;dat=19770827&amp;id=3d4pAAAAIBAJ&amp;sjid=KtYEAAAAIBAJ&amp;pg=3878,3973758" xr:uid="{3EA5056D-9192-4E29-B2D5-94EAA835E919}"/>
    <hyperlink ref="N22" r:id="rId2485" display="https://www.upi.com/Archives/1981/10/17/Mountain-town-shocked-by-shooting-outburst/9178372139200/" xr:uid="{6A501FF3-DB59-410A-B793-3D7C9F1EC8C5}"/>
    <hyperlink ref="N23" r:id="rId2486" display="https://www.nytimes.com/1982/06/22/us/new-law-on-insanity-plea-stirs-dispute-in-alaska.html" xr:uid="{AF2C4A89-BD78-47D9-8A1B-D43EBC3CD3F7}"/>
    <hyperlink ref="P24" r:id="rId2487" display="https://news.google.com/newspapers?id=KEslAAAAIBAJ&amp;sjid=B-QFAAAAIBAJ&amp;pg=5809,8230898" xr:uid="{BCA24394-BC4D-4BF4-86B1-1C5C1D7CF388}"/>
    <hyperlink ref="P27" r:id="rId2488" display="https://www.upi.com/Archives/1983/03/03/Survivor-describes-random-shootings-that-killed-six/9561415515600/" xr:uid="{AE04A65D-83FC-4FAD-8D43-C30F35B7581F}"/>
    <hyperlink ref="P28" r:id="rId2489" display="https://law.justia.com/cases/texas/court-of-criminal-appeals/1986/69268-4.html" xr:uid="{5715DEFB-4C5D-4758-B819-FECC0262CD0D}"/>
    <hyperlink ref="N29" r:id="rId2490" display="https://www.nytimes.com/1984/11/11/us/memories-of-springtime-murders-chill-small-alaskan-town.html" xr:uid="{2D321F10-2C97-412A-81DE-046465C99F8D}"/>
    <hyperlink ref="P29" r:id="rId2491" display="https://www.nytimes.com/1984/11/11/us/memories-of-springtime-murders-chill-small-alaskan-town.html" xr:uid="{F3D486DC-C988-4B26-83AB-3664278A7128}"/>
    <hyperlink ref="P32" r:id="rId2492" display="https://www.upi.com/Archives/1984/07/25/A-gunman-who-killed-four-people-and-wounded-another/3627459576000/" xr:uid="{422D0E81-A953-467A-9374-F56F0030AE64}"/>
    <hyperlink ref="N37" r:id="rId2493" display="https://www.the-dispatch.com/news/20130712/emotions-run-high-25-years-after-hayes-shootings" xr:uid="{A9CB5E8E-77D2-42E5-B2AA-00CDCCA60F6B}"/>
    <hyperlink ref="P41" r:id="rId2494" display="https://www.nytimes.com/1990/06/19/us/florida-gunman-kills-8-and-wounds-6-in-office.html" xr:uid="{17664F3A-0617-433B-9FEC-31E053274B2D}"/>
    <hyperlink ref="N27" r:id="rId2495" display="https://www.upi.com/Archives/1983/03/03/Survivor-describes-random-shootings-that-killed-six/9561415515600/" xr:uid="{6B3A2DA2-2946-45AD-BE83-D2012A0FDCEC}"/>
    <hyperlink ref="P54" r:id="rId2496" display="https://www.wired.com/1994/06/rage/" xr:uid="{8ADCC7EE-C8FB-4E73-937F-AFEF20546463}"/>
    <hyperlink ref="N64" r:id="rId2497" display="http://content.time.com/time/magazine/article/0,9171,138219,00.html" xr:uid="{77E36FC4-5EC7-4B4B-AC4B-C3A2C8F9E32B}"/>
    <hyperlink ref="P64" r:id="rId2498" display="http://content.time.com/time/magazine/article/0,9171,138219,00.html" xr:uid="{EA5AF632-865C-4304-994D-A19CC188ABC1}"/>
    <hyperlink ref="CK4" r:id="rId2499" display="https://www.nydailynews.com/news/crime/beauty-salon-massacre-article-1.273663" xr:uid="{22C19C5E-0B4E-4EA6-AF67-08720E5D9E86}"/>
    <hyperlink ref="BL167" r:id="rId2500" display="https://time.com/5511989/who-is-zephen-xaver/" xr:uid="{B61F914D-5864-4DC5-A2DB-E5EDA09B4862}"/>
    <hyperlink ref="BL165" r:id="rId2501" display="https://www.nytimes.com/2018/10/28/us/pittsburgh-shooting-robert-bowers.html" xr:uid="{5357F801-FFDC-4142-A6EA-B4AA8D4842D4}"/>
    <hyperlink ref="BL149" r:id="rId2502" display="https://www.telegraph.co.uk/news/2016/07/08/dallas-shooting-who-is-micah-johnson/" xr:uid="{042925CD-FF96-45A0-A9D1-01568BFF60D5}"/>
    <hyperlink ref="BO130" r:id="rId2503" display="https://www.mprnews.org/story/2013/09/27/a-year-after-accent-signage-shootings-debate-shifts-from-gun-control-to-mental-health" xr:uid="{A3E3A613-18F5-4C95-995E-34E48D830246}"/>
    <hyperlink ref="BL127" r:id="rId2504" display="https://www.seattletimes.com/seattle-news/gunman-a-life-full-of-rage-a-shocking-final-act/" xr:uid="{3B57E878-BD26-4263-AFA3-2769C234692B}"/>
    <hyperlink ref="CK7" r:id="rId2505" location="v=onepage&amp;q&amp;f=false" display="v=onepage&amp;q&amp;f=false" xr:uid="{8CFC15C4-E45C-4C71-980A-BC7A12BAC040}"/>
    <hyperlink ref="CK8" r:id="rId2506" display="https://newspaperarchive.com/daily-review-oct-23-1970-p-20/" xr:uid="{1B1441BF-ECA4-435D-A799-17E20A930828}"/>
    <hyperlink ref="CL4" r:id="rId2507" display="https://schoolshooters.info/sites/default/files/smith_analysis_1.0.pdf" xr:uid="{B232979C-FF60-4FA5-A000-203433F2F73A}"/>
    <hyperlink ref="CK11" r:id="rId2508" display="http://www.crimemagazine.com/sniper-mark-essex" xr:uid="{1DF2CE50-5183-405B-9D0D-7F5B186AA6F4}"/>
    <hyperlink ref="CK14" r:id="rId2509" display="https://www.nytimes.com/1977/02/15/archives/nazi-admirer-also-wounds-5-in-wild-attack-followed-by-a-siege-at.html" xr:uid="{1ED190DE-5494-4452-BC07-712C97A83B1E}"/>
    <hyperlink ref="CI16" r:id="rId2510" display="https://www.nytimes.com/1977/08/30/archives/suspect-in-jersey-sniper-killings-had-extensive-psychiatric-record.html" xr:uid="{52414427-8A8E-4178-9A9D-5AD4AB39FD8B}"/>
    <hyperlink ref="CJ16" r:id="rId2511" xr:uid="{A18DFF39-61B0-44D8-916A-DCD023ECD104}"/>
    <hyperlink ref="CH19" r:id="rId2512" location="v=onepage&amp;q&amp;f=false" display="https://books.google.com/books?id=zSwEAAAAMBAJ&amp;pg=PA140 - v=onepage&amp;q&amp;f=false" xr:uid="{8C259B35-8777-46B0-9894-F763C58FA94C}"/>
    <hyperlink ref="CK21" r:id="rId2513" xr:uid="{14A19344-9D81-4FCD-917E-362C473F530F}"/>
    <hyperlink ref="CL21" r:id="rId2514" xr:uid="{D782967F-DFAD-4F71-B6F3-D99C251C93AE}"/>
    <hyperlink ref="CK30" r:id="rId2515" display="https://www.upi.com/Archives/1984/11/08/The-estranged-wife-of-accused-murderer-Abdelkrim-Belachheb-testified/3858468738000/" xr:uid="{D86EC1C5-F030-4BEA-9EEE-A564ABE9F790}"/>
    <hyperlink ref="CK31" r:id="rId2516" display="https://www.nytimes.com/1984/07/20/us/neighbors-term-mass-slayer-a-quiet-but-hotheaded-loner.html" xr:uid="{74214BBB-32C0-44C4-B414-3024BF64507A}"/>
    <hyperlink ref="AT34" r:id="rId2517" location="v=onepage&amp;q=mentally%20ill&amp;f=true" display="https://books.google.com/books?id=cy_wBQAAQBAJ&amp;pg=PT71&amp;lpg=PT71&amp;dq=patrick+sherrill+older+brother&amp;source=bl&amp;ots=P-F6sLNp9_&amp;sig=ACfU3U3UirvTzkaI0bsxNrBUZyo_hKLpHg&amp;hl=en&amp;sa=X&amp;ved=2ahUKEwiQrKW84oboAhXaWM0KHQWYASgQ6AEwDnoECAoQAQ - v=onepage&amp;q=mentally%20ill&amp;f=true" xr:uid="{9E8AE164-6CEF-4C73-943F-EFF11C60315E}"/>
    <hyperlink ref="AU34" r:id="rId2518" location="v=onepage&amp;q=mentally%20ill&amp;f=true" display="https://books.google.com/books?id=cy_wBQAAQBAJ&amp;pg=PT71&amp;lpg=PT71&amp;dq=patrick+sherrill+older+brother&amp;source=bl&amp;ots=P-F6sLNp9_&amp;sig=ACfU3U3UirvTzkaI0bsxNrBUZyo_hKLpHg&amp;hl=en&amp;sa=X&amp;ved=2ahUKEwiQrKW84oboAhXaWM0KHQWYASgQ6AEwDnoECAoQAQ - v=onepage&amp;q=mentally%20ill&amp;f=true" xr:uid="{707E0901-C1E0-490E-B673-42B775B3987E}"/>
    <hyperlink ref="CK34" r:id="rId2519" location="v=onepage&amp;q=mentally%20ill&amp;f=true" display="https://books.google.com/books?id=cy_wBQAAQBAJ&amp;pg=PT71&amp;lpg=PT71&amp;dq=patrick+sherrill+older+brother&amp;source=bl&amp;ots=P-F6sLNp9_&amp;sig=ACfU3U3UirvTzkaI0bsxNrBUZyo_hKLpHg&amp;hl=en&amp;sa=X&amp;ved=2ahUKEwiQrKW84oboAhXaWM0KHQWYASgQ6AEwDnoECAoQAQ - v=onepage&amp;q=mentally%20ill&amp;f=true" xr:uid="{C489FB08-1DA3-4E37-8DF4-3DB9F4FDE6B3}"/>
    <hyperlink ref="AX34" r:id="rId2520" location="v=onepage&amp;q=mentally%20ill&amp;f=true" display="https://books.google.com/books?id=cy_wBQAAQBAJ&amp;pg=PT71&amp;lpg=PT71&amp;dq=patrick+sherrill+older+brother&amp;source=bl&amp;ots=P-F6sLNp9_&amp;sig=ACfU3U3UirvTzkaI0bsxNrBUZyo_hKLpHg&amp;hl=en&amp;sa=X&amp;ved=2ahUKEwiQrKW84oboAhXaWM0KHQWYASgQ6AEwDnoECAoQAQ - v=onepage&amp;q=mentally%20ill&amp;f=true" xr:uid="{BB78F3D3-4691-4070-96EF-EA19D10FDE74}"/>
    <hyperlink ref="CK35" r:id="rId2521" display="https://www.theledger.com/article/20070430/news/608097071" xr:uid="{05AD1056-5B5E-4116-BCA5-4F46A90FFB90}"/>
    <hyperlink ref="CK39" r:id="rId2522" display="https://schoolshooters.info/sites/default/files/Purdy - official report.pdf" xr:uid="{A76EDDF9-66C2-4D08-B6E9-A7452418FD6B}"/>
    <hyperlink ref="CL52" r:id="rId2523" display="https://www.nytimes.com/1993/08/08/us/soldier-kills-4-people-and-hurts-6-in-a-restaurant-in-north-carolina.html" xr:uid="{C1C8AD80-9A0E-4FC4-B328-C828F72837EB}"/>
    <hyperlink ref="CK55" r:id="rId2524" display="https://www.nytimes.com/1993/12/12/nyregion/tormented-life-special-report-long-slide-privilege-ends-slaughter-train.html" xr:uid="{01BCD95C-664C-4007-A4FB-5111C2D98344}"/>
    <hyperlink ref="BP68" r:id="rId2525" display="noticeably depressed months before" xr:uid="{4794818A-720C-41F0-B1EA-A86A57335572}"/>
    <hyperlink ref="CK142" r:id="rId2526" display="https://www.latimes.com/nation/nationnow/la-na-nn-chris-harper-mercer-oregon-shooting-20151002-htmlstory.html" xr:uid="{61D8F681-1ACE-4366-A535-C85F03C90C8D}"/>
    <hyperlink ref="CK74" r:id="rId2527" display="https://schoolshooters.info/sites/default/files/harris_influences_ideology_1.2.pdf" xr:uid="{E69D72C2-232B-4199-8ABB-C9D081F8BCC1}"/>
    <hyperlink ref="CK131" r:id="rId2528" display="https://www.newyorker.com/magazine/2014/03/17/the-reckoning" xr:uid="{11A0A820-9EFF-4BBF-B6C1-37334F78D621}"/>
    <hyperlink ref="CL74" r:id="rId2529" location="metadata_info_tab_contents" display="https://www.jstor.org/stable/j.ctt1bw1ktw.9?seq=3 - metadata_info_tab_contents" xr:uid="{ECDA9053-715E-4B42-91A0-19056BB84F35}"/>
    <hyperlink ref="CK73" r:id="rId2530" display="https://www.theguardian.com/us-news/2016/feb/14/mother-supposed-know-son-columbine-sue-klebold" xr:uid="{DDB5FC0F-8E26-4243-B730-28DBE3307A19}"/>
    <hyperlink ref="BM3" r:id="rId2531" display="https://archive.nytimes.com/www.nytimes.com/library/national/080366tx-shoot.html" xr:uid="{1A238FFC-783F-4449-ABE5-7F434F2ADE84}"/>
    <hyperlink ref="BM4" r:id="rId2532" display="https://www.nydailynews.com/news/crime/beauty-salon-massacre-article-1.273663" xr:uid="{F6FE509E-116B-458B-A564-1CD1CB0F46CD}"/>
    <hyperlink ref="BM5" r:id="rId2533" location="v=onepage&amp;q=leo%20held%20paranoid&amp;f=true" display="https://books.google.com/books?id=LEgSiLnmgYoC&amp;pg=PA88&amp;lpg=PA88&amp;dq=%22leo+held%22+paranoid&amp;source=bl&amp;ots=lYSrqNF9p4&amp;sig=ACfU3U2hB3e3SFcOZwjkD8GJFWzEnNrU4Q&amp;hl=en&amp;sa=X&amp;ved=2ahUKEwjj-MHt4cPhAhUh8YMKHR3WBToQ6AEwAXoECAgQAQ - v=onepage&amp;q=leo%20held%20paranoid&amp;f=true" xr:uid="{C39E0C47-0B18-4D28-BC18-AA65016E658B}"/>
    <hyperlink ref="BM7" r:id="rId2534" location="v=onepage&amp;q&amp;f=false" display="https://books.google.com.au/books?id=8TgDAAAAMBAJ&amp;pg=PA46&amp;lpg=PA46&amp;dq=donald+lambright+%2B+shooting&amp;source=bl&amp;ots=Aato8f0Juy&amp;sig=HU7GC0ZCYmFZI1jtR93xfr2pDk0&amp;hl=en&amp;sa=X&amp;redir_esc=y - v=onepage&amp;q&amp;f=false" xr:uid="{FE27E497-83A5-48E4-835A-C45E644C5040}"/>
    <hyperlink ref="BM11" r:id="rId2535" display="http://www.crimemagazine.com/sniper-mark-essex" xr:uid="{75518D1E-F0A1-45A2-BFD6-477E1E72784B}"/>
    <hyperlink ref="BM13" r:id="rId2536" location="v=onepage&amp;q=edward%20allaway&amp;f=false" display="https://books.google.com/books?id=MfQ1BgAAQBAJ&amp;pg=PA121&amp;lpg=PA121&amp;dq=edward+allaway&amp;source=bl&amp;ots=Nos2RW1YYa&amp;sig=ACfU3U2Y4xbqx6iCdC1VIPfbKJwREofHuA&amp;hl=en&amp;sa=X&amp;ved=2ahUKEwir44qO_YrjAhXPQc0KHSe8CN04ChDoATAIegQICBAB - v=onepage&amp;q=edward%20allaway&amp;f=false" xr:uid="{C24E7F54-ABC6-4F08-BE4F-9F1D96C2A07F}"/>
    <hyperlink ref="BL13" r:id="rId2537" location="v=onepage&amp;q=edward%20allaway&amp;f=false" display="https://books.google.com/books?id=MfQ1BgAAQBAJ&amp;pg=PA121&amp;lpg=PA121&amp;dq=edward+allaway&amp;source=bl&amp;ots=Nos2RW1YYa&amp;sig=ACfU3U2Y4xbqx6iCdC1VIPfbKJwREofHuA&amp;hl=en&amp;sa=X&amp;ved=2ahUKEwir44qO_YrjAhXPQc0KHSe8CN04ChDoATAIegQICBAB - v=onepage&amp;q=edward%20allaway&amp;f=false" xr:uid="{B3935796-D98C-4A6D-B302-88BB2C3880B8}"/>
    <hyperlink ref="BM15" r:id="rId2538" location="v=onepage&amp;q=dewitt%20henry%20Oregon&amp;f=false" display="https://books.google.com/books?id=sdd3ihupC_AC&amp;pg=PA102&amp;lpg=PA102&amp;dq=dewitt+henry+Oregon&amp;source=bl&amp;ots=z5RZDR5AY0&amp;sig=fkhOTQ4bBGZ_KfVqm4tp6TfvhBU&amp;hl=en&amp;sa=X&amp;ved=0ahUKEwj05J7qyZvZAhVKIqwKHRZADU44ChDoAQhZMA8 - v=onepage&amp;q=dewitt%20henry%20Oregon&amp;f=false" xr:uid="{797CD412-337A-4DAC-BCC6-B33B6F033CD0}"/>
    <hyperlink ref="BM16" r:id="rId2539" display="https://www.nytimes.com/1977/08/30/archives/suspect-in-jersey-sniper-killings-had-extensive-psychiatric-record.html" xr:uid="{D854D32E-2256-41EE-8FA3-9E53D41B2EB1}"/>
    <hyperlink ref="BM19" r:id="rId2540" location="v=onepage&amp;q&amp;f=false" display="https://books.google.com/books?id=zSwEAAAAMBAJ&amp;pg=PA140 - v=onepage&amp;q&amp;f=false" xr:uid="{71FA7233-2403-4012-BF15-01FA9594386E}"/>
    <hyperlink ref="BL19" r:id="rId2541" location="v=onepage&amp;q&amp;f=false" display="https://books.google.com/books?id=zSwEAAAAMBAJ&amp;pg=PA140 - v=onepage&amp;q&amp;f=false" xr:uid="{735DCD4B-A7FF-4772-A301-B171506468D0}"/>
    <hyperlink ref="BM20" r:id="rId2542" display="https://www.leagle.com/decision/1985350349pasuper11350" xr:uid="{0F387245-BDCA-4D52-9EEF-2C9B21BE14A8}"/>
    <hyperlink ref="CZ28" r:id="rId2543" display="https://www.nytimes.com/1987/03/05/us/texan-who-killed-6-in-1983-is-executed-by-lethal-injection.html" xr:uid="{F0F11300-FCE7-4F9F-84EA-DAEABF554368}"/>
    <hyperlink ref="BM31" r:id="rId2544" display="https://www.latimes.com/archives/la-xpm-1994-07-17-me-16553-story.html" xr:uid="{21852C64-997D-4CB3-9E80-4ECA14B755BA}"/>
    <hyperlink ref="BM32" r:id="rId2545" display="https://newspaperarchive.com/fayetteville-northwest-arkansas-times-jul-25-1984-p-1/" xr:uid="{CF10B86E-4F0D-4ED2-AA3A-DC43BC8CA7E9}"/>
    <hyperlink ref="BM33" r:id="rId2546" display="https://www.washingtonpost.com/archive/politics/1985/04/05/in-factory-town-fear-of-a-killing-pace/795719f4-fac5-45ee-a5ea-908b039750a8/?noredirect=on" xr:uid="{7E573F4C-5320-43D6-BE3E-F7AB38831B1D}"/>
    <hyperlink ref="BL33" r:id="rId2547" display="https://apnews.com/c5d8552f56a7d24ddb1d7e57738d8242" xr:uid="{9E736E4F-4176-419F-BE59-7044931DAF5F}"/>
    <hyperlink ref="BM37" r:id="rId2548" display="https://www.upi.com/Archives/1988/07/19/Hospital-denies-commitment-sought-for-gunman/1978585288000/" xr:uid="{CDFDC796-EB68-43BC-8DA1-EFA36A7EBB17}"/>
    <hyperlink ref="BO37" r:id="rId2549" display="https://www.nytimes.com/1988/07/19/us/four-motorists-are-shot-to-death-gunman-wounded-in-12-minutes.html" xr:uid="{2F49E28C-41F0-40BC-8AFF-BAB4FED5C9E1}"/>
    <hyperlink ref="BX37" r:id="rId2550" display="https://www.nytimes.com/1988/07/19/us/four-motorists-are-shot-to-death-gunman-wounded-in-12-minutes.html" xr:uid="{06FEE25A-F25B-4571-A606-C33B70248B0D}"/>
    <hyperlink ref="BM43" r:id="rId2551" display="https://www.nytimes.com/1991/10/18/us/portrait-of-texas-killer-impatient-and-troubled.html?pagewanted=all" xr:uid="{FCC1BF0B-7C97-4AB6-A9EF-AD9F005CA626}"/>
    <hyperlink ref="BM41" r:id="rId2552" display="https://www.deseret.com/1990/6/20/18867182/911-tape-tells-horror-of-florida-massacre" xr:uid="{C8B3B566-4033-4E64-8E3C-2B1CB829B073}"/>
    <hyperlink ref="BM40" r:id="rId2553" location="v=onepage&amp;q=joseph%20wesbecker&amp;f=false" display="https://books.google.com/books?id=JiQUkwBnzgYC&amp;pg=PA56&amp;lpg=PA56&amp;dq=joseph+wesbecker&amp;source=bl&amp;ots=PsyBrAnFgG&amp;sig=ACfU3U1l9BhEzuos1MCDT4sHa9kyNOxklg&amp;hl=en&amp;sa=X&amp;ved=2ahUKEwiB0bW8mODjAhUHiqwKHWxVDNU4ChDoATAIegQICRAB - v=onepage&amp;q=joseph%20wesbecker&amp;f=false" xr:uid="{5AF5C33B-DE95-4B34-92B5-8C21715944DA}"/>
    <hyperlink ref="BL45" r:id="rId2554" display="https://archive.bangordailynews.com/1991/11/12/gunman-in-kentucky-received-treatment-at-togus-for-stress" xr:uid="{E653848A-018C-4E31-BC66-A726BC7B9BA9}"/>
    <hyperlink ref="BM45" r:id="rId2555" display="https://archive.bangordailynews.com/1991/11/12/gunman-in-kentucky-received-treatment-at-togus-for-stress" xr:uid="{83913B43-70AF-4125-8068-B74EDF5B5045}"/>
    <hyperlink ref="BM46" r:id="rId2556" display="https://www.nytimes.com/1991/11/15/us/ex-postal-worker-kills-3-and-wounds-6-in-michigan.html" xr:uid="{AD42FD2E-0ACC-4B2C-B65A-4B6075796A1D}"/>
    <hyperlink ref="CK46" r:id="rId2557" display="https://archive.seattletimes.com/archive/?date=19911115&amp;slug=1317398" xr:uid="{F5D26EB0-574D-40F1-9662-01750C22A777}"/>
    <hyperlink ref="BM48" r:id="rId2558" display="https://schoolshooters.info/sites/default/files/California-v-Houston-2007.pdf" xr:uid="{26F5D641-6773-42DE-83A4-AD6DF1515010}"/>
    <hyperlink ref="BL48" r:id="rId2559" display="https://schoolshooters.info/sites/default/files/California-v-Houston-2007.pdf" xr:uid="{820013DB-5DFC-4DCA-AD8A-7C87C8080A38}"/>
    <hyperlink ref="BM49" r:id="rId2560" display="https://www.nytimes.com/1992/10/17/nyregion/shooting-followed-tougher-efforts-to-collect-child-support.html" xr:uid="{26479EA6-7F16-4DB1-BA67-14FC092AB219}"/>
    <hyperlink ref="BM50" r:id="rId2561" display="https://news.google.com/newspapers?id=_SdZAAAAIBAJ&amp;sjid=C0cNAAAAIBAJ&amp;pg=6601,992534&amp;dq=" xr:uid="{56255024-31E8-4F8F-85C3-01CA1BE7A1EB}"/>
    <hyperlink ref="BL51" r:id="rId2562" display="https://www.chicagotribune.com/news/ct-xpm-1993-07-04-9307040062-story.html" xr:uid="{E4E109B2-4142-45FF-8F42-F2532C879A05}"/>
    <hyperlink ref="BM51" r:id="rId2563" display="https://www.latimes.com/archives/la-xpm-1993-07-03-mn-10731-story.html" xr:uid="{0105F7FE-7E0A-49CC-9B56-8A348C821EDE}"/>
    <hyperlink ref="BM53" r:id="rId2564" display="https://www.latimes.com/archives/la-xpm-1993-10-15-mn-45964-story.html" xr:uid="{71C91AF9-972D-447F-B8F9-26580F0BF45C}"/>
    <hyperlink ref="BM55" r:id="rId2565" display="https://www.nytimes.com/1993/12/12/nyregion/tormented-life-special-report-long-slide-privilege-ends-slaughter-train.html" xr:uid="{18245478-7EF1-43B1-8E31-8CD07CB2EA18}"/>
    <hyperlink ref="BM56" r:id="rId2566" display="https://caselaw.findlaw.com/co-supreme-court/1386758.html" xr:uid="{8AD95AC7-7258-4311-9DDF-B263D9878A1B}"/>
    <hyperlink ref="BM57" r:id="rId2567" display="https://www.spokesman.com/stories/2014/jun/15/in-one-week-20-years-ago-fairchild-air-force-base/" xr:uid="{B914B350-9F1A-4771-A1C8-44B76BBA4369}"/>
    <hyperlink ref="BM141" r:id="rId2568" display="https://www.nbcnews.com/storyline/chattanooga-shooting/chattanooga-shooting-gunman-muhammad-abdulazeez-was-downward-spiral-family-rep-n395036" xr:uid="{B1829521-193E-4C47-97FD-1EBEBCC08631}"/>
    <hyperlink ref="BM169" r:id="rId2569" display="https://www.vbgov.com/government/departments/city-auditors-office/Documents/Hillard Heintze Final Report for Virginia Beach 11-13-2019.pdf" xr:uid="{B7A04770-F149-4AD2-97B1-218694F273C8}"/>
    <hyperlink ref="BM139" r:id="rId2570" display="https://www.newsweek.com/2015/09/25/jaylen-ray-fryberg-marysville-pilchuck-high-school-shooting-372669.html" xr:uid="{000D3CA1-EACF-4720-A6BF-3EE506704E5F}"/>
    <hyperlink ref="BM138" r:id="rId2571" display="https://www.washingtonpost.com/national/sheriff-calif-shooter-rodger-flew-under-the-radar-when-deputies-visited-him-in-april/2014/05/25/88123026-e3b4-11e3-8dcc-d6b7fede081a_story.html?noredirect=on&amp;utm_term=.91ecbf6a9a20" xr:uid="{43A4B6F7-01E8-423D-8DF3-59E40907DFD0}"/>
    <hyperlink ref="BM146" r:id="rId2572" display="https://abcnews.go.com/US/lawyer-michigan-uber-drivers-family-shares-details-alleged/story?id=37175519" xr:uid="{F5CE5745-DEC9-4D7E-97A4-2F8597D73B7E}"/>
    <hyperlink ref="BL146" r:id="rId2573" display="https://abcnews.go.com/US/lawyer-michigan-uber-drivers-family-shares-details-alleged/story?id=37175519" xr:uid="{022DE5C0-E317-4A8B-8D5A-692C178C2DDD}"/>
    <hyperlink ref="BM154" r:id="rId2574" display="https://www.orlandosentinel.com/news/os-john-robert-neumann-shooting-suspect-20170605-story.html" xr:uid="{1785D329-8809-4C4E-BDDC-88AA2306FD25}"/>
    <hyperlink ref="BM153" r:id="rId2575" display="https://www.wausaudailyherald.com/story/news/2017/05/08/wife-details-troubles-before-her-husband-gunned-down-4-people/100164526/" xr:uid="{BD510848-0792-47F0-AAA7-C449DCFAA20A}"/>
    <hyperlink ref="BM155" r:id="rId2576" display="https://www.cbsnews.com/news/las-vegas-shooter-stephen-paddock-had-lost-money-been-depressed-sheriff-says/" xr:uid="{E7B5B85E-2874-426A-B1FA-55CA74DD00A5}"/>
    <hyperlink ref="BM156" r:id="rId2577" display="https://www.cbsnews.com/news/sutherland-springs-texas-church-gunman-devin-kelley-wife-speaks-out/" xr:uid="{472730CC-19D8-4FF8-81D4-2013C41EF30B}"/>
    <hyperlink ref="BM157" r:id="rId2578" display="https://www.nbcnews.com/news/us-news/gunman-california-shooting-spree-needed-mental-help-sister-says-n821216" xr:uid="{4EFF5FD8-6874-46D6-B10F-B925EE4E0864}"/>
    <hyperlink ref="BM159" r:id="rId2579" display="https://www.cnn.com/2018/02/25/us/nikolas-cruz-warning-signs/index.html" xr:uid="{C592C79B-378C-4518-A631-D6926E5D8CEA}"/>
    <hyperlink ref="BM158" r:id="rId2580" display="https://www.washingtonpost.com/news/post-nation/wp/2018/01/29/jealousy-and-obsession-may-have-led-carwash-shooting-suspect-to-kill-four-relatives-say/" xr:uid="{05D2B4C0-75D3-4BDB-8E12-842E10A8583B}"/>
    <hyperlink ref="BM164" r:id="rId2581" display="https://www.ajc.com/news/national/bakersfield-mass-shooter-believed-wife-cheated-him-court-documents-say/Ibt8va2Lsdta0d6PYyLAKM/" xr:uid="{A07DE1E4-2863-4CED-894A-57247FD20D07}"/>
    <hyperlink ref="BM165" r:id="rId2582" display="https://www.nytimes.com/2018/10/28/us/pittsburgh-shooting-robert-bowers.html" xr:uid="{2CE6098D-BF53-405D-A53D-634106366D96}"/>
    <hyperlink ref="BM166" r:id="rId2583" display="https://www.usatoday.com/story/news/nation/2018/11/08/ian-long-gunman-thousand-oaks-california-borderline-bar-grill/1928231002/" xr:uid="{69DC223D-7A64-4866-8BAB-FA42E33902B4}"/>
    <hyperlink ref="BM172" r:id="rId2584" display="https://heavy.com/news/2019/09/seth-ator/" xr:uid="{2545DA76-58F1-4C81-9EF7-569F8B5A5496}"/>
    <hyperlink ref="BM151" r:id="rId2585" display="https://www.usatoday.com/story/news/nation/2017/01/07/family-fla-shooting-suspect-says-he-dealt-mental-health-problems/96287294/" xr:uid="{E5C3C5D6-CEC2-4BD9-B145-508A770B0E30}"/>
    <hyperlink ref="BM149" r:id="rId2586" display="https://www.telegraph.co.uk/news/2016/07/08/dallas-shooting-who-is-micah-johnson/" xr:uid="{98CC4B58-09D2-4446-9CD2-3C124B893F1B}"/>
    <hyperlink ref="BM148" r:id="rId2587" display="https://www.cnn.com/2017/01/16/us/omar-mateen-wife-arrested/index.html" xr:uid="{3EC66050-D045-4D13-BF99-55C26D1757B7}"/>
    <hyperlink ref="BM140" r:id="rId2588" display="https://www.cnn.com/2015/06/19/us/charleston-church-shooting-suspect/index.html" xr:uid="{65A2ABAB-B8BA-4455-B75F-7920E218D9A6}"/>
    <hyperlink ref="BM136" r:id="rId2589" display="https://www.washingtonpost.com/local/before-navy-yard-shooting-alleged-gunman-heard-voices-and-sought-help/2013/09/17/874970d8-1fd2-11e3-94a2-6c66b668ea55_story.html?utm_term=.ea960a9934f6" xr:uid="{B2549E58-F222-4AF9-8F59-F0B96A933A57}"/>
    <hyperlink ref="BM135" r:id="rId2590" display="https://www.local10.com/news/2013/08/01/police-may-have-motive-in-hialeah-massacre/" xr:uid="{26D0F906-5836-479D-9113-68704873A2C0}"/>
    <hyperlink ref="BM128" r:id="rId2591" display="https://www.nytimes.com/2012/08/27/us/before-gunfire-in-colorado-theater-hints-of-bad-news-about-james-holmes.html" xr:uid="{0DC95CA4-C2DD-46ED-8018-DAE8062801D2}"/>
    <hyperlink ref="BM127" r:id="rId2592" display="https://www.seattletimes.com/seattle-news/gunman-a-life-full-of-rage-a-shocking-final-act/" xr:uid="{20B1B5A5-73A3-4117-95B1-F332FDBCC89B}"/>
    <hyperlink ref="BM126" r:id="rId2593" display="https://www.nytimes.com/2012/04/04/us/oikos-university-gunman-lined-up-victims.html" xr:uid="{E361A3FF-E355-455C-889A-4297824B4517}"/>
    <hyperlink ref="BM130" r:id="rId2594" display="https://www.mprnews.org/story/2012/10/16/engeldinger-parents-describe-their-sons-struggles-with-mental-illness" xr:uid="{861C5962-5511-4890-9A2B-93003DA5E4C0}"/>
    <hyperlink ref="BM131" r:id="rId2595" display="https://www.courant.com/news/connecticut/hc-newtown-adam-lanza-child-advocate-report-20141121-story.html" xr:uid="{814E1BAB-33B4-48AE-8E78-99D5EBE5D1B0}"/>
    <hyperlink ref="BM125" r:id="rId2596" location=".XWazhi3MyqQ" display="http://www.nbcnews.com/id/44913588/ns/us_news-crime_and_courts/t/details-calif-shooting-suspects-life-emerges/ - .XWazhi3MyqQ" xr:uid="{0B6656B7-1AB1-4FFA-A8A2-24683C5492AC}"/>
    <hyperlink ref="BM123" r:id="rId2597" display="https://www.beaconjournal.com/news/20190811/survivor-of-copley-rampage-reflects-on-mass-shootings-gun-control-measures" xr:uid="{62C4D0BC-80E0-4285-B3F1-8D29E4E5350B}"/>
    <hyperlink ref="BM121" r:id="rId2598" display="https://www.theguardian.com/world/2010/sep/12/man-shot-wife-cooked-eggs" xr:uid="{BF81236A-BF8C-43DC-94E8-FD5070301E21}"/>
    <hyperlink ref="BM118" r:id="rId2599" display="https://www.sun-sentinel.com/news/fl-xpm-2010-06-13-sfl-hialeah-massacre-romance-06132010-story.html" xr:uid="{18274F3F-8AE2-4163-8EC9-229B474BA955}"/>
    <hyperlink ref="BM113" r:id="rId2600" display="https://www.syracuse.com/news/2009/04/jiverly_wongs_father_our_son_w.html" xr:uid="{AA0D84BC-BC3D-45CD-B6BA-7E0007D8B23A}"/>
    <hyperlink ref="BM112" r:id="rId2601" display="https://www.wral.com/news/local/story/9845639/" xr:uid="{664B9536-26EE-4A5F-A06F-7F53ED53DF45}"/>
    <hyperlink ref="BM110" r:id="rId2602" display="http://archive.courierpress.com/news/rampage-at-atlantis-plastics-ends-with-six-dead-ep-448401177-325078951.html/" xr:uid="{C7F8E214-0C5E-43F0-A901-4342483CEDF4}"/>
    <hyperlink ref="BM108" r:id="rId2603" display="https://www.cnn.com/2009/CRIME/02/13/niu.shooting.investigation/index.html" xr:uid="{0EE4069C-DF54-4EE6-9774-3769C6DF8D23}"/>
    <hyperlink ref="BM60" r:id="rId2604" display="https://www.latimes.com/archives/la-xpm-1996-11-06-me-61893-story.html" xr:uid="{C931D1D4-4B57-48AB-A47D-A69196C35D22}"/>
    <hyperlink ref="BM65" r:id="rId2605" display="http://www.clarkprosecutor.org/html/death/US/wise992.htm" xr:uid="{1CA0C8EF-0941-4CBA-8FE4-A705D15958CF}"/>
    <hyperlink ref="BM67" r:id="rId2606" display="https://www.latimes.com/archives/la-xpm-1997-dec-20-mn-431-story.html" xr:uid="{F9434C65-6D20-4B11-8CF6-0BAEB3488A6E}"/>
    <hyperlink ref="BM68" r:id="rId2607" display="https://www.nytimes.com/1998/03/08/nyregion/in-a-province-of-winners-worker-who-lost-out-takes-revenge.html" xr:uid="{515F7603-937F-45FC-AA5B-958418DB5C03}"/>
    <hyperlink ref="BM72" r:id="rId2608" display="https://www.chicagotribune.com/news/ct-xpm-1999-03-12-9903120268-story.html" xr:uid="{B1887A9D-1EE4-459D-9A2A-806EAA2C2F75}"/>
    <hyperlink ref="BM73" r:id="rId2609" display="https://www.nytimes.com/1999/06/29/us/shattered-lives-special-report-caring-parents-no-answers-columbine-killers-pasts.html" xr:uid="{BC9EE793-2F55-4FE5-82A3-0D6D2F3D4A5E}"/>
    <hyperlink ref="BM74" r:id="rId2610" display="https://www.nytimes.com/1999/06/29/us/shattered-lives-special-report-caring-parents-no-answers-columbine-killers-pasts.html" xr:uid="{7DCAEC2B-26A6-4FF7-850E-550F17D05361}"/>
    <hyperlink ref="BM75" r:id="rId2611" display="https://www.cbsnews.com/news/no-motive-in-vegas-shooting/" xr:uid="{A3DC6193-3FF9-4EB1-AB29-CC6AD97B6C28}"/>
    <hyperlink ref="BM77" r:id="rId2612" display="http://www.cnn.com/US/9909/18/texas.shooter.profile/" xr:uid="{5125F33E-1A3B-4FF1-8A78-8956C921FA0E}"/>
    <hyperlink ref="BM78" r:id="rId2613" display="https://www.mirror.co.uk/news/real-life-stories/workers-who-kill-colleagues-university-11231926" xr:uid="{00EAA524-A8C7-4A8A-A013-963BFF02F1FE}"/>
    <hyperlink ref="BM82" r:id="rId2614" display="https://www.deseret.com/2001/1/5/19562078/massacre-suspect-suffered-a-breakdown-in-80s" xr:uid="{56062745-3394-4EF1-9125-0C62E64ABE44}"/>
    <hyperlink ref="BM83" r:id="rId2615" display="https://www.chron.com/news/article/Gunman-s-wife-accused-him-of-assault-in-1998-1997336.php" xr:uid="{9E87D37C-C239-4095-B379-2D4B41600232}"/>
    <hyperlink ref="BM86" r:id="rId2616" display="https://www.latimes.com/archives/la-xpm-2001-sep-11-mn-44550-story.html" xr:uid="{50E7534E-6906-4754-A763-1950665123C6}"/>
    <hyperlink ref="BM90" r:id="rId2617" display="https://www.latimes.com/archives/la-xpm-2003-aug-28-na-shoot28-story.html" xr:uid="{04A0C839-3F96-4C4E-86CD-A1EAE5B13CC9}"/>
    <hyperlink ref="BM91" r:id="rId2618" display="https://pendoreillerivervalley.com/four-killed-in-oldtown-shooting-p111-119.htm" xr:uid="{2B195139-CADD-4D61-9BA0-F6558F28BDCA}"/>
    <hyperlink ref="BM93" r:id="rId2619" display="https://www.chicagotribune.com/investigations/chi-0509070252sep07-story.html" xr:uid="{AEC2F257-9E63-4617-AEB2-BBB80F3E1585}"/>
    <hyperlink ref="BM94" r:id="rId2620" display="https://www.dallasnews.com/news/crime/2004/12/13/man-who-killed-dimebag-darrell-abbott-was-upset-by-pantera-s-breakup-ex-friend-says/" xr:uid="{48C6D910-833F-469E-A5BF-339280FE65FC}"/>
    <hyperlink ref="BU94" r:id="rId2621" display="https://www.cbsnews.com/news/inside-the-mind-of-a-killer/" xr:uid="{543FA715-F582-4635-B6D0-92D9361A6C85}"/>
    <hyperlink ref="BM96" r:id="rId2622" display="https://www.latimes.com/archives/la-xpm-2005-mar-15-na-church15-story.html" xr:uid="{A41A3B8B-5931-4B61-8EA8-4AA5ECD76E05}"/>
    <hyperlink ref="BM97" r:id="rId2623" display="https://www.nytimes.com/2005/03/24/us/signs-of-danger-were-missed-in-a-troubled-teenagers-life.html" xr:uid="{68E0EBE2-5957-44C9-BD1D-206EF6AF335A}"/>
    <hyperlink ref="BM98" r:id="rId2624" display="https://www.chron.com/news/houston-texas/article/Gunman-kills-himself-after-deadly-rampage-1916640.php" xr:uid="{D91A0B11-48A6-44CE-AC44-51834BB851B7}"/>
    <hyperlink ref="BM100" r:id="rId2625" display="https://www.seattleweekly.com/news/epilogue-to-a-tragedy/" xr:uid="{C9BCF4D5-74A9-4D80-B749-FC05884AA570}"/>
    <hyperlink ref="BL100" r:id="rId2626" display="https://archive.seattletimes.com/archive/?date=20060718&amp;slug=huff18m" xr:uid="{A9750C55-71BF-4461-BE80-EEED0FA45471}"/>
    <hyperlink ref="BL104" r:id="rId2627" display="https://scholar.lib.vt.edu/prevail/docs/VTReviewPanelReport.pdf" xr:uid="{42766AED-8DF3-464E-BE6F-F90307235A9F}"/>
    <hyperlink ref="BM104" r:id="rId2628" display="https://scholar.lib.vt.edu/prevail/docs/VTReviewPanelReport.pdf" xr:uid="{202BF364-C5A6-434C-B40E-4E2C74A5ABC8}"/>
    <hyperlink ref="BM106" r:id="rId2629" display="https://www.npr.org/templates/story/story.php?storyId=17126011" xr:uid="{3FC501CF-2046-4D4D-A312-E43B569D1498}"/>
    <hyperlink ref="BO106" r:id="rId2630" display="https://www.denverpost.com/2008/03/27/report-reveals-clues-to-killers-mind/" xr:uid="{37F6D5E9-B4F3-404E-BC2C-35AAC27755A6}"/>
    <hyperlink ref="BE109" r:id="rId2631" xr:uid="{57214C5D-E973-4560-BA61-1263F5ABC15B}"/>
    <hyperlink ref="BF109" r:id="rId2632" xr:uid="{B3323EEF-AF56-4528-B20A-9B971A35E1D4}"/>
    <hyperlink ref="CA109" r:id="rId2633" xr:uid="{F32257F0-7A1C-47B7-B9BE-7BA45340C774}"/>
    <hyperlink ref="CB109" r:id="rId2634" xr:uid="{5A975422-E01A-4AD8-A29D-D75868400518}"/>
    <hyperlink ref="CD109" r:id="rId2635" xr:uid="{DC830CFD-8564-484C-8E04-A5CB6D499D21}"/>
    <hyperlink ref="CV109" r:id="rId2636" xr:uid="{29FEEB91-D1D6-4E4C-A325-E9A055735E42}"/>
    <hyperlink ref="BM115" r:id="rId2637" display="https://www.nytimes.com/2009/11/09/us/09reconstruct.html?pagewanted=all" xr:uid="{6A6EB863-F20D-4D5B-8A48-DA0756D4B6C7}"/>
    <hyperlink ref="BM116" r:id="rId2638" display="https://www.npr.org/templates/story/story.php?storyId=130636272" xr:uid="{802659E9-E732-4D23-92CB-BB0D75477732}"/>
    <hyperlink ref="BX116" r:id="rId2639" display="https://www.pulitzer.org/winners/staff-71" xr:uid="{508CA1BC-8C1F-4457-B2B7-D210BDC99399}"/>
    <hyperlink ref="BM119" r:id="rId2640" display="https://www.masslive.com/news/2010/08/enfield_girlfriend_omar_thornt.html" xr:uid="{6644B371-454B-4D96-AED6-B79202DD4408}"/>
    <hyperlink ref="BM122" r:id="rId2641" display="https://www.nytimes.com/2011/01/16/us/16loughner.html" xr:uid="{A5DC2444-053A-49BF-91FE-D6B6E6C2FFBA}"/>
    <hyperlink ref="BM174" r:id="rId2642" display="https://www.cnn.com/2019/12/14/us/jersey-city-shooting-suspect-francine-graham/index.html" xr:uid="{1422E58B-5822-4632-939C-E869BC167113}"/>
    <hyperlink ref="BO174" r:id="rId2643" display="https://www.nydailynews.com/news/national/ny-relatives-describe-jersey-city-kosher-market-killers-20191215-3ttpqk266bhk5krvdvwzr6t7sm-story.html" xr:uid="{225136DA-2095-4F80-AE99-88615E30D443}"/>
    <hyperlink ref="CM74" r:id="rId2644" location="metadata_info_tab_contents" display="https://www.jstor.org/stable/j.ctt1bw1ktw.9?seq=4 - metadata_info_tab_contents" xr:uid="{B975E9BD-FEA6-4C72-92EB-2597FDE8FC00}"/>
    <hyperlink ref="CE76" r:id="rId2645" display="https://www.washingtonpost.com/archive/politics/1999/07/31/killer-wrote-of-fear-hopelessness/af33786a-de37-45cd-9d5f-1098379892dd/?noredirect=on" xr:uid="{834F3009-3671-4F1F-B739-24A393E2FA9B}"/>
    <hyperlink ref="CK77" r:id="rId2646" display="https://www.chicagotribune.com/news/ct-xpm-1999-09-17-9909170136-story.html" xr:uid="{F6AA2BA2-EEC7-4CB8-B045-F3A1FC336994}"/>
    <hyperlink ref="CL81" r:id="rId2647" display="https://caselaw.findlaw.com/pa-supreme-court/1166214.html" xr:uid="{7A6B5A37-9F3C-4051-AF39-A752E189B96D}"/>
    <hyperlink ref="BM9" r:id="rId2648" display="https://www.nytimes.com/1972/05/31/archives/gunmans-motive-remains-mystery-police-say-shootings-were-not-linked.html" xr:uid="{22D029C1-2E2F-41BB-A3CC-4AD143B292C7}"/>
    <hyperlink ref="BM12" r:id="rId2649" display="https://cdnc.ucr.edu/cgi-bin/cdnc?a=d&amp;d=DS19750303.2.21&amp;e=-------en--20--1--txt-txIN--------1" xr:uid="{137D130E-38BF-47C6-BE63-79F3D650CE8E}"/>
    <hyperlink ref="BM28" r:id="rId2650" display="https://www.upi.com/Archives/1984/02/16/Parents-say-death-row-son-insane-during-murder-spree/9447445755600/" xr:uid="{B443B985-1342-4BFC-A684-03B592B48280}"/>
    <hyperlink ref="BM34" r:id="rId2651" display="http://content.time.com/time/magazine/article/0,9171,144859,00.html" xr:uid="{8A1DA0E3-3D7D-406A-A8E6-4960AF89914A}"/>
    <hyperlink ref="BM35" r:id="rId2652" display="https://www.chicagotribune.com/news/ct-xpm-1987-04-26-8701310840-story.html" xr:uid="{99FD3122-6DE7-426C-AF6D-87D04FDE74DE}"/>
    <hyperlink ref="BM36" r:id="rId2653" display="https://www.leagle.com/decision/incaco20090702055" xr:uid="{F422BCF3-8E49-412E-A981-592949C20CED}"/>
    <hyperlink ref="BM38" r:id="rId2654" display="https://www.chicagotribune.com/news/ct-xpm-1988-09-23-8802010546-story.html" xr:uid="{C961941E-AE21-4B16-85AD-D06642BBB6B1}"/>
    <hyperlink ref="BM39" r:id="rId2655" display="https://schoolshooters.info/sites/default/files/Purdy - official report.pdf" xr:uid="{C9399AA1-608F-47C3-9503-76FDEF1F5B49}"/>
    <hyperlink ref="BM47" r:id="rId2656" display="http://cdn.ca9.uscourts.gov/datastore/opinions/2012/09/18/08-99015.pdf" xr:uid="{278C450A-82E7-46E2-AE8E-E14BFC7B2D58}"/>
    <hyperlink ref="BL47" r:id="rId2657" display="http://cdn.ca9.uscourts.gov/datastore/opinions/2012/09/18/08-99015.pdf" xr:uid="{3210337A-FE78-42E1-AA9D-77A7F66CB542}"/>
    <hyperlink ref="BM54" r:id="rId2658" display="https://www.latimes.com/archives/la-xpm-1993-12-11-me-652-story.html" xr:uid="{DB92DA2F-22D0-4E90-85CE-A83AE4AB7C00}"/>
    <hyperlink ref="BM61" r:id="rId2659" display="https://www.nytimes.com/1995/12/21/nyregion/bronx-gunman-was-under-treatment-for-schizophrenia.html" xr:uid="{568C0627-F96B-4EAE-B9EC-ABA01437C3D9}"/>
    <hyperlink ref="BM64" r:id="rId2660" display="http://content.time.com/time/magazine/article/0,9171,138219,00.html" xr:uid="{145026A1-E2E3-418A-8206-5E9049828BEC}"/>
    <hyperlink ref="BM66" r:id="rId2661" display="https://caselaw.findlaw.com/fl-supreme-court/1559835.html" xr:uid="{16A2933B-2647-4963-9722-226879D3DB90}"/>
    <hyperlink ref="BM71" r:id="rId2662" xr:uid="{829420F8-59B0-45A1-87CF-62041730AAB3}"/>
    <hyperlink ref="BM76" r:id="rId2663" location="v=onepage&amp;q&amp;f=false" display="https://books.google.com/books?id=b54xcYkbSlcC&amp;lpg=PA67&amp;ots=mlvGRSb_k6&amp;dq=mark%20barton%20biography&amp;pg=PA67 - v=onepage&amp;q&amp;f=false" xr:uid="{7AF2B40A-F0FC-47F2-8AAB-0F04F8A624E0}"/>
    <hyperlink ref="BM85" r:id="rId2664" display="https://www.postindependent.com/news/stagner-insane-judge-confirms/" xr:uid="{6B08A3A3-9119-4E52-8397-0D9C76132D46}"/>
    <hyperlink ref="BM89" r:id="rId2665" display="https://www.nytimes.com/2003/07/09/us/man-kills-5-co-workers-at-plant-and-himself.html?mcubz=0" xr:uid="{50288952-DA25-4AC2-9961-154A2F952B98}"/>
    <hyperlink ref="BM99" r:id="rId2666" display="https://www.nytimes.com/2006/02/03/us/woman-in-california-postal-shootings-had-history-of-bizarre-behavior.html" xr:uid="{71FFBCE2-6742-48F6-8772-60482AE2C728}"/>
    <hyperlink ref="BM101" r:id="rId2667" display="https://caselaw.findlaw.com/la-supreme-court/1546275.html" xr:uid="{29C417A5-2522-48A9-AFEB-A33C5638CB89}"/>
    <hyperlink ref="BM102" r:id="rId2668" display="https://lancasteronline.com/news/a-killer-s-life-an-in-depth-look-at-nickel/article_d302e19f-a0df-5c4f-8fe7-2fa6b31a0dbf.html" xr:uid="{11CA2474-F507-48D9-BE4A-8250CCB17084}"/>
    <hyperlink ref="BM105" r:id="rId2669" display="https://www.nytimes.com/2007/12/08/us/08gunman.html" xr:uid="{D9BA8BAB-E4A0-4197-944F-ED9C028B239F}"/>
    <hyperlink ref="BM107" r:id="rId2670" display="https://www.stltoday.com/news/local/crime-and-courts/thornton-s-smile-gave-in-to-anger/article_6c8dfcc8-77e7-11df-ba06-0017a4a78c22.html" xr:uid="{F059ABE6-B82C-43A9-B7EE-917F80B5C580}"/>
    <hyperlink ref="BM109" r:id="rId2671" xr:uid="{BE527113-3500-4696-8601-DF517BAED3B8}"/>
    <hyperlink ref="BM111" r:id="rId2672" display="https://www.oregonlive.com/news/2008/09/court_documents_detail_washing.html" xr:uid="{F0F378F2-F686-4735-B1BB-DCE71E20E8FA}"/>
    <hyperlink ref="BM132" r:id="rId2673" xr:uid="{548C71D9-FC1C-43C2-A19E-773B480B8A34}"/>
    <hyperlink ref="BL133" r:id="rId2674" display="https://www.seattletimes.com/seattle-news/federal-way-gunman-charged-at-17-in-bb-gun-attack-on-an-ex/" xr:uid="{CE88E6E3-C556-48AE-977A-677AC285B7D3}"/>
    <hyperlink ref="BM133" r:id="rId2675" display="https://www.seattletimes.com/seattle-news/federal-way-gunman-charged-at-17-in-bb-gun-attack-on-an-ex/" xr:uid="{4656EE19-8530-4CA8-8D6E-63B9604802E1}"/>
    <hyperlink ref="BM134" r:id="rId2676" display="https://www.businessinsider.com/john-zawahri-had-a-troubled-past-2013-6" xr:uid="{6E7F5380-F6FC-4C7D-A945-2E392362FAEC}"/>
    <hyperlink ref="BM137" r:id="rId2677" xr:uid="{7F3CBB96-CA47-4129-A4A6-9135E28441ED}"/>
    <hyperlink ref="BM142" r:id="rId2678" display="https://www.nytimes.com/2015/10/03/us/chris-harper-mercer-umpqua-community-college-shooting.html" xr:uid="{2153ADD7-E731-47ED-9B6D-E11735EBAC70}"/>
    <hyperlink ref="BM150" r:id="rId2679" display="https://www.seattletimes.com/seattle-news/crime/suspected-cascade-mall-gunman-charged-with-5-counts-of-premeditated-murder/" xr:uid="{5727BBBF-CBDB-4A26-978D-2ED5815CC512}"/>
    <hyperlink ref="BM160" r:id="rId2680" display="https://www.mlive.com/news/detroit/2018/02/manhunt_for_quadruple_homicide.html" xr:uid="{1987D7EB-C374-47C5-8033-6F5AEA3FE947}"/>
    <hyperlink ref="BM161" r:id="rId2681" display="https://www.tennessean.com/story/news/crime/2018/12/17/waffle-house-shooting-travis-reinking-father-lawsuit/2339094002/" xr:uid="{A8798934-0C83-41B7-9622-5F889F7AF5D1}"/>
    <hyperlink ref="BM163" r:id="rId2682" display="https://www.baltimoresun.com/news/crime/bs-md-ramos-search-20180628-story.html" xr:uid="{99C3405D-3A65-4395-96F7-B74731B9B34F}"/>
    <hyperlink ref="BM167" r:id="rId2683" display="https://time.com/5511989/who-is-zephen-xaver/" xr:uid="{84497182-EC5C-488A-8BDB-AE4F130B33D6}"/>
    <hyperlink ref="BM168" r:id="rId2684" display="https://www.washingtonpost.com/nation/2019/02/16/man-kills-five-warehouse-shooting-spree-shortly-after-being-fired-illinois-police-say/" xr:uid="{92CF5262-44EC-4300-83A5-1B24D6C1CB91}"/>
    <hyperlink ref="BM173" r:id="rId2685" display="https://www.nydailynews.com/news/national/ny-relatives-describe-jersey-city-kosher-market-killers-20191215-3ttpqk266bhk5krvdvwzr6t7sm-story.html" xr:uid="{57C57193-1CB9-4D89-B50E-54BBE81EBCD7}"/>
    <hyperlink ref="DA95" r:id="rId2686" display="https://www.wsbtv.com/news/2-investigates/courthouse-killer-brian-nichols-i-did-some-very-bad-things/296105563/" xr:uid="{BAF69DE4-5ECF-46FF-9F36-77A0F2C2D250}"/>
    <hyperlink ref="CK99" r:id="rId2687" location=".XY5MwpNKgUs" display="http://www.nbcnews.com/id/11128315/ns/us_news-crime_and_courts/t/postal-killer-acted-irrational-years-attack/ - .XY5MwpNKgUs" xr:uid="{BAD9BB9A-E192-432B-89BD-013BF51E039D}"/>
    <hyperlink ref="CI89" r:id="rId2688" display="https://www.cbsnews.com/news/girlfriend-plant-shooter-a-victim/" xr:uid="{B0E48ABB-D9F8-43F1-A417-A130457889B8}"/>
    <hyperlink ref="CJ89" r:id="rId2689" xr:uid="{FC96EFB6-67A1-4D1F-AD0C-D374A4967E14}"/>
    <hyperlink ref="CJ121" r:id="rId2690" xr:uid="{4C115BD6-ACF8-4683-B9A0-B2E5926635C4}"/>
    <hyperlink ref="CK104" r:id="rId2691" display="https://scholar.lib.vt.edu/prevail/docs/VTReviewPanelReport.pdf" xr:uid="{0A144482-8EE4-47F6-AAAA-C283186075CF}"/>
    <hyperlink ref="CK106" r:id="rId2692" display="https://www.denverpost.com/2007/12/10/diatribe-foretold-church-shooting-horror/" xr:uid="{93C63C94-8E0D-4A52-9991-8CD390E394DC}"/>
    <hyperlink ref="CK108" r:id="rId2693" display="https://www.esquire.com/news-politics/a4863/steven-kazmierczak-0808/" xr:uid="{7D71E876-5730-4C3E-B5A5-FCD52202DA80}"/>
    <hyperlink ref="CK115" r:id="rId2694" location=".XwyQOihKiUm" display="http://www.nbcnews.com/id/33868368/ns/us_news-tragedy_at_fort_hood/t/doctors-questioned-hasans-behavior/ - .XwyQOihKiUm" xr:uid="{6995D6E7-1020-4AC8-8656-69E773A8905B}"/>
    <hyperlink ref="CK116" r:id="rId2695" display="https://www.npr.org/templates/story/story.php?storyId=130636272" xr:uid="{3D95FA0A-8910-410E-8A72-B42F6B49406C}"/>
    <hyperlink ref="CK118" r:id="rId2696" display="https://www.sun-sentinel.com/news/fl-xpm-2010-06-13-sfl-hialeah-massacre-romance-06132010-story.html" xr:uid="{1390A62D-7B1A-4BA8-B67B-97160C511BE3}"/>
    <hyperlink ref="CK122" r:id="rId2697" display="https://www.nytimes.com/2011/01/16/us/16loughner.html" xr:uid="{E3447D65-645A-4B20-8C41-A829023EB876}"/>
    <hyperlink ref="BV122" r:id="rId2698" display="https://www.cbsnews.com/news/jared-lee-loughner-grew-delusional-in-months-before-tucson-rampage-police-reports-show/" xr:uid="{E5AC52AA-4D5A-4A89-A1C4-57874245494E}"/>
    <hyperlink ref="CL122" r:id="rId2699" display="https://web.archive.org/web/20110114232701/http:/www.adl.org/main_Extremism/jared_lee_loughner.htm?Multi_page_sections=sHeading_4" xr:uid="{924857C9-F913-4562-BC5B-52C80D5CE32C}"/>
    <hyperlink ref="CK129" r:id="rId2700" display="https://www.cbsnews.com/news/sikh-temple-shooting-suspect-wade-michael-page-was-white-supremacist/" xr:uid="{69E750FE-5E2E-4CAF-A665-68E604AD71C0}"/>
    <hyperlink ref="CL129" r:id="rId2701" display="https://www.splcenter.org/fighting-hate/intelligence-report/2012/sikh-temple-killer-wade-michael-page-radicalized-army" xr:uid="{FCFC9305-7213-4E6D-B3B2-B73878E51C9A}"/>
    <hyperlink ref="CL138" r:id="rId2702" display="https://www.latimes.com/local/lanow/la-me-ln-santa-barbara-isla-vista-rampage-investigation-20150219-story.html" xr:uid="{B0F2A629-9D19-4F24-91D5-1262E8DA400E}"/>
    <hyperlink ref="CK138" r:id="rId2703" display="https://www.latimes.com/local/lanow/la-me-isle-vista-massacre-alt-right-20180206-story.html" xr:uid="{8FEEC471-C5DD-4E7D-BB91-F6C0FB65414D}"/>
    <hyperlink ref="CL140" r:id="rId2704" display="https://www.nytimes.com/interactive/2016/12/10/us/dylann-roof-exhibit2.html" xr:uid="{D9ABFD5F-F985-4790-B27D-B28D987ABA65}"/>
    <hyperlink ref="CM140" r:id="rId2705" display="https://www.nytimes.com/interactive/2016/12/10/us/dylann-roof-exhibit2.html" xr:uid="{60084656-70E5-4657-A4F4-6CC2484C8C98}"/>
    <hyperlink ref="CM142" r:id="rId2706" display="https://www.washingtonpost.com/news/acts-of-faith/wp/2015/10/02/school-shooters-targeting-christians-is-not-a-new-claim/" xr:uid="{99866395-D259-434B-B61B-B0DDF718F6F8}"/>
    <hyperlink ref="CL142" r:id="rId2707" display="https://www.newyorker.com/culture/cultural-comment/the-rage-of-the-incels" xr:uid="{31DACB13-2BF4-4821-A719-6459F6B91016}"/>
    <hyperlink ref="CK145" r:id="rId2708" display="https://abcnews.go.com/US/christmas-party-triggered-san-bernardino-terror-attack-police/story?id=43884973" xr:uid="{803CDF32-1DDB-45D0-9172-11BF32F2F1A6}"/>
    <hyperlink ref="CK148" r:id="rId2709" display="https://www.miamiherald.com/news/nation-world/national/article84370692.html" xr:uid="{5B754409-F083-40B6-AD52-51EFBB9403C6}"/>
    <hyperlink ref="CL148" r:id="rId2710" display="https://www.miamiherald.com/news/nation-world/national/article84370692.html" xr:uid="{B42B0E88-99B3-4258-A894-3CEE7A8A3060}"/>
    <hyperlink ref="CM148" r:id="rId2711" display="https://www.miamiherald.com/news/nation-world/national/article84370692.html" xr:uid="{E3A8856C-7C83-4816-9111-01E93D5B9AE2}"/>
    <hyperlink ref="CL149" r:id="rId2712" display="https://www.washingtonpost.com/world/national-security/police-in-dallas-he-wanted-to-kill-white-people-especially-white-officers/2016/07/08/fe66fe52-4553-11e6-88d0-6adee48be8bc_story.html" xr:uid="{80B8D407-C73B-4C24-B0D7-6855B6273A2B}"/>
    <hyperlink ref="CK150" r:id="rId2713" display="https://www.seattletimes.com/seattle-news/crime/suspected-cascade-mall-gunman-charged-with-5-counts-of-premeditated-murder/" xr:uid="{8012A9E4-BE5C-46A9-8577-0367C58818D9}"/>
    <hyperlink ref="CK153" r:id="rId2714" display="https://www.wausaudailyherald.com/story/news/2017/05/08/wife-details-troubles-before-her-husband-gunned-down-4-people/100164526/" xr:uid="{3DFEF499-AB92-48F4-A9D5-EC253DF256D9}"/>
    <hyperlink ref="CK159" r:id="rId2715" display="https://www.cnn.com/2018/02/16/us/exclusive-school-shooter-instagram-group/index.html" xr:uid="{83FF7595-A9BA-46C3-A429-5F5EA673A7C0}"/>
    <hyperlink ref="CL159" r:id="rId2716" display="https://www.buzzfeednews.com/article/remysmidt/cruz" xr:uid="{1A84295F-3897-42DF-B1DC-78F142BB2D7A}"/>
    <hyperlink ref="CM159" r:id="rId2717" display="https://www.cnn.com/2018/02/14/us/nikolas-cruz-florida-shooting-suspect/index.html" xr:uid="{2FAC12F4-66B5-4BDA-8A60-BBAF80359FE0}"/>
    <hyperlink ref="CK163" r:id="rId2718" display="https://www.capitalgazette.com/news/crime/ac-cn-ramos-yearbook-0708-story.html" xr:uid="{0C06B314-9688-43D2-B8FA-1405B9DB8DD4}"/>
    <hyperlink ref="CK165" r:id="rId2719" display="https://www.post-gazette.com/news/crime-courts/2018/10/29/Robert-Bowers-suspect-gunman-Pittsburgh-Tree-of-Life-synagogue-massacre-attack-federal-court/stories/201810290090" xr:uid="{40EBFEE2-6029-47EF-B0CD-2D5C7AD57886}"/>
    <hyperlink ref="CL165" r:id="rId2720" display="https://www.theguardian.com/us-news/2018/oct/30/pittsburgh-synagogue-shooter-was-fringe-figure-in-online-world-of-white-supremacist-rage" xr:uid="{AAEE1F4F-DB97-4FF1-A965-E1A5CDC40632}"/>
    <hyperlink ref="CM165" r:id="rId2721" display="https://www.post-gazette.com/news/crime-courts/2018/10/29/Robert-Bowers-suspect-gunman-Pittsburgh-Tree-of-Life-synagogue-massacre-attack-federal-court/stories/201810290090" xr:uid="{72B5F2A7-DA43-4DBD-AC93-7983926442D0}"/>
    <hyperlink ref="CK168" r:id="rId2722" display="https://www.chicagotribune.com/news/breaking/ct-met-gary-martin-aurora-shooter-20190216-story.html" xr:uid="{0E86040F-20C2-414B-B69C-4B7E5289BECC}"/>
    <hyperlink ref="CK170" r:id="rId2723" display="https://www.cnn.com/2019/08/05/us/el-paso-suspect-patrick-crusius/index.html" xr:uid="{31384D03-3C39-4177-962B-2A24B2C3825D}"/>
    <hyperlink ref="CK171" r:id="rId2724" display="https://www.independent.co.uk/news/world/americas/dayton-shooting-connor-betts-suspect-pornogrind-band-murder-rape-a9040981.html" xr:uid="{49FF37F8-6536-400D-A97A-59B2DBD6BD6C}"/>
    <hyperlink ref="CK173" r:id="rId2725" display="https://www.nytimes.com/2019/12/15/nyregion/jersey-city-shooting-terrorism.html" xr:uid="{265DFBF8-015A-43D1-ACCA-13AF311B1484}"/>
    <hyperlink ref="CL173" r:id="rId2726" display="https://www.nytimes.com/2019/12/15/nyregion/jersey-city-shooting-terrorism.html" xr:uid="{CBCD4EDD-ECF6-40BB-9114-7DDE8FF175EE}"/>
    <hyperlink ref="CK174" r:id="rId2727" display="https://www.nytimes.com/2019/12/15/nyregion/jersey-city-shooting-terrorism.html" xr:uid="{DE1D09E2-FBA2-426C-AED4-3A7E98C680A0}"/>
    <hyperlink ref="CL174" r:id="rId2728" display="https://www.nytimes.com/2019/12/15/nyregion/jersey-city-shooting-terrorism.html" xr:uid="{FE2AF99A-A3D9-401F-B409-9DA5DC43AB43}"/>
    <hyperlink ref="CL11" r:id="rId2729" display="http://www.crimemagazine.com/sniper-mark-essex" xr:uid="{2F114E89-61B7-4DB0-A7F9-BF2AE4E0B2B1}"/>
    <hyperlink ref="G147" r:id="rId2730" display="https://www.wtae.com/article/two-men-charged-with-homicide-in-connection-with-wilkinsburg-backyard-ambush/7480821" xr:uid="{7C900057-239A-A64D-9095-F86BD498B417}"/>
    <hyperlink ref="J147" r:id="rId2731" xr:uid="{F5BB1052-AA4C-3444-B5C3-011FF252F6E0}"/>
    <hyperlink ref="K147" r:id="rId2732" display="https://www.wtae.com/article/two-men-charged-with-homicide-in-connection-with-wilkinsburg-backyard-ambush/7480821" xr:uid="{24F1F022-8B5F-7642-91A6-C010C8FC479A}"/>
    <hyperlink ref="L147" r:id="rId2733" display="https://www.wtae.com/article/two-men-charged-with-homicide-in-connection-with-wilkinsburg-backyard-ambush/7480821" xr:uid="{CFC190B9-132E-0348-9B7B-ECE3BF202DC1}"/>
    <hyperlink ref="L148" r:id="rId2734" display="https://www.wtae.com/article/two-men-charged-with-homicide-in-connection-with-wilkinsburg-backyard-ambush/7480821" xr:uid="{8C47297D-3E95-D844-B948-099C7AFFDE5B}"/>
    <hyperlink ref="K148" r:id="rId2735" display="https://www.wtae.com/article/two-men-charged-with-homicide-in-connection-with-wilkinsburg-backyard-ambush/7480821" xr:uid="{54ED7EDC-3612-8B4A-8757-7449A57127E4}"/>
    <hyperlink ref="J148" r:id="rId2736" display="Wilkinsburg" xr:uid="{39B440A8-8B83-204D-8651-13FC4617F66A}"/>
    <hyperlink ref="G148" r:id="rId2737" display="https://www.wtae.com/article/two-men-charged-with-homicide-in-connection-with-wilkinsburg-backyard-ambush/7480821" xr:uid="{C926E9D5-0A10-0D41-9582-6086854EAB92}"/>
  </hyperlinks>
  <pageMargins left="0.7" right="0.7" top="0.75" bottom="0.75" header="0" footer="0"/>
  <pageSetup orientation="portrait" r:id="rId273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outlinePr summaryBelow="0" summaryRight="0"/>
  </sheetPr>
  <dimension ref="A1:AC1000"/>
  <sheetViews>
    <sheetView workbookViewId="0">
      <pane ySplit="1" topLeftCell="A2" activePane="bottomLeft" state="frozen"/>
      <selection pane="bottomLeft"/>
    </sheetView>
  </sheetViews>
  <sheetFormatPr baseColWidth="10" defaultColWidth="14.5" defaultRowHeight="15" customHeight="1"/>
  <cols>
    <col min="1" max="4" width="14.5" style="304" customWidth="1"/>
    <col min="5" max="5" width="45.33203125" style="304" customWidth="1"/>
    <col min="6" max="7" width="14.5" style="304" customWidth="1"/>
    <col min="8" max="8" width="14.5" style="304"/>
    <col min="9" max="9" width="14.5" style="304" customWidth="1"/>
    <col min="10" max="16384" width="14.5" style="304"/>
  </cols>
  <sheetData>
    <row r="1" spans="1:29" ht="45">
      <c r="A1" s="90" t="s">
        <v>21</v>
      </c>
      <c r="B1" s="90" t="s">
        <v>33</v>
      </c>
      <c r="C1" s="90" t="s">
        <v>34</v>
      </c>
      <c r="D1" s="90" t="s">
        <v>35</v>
      </c>
      <c r="E1" s="90" t="s">
        <v>3451</v>
      </c>
      <c r="F1" s="90" t="s">
        <v>3452</v>
      </c>
      <c r="G1" s="303" t="s">
        <v>3354</v>
      </c>
      <c r="H1" s="90" t="s">
        <v>3444</v>
      </c>
      <c r="I1" s="90" t="s">
        <v>896</v>
      </c>
      <c r="J1" s="90" t="s">
        <v>897</v>
      </c>
      <c r="K1" s="90" t="s">
        <v>898</v>
      </c>
      <c r="L1" s="90" t="s">
        <v>85</v>
      </c>
      <c r="M1" s="90" t="s">
        <v>86</v>
      </c>
      <c r="N1" s="90" t="s">
        <v>802</v>
      </c>
      <c r="O1" s="90" t="s">
        <v>87</v>
      </c>
      <c r="P1" s="90" t="s">
        <v>88</v>
      </c>
      <c r="Q1" s="90" t="s">
        <v>80</v>
      </c>
      <c r="R1" s="90" t="s">
        <v>899</v>
      </c>
      <c r="S1" s="51"/>
      <c r="T1" s="51"/>
      <c r="U1" s="51"/>
      <c r="V1" s="51"/>
      <c r="W1" s="51"/>
      <c r="X1" s="51"/>
      <c r="Y1" s="51"/>
      <c r="Z1" s="51"/>
      <c r="AA1" s="51"/>
      <c r="AB1" s="51"/>
      <c r="AC1" s="51"/>
    </row>
    <row r="2" spans="1:29">
      <c r="A2" s="305">
        <v>1</v>
      </c>
      <c r="B2" s="305" t="s">
        <v>93</v>
      </c>
      <c r="C2" s="305" t="s">
        <v>94</v>
      </c>
      <c r="D2" s="306">
        <v>24320</v>
      </c>
      <c r="E2" s="48" t="s">
        <v>900</v>
      </c>
      <c r="F2" s="105">
        <v>2</v>
      </c>
      <c r="G2" s="49">
        <v>0</v>
      </c>
      <c r="H2" s="105">
        <v>1</v>
      </c>
      <c r="I2" s="105">
        <v>0</v>
      </c>
      <c r="J2" s="105">
        <v>0</v>
      </c>
      <c r="K2" s="105">
        <v>1</v>
      </c>
      <c r="L2" s="105"/>
      <c r="M2" s="48"/>
      <c r="N2" s="48"/>
      <c r="O2" s="48"/>
      <c r="P2" s="48"/>
      <c r="Q2" s="105">
        <v>1</v>
      </c>
      <c r="R2" s="48"/>
      <c r="S2" s="48"/>
      <c r="T2" s="48"/>
      <c r="U2" s="48"/>
      <c r="V2" s="48"/>
      <c r="W2" s="48"/>
      <c r="X2" s="48"/>
      <c r="Y2" s="48"/>
      <c r="Z2" s="48"/>
      <c r="AA2" s="48"/>
      <c r="AB2" s="48"/>
      <c r="AC2" s="48"/>
    </row>
    <row r="3" spans="1:29">
      <c r="A3" s="305">
        <v>1</v>
      </c>
      <c r="B3" s="305" t="s">
        <v>93</v>
      </c>
      <c r="C3" s="305" t="s">
        <v>94</v>
      </c>
      <c r="D3" s="306">
        <v>24320</v>
      </c>
      <c r="E3" s="48" t="s">
        <v>901</v>
      </c>
      <c r="F3" s="105">
        <v>2</v>
      </c>
      <c r="G3" s="49">
        <v>2</v>
      </c>
      <c r="H3" s="48">
        <v>0</v>
      </c>
      <c r="I3" s="48">
        <v>0</v>
      </c>
      <c r="J3" s="48">
        <v>0</v>
      </c>
      <c r="K3" s="105">
        <v>0</v>
      </c>
      <c r="L3" s="105" t="str">
        <f t="shared" ref="L3:L8" si="0">HYPERLINK("https://www.washingtonpost.com/sf/local/2016/07/31/the-loaded-legacy-of-the-ut-tower-shooting/?utm_term=.5c01187d9b84","1")</f>
        <v>1</v>
      </c>
      <c r="M3" s="48">
        <v>0</v>
      </c>
      <c r="N3" s="48">
        <v>0</v>
      </c>
      <c r="O3" s="48">
        <v>0</v>
      </c>
      <c r="P3" s="48">
        <v>0</v>
      </c>
      <c r="Q3" s="48">
        <v>0</v>
      </c>
      <c r="R3" s="48"/>
      <c r="S3" s="48"/>
      <c r="T3" s="48"/>
      <c r="U3" s="48"/>
      <c r="V3" s="48"/>
      <c r="W3" s="48"/>
      <c r="X3" s="48"/>
      <c r="Y3" s="48"/>
      <c r="Z3" s="48"/>
      <c r="AA3" s="48"/>
      <c r="AB3" s="48"/>
      <c r="AC3" s="48"/>
    </row>
    <row r="4" spans="1:29">
      <c r="A4" s="305">
        <v>1</v>
      </c>
      <c r="B4" s="305" t="s">
        <v>93</v>
      </c>
      <c r="C4" s="305" t="s">
        <v>94</v>
      </c>
      <c r="D4" s="306">
        <v>24320</v>
      </c>
      <c r="E4" s="48" t="s">
        <v>902</v>
      </c>
      <c r="F4" s="105">
        <v>2</v>
      </c>
      <c r="G4" s="49">
        <v>2</v>
      </c>
      <c r="H4" s="105">
        <v>1</v>
      </c>
      <c r="I4" s="48">
        <v>0</v>
      </c>
      <c r="J4" s="105">
        <v>0</v>
      </c>
      <c r="K4" s="105">
        <v>0</v>
      </c>
      <c r="L4" s="105" t="str">
        <f t="shared" si="0"/>
        <v>1</v>
      </c>
      <c r="M4" s="48">
        <v>0</v>
      </c>
      <c r="N4" s="48">
        <v>0</v>
      </c>
      <c r="O4" s="48">
        <v>0</v>
      </c>
      <c r="P4" s="48">
        <v>0</v>
      </c>
      <c r="Q4" s="48">
        <v>0</v>
      </c>
      <c r="R4" s="48"/>
      <c r="S4" s="48"/>
      <c r="T4" s="48"/>
      <c r="U4" s="48"/>
      <c r="V4" s="48"/>
      <c r="W4" s="48"/>
      <c r="X4" s="48"/>
      <c r="Y4" s="48"/>
      <c r="Z4" s="48"/>
      <c r="AA4" s="48"/>
      <c r="AB4" s="48"/>
      <c r="AC4" s="48"/>
    </row>
    <row r="5" spans="1:29">
      <c r="A5" s="305">
        <v>1</v>
      </c>
      <c r="B5" s="305" t="s">
        <v>93</v>
      </c>
      <c r="C5" s="305" t="s">
        <v>94</v>
      </c>
      <c r="D5" s="306">
        <v>24320</v>
      </c>
      <c r="E5" s="48" t="s">
        <v>903</v>
      </c>
      <c r="F5" s="105">
        <v>0</v>
      </c>
      <c r="G5" s="49">
        <v>0</v>
      </c>
      <c r="H5" s="48">
        <v>0</v>
      </c>
      <c r="I5" s="48">
        <v>0</v>
      </c>
      <c r="J5" s="48">
        <v>0</v>
      </c>
      <c r="K5" s="105">
        <v>0</v>
      </c>
      <c r="L5" s="105" t="str">
        <f t="shared" si="0"/>
        <v>1</v>
      </c>
      <c r="M5" s="48">
        <v>0</v>
      </c>
      <c r="N5" s="48">
        <v>0</v>
      </c>
      <c r="O5" s="48">
        <v>0</v>
      </c>
      <c r="P5" s="48">
        <v>0</v>
      </c>
      <c r="Q5" s="48">
        <v>0</v>
      </c>
      <c r="R5" s="48"/>
      <c r="S5" s="48"/>
      <c r="T5" s="48"/>
      <c r="U5" s="48"/>
      <c r="V5" s="48"/>
      <c r="W5" s="48"/>
      <c r="X5" s="48"/>
      <c r="Y5" s="48"/>
      <c r="Z5" s="48"/>
      <c r="AA5" s="48"/>
      <c r="AB5" s="48"/>
      <c r="AC5" s="48"/>
    </row>
    <row r="6" spans="1:29">
      <c r="A6" s="305">
        <v>1</v>
      </c>
      <c r="B6" s="305" t="s">
        <v>93</v>
      </c>
      <c r="C6" s="305" t="s">
        <v>94</v>
      </c>
      <c r="D6" s="306">
        <v>24320</v>
      </c>
      <c r="E6" s="48" t="s">
        <v>904</v>
      </c>
      <c r="F6" s="105">
        <v>0</v>
      </c>
      <c r="G6" s="49">
        <v>1</v>
      </c>
      <c r="H6" s="48">
        <v>0</v>
      </c>
      <c r="I6" s="48">
        <v>0</v>
      </c>
      <c r="J6" s="48">
        <v>0</v>
      </c>
      <c r="K6" s="105">
        <v>0</v>
      </c>
      <c r="L6" s="105" t="str">
        <f t="shared" si="0"/>
        <v>1</v>
      </c>
      <c r="M6" s="48">
        <v>0</v>
      </c>
      <c r="N6" s="48">
        <v>0</v>
      </c>
      <c r="O6" s="48">
        <v>0</v>
      </c>
      <c r="P6" s="48">
        <v>0</v>
      </c>
      <c r="Q6" s="48">
        <v>0</v>
      </c>
      <c r="R6" s="48"/>
      <c r="S6" s="48"/>
      <c r="T6" s="48"/>
      <c r="U6" s="48"/>
      <c r="V6" s="48"/>
      <c r="W6" s="48"/>
      <c r="X6" s="48"/>
      <c r="Y6" s="48"/>
      <c r="Z6" s="48"/>
      <c r="AA6" s="48"/>
      <c r="AB6" s="48"/>
      <c r="AC6" s="48"/>
    </row>
    <row r="7" spans="1:29">
      <c r="A7" s="305">
        <v>1</v>
      </c>
      <c r="B7" s="305" t="s">
        <v>93</v>
      </c>
      <c r="C7" s="305" t="s">
        <v>94</v>
      </c>
      <c r="D7" s="306">
        <v>24320</v>
      </c>
      <c r="E7" s="48" t="s">
        <v>905</v>
      </c>
      <c r="F7" s="105">
        <v>0</v>
      </c>
      <c r="G7" s="49">
        <v>1</v>
      </c>
      <c r="H7" s="48">
        <v>0</v>
      </c>
      <c r="I7" s="48">
        <v>0</v>
      </c>
      <c r="J7" s="48" t="s">
        <v>100</v>
      </c>
      <c r="K7" s="105">
        <v>0</v>
      </c>
      <c r="L7" s="105" t="str">
        <f t="shared" si="0"/>
        <v>1</v>
      </c>
      <c r="M7" s="48">
        <v>0</v>
      </c>
      <c r="N7" s="48">
        <v>0</v>
      </c>
      <c r="O7" s="48">
        <v>0</v>
      </c>
      <c r="P7" s="48">
        <v>0</v>
      </c>
      <c r="Q7" s="48">
        <v>0</v>
      </c>
      <c r="R7" s="48"/>
      <c r="S7" s="48"/>
      <c r="T7" s="48"/>
      <c r="U7" s="48"/>
      <c r="V7" s="48"/>
      <c r="W7" s="48"/>
      <c r="X7" s="48"/>
      <c r="Y7" s="48"/>
      <c r="Z7" s="48"/>
      <c r="AA7" s="48"/>
      <c r="AB7" s="48"/>
      <c r="AC7" s="48"/>
    </row>
    <row r="8" spans="1:29">
      <c r="A8" s="305">
        <v>1</v>
      </c>
      <c r="B8" s="305" t="s">
        <v>93</v>
      </c>
      <c r="C8" s="305" t="s">
        <v>94</v>
      </c>
      <c r="D8" s="306">
        <v>24320</v>
      </c>
      <c r="E8" s="48" t="s">
        <v>906</v>
      </c>
      <c r="F8" s="105">
        <v>1</v>
      </c>
      <c r="G8" s="49">
        <v>2</v>
      </c>
      <c r="H8" s="48">
        <v>0</v>
      </c>
      <c r="I8" s="105">
        <v>1</v>
      </c>
      <c r="J8" s="48" t="s">
        <v>100</v>
      </c>
      <c r="K8" s="105">
        <v>0</v>
      </c>
      <c r="L8" s="105" t="str">
        <f t="shared" si="0"/>
        <v>1</v>
      </c>
      <c r="M8" s="48">
        <v>0</v>
      </c>
      <c r="N8" s="48">
        <v>0</v>
      </c>
      <c r="O8" s="48">
        <v>0</v>
      </c>
      <c r="P8" s="48">
        <v>0</v>
      </c>
      <c r="Q8" s="48">
        <v>0</v>
      </c>
      <c r="R8" s="48"/>
      <c r="S8" s="48"/>
      <c r="T8" s="48"/>
      <c r="U8" s="48"/>
      <c r="V8" s="48"/>
      <c r="W8" s="48"/>
      <c r="X8" s="48"/>
      <c r="Y8" s="48"/>
      <c r="Z8" s="48"/>
      <c r="AA8" s="48"/>
      <c r="AB8" s="48"/>
      <c r="AC8" s="48"/>
    </row>
    <row r="9" spans="1:29">
      <c r="A9" s="307">
        <v>2</v>
      </c>
      <c r="B9" s="307" t="s">
        <v>101</v>
      </c>
      <c r="C9" s="307" t="s">
        <v>102</v>
      </c>
      <c r="D9" s="308">
        <v>24423</v>
      </c>
      <c r="E9" s="48" t="s">
        <v>813</v>
      </c>
      <c r="F9" s="105" t="str">
        <f>HYPERLINK("http://www.nydailynews.com/news/crime/beauty-salon-massacre-article-1.273663","0")</f>
        <v>0</v>
      </c>
      <c r="G9" s="49">
        <v>0</v>
      </c>
      <c r="H9" s="105">
        <v>1</v>
      </c>
      <c r="I9" s="48">
        <v>0</v>
      </c>
      <c r="J9" s="105">
        <v>0</v>
      </c>
      <c r="K9" s="105">
        <v>1</v>
      </c>
      <c r="L9" s="48">
        <v>0</v>
      </c>
      <c r="M9" s="48">
        <v>0</v>
      </c>
      <c r="N9" s="48">
        <v>0</v>
      </c>
      <c r="O9" s="105" t="str">
        <f>HYPERLINK("https://www.nydailynews.com/news/crime/beauty-salon-massacre-article-1.273663","1")</f>
        <v>1</v>
      </c>
      <c r="P9" s="48">
        <v>0</v>
      </c>
      <c r="Q9" s="48">
        <v>0</v>
      </c>
      <c r="R9" s="48"/>
      <c r="S9" s="48"/>
      <c r="T9" s="48"/>
      <c r="U9" s="48"/>
      <c r="V9" s="48"/>
      <c r="W9" s="48"/>
      <c r="X9" s="48"/>
      <c r="Y9" s="48"/>
      <c r="Z9" s="48"/>
      <c r="AA9" s="48"/>
      <c r="AB9" s="48"/>
      <c r="AC9" s="48"/>
    </row>
    <row r="10" spans="1:29">
      <c r="A10" s="309">
        <v>3</v>
      </c>
      <c r="B10" s="309" t="s">
        <v>108</v>
      </c>
      <c r="C10" s="309" t="s">
        <v>109</v>
      </c>
      <c r="D10" s="310">
        <v>24768</v>
      </c>
      <c r="E10" s="48" t="s">
        <v>876</v>
      </c>
      <c r="F10" s="105">
        <v>0</v>
      </c>
      <c r="G10" s="49">
        <v>2</v>
      </c>
      <c r="H10" s="105">
        <v>1</v>
      </c>
      <c r="I10" s="48">
        <v>0</v>
      </c>
      <c r="J10" s="105">
        <v>0</v>
      </c>
      <c r="K10" s="48">
        <v>1</v>
      </c>
      <c r="L10" s="105">
        <v>3</v>
      </c>
      <c r="M10" s="48">
        <v>0</v>
      </c>
      <c r="N10" s="48">
        <v>0</v>
      </c>
      <c r="O10" s="48">
        <v>0</v>
      </c>
      <c r="P10" s="48">
        <v>0</v>
      </c>
      <c r="Q10" s="48">
        <v>0</v>
      </c>
      <c r="R10" s="48"/>
      <c r="S10" s="48"/>
      <c r="T10" s="48"/>
      <c r="U10" s="48"/>
      <c r="V10" s="48"/>
      <c r="W10" s="48"/>
      <c r="X10" s="48"/>
      <c r="Y10" s="48"/>
      <c r="Z10" s="48"/>
      <c r="AA10" s="48"/>
      <c r="AB10" s="48"/>
      <c r="AC10" s="48"/>
    </row>
    <row r="11" spans="1:29">
      <c r="A11" s="309">
        <v>3</v>
      </c>
      <c r="B11" s="309" t="s">
        <v>108</v>
      </c>
      <c r="C11" s="309" t="s">
        <v>109</v>
      </c>
      <c r="D11" s="310">
        <v>24768</v>
      </c>
      <c r="E11" s="48" t="s">
        <v>907</v>
      </c>
      <c r="F11" s="105">
        <v>0</v>
      </c>
      <c r="G11" s="49">
        <v>1</v>
      </c>
      <c r="H11" s="105">
        <v>1</v>
      </c>
      <c r="I11" s="48">
        <v>0</v>
      </c>
      <c r="J11" s="48" t="s">
        <v>100</v>
      </c>
      <c r="K11" s="48">
        <v>1</v>
      </c>
      <c r="L11" s="105">
        <v>3</v>
      </c>
      <c r="M11" s="48">
        <v>0</v>
      </c>
      <c r="N11" s="48">
        <v>0</v>
      </c>
      <c r="O11" s="48">
        <v>0</v>
      </c>
      <c r="P11" s="48">
        <v>0</v>
      </c>
      <c r="Q11" s="48">
        <v>0</v>
      </c>
      <c r="R11" s="48"/>
      <c r="S11" s="48"/>
      <c r="T11" s="48"/>
      <c r="U11" s="48"/>
      <c r="V11" s="48"/>
      <c r="W11" s="48"/>
      <c r="X11" s="48"/>
      <c r="Y11" s="48"/>
      <c r="Z11" s="48"/>
      <c r="AA11" s="48"/>
      <c r="AB11" s="48"/>
      <c r="AC11" s="48"/>
    </row>
    <row r="12" spans="1:29">
      <c r="A12" s="311">
        <v>4</v>
      </c>
      <c r="B12" s="311" t="s">
        <v>113</v>
      </c>
      <c r="C12" s="311" t="s">
        <v>114</v>
      </c>
      <c r="D12" s="312">
        <v>24913</v>
      </c>
      <c r="E12" s="48" t="s">
        <v>908</v>
      </c>
      <c r="F12" s="105" t="str">
        <f>HYPERLINK("https://news.google.com/newspapers?id=ZRgMAAAAIBAJ&amp;sjid=rlwDAAAAIBAJ&amp;pg=6550,4991780&amp;dq=&amp;hl=en","2")</f>
        <v>2</v>
      </c>
      <c r="G12" s="49">
        <v>2</v>
      </c>
      <c r="H12" s="105" t="str">
        <f>HYPERLINK("https://news.google.com/newspapers?id=ZRgMAAAAIBAJ&amp;sjid=rlwDAAAAIBAJ&amp;pg=6550,4991780&amp;dq=&amp;hl=en","1")</f>
        <v>1</v>
      </c>
      <c r="I12" s="48">
        <v>0</v>
      </c>
      <c r="J12" s="48">
        <v>0</v>
      </c>
      <c r="K12" s="48">
        <v>1</v>
      </c>
      <c r="L12" s="48">
        <v>3</v>
      </c>
      <c r="M12" s="48">
        <v>0</v>
      </c>
      <c r="N12" s="48">
        <v>0</v>
      </c>
      <c r="O12" s="48">
        <v>0</v>
      </c>
      <c r="P12" s="48">
        <v>0</v>
      </c>
      <c r="Q12" s="48">
        <v>0</v>
      </c>
      <c r="R12" s="48"/>
      <c r="S12" s="48"/>
      <c r="T12" s="48"/>
      <c r="U12" s="48"/>
      <c r="V12" s="48"/>
      <c r="W12" s="48"/>
      <c r="X12" s="48"/>
      <c r="Y12" s="48"/>
      <c r="Z12" s="48"/>
      <c r="AA12" s="48"/>
      <c r="AB12" s="48"/>
      <c r="AC12" s="48"/>
    </row>
    <row r="13" spans="1:29">
      <c r="A13" s="313">
        <v>5</v>
      </c>
      <c r="B13" s="313" t="s">
        <v>117</v>
      </c>
      <c r="C13" s="313" t="s">
        <v>118</v>
      </c>
      <c r="D13" s="314">
        <v>25298</v>
      </c>
      <c r="E13" s="48" t="s">
        <v>909</v>
      </c>
      <c r="F13" s="105">
        <v>2</v>
      </c>
      <c r="G13" s="49">
        <v>2</v>
      </c>
      <c r="H13" s="48"/>
      <c r="I13" s="48">
        <v>0</v>
      </c>
      <c r="J13" s="48">
        <v>0</v>
      </c>
      <c r="K13" s="48"/>
      <c r="L13" s="48"/>
      <c r="M13" s="48"/>
      <c r="N13" s="48"/>
      <c r="O13" s="48"/>
      <c r="P13" s="48"/>
      <c r="Q13" s="48">
        <v>1</v>
      </c>
      <c r="R13" s="48"/>
      <c r="S13" s="48"/>
      <c r="T13" s="48"/>
      <c r="U13" s="48"/>
      <c r="V13" s="48"/>
      <c r="W13" s="48"/>
      <c r="X13" s="48"/>
      <c r="Y13" s="48"/>
      <c r="Z13" s="48"/>
      <c r="AA13" s="48"/>
      <c r="AB13" s="48"/>
      <c r="AC13" s="48"/>
    </row>
    <row r="14" spans="1:29">
      <c r="A14" s="313">
        <v>5</v>
      </c>
      <c r="B14" s="313" t="s">
        <v>117</v>
      </c>
      <c r="C14" s="313" t="s">
        <v>118</v>
      </c>
      <c r="D14" s="314">
        <v>25298</v>
      </c>
      <c r="E14" s="48" t="s">
        <v>910</v>
      </c>
      <c r="F14" s="105">
        <v>2</v>
      </c>
      <c r="G14" s="49">
        <v>2</v>
      </c>
      <c r="H14" s="105">
        <v>1</v>
      </c>
      <c r="I14" s="48">
        <v>0</v>
      </c>
      <c r="J14" s="105">
        <v>0</v>
      </c>
      <c r="K14" s="48"/>
      <c r="L14" s="48"/>
      <c r="M14" s="48"/>
      <c r="N14" s="48"/>
      <c r="O14" s="48"/>
      <c r="P14" s="48"/>
      <c r="Q14" s="48">
        <v>1</v>
      </c>
      <c r="R14" s="48"/>
      <c r="S14" s="48"/>
      <c r="T14" s="48"/>
      <c r="U14" s="48"/>
      <c r="V14" s="48"/>
      <c r="W14" s="48"/>
      <c r="X14" s="48"/>
      <c r="Y14" s="48"/>
      <c r="Z14" s="48"/>
      <c r="AA14" s="48"/>
      <c r="AB14" s="48"/>
      <c r="AC14" s="48"/>
    </row>
    <row r="15" spans="1:29">
      <c r="A15" s="305">
        <v>6</v>
      </c>
      <c r="B15" s="305" t="s">
        <v>121</v>
      </c>
      <c r="C15" s="305" t="s">
        <v>122</v>
      </c>
      <c r="D15" s="306">
        <v>25834</v>
      </c>
      <c r="E15" s="48" t="s">
        <v>815</v>
      </c>
      <c r="F15" s="105" t="str">
        <f>HYPERLINK("https://www.nytimes.com/1970/09/24/archives/state-employe-kills-4-coworkers-and-himself-in-albany-office.html","2")</f>
        <v>2</v>
      </c>
      <c r="G15" s="49">
        <v>2</v>
      </c>
      <c r="H15" s="105">
        <v>1</v>
      </c>
      <c r="I15" s="48">
        <v>0</v>
      </c>
      <c r="J15" s="105">
        <v>0</v>
      </c>
      <c r="K15" s="105">
        <v>1</v>
      </c>
      <c r="L15" s="105" t="str">
        <f>HYPERLINK("https://newspaperarchive.com/daily-review-oct-23-1970-p-20/","1")</f>
        <v>1</v>
      </c>
      <c r="M15" s="48">
        <v>0</v>
      </c>
      <c r="N15" s="48">
        <v>0</v>
      </c>
      <c r="O15" s="48">
        <v>0</v>
      </c>
      <c r="P15" s="48">
        <v>0</v>
      </c>
      <c r="Q15" s="48">
        <v>0</v>
      </c>
      <c r="R15" s="48"/>
      <c r="S15" s="48"/>
      <c r="T15" s="48"/>
      <c r="U15" s="48"/>
      <c r="V15" s="48"/>
      <c r="W15" s="48"/>
      <c r="X15" s="48"/>
      <c r="Y15" s="48"/>
      <c r="Z15" s="48"/>
      <c r="AA15" s="48"/>
      <c r="AB15" s="48"/>
      <c r="AC15" s="48"/>
    </row>
    <row r="16" spans="1:29">
      <c r="A16" s="307">
        <v>7</v>
      </c>
      <c r="B16" s="307" t="s">
        <v>127</v>
      </c>
      <c r="C16" s="307" t="s">
        <v>128</v>
      </c>
      <c r="D16" s="308">
        <v>26448</v>
      </c>
      <c r="E16" s="48" t="s">
        <v>816</v>
      </c>
      <c r="F16" s="105" t="str">
        <f>HYPERLINK("https://www.nytimes.com/1972/05/30/archives/gunman-slays-3-in-shopping-mall-wounds-8-and-then-kills-himself.html","2")</f>
        <v>2</v>
      </c>
      <c r="G16" s="49">
        <v>0</v>
      </c>
      <c r="H16" s="105" t="str">
        <f>HYPERLINK("https://www.nytimes.com/1972/05/30/archives/gunman-slays-3-in-shopping-mall-wounds-8-and-then-kills-himself.html","1")</f>
        <v>1</v>
      </c>
      <c r="I16" s="48">
        <v>0</v>
      </c>
      <c r="J16" s="48">
        <v>0</v>
      </c>
      <c r="K16" s="105" t="str">
        <f>HYPERLINK("https://www.nytimes.com/1972/05/30/archives/gunman-slays-3-in-shopping-mall-wounds-8-and-then-kills-himself.html","0")</f>
        <v>0</v>
      </c>
      <c r="L16" s="48">
        <v>0</v>
      </c>
      <c r="M16" s="105">
        <v>3</v>
      </c>
      <c r="N16" s="48">
        <v>0</v>
      </c>
      <c r="O16" s="48">
        <v>0</v>
      </c>
      <c r="P16" s="48">
        <v>0</v>
      </c>
      <c r="Q16" s="48">
        <v>0</v>
      </c>
      <c r="R16" s="48"/>
      <c r="S16" s="48"/>
      <c r="T16" s="48"/>
      <c r="U16" s="48"/>
      <c r="V16" s="48"/>
      <c r="W16" s="48"/>
      <c r="X16" s="48"/>
      <c r="Y16" s="48"/>
      <c r="Z16" s="48"/>
      <c r="AA16" s="48"/>
      <c r="AB16" s="48"/>
      <c r="AC16" s="48"/>
    </row>
    <row r="17" spans="1:29">
      <c r="A17" s="309">
        <v>8</v>
      </c>
      <c r="B17" s="309" t="s">
        <v>131</v>
      </c>
      <c r="C17" s="309" t="s">
        <v>132</v>
      </c>
      <c r="D17" s="310">
        <v>26471</v>
      </c>
      <c r="E17" s="48" t="s">
        <v>911</v>
      </c>
      <c r="F17" s="105" t="str">
        <f t="shared" ref="F17:F18" si="1">HYPERLINK("https://www.nytimes.com/1972/06/23/archives/anger-with-employment-agency-is-cited-as-gunmans-motivation-for.html","2")</f>
        <v>2</v>
      </c>
      <c r="G17" s="49">
        <v>0</v>
      </c>
      <c r="H17" s="105" t="str">
        <f t="shared" ref="H17:H18" si="2">HYPERLINK("https://www.nytimes.com/1972/06/23/archives/anger-with-employment-agency-is-cited-as-gunmans-motivation-for.html","1")</f>
        <v>1</v>
      </c>
      <c r="I17" s="105" t="str">
        <f t="shared" ref="I17:I18" si="3">HYPERLINK("https://www.nytimes.com/1972/06/23/archives/anger-with-employment-agency-is-cited-as-gunmans-motivation-for.html","1")</f>
        <v>1</v>
      </c>
      <c r="J17" s="48">
        <v>0</v>
      </c>
      <c r="K17" s="105" t="str">
        <f t="shared" ref="K17:K18" si="4">HYPERLINK("https://www.nytimes.com/1972/06/23/archives/anger-with-employment-agency-is-cited-as-gunmans-motivation-for.html","0")</f>
        <v>0</v>
      </c>
      <c r="L17" s="105" t="str">
        <f t="shared" ref="L17:L18" si="5">HYPERLINK("https://www.nytimes.com/1972/06/23/archives/anger-with-employment-agency-is-cited-as-gunmans-motivation-for.html","1")</f>
        <v>1</v>
      </c>
      <c r="M17" s="48">
        <v>0</v>
      </c>
      <c r="N17" s="48">
        <v>0</v>
      </c>
      <c r="O17" s="48">
        <v>0</v>
      </c>
      <c r="P17" s="48">
        <v>0</v>
      </c>
      <c r="Q17" s="48">
        <v>0</v>
      </c>
      <c r="R17" s="48"/>
      <c r="S17" s="48"/>
      <c r="T17" s="48"/>
      <c r="U17" s="48"/>
      <c r="V17" s="48"/>
      <c r="W17" s="48"/>
      <c r="X17" s="48"/>
      <c r="Y17" s="48"/>
      <c r="Z17" s="48"/>
      <c r="AA17" s="48"/>
      <c r="AB17" s="48"/>
      <c r="AC17" s="48"/>
    </row>
    <row r="18" spans="1:29">
      <c r="A18" s="309">
        <v>8</v>
      </c>
      <c r="B18" s="309" t="s">
        <v>131</v>
      </c>
      <c r="C18" s="309" t="s">
        <v>132</v>
      </c>
      <c r="D18" s="310">
        <v>26471</v>
      </c>
      <c r="E18" s="48" t="s">
        <v>911</v>
      </c>
      <c r="F18" s="105" t="str">
        <f t="shared" si="1"/>
        <v>2</v>
      </c>
      <c r="G18" s="49">
        <v>0</v>
      </c>
      <c r="H18" s="105" t="str">
        <f t="shared" si="2"/>
        <v>1</v>
      </c>
      <c r="I18" s="105" t="str">
        <f t="shared" si="3"/>
        <v>1</v>
      </c>
      <c r="J18" s="48">
        <v>0</v>
      </c>
      <c r="K18" s="105" t="str">
        <f t="shared" si="4"/>
        <v>0</v>
      </c>
      <c r="L18" s="105" t="str">
        <f t="shared" si="5"/>
        <v>1</v>
      </c>
      <c r="M18" s="48">
        <v>0</v>
      </c>
      <c r="N18" s="48">
        <v>0</v>
      </c>
      <c r="O18" s="48">
        <v>0</v>
      </c>
      <c r="P18" s="48">
        <v>0</v>
      </c>
      <c r="Q18" s="48">
        <v>0</v>
      </c>
      <c r="R18" s="48"/>
      <c r="S18" s="48"/>
      <c r="T18" s="48"/>
      <c r="U18" s="48"/>
      <c r="V18" s="48"/>
      <c r="W18" s="48"/>
      <c r="X18" s="48"/>
      <c r="Y18" s="48"/>
      <c r="Z18" s="48"/>
      <c r="AA18" s="48"/>
      <c r="AB18" s="48"/>
      <c r="AC18" s="48"/>
    </row>
    <row r="19" spans="1:29">
      <c r="A19" s="311">
        <v>9</v>
      </c>
      <c r="B19" s="311" t="s">
        <v>135</v>
      </c>
      <c r="C19" s="311" t="s">
        <v>136</v>
      </c>
      <c r="D19" s="312">
        <v>26671</v>
      </c>
      <c r="E19" s="48" t="s">
        <v>817</v>
      </c>
      <c r="F19" s="105" t="str">
        <f>HYPERLINK("https://www.nytimes.com/1973/01/10/archives/new-orleans-sniper-identifiedrifle-linked-to-killing-of-rookie-new.html","2")</f>
        <v>2</v>
      </c>
      <c r="G19" s="49">
        <v>2</v>
      </c>
      <c r="H19" s="105" t="str">
        <f t="shared" ref="H19:L19" si="6">HYPERLINK("https://www.nytimes.com/1973/01/10/archives/new-orleans-sniper-identifiedrifle-linked-to-killing-of-rookie-new.html","1")</f>
        <v>1</v>
      </c>
      <c r="I19" s="48">
        <v>0</v>
      </c>
      <c r="J19" s="48">
        <v>0</v>
      </c>
      <c r="K19" s="105" t="str">
        <f t="shared" si="6"/>
        <v>1</v>
      </c>
      <c r="L19" s="105" t="str">
        <f t="shared" si="6"/>
        <v>1</v>
      </c>
      <c r="M19" s="48">
        <v>0</v>
      </c>
      <c r="N19" s="48">
        <v>0</v>
      </c>
      <c r="O19" s="48">
        <v>0</v>
      </c>
      <c r="P19" s="48">
        <v>0</v>
      </c>
      <c r="Q19" s="48">
        <v>0</v>
      </c>
      <c r="R19" s="48"/>
      <c r="S19" s="48"/>
      <c r="T19" s="48"/>
      <c r="U19" s="48"/>
      <c r="V19" s="48"/>
      <c r="W19" s="48"/>
      <c r="X19" s="48"/>
      <c r="Y19" s="48"/>
      <c r="Z19" s="48"/>
      <c r="AA19" s="48"/>
      <c r="AB19" s="48"/>
      <c r="AC19" s="48"/>
    </row>
    <row r="20" spans="1:29" ht="15.75" customHeight="1">
      <c r="A20" s="313">
        <v>10</v>
      </c>
      <c r="B20" s="313" t="s">
        <v>140</v>
      </c>
      <c r="C20" s="313" t="s">
        <v>102</v>
      </c>
      <c r="D20" s="314">
        <v>27455</v>
      </c>
      <c r="E20" s="48" t="s">
        <v>912</v>
      </c>
      <c r="F20" s="105" t="str">
        <f>HYPERLINK("https://news.google.com/newspapers?id=CJRPAAAAIBAJ&amp;sjid=RVIDAAAAIBAJ&amp;pg=3521,4360795&amp;hl=en","2")</f>
        <v>2</v>
      </c>
      <c r="G20" s="49">
        <v>2</v>
      </c>
      <c r="H20" s="105" t="str">
        <f>HYPERLINK("https://cdnc.ucr.edu/cgi-bin/cdnc?a=d&amp;d=DS19750303.2.21&amp;e=-------en--20--1--txt-txIN--------1","1")</f>
        <v>1</v>
      </c>
      <c r="I20" s="48">
        <v>0</v>
      </c>
      <c r="J20" s="48">
        <v>0</v>
      </c>
      <c r="K20" s="105" t="str">
        <f>HYPERLINK("https://cdnc.ucr.edu/cgi-bin/cdnc?a=d&amp;d=DS19750303.2.21&amp;e=-------en--20--1--txt-txIN--------1","0")</f>
        <v>0</v>
      </c>
      <c r="L20" s="105" t="str">
        <f>HYPERLINK("https://cdnc.ucr.edu/cgi-bin/cdnc?a=d&amp;d=DS19750303.2.21&amp;e=-------en--20--1--txt-txIN--------1","1")</f>
        <v>1</v>
      </c>
      <c r="M20" s="48">
        <v>0</v>
      </c>
      <c r="N20" s="48">
        <v>0</v>
      </c>
      <c r="O20" s="48">
        <v>0</v>
      </c>
      <c r="P20" s="48">
        <v>0</v>
      </c>
      <c r="Q20" s="48">
        <v>0</v>
      </c>
      <c r="R20" s="48"/>
      <c r="S20" s="48"/>
      <c r="T20" s="48"/>
      <c r="U20" s="48"/>
      <c r="V20" s="48"/>
      <c r="W20" s="48"/>
      <c r="X20" s="48"/>
      <c r="Y20" s="48"/>
      <c r="Z20" s="48"/>
      <c r="AA20" s="48"/>
      <c r="AB20" s="48"/>
      <c r="AC20" s="48"/>
    </row>
    <row r="21" spans="1:29" ht="15.75" customHeight="1">
      <c r="A21" s="305">
        <v>11</v>
      </c>
      <c r="B21" s="305" t="s">
        <v>143</v>
      </c>
      <c r="C21" s="305" t="s">
        <v>144</v>
      </c>
      <c r="D21" s="306">
        <v>27953</v>
      </c>
      <c r="E21" s="48" t="s">
        <v>819</v>
      </c>
      <c r="F21" s="105">
        <v>2</v>
      </c>
      <c r="G21" s="49">
        <v>0</v>
      </c>
      <c r="H21" s="105" t="str">
        <f>HYPERLINK("https://dailytitan.com/2017/08/cal-state-fullerton-massacre-shooting-edward-charles-allaway-mental-hospital-1976/","1")</f>
        <v>1</v>
      </c>
      <c r="I21" s="48">
        <v>0</v>
      </c>
      <c r="J21" s="48">
        <v>0</v>
      </c>
      <c r="K21" s="105" t="str">
        <f>HYPERLINK("https://dailytitan.com/2017/08/cal-state-fullerton-massacre-shooting-edward-charles-allaway-mental-hospital-1976/","0")</f>
        <v>0</v>
      </c>
      <c r="L21" s="48">
        <v>0</v>
      </c>
      <c r="M21" s="105">
        <v>3</v>
      </c>
      <c r="N21" s="48">
        <v>0</v>
      </c>
      <c r="O21" s="48">
        <v>0</v>
      </c>
      <c r="P21" s="48">
        <v>0</v>
      </c>
      <c r="Q21" s="48">
        <v>0</v>
      </c>
      <c r="R21" s="48"/>
      <c r="S21" s="48"/>
      <c r="T21" s="48"/>
      <c r="U21" s="48"/>
      <c r="V21" s="48"/>
      <c r="W21" s="48"/>
      <c r="X21" s="48"/>
      <c r="Y21" s="48"/>
      <c r="Z21" s="48"/>
      <c r="AA21" s="48"/>
      <c r="AB21" s="48"/>
      <c r="AC21" s="48"/>
    </row>
    <row r="22" spans="1:29" ht="15.75" customHeight="1">
      <c r="A22" s="307">
        <v>12</v>
      </c>
      <c r="B22" s="307" t="s">
        <v>147</v>
      </c>
      <c r="C22" s="307" t="s">
        <v>148</v>
      </c>
      <c r="D22" s="308">
        <v>28170</v>
      </c>
      <c r="E22" s="48" t="s">
        <v>913</v>
      </c>
      <c r="F22" s="105">
        <v>3</v>
      </c>
      <c r="G22" s="49">
        <v>1</v>
      </c>
      <c r="H22" s="105">
        <v>1</v>
      </c>
      <c r="I22" s="48">
        <v>0</v>
      </c>
      <c r="J22" s="48">
        <v>0</v>
      </c>
      <c r="K22" s="105" t="str">
        <f>HYPERLINK("https://www.washingtonpost.com/archive/politics/1977/02/15/vengeful-nazi-follower-kills-5-commits-suicide/3ff6cfb8-81bf-4620-b90b-20962fb17232/","1")</f>
        <v>1</v>
      </c>
      <c r="L22" s="105"/>
      <c r="M22" s="48"/>
      <c r="N22" s="48"/>
      <c r="O22" s="48"/>
      <c r="P22" s="48"/>
      <c r="Q22" s="48">
        <v>1</v>
      </c>
      <c r="R22" s="48"/>
      <c r="S22" s="48"/>
      <c r="T22" s="48"/>
      <c r="U22" s="48"/>
      <c r="V22" s="48"/>
      <c r="W22" s="48"/>
      <c r="X22" s="48"/>
      <c r="Y22" s="48"/>
      <c r="Z22" s="48"/>
      <c r="AA22" s="48"/>
      <c r="AB22" s="48"/>
      <c r="AC22" s="48"/>
    </row>
    <row r="23" spans="1:29" ht="15.75" customHeight="1">
      <c r="A23" s="307">
        <v>12</v>
      </c>
      <c r="B23" s="307" t="s">
        <v>147</v>
      </c>
      <c r="C23" s="307" t="s">
        <v>148</v>
      </c>
      <c r="D23" s="308">
        <v>28170</v>
      </c>
      <c r="E23" s="48" t="s">
        <v>876</v>
      </c>
      <c r="F23" s="105">
        <v>0</v>
      </c>
      <c r="G23" s="49">
        <v>2</v>
      </c>
      <c r="H23" s="105">
        <v>2</v>
      </c>
      <c r="I23" s="48">
        <v>0</v>
      </c>
      <c r="J23" s="48">
        <v>0</v>
      </c>
      <c r="K23" s="105">
        <v>1</v>
      </c>
      <c r="L23" s="48">
        <v>0</v>
      </c>
      <c r="M23" s="105">
        <v>5</v>
      </c>
      <c r="N23" s="48">
        <v>0</v>
      </c>
      <c r="O23" s="48">
        <v>0</v>
      </c>
      <c r="P23" s="48">
        <v>0</v>
      </c>
      <c r="Q23" s="48">
        <v>0</v>
      </c>
      <c r="R23" s="48"/>
      <c r="S23" s="48"/>
      <c r="T23" s="48"/>
      <c r="U23" s="48"/>
      <c r="V23" s="48"/>
      <c r="W23" s="48"/>
      <c r="X23" s="48"/>
      <c r="Y23" s="48"/>
      <c r="Z23" s="48"/>
      <c r="AA23" s="48"/>
      <c r="AB23" s="48"/>
      <c r="AC23" s="48"/>
    </row>
    <row r="24" spans="1:29" ht="15.75" customHeight="1">
      <c r="A24" s="307">
        <v>12</v>
      </c>
      <c r="B24" s="307" t="s">
        <v>147</v>
      </c>
      <c r="C24" s="307" t="s">
        <v>148</v>
      </c>
      <c r="D24" s="308">
        <v>28170</v>
      </c>
      <c r="E24" s="48" t="s">
        <v>876</v>
      </c>
      <c r="F24" s="105">
        <v>0</v>
      </c>
      <c r="G24" s="49">
        <v>2</v>
      </c>
      <c r="H24" s="105">
        <v>0</v>
      </c>
      <c r="I24" s="48">
        <v>0</v>
      </c>
      <c r="J24" s="48">
        <v>0</v>
      </c>
      <c r="K24" s="105">
        <v>1</v>
      </c>
      <c r="L24" s="48">
        <v>0</v>
      </c>
      <c r="M24" s="105">
        <v>5</v>
      </c>
      <c r="N24" s="48">
        <v>0</v>
      </c>
      <c r="O24" s="48">
        <v>0</v>
      </c>
      <c r="P24" s="48">
        <v>0</v>
      </c>
      <c r="Q24" s="48">
        <v>0</v>
      </c>
      <c r="R24" s="48"/>
      <c r="S24" s="48"/>
      <c r="T24" s="48"/>
      <c r="U24" s="48"/>
      <c r="V24" s="48"/>
      <c r="W24" s="48"/>
      <c r="X24" s="48"/>
      <c r="Y24" s="48"/>
      <c r="Z24" s="48"/>
      <c r="AA24" s="48"/>
      <c r="AB24" s="48"/>
      <c r="AC24" s="48"/>
    </row>
    <row r="25" spans="1:29" ht="15.75" customHeight="1">
      <c r="A25" s="307">
        <v>12</v>
      </c>
      <c r="B25" s="307" t="s">
        <v>147</v>
      </c>
      <c r="C25" s="307" t="s">
        <v>148</v>
      </c>
      <c r="D25" s="308">
        <v>28170</v>
      </c>
      <c r="E25" s="48" t="s">
        <v>839</v>
      </c>
      <c r="F25" s="105" t="str">
        <f t="shared" ref="F25:F26" si="7">HYPERLINK("http://www.nytimes.com/1977/02/15/archives/nazi-admirer-also-wounds-5-in-wild-attack-followed-by-a-siege-at.html","0")</f>
        <v>0</v>
      </c>
      <c r="G25" s="49"/>
      <c r="H25" s="105">
        <v>0</v>
      </c>
      <c r="I25" s="48">
        <v>0</v>
      </c>
      <c r="J25" s="48">
        <v>0</v>
      </c>
      <c r="K25" s="105">
        <v>1</v>
      </c>
      <c r="L25" s="48">
        <v>0</v>
      </c>
      <c r="M25" s="105">
        <v>5</v>
      </c>
      <c r="N25" s="48">
        <v>0</v>
      </c>
      <c r="O25" s="48">
        <v>0</v>
      </c>
      <c r="P25" s="48">
        <v>0</v>
      </c>
      <c r="Q25" s="48">
        <v>0</v>
      </c>
      <c r="R25" s="48"/>
      <c r="S25" s="48"/>
      <c r="T25" s="48"/>
      <c r="U25" s="48"/>
      <c r="V25" s="48"/>
      <c r="W25" s="48"/>
      <c r="X25" s="48"/>
      <c r="Y25" s="48"/>
      <c r="Z25" s="48"/>
      <c r="AA25" s="48"/>
      <c r="AB25" s="48"/>
      <c r="AC25" s="48"/>
    </row>
    <row r="26" spans="1:29" ht="15.75" customHeight="1">
      <c r="A26" s="307">
        <v>12</v>
      </c>
      <c r="B26" s="307" t="s">
        <v>147</v>
      </c>
      <c r="C26" s="307" t="s">
        <v>148</v>
      </c>
      <c r="D26" s="308">
        <v>28170</v>
      </c>
      <c r="E26" s="48" t="s">
        <v>839</v>
      </c>
      <c r="F26" s="105" t="str">
        <f t="shared" si="7"/>
        <v>0</v>
      </c>
      <c r="G26" s="49"/>
      <c r="H26" s="105">
        <v>0</v>
      </c>
      <c r="I26" s="48">
        <v>0</v>
      </c>
      <c r="J26" s="48">
        <v>0</v>
      </c>
      <c r="K26" s="105">
        <v>1</v>
      </c>
      <c r="L26" s="48">
        <v>0</v>
      </c>
      <c r="M26" s="105">
        <v>5</v>
      </c>
      <c r="N26" s="48">
        <v>0</v>
      </c>
      <c r="O26" s="48">
        <v>0</v>
      </c>
      <c r="P26" s="48">
        <v>0</v>
      </c>
      <c r="Q26" s="48">
        <v>0</v>
      </c>
      <c r="R26" s="48"/>
      <c r="S26" s="48"/>
      <c r="T26" s="48"/>
      <c r="U26" s="48"/>
      <c r="V26" s="48"/>
      <c r="W26" s="48"/>
      <c r="X26" s="48"/>
      <c r="Y26" s="48"/>
      <c r="Z26" s="48"/>
      <c r="AA26" s="48"/>
      <c r="AB26" s="48"/>
      <c r="AC26" s="48"/>
    </row>
    <row r="27" spans="1:29" ht="15.75" customHeight="1">
      <c r="A27" s="309">
        <v>13</v>
      </c>
      <c r="B27" s="309" t="s">
        <v>151</v>
      </c>
      <c r="C27" s="309" t="s">
        <v>152</v>
      </c>
      <c r="D27" s="310">
        <v>28329</v>
      </c>
      <c r="E27" s="48" t="s">
        <v>914</v>
      </c>
      <c r="F27" s="105" t="str">
        <f>HYPERLINK("https://books.google.com/books?id=sdd3ihupC_AC&amp;pg=PA102&amp;lpg=PA102&amp;dq=dewitt+henry+Oregon&amp;source=bl&amp;ots=z5RZDR5AY0&amp;sig=fkhOTQ4bBGZ_KfVqm4tp6TfvhBU&amp;hl=en&amp;sa=X&amp;ved=0ahUKEwj05J7qyZvZAhVKIqwKHRZADU44ChDoAQhZMA8#v=onepage&amp;q=dewitt%20henry%20Oregon&amp;f=false","3")</f>
        <v>3</v>
      </c>
      <c r="G27" s="49">
        <v>2</v>
      </c>
      <c r="H27" s="105" t="str">
        <f>HYPERLINK("https://books.google.com/books?id=sdd3ihupC_AC&amp;pg=PA102&amp;lpg=PA102&amp;dq=dewitt+henry+Oregon&amp;source=bl&amp;ots=z5RZDR5AY0&amp;sig=fkhOTQ4bBGZ_KfVqm4tp6TfvhBU&amp;hl=en&amp;sa=X&amp;ved=0ahUKEwj05J7qyZvZAhVKIqwKHRZADU44ChDoAQhZMA8#v=onepage&amp;q=dewitt%20henry%20Oregon&amp;f=false","1")</f>
        <v>1</v>
      </c>
      <c r="I27" s="48">
        <v>0</v>
      </c>
      <c r="J27" s="48">
        <v>0</v>
      </c>
      <c r="K27" s="48"/>
      <c r="L27" s="48"/>
      <c r="M27" s="48"/>
      <c r="N27" s="48"/>
      <c r="O27" s="48"/>
      <c r="P27" s="48"/>
      <c r="Q27" s="48">
        <v>1</v>
      </c>
      <c r="R27" s="48"/>
      <c r="S27" s="48"/>
      <c r="T27" s="48"/>
      <c r="U27" s="48"/>
      <c r="V27" s="48"/>
      <c r="W27" s="48"/>
      <c r="X27" s="48"/>
      <c r="Y27" s="48"/>
      <c r="Z27" s="48"/>
      <c r="AA27" s="48"/>
      <c r="AB27" s="48"/>
      <c r="AC27" s="48"/>
    </row>
    <row r="28" spans="1:29" ht="15.75" customHeight="1">
      <c r="A28" s="311">
        <v>14</v>
      </c>
      <c r="B28" s="311" t="s">
        <v>155</v>
      </c>
      <c r="C28" s="311" t="s">
        <v>156</v>
      </c>
      <c r="D28" s="312">
        <v>28363</v>
      </c>
      <c r="E28" s="48" t="s">
        <v>915</v>
      </c>
      <c r="F28" s="105">
        <v>2</v>
      </c>
      <c r="G28" s="49">
        <v>2</v>
      </c>
      <c r="H28" s="105" t="str">
        <f>HYPERLINK("https://www.nytimes.com/1977/08/29/archives/quarrels-at-home-cited-as-cause-in-jersey-shootings.html","1")</f>
        <v>1</v>
      </c>
      <c r="I28" s="48">
        <v>0</v>
      </c>
      <c r="J28" s="48">
        <v>0</v>
      </c>
      <c r="K28" s="48"/>
      <c r="L28" s="48">
        <v>0</v>
      </c>
      <c r="M28" s="105">
        <v>5</v>
      </c>
      <c r="N28" s="48">
        <v>0</v>
      </c>
      <c r="O28" s="48">
        <v>0</v>
      </c>
      <c r="P28" s="105">
        <v>0</v>
      </c>
      <c r="Q28" s="48">
        <v>0</v>
      </c>
      <c r="R28" s="48"/>
      <c r="S28" s="48"/>
      <c r="T28" s="48"/>
      <c r="U28" s="48"/>
      <c r="V28" s="48"/>
      <c r="W28" s="48"/>
      <c r="X28" s="48"/>
      <c r="Y28" s="48"/>
      <c r="Z28" s="48"/>
      <c r="AA28" s="48"/>
      <c r="AB28" s="48"/>
      <c r="AC28" s="48"/>
    </row>
    <row r="29" spans="1:29" ht="15.75" customHeight="1">
      <c r="A29" s="313">
        <v>15</v>
      </c>
      <c r="B29" s="313" t="s">
        <v>159</v>
      </c>
      <c r="C29" s="313" t="s">
        <v>160</v>
      </c>
      <c r="D29" s="314">
        <v>28658</v>
      </c>
      <c r="E29" s="48" t="s">
        <v>916</v>
      </c>
      <c r="F29" s="105" t="str">
        <f>HYPERLINK("https://www.upi.com/Archives/1987/09/02/Former-cook-convicted-in-restaurant-massacre/2502557553600/","2")</f>
        <v>2</v>
      </c>
      <c r="G29" s="49">
        <v>2</v>
      </c>
      <c r="H29" s="105" t="str">
        <f>HYPERLINK("https://www.providencejournal.com/news/20180707/40-years-ago-his-mother-was-killed-by-gunman-in-warwick-restaurant-now-every-mass-shooting-takes-him-back-to-1978","1")</f>
        <v>1</v>
      </c>
      <c r="I29" s="48">
        <v>0</v>
      </c>
      <c r="J29" s="48">
        <v>0</v>
      </c>
      <c r="K29" s="105" t="str">
        <f>HYPERLINK("https://www.providencejournal.com/news/20180707/40-years-ago-his-mother-was-killed-by-gunman-in-warwick-restaurant-now-every-mass-shooting-takes-him-back-to-1978","0")</f>
        <v>0</v>
      </c>
      <c r="L29" s="105" t="str">
        <f>HYPERLINK("https://www.providencejournal.com/news/20180707/40-years-ago-his-mother-was-killed-by-gunman-in-warwick-restaurant-now-every-mass-shooting-takes-him-back-to-1978","1")</f>
        <v>1</v>
      </c>
      <c r="M29" s="48">
        <v>0</v>
      </c>
      <c r="N29" s="48">
        <v>0</v>
      </c>
      <c r="O29" s="48">
        <v>0</v>
      </c>
      <c r="P29" s="48">
        <v>0</v>
      </c>
      <c r="Q29" s="48">
        <v>0</v>
      </c>
      <c r="R29" s="48"/>
      <c r="S29" s="48"/>
      <c r="T29" s="48"/>
      <c r="U29" s="48"/>
      <c r="V29" s="48"/>
      <c r="W29" s="48"/>
      <c r="X29" s="48"/>
      <c r="Y29" s="48"/>
      <c r="Z29" s="48"/>
      <c r="AA29" s="48"/>
      <c r="AB29" s="48"/>
      <c r="AC29" s="48"/>
    </row>
    <row r="30" spans="1:29" ht="15.75" customHeight="1">
      <c r="A30" s="305">
        <v>16</v>
      </c>
      <c r="B30" s="305" t="s">
        <v>163</v>
      </c>
      <c r="C30" s="305" t="s">
        <v>164</v>
      </c>
      <c r="D30" s="306">
        <v>29254</v>
      </c>
      <c r="E30" s="48" t="s">
        <v>822</v>
      </c>
      <c r="F30" s="105">
        <v>2</v>
      </c>
      <c r="G30" s="49">
        <v>0</v>
      </c>
      <c r="H30" s="105" t="str">
        <f>HYPERLINK("http://fultonhistory.com/Newspaper%2011/Geneva%20NY%20Finger%20Lake%20Times/Geneva%20NY%20Finger%20Lake%20Times%201980%20Feb%201980/Geneva%20NY%20Finger%20Lake%20Times%201980%20Feb%201980%20-%200064.pdf","1")</f>
        <v>1</v>
      </c>
      <c r="I30" s="48">
        <v>0</v>
      </c>
      <c r="J30" s="48">
        <v>0</v>
      </c>
      <c r="K30" s="48"/>
      <c r="L30" s="48"/>
      <c r="M30" s="48"/>
      <c r="N30" s="48"/>
      <c r="O30" s="48"/>
      <c r="P30" s="48"/>
      <c r="Q30" s="48">
        <v>1</v>
      </c>
      <c r="R30" s="48"/>
      <c r="S30" s="48"/>
      <c r="T30" s="48"/>
      <c r="U30" s="48"/>
      <c r="V30" s="48"/>
      <c r="W30" s="48"/>
      <c r="X30" s="48"/>
      <c r="Y30" s="48"/>
      <c r="Z30" s="48"/>
      <c r="AA30" s="48"/>
      <c r="AB30" s="48"/>
      <c r="AC30" s="48"/>
    </row>
    <row r="31" spans="1:29" ht="15.75" customHeight="1">
      <c r="A31" s="307">
        <v>17</v>
      </c>
      <c r="B31" s="307" t="s">
        <v>167</v>
      </c>
      <c r="C31" s="307" t="s">
        <v>168</v>
      </c>
      <c r="D31" s="308">
        <v>29394</v>
      </c>
      <c r="E31" s="48" t="s">
        <v>917</v>
      </c>
      <c r="F31" s="105">
        <v>3</v>
      </c>
      <c r="G31" s="49">
        <v>2</v>
      </c>
      <c r="H31" s="48">
        <v>0</v>
      </c>
      <c r="I31" s="105" t="str">
        <f t="shared" ref="I31:I32" si="8">HYPERLINK("https://books.google.com/books?id=zSwEAAAAMBAJ&amp;pg=PA140#v=onepage&amp;q&amp;f=false","1")</f>
        <v>1</v>
      </c>
      <c r="J31" s="105">
        <v>0</v>
      </c>
      <c r="K31" s="48">
        <v>1</v>
      </c>
      <c r="L31" s="48"/>
      <c r="M31" s="105"/>
      <c r="N31" s="48"/>
      <c r="O31" s="48"/>
      <c r="P31" s="48"/>
      <c r="Q31" s="48">
        <v>1</v>
      </c>
      <c r="R31" s="48"/>
      <c r="S31" s="48"/>
      <c r="T31" s="48"/>
      <c r="U31" s="48"/>
      <c r="V31" s="48"/>
      <c r="W31" s="48"/>
      <c r="X31" s="48"/>
      <c r="Y31" s="48"/>
      <c r="Z31" s="48"/>
      <c r="AA31" s="48"/>
      <c r="AB31" s="48"/>
      <c r="AC31" s="48"/>
    </row>
    <row r="32" spans="1:29" ht="15.75" customHeight="1">
      <c r="A32" s="307">
        <v>17</v>
      </c>
      <c r="B32" s="307" t="s">
        <v>167</v>
      </c>
      <c r="C32" s="307" t="s">
        <v>168</v>
      </c>
      <c r="D32" s="308">
        <v>29394</v>
      </c>
      <c r="E32" s="48" t="s">
        <v>918</v>
      </c>
      <c r="F32" s="105">
        <v>2</v>
      </c>
      <c r="G32" s="49">
        <v>2</v>
      </c>
      <c r="H32" s="105" t="str">
        <f t="shared" ref="H32:H33" si="9">HYPERLINK("https://books.google.com/books?id=zSwEAAAAMBAJ&amp;pg=PA140#v=onepage&amp;q&amp;f=false","1")</f>
        <v>1</v>
      </c>
      <c r="I32" s="105" t="str">
        <f t="shared" si="8"/>
        <v>1</v>
      </c>
      <c r="J32" s="105">
        <v>0</v>
      </c>
      <c r="K32" s="48">
        <v>1</v>
      </c>
      <c r="L32" s="105"/>
      <c r="M32" s="48"/>
      <c r="N32" s="48"/>
      <c r="O32" s="48"/>
      <c r="P32" s="48"/>
      <c r="Q32" s="48">
        <v>1</v>
      </c>
      <c r="R32" s="48"/>
      <c r="S32" s="48"/>
      <c r="T32" s="48"/>
      <c r="U32" s="48"/>
      <c r="V32" s="48"/>
      <c r="W32" s="48"/>
      <c r="X32" s="48"/>
      <c r="Y32" s="48"/>
      <c r="Z32" s="48"/>
      <c r="AA32" s="48"/>
      <c r="AB32" s="48"/>
      <c r="AC32" s="48"/>
    </row>
    <row r="33" spans="1:29" ht="15.75" customHeight="1">
      <c r="A33" s="307">
        <v>17</v>
      </c>
      <c r="B33" s="307" t="s">
        <v>167</v>
      </c>
      <c r="C33" s="307" t="s">
        <v>168</v>
      </c>
      <c r="D33" s="308">
        <v>29394</v>
      </c>
      <c r="E33" s="48" t="s">
        <v>827</v>
      </c>
      <c r="F33" s="105" t="str">
        <f t="shared" ref="F33:F34" si="10">HYPERLINK("http://content.time.com/time/magazine/article/0,9171,952699,00.html","0")</f>
        <v>0</v>
      </c>
      <c r="G33" s="49">
        <v>1</v>
      </c>
      <c r="H33" s="105" t="str">
        <f t="shared" si="9"/>
        <v>1</v>
      </c>
      <c r="I33" s="105">
        <v>0</v>
      </c>
      <c r="J33" s="48">
        <v>0</v>
      </c>
      <c r="K33" s="48">
        <v>1</v>
      </c>
      <c r="L33" s="105">
        <v>3</v>
      </c>
      <c r="M33" s="48">
        <v>0</v>
      </c>
      <c r="N33" s="48">
        <v>0</v>
      </c>
      <c r="O33" s="48">
        <v>0</v>
      </c>
      <c r="P33" s="48">
        <v>0</v>
      </c>
      <c r="Q33" s="48">
        <v>0</v>
      </c>
      <c r="R33" s="48"/>
      <c r="S33" s="48"/>
      <c r="T33" s="48"/>
      <c r="U33" s="48"/>
      <c r="V33" s="48"/>
      <c r="W33" s="48"/>
      <c r="X33" s="48"/>
      <c r="Y33" s="48"/>
      <c r="Z33" s="48"/>
      <c r="AA33" s="48"/>
      <c r="AB33" s="48"/>
      <c r="AC33" s="48"/>
    </row>
    <row r="34" spans="1:29" ht="15.75" customHeight="1">
      <c r="A34" s="307">
        <v>17</v>
      </c>
      <c r="B34" s="307" t="s">
        <v>167</v>
      </c>
      <c r="C34" s="307" t="s">
        <v>168</v>
      </c>
      <c r="D34" s="308">
        <v>29394</v>
      </c>
      <c r="E34" s="48" t="s">
        <v>919</v>
      </c>
      <c r="F34" s="105" t="str">
        <f t="shared" si="10"/>
        <v>0</v>
      </c>
      <c r="G34" s="49">
        <v>0</v>
      </c>
      <c r="H34" s="105">
        <v>2</v>
      </c>
      <c r="I34" s="105">
        <v>0</v>
      </c>
      <c r="J34" s="48">
        <v>0</v>
      </c>
      <c r="K34" s="48">
        <v>1</v>
      </c>
      <c r="L34" s="105">
        <v>3</v>
      </c>
      <c r="M34" s="48">
        <v>0</v>
      </c>
      <c r="N34" s="48">
        <v>0</v>
      </c>
      <c r="O34" s="48">
        <v>0</v>
      </c>
      <c r="P34" s="48">
        <v>0</v>
      </c>
      <c r="Q34" s="48">
        <v>0</v>
      </c>
      <c r="R34" s="48"/>
      <c r="S34" s="48"/>
      <c r="T34" s="48"/>
      <c r="U34" s="48"/>
      <c r="V34" s="48"/>
      <c r="W34" s="48"/>
      <c r="X34" s="48"/>
      <c r="Y34" s="48"/>
      <c r="Z34" s="48"/>
      <c r="AA34" s="48"/>
      <c r="AB34" s="48"/>
      <c r="AC34" s="48"/>
    </row>
    <row r="35" spans="1:29" ht="15.75" customHeight="1">
      <c r="A35" s="309">
        <v>18</v>
      </c>
      <c r="B35" s="309" t="s">
        <v>172</v>
      </c>
      <c r="C35" s="309" t="s">
        <v>173</v>
      </c>
      <c r="D35" s="310">
        <v>29423</v>
      </c>
      <c r="E35" s="48" t="s">
        <v>823</v>
      </c>
      <c r="F35" s="105" t="str">
        <f>HYPERLINK("https://news.google.com/newspapers?nid=2002&amp;dat=19870812&amp;id=P1QuAAAAIBAJ&amp;sjid=LdoFAAAAIBAJ&amp;pg=966,2114218","2")</f>
        <v>2</v>
      </c>
      <c r="G35" s="49">
        <v>2</v>
      </c>
      <c r="H35" s="105" t="str">
        <f>HYPERLINK("https://news.google.com/newspapers?nid=2002&amp;dat=19870812&amp;id=P1QuAAAAIBAJ&amp;sjid=LdoFAAAAIBAJ&amp;pg=966,2114218","1")</f>
        <v>1</v>
      </c>
      <c r="I35" s="105">
        <v>0</v>
      </c>
      <c r="J35" s="48">
        <v>0</v>
      </c>
      <c r="K35" s="48"/>
      <c r="L35" s="48"/>
      <c r="M35" s="48"/>
      <c r="N35" s="48"/>
      <c r="O35" s="48"/>
      <c r="P35" s="48"/>
      <c r="Q35" s="48">
        <v>1</v>
      </c>
      <c r="R35" s="48"/>
      <c r="S35" s="48"/>
      <c r="T35" s="48"/>
      <c r="U35" s="48"/>
      <c r="V35" s="48"/>
      <c r="W35" s="48"/>
      <c r="X35" s="48"/>
      <c r="Y35" s="48"/>
      <c r="Z35" s="48"/>
      <c r="AA35" s="48"/>
      <c r="AB35" s="48"/>
      <c r="AC35" s="48"/>
    </row>
    <row r="36" spans="1:29" ht="15.75" customHeight="1">
      <c r="A36" s="311">
        <v>19</v>
      </c>
      <c r="B36" s="311" t="s">
        <v>176</v>
      </c>
      <c r="C36" s="311" t="s">
        <v>177</v>
      </c>
      <c r="D36" s="312">
        <v>29713</v>
      </c>
      <c r="E36" s="48" t="s">
        <v>825</v>
      </c>
      <c r="F36" s="105" t="str">
        <f>HYPERLINK("https://www.nytimes.com/1981/05/09/us/four-slain-and-20-wounded-in-bar-as-oregon-man-shoots-into-crowd.html","0")</f>
        <v>0</v>
      </c>
      <c r="G36" s="49">
        <v>1</v>
      </c>
      <c r="H36" s="105" t="str">
        <f>HYPERLINK("https://www.nytimes.com/1981/05/09/us/four-slain-and-20-wounded-in-bar-as-oregon-man-shoots-into-crowd.html","1")</f>
        <v>1</v>
      </c>
      <c r="I36" s="105">
        <v>0</v>
      </c>
      <c r="J36" s="48">
        <v>0</v>
      </c>
      <c r="K36" s="48"/>
      <c r="L36" s="48"/>
      <c r="M36" s="48"/>
      <c r="N36" s="48"/>
      <c r="O36" s="48"/>
      <c r="P36" s="48"/>
      <c r="Q36" s="48">
        <v>1</v>
      </c>
      <c r="R36" s="48"/>
      <c r="S36" s="48"/>
      <c r="T36" s="48"/>
      <c r="U36" s="48"/>
      <c r="V36" s="48"/>
      <c r="W36" s="48"/>
      <c r="X36" s="48"/>
      <c r="Y36" s="48"/>
      <c r="Z36" s="48"/>
      <c r="AA36" s="48"/>
      <c r="AB36" s="48"/>
      <c r="AC36" s="48"/>
    </row>
    <row r="37" spans="1:29" ht="15.75" customHeight="1">
      <c r="A37" s="313">
        <v>20</v>
      </c>
      <c r="B37" s="313" t="s">
        <v>181</v>
      </c>
      <c r="C37" s="313" t="s">
        <v>182</v>
      </c>
      <c r="D37" s="314">
        <v>29875</v>
      </c>
      <c r="E37" s="48" t="s">
        <v>826</v>
      </c>
      <c r="F37" s="105">
        <v>3</v>
      </c>
      <c r="G37" s="49">
        <v>2</v>
      </c>
      <c r="H37" s="105" t="str">
        <f>HYPERLINK("https://law.justia.com/cases/kentucky/supreme-court/1986/712-s-w-2d-932-1.html","1")</f>
        <v>1</v>
      </c>
      <c r="I37" s="105">
        <v>0</v>
      </c>
      <c r="J37" s="48">
        <v>0</v>
      </c>
      <c r="K37" s="48"/>
      <c r="L37" s="48"/>
      <c r="M37" s="48"/>
      <c r="N37" s="48"/>
      <c r="O37" s="48"/>
      <c r="P37" s="48"/>
      <c r="Q37" s="48">
        <v>1</v>
      </c>
      <c r="R37" s="48"/>
      <c r="S37" s="48"/>
      <c r="T37" s="48"/>
      <c r="U37" s="48"/>
      <c r="V37" s="48"/>
      <c r="W37" s="48"/>
      <c r="X37" s="48"/>
      <c r="Y37" s="48"/>
      <c r="Z37" s="48"/>
      <c r="AA37" s="48"/>
      <c r="AB37" s="48"/>
      <c r="AC37" s="48"/>
    </row>
    <row r="38" spans="1:29" ht="15.75" customHeight="1">
      <c r="A38" s="305">
        <v>21</v>
      </c>
      <c r="B38" s="305" t="s">
        <v>186</v>
      </c>
      <c r="C38" s="305" t="s">
        <v>94</v>
      </c>
      <c r="D38" s="306">
        <v>30074</v>
      </c>
      <c r="E38" s="48" t="s">
        <v>827</v>
      </c>
      <c r="F38" s="105">
        <v>0</v>
      </c>
      <c r="G38" s="49">
        <v>1</v>
      </c>
      <c r="H38" s="315">
        <v>1</v>
      </c>
      <c r="I38" s="105">
        <v>0</v>
      </c>
      <c r="J38" s="48">
        <v>0</v>
      </c>
      <c r="K38" s="315">
        <v>0</v>
      </c>
      <c r="L38" s="105">
        <v>2</v>
      </c>
      <c r="M38" s="48">
        <v>0</v>
      </c>
      <c r="N38" s="48">
        <v>0</v>
      </c>
      <c r="O38" s="48">
        <v>0</v>
      </c>
      <c r="P38" s="48">
        <v>0</v>
      </c>
      <c r="Q38" s="48">
        <v>0</v>
      </c>
      <c r="R38" s="48"/>
      <c r="S38" s="48"/>
      <c r="T38" s="48"/>
      <c r="U38" s="48"/>
      <c r="V38" s="48"/>
      <c r="W38" s="48"/>
      <c r="X38" s="48"/>
      <c r="Y38" s="48"/>
      <c r="Z38" s="48"/>
      <c r="AA38" s="48"/>
      <c r="AB38" s="48"/>
      <c r="AC38" s="48"/>
    </row>
    <row r="39" spans="1:29" ht="15.75" customHeight="1">
      <c r="A39" s="307">
        <v>22</v>
      </c>
      <c r="B39" s="307" t="s">
        <v>189</v>
      </c>
      <c r="C39" s="307" t="s">
        <v>190</v>
      </c>
      <c r="D39" s="308">
        <v>30172</v>
      </c>
      <c r="E39" s="48" t="s">
        <v>920</v>
      </c>
      <c r="F39" s="105">
        <v>2</v>
      </c>
      <c r="G39" s="49">
        <v>2</v>
      </c>
      <c r="H39" s="105">
        <v>1</v>
      </c>
      <c r="I39" s="105">
        <v>0</v>
      </c>
      <c r="J39" s="48">
        <v>0</v>
      </c>
      <c r="K39" s="48"/>
      <c r="L39" s="48"/>
      <c r="M39" s="48"/>
      <c r="N39" s="48"/>
      <c r="O39" s="48"/>
      <c r="P39" s="48"/>
      <c r="Q39" s="48">
        <v>1</v>
      </c>
      <c r="R39" s="48"/>
      <c r="S39" s="48"/>
      <c r="T39" s="48"/>
      <c r="U39" s="48"/>
      <c r="V39" s="48"/>
      <c r="W39" s="48"/>
      <c r="X39" s="48"/>
      <c r="Y39" s="48"/>
      <c r="Z39" s="48"/>
      <c r="AA39" s="48"/>
      <c r="AB39" s="48"/>
      <c r="AC39" s="48"/>
    </row>
    <row r="40" spans="1:29" ht="15.75" customHeight="1">
      <c r="A40" s="307">
        <v>22</v>
      </c>
      <c r="B40" s="307" t="s">
        <v>189</v>
      </c>
      <c r="C40" s="307" t="s">
        <v>190</v>
      </c>
      <c r="D40" s="308">
        <v>30172</v>
      </c>
      <c r="E40" s="48" t="s">
        <v>921</v>
      </c>
      <c r="F40" s="105" t="str">
        <f t="shared" ref="F40:F41" si="11">HYPERLINK("https://news.google.com/newspapers?id=KEslAAAAIBAJ&amp;sjid=B-QFAAAAIBAJ&amp;pg=5809,8230898","0")</f>
        <v>0</v>
      </c>
      <c r="G40" s="49">
        <v>0</v>
      </c>
      <c r="H40" s="105">
        <v>1</v>
      </c>
      <c r="I40" s="105">
        <v>0</v>
      </c>
      <c r="J40" s="48">
        <v>0</v>
      </c>
      <c r="K40" s="48"/>
      <c r="L40" s="48"/>
      <c r="M40" s="48"/>
      <c r="N40" s="48"/>
      <c r="O40" s="48"/>
      <c r="P40" s="48"/>
      <c r="Q40" s="48">
        <v>1</v>
      </c>
      <c r="R40" s="48"/>
      <c r="S40" s="48"/>
      <c r="T40" s="48"/>
      <c r="U40" s="48"/>
      <c r="V40" s="48"/>
      <c r="W40" s="48"/>
      <c r="X40" s="48"/>
      <c r="Y40" s="48"/>
      <c r="Z40" s="48"/>
      <c r="AA40" s="48"/>
      <c r="AB40" s="48"/>
      <c r="AC40" s="48"/>
    </row>
    <row r="41" spans="1:29" ht="15.75" customHeight="1">
      <c r="A41" s="307">
        <v>22</v>
      </c>
      <c r="B41" s="307" t="s">
        <v>189</v>
      </c>
      <c r="C41" s="307" t="s">
        <v>190</v>
      </c>
      <c r="D41" s="308">
        <v>30172</v>
      </c>
      <c r="E41" s="48" t="s">
        <v>830</v>
      </c>
      <c r="F41" s="105" t="str">
        <f t="shared" si="11"/>
        <v>0</v>
      </c>
      <c r="G41" s="49">
        <v>1</v>
      </c>
      <c r="H41" s="105">
        <v>1</v>
      </c>
      <c r="I41" s="105">
        <v>0</v>
      </c>
      <c r="J41" s="48" t="s">
        <v>100</v>
      </c>
      <c r="K41" s="48"/>
      <c r="L41" s="48"/>
      <c r="M41" s="48"/>
      <c r="N41" s="48"/>
      <c r="O41" s="48"/>
      <c r="P41" s="48"/>
      <c r="Q41" s="48">
        <v>1</v>
      </c>
      <c r="R41" s="48"/>
      <c r="S41" s="48"/>
      <c r="T41" s="48"/>
      <c r="U41" s="48"/>
      <c r="V41" s="48"/>
      <c r="W41" s="48"/>
      <c r="X41" s="48"/>
      <c r="Y41" s="48"/>
      <c r="Z41" s="48"/>
      <c r="AA41" s="48"/>
      <c r="AB41" s="48"/>
      <c r="AC41" s="48"/>
    </row>
    <row r="42" spans="1:29" ht="15.75" customHeight="1">
      <c r="A42" s="309">
        <v>23</v>
      </c>
      <c r="B42" s="309" t="s">
        <v>193</v>
      </c>
      <c r="C42" s="309" t="s">
        <v>194</v>
      </c>
      <c r="D42" s="310">
        <v>30183</v>
      </c>
      <c r="E42" s="48" t="s">
        <v>922</v>
      </c>
      <c r="F42" s="105">
        <v>1</v>
      </c>
      <c r="G42" s="49">
        <v>2</v>
      </c>
      <c r="H42" s="105" t="str">
        <f>HYPERLINK("https://www.nytimes.com/1982/08/24/us/no-charges-planned-against-miami-man-who-shot-gunman.html","1")</f>
        <v>1</v>
      </c>
      <c r="I42" s="105">
        <v>0</v>
      </c>
      <c r="J42" s="48" t="s">
        <v>100</v>
      </c>
      <c r="K42" s="105" t="str">
        <f>HYPERLINK("https://www.nytimes.com/1982/08/24/us/no-charges-planned-against-miami-man-who-shot-gunman.html","0")</f>
        <v>0</v>
      </c>
      <c r="L42" s="105">
        <v>1</v>
      </c>
      <c r="M42" s="48">
        <v>0</v>
      </c>
      <c r="N42" s="48">
        <v>0</v>
      </c>
      <c r="O42" s="48">
        <v>0</v>
      </c>
      <c r="P42" s="48">
        <v>0</v>
      </c>
      <c r="Q42" s="48">
        <v>0</v>
      </c>
      <c r="R42" s="48"/>
      <c r="S42" s="48"/>
      <c r="T42" s="48"/>
      <c r="U42" s="48"/>
      <c r="V42" s="48"/>
      <c r="W42" s="48"/>
      <c r="X42" s="48"/>
      <c r="Y42" s="48"/>
      <c r="Z42" s="48"/>
      <c r="AA42" s="48"/>
      <c r="AB42" s="48"/>
      <c r="AC42" s="48"/>
    </row>
    <row r="43" spans="1:29" ht="15.75" customHeight="1">
      <c r="A43" s="311">
        <v>24</v>
      </c>
      <c r="B43" s="311" t="s">
        <v>197</v>
      </c>
      <c r="C43" s="311" t="s">
        <v>198</v>
      </c>
      <c r="D43" s="312">
        <v>30350</v>
      </c>
      <c r="E43" s="48" t="s">
        <v>830</v>
      </c>
      <c r="F43" s="105" t="str">
        <f>HYPERLINK("https://www.nytimes.com/1983/02/04/nyregion/gunman-kills-four-and-wounds-a-fifth-at-a-west-side-hotel.html","0")</f>
        <v>0</v>
      </c>
      <c r="G43" s="49">
        <v>1</v>
      </c>
      <c r="H43" s="105" t="str">
        <f>HYPERLINK("https://www.nytimes.com/1983/02/04/nyregion/gunman-kills-four-and-wounds-a-fifth-at-a-west-side-hotel.html","1")</f>
        <v>1</v>
      </c>
      <c r="I43" s="105">
        <v>0</v>
      </c>
      <c r="J43" s="48" t="s">
        <v>100</v>
      </c>
      <c r="K43" s="48"/>
      <c r="L43" s="48">
        <v>0</v>
      </c>
      <c r="M43" s="105">
        <v>5</v>
      </c>
      <c r="N43" s="48">
        <v>0</v>
      </c>
      <c r="O43" s="48">
        <v>0</v>
      </c>
      <c r="P43" s="48">
        <v>0</v>
      </c>
      <c r="Q43" s="48">
        <v>0</v>
      </c>
      <c r="R43" s="48"/>
      <c r="S43" s="48"/>
      <c r="T43" s="48"/>
      <c r="U43" s="48"/>
      <c r="V43" s="48"/>
      <c r="W43" s="48"/>
      <c r="X43" s="48"/>
      <c r="Y43" s="48"/>
      <c r="Z43" s="48"/>
      <c r="AA43" s="48"/>
      <c r="AB43" s="48"/>
      <c r="AC43" s="48"/>
    </row>
    <row r="44" spans="1:29" ht="15.75" customHeight="1">
      <c r="A44" s="313">
        <v>25</v>
      </c>
      <c r="B44" s="313" t="s">
        <v>201</v>
      </c>
      <c r="C44" s="313" t="s">
        <v>202</v>
      </c>
      <c r="D44" s="314">
        <v>30376</v>
      </c>
      <c r="E44" s="48" t="s">
        <v>923</v>
      </c>
      <c r="F44" s="105">
        <v>3</v>
      </c>
      <c r="G44" s="49">
        <v>2</v>
      </c>
      <c r="H44" s="315">
        <v>1</v>
      </c>
      <c r="I44" s="105">
        <v>1</v>
      </c>
      <c r="J44" s="48">
        <v>0</v>
      </c>
      <c r="K44" s="48"/>
      <c r="L44" s="48"/>
      <c r="M44" s="48"/>
      <c r="N44" s="48"/>
      <c r="O44" s="48"/>
      <c r="P44" s="48"/>
      <c r="Q44" s="48">
        <v>1</v>
      </c>
      <c r="R44" s="48"/>
      <c r="S44" s="48"/>
      <c r="T44" s="48"/>
      <c r="U44" s="48"/>
      <c r="V44" s="48"/>
      <c r="W44" s="48"/>
      <c r="X44" s="48"/>
      <c r="Y44" s="48"/>
      <c r="Z44" s="48"/>
      <c r="AA44" s="48"/>
      <c r="AB44" s="48"/>
      <c r="AC44" s="48"/>
    </row>
    <row r="45" spans="1:29" ht="15.75" customHeight="1">
      <c r="A45" s="313">
        <v>25</v>
      </c>
      <c r="B45" s="313" t="s">
        <v>201</v>
      </c>
      <c r="C45" s="313" t="s">
        <v>202</v>
      </c>
      <c r="D45" s="314">
        <v>30376</v>
      </c>
      <c r="E45" s="48" t="s">
        <v>924</v>
      </c>
      <c r="F45" s="105">
        <v>0</v>
      </c>
      <c r="G45" s="49">
        <v>0</v>
      </c>
      <c r="H45" s="315">
        <v>1</v>
      </c>
      <c r="I45" s="105">
        <v>1</v>
      </c>
      <c r="J45" s="48">
        <v>0</v>
      </c>
      <c r="K45" s="48"/>
      <c r="L45" s="48"/>
      <c r="M45" s="48"/>
      <c r="N45" s="48"/>
      <c r="O45" s="48"/>
      <c r="P45" s="48"/>
      <c r="Q45" s="48">
        <v>1</v>
      </c>
      <c r="R45" s="48"/>
      <c r="S45" s="48"/>
      <c r="T45" s="48"/>
      <c r="U45" s="48"/>
      <c r="V45" s="48"/>
      <c r="W45" s="48"/>
      <c r="X45" s="48"/>
      <c r="Y45" s="48"/>
      <c r="Z45" s="48"/>
      <c r="AA45" s="48"/>
      <c r="AB45" s="48"/>
      <c r="AC45" s="48"/>
    </row>
    <row r="46" spans="1:29" ht="15.75" customHeight="1">
      <c r="A46" s="313">
        <v>25</v>
      </c>
      <c r="B46" s="313" t="s">
        <v>201</v>
      </c>
      <c r="C46" s="313" t="s">
        <v>202</v>
      </c>
      <c r="D46" s="314">
        <v>30376</v>
      </c>
      <c r="E46" s="48" t="s">
        <v>925</v>
      </c>
      <c r="F46" s="105">
        <v>0</v>
      </c>
      <c r="G46" s="49"/>
      <c r="H46" s="105">
        <v>1</v>
      </c>
      <c r="I46" s="105">
        <v>0</v>
      </c>
      <c r="J46" s="48">
        <v>0</v>
      </c>
      <c r="K46" s="48"/>
      <c r="L46" s="48"/>
      <c r="M46" s="48"/>
      <c r="N46" s="48"/>
      <c r="O46" s="48"/>
      <c r="P46" s="48"/>
      <c r="Q46" s="48">
        <v>1</v>
      </c>
      <c r="R46" s="48"/>
      <c r="S46" s="48"/>
      <c r="T46" s="48"/>
      <c r="U46" s="48"/>
      <c r="V46" s="48"/>
      <c r="W46" s="48"/>
      <c r="X46" s="48"/>
      <c r="Y46" s="48"/>
      <c r="Z46" s="48"/>
      <c r="AA46" s="48"/>
      <c r="AB46" s="48"/>
      <c r="AC46" s="48"/>
    </row>
    <row r="47" spans="1:29" ht="15.75" customHeight="1">
      <c r="A47" s="305">
        <v>26</v>
      </c>
      <c r="B47" s="305" t="s">
        <v>207</v>
      </c>
      <c r="C47" s="305" t="s">
        <v>208</v>
      </c>
      <c r="D47" s="306">
        <v>30600</v>
      </c>
      <c r="E47" s="48" t="s">
        <v>926</v>
      </c>
      <c r="F47" s="105" t="str">
        <f t="shared" ref="F47:F50" si="12">HYPERLINK("https://law.justia.com/cases/texas/court-of-criminal-appeals/1986/69268-4.html","0")</f>
        <v>0</v>
      </c>
      <c r="G47" s="49">
        <v>1</v>
      </c>
      <c r="H47" s="105">
        <v>1</v>
      </c>
      <c r="I47" s="105">
        <v>0</v>
      </c>
      <c r="J47" s="48" t="s">
        <v>100</v>
      </c>
      <c r="K47" s="105">
        <v>0</v>
      </c>
      <c r="L47" s="48">
        <v>0</v>
      </c>
      <c r="M47" s="48">
        <v>0</v>
      </c>
      <c r="N47" s="48">
        <v>0</v>
      </c>
      <c r="O47" s="48">
        <v>0</v>
      </c>
      <c r="P47" s="105">
        <v>2</v>
      </c>
      <c r="Q47" s="48">
        <v>0</v>
      </c>
      <c r="R47" s="48"/>
      <c r="S47" s="48"/>
      <c r="T47" s="48"/>
      <c r="U47" s="48"/>
      <c r="V47" s="48"/>
      <c r="W47" s="48"/>
      <c r="X47" s="48"/>
      <c r="Y47" s="48"/>
      <c r="Z47" s="48"/>
      <c r="AA47" s="48"/>
      <c r="AB47" s="48"/>
      <c r="AC47" s="48"/>
    </row>
    <row r="48" spans="1:29" ht="15.75" customHeight="1">
      <c r="A48" s="305">
        <v>26</v>
      </c>
      <c r="B48" s="305" t="s">
        <v>207</v>
      </c>
      <c r="C48" s="305" t="s">
        <v>208</v>
      </c>
      <c r="D48" s="306">
        <v>30600</v>
      </c>
      <c r="E48" s="48" t="s">
        <v>921</v>
      </c>
      <c r="F48" s="105" t="str">
        <f t="shared" si="12"/>
        <v>0</v>
      </c>
      <c r="G48" s="49">
        <v>0</v>
      </c>
      <c r="H48" s="105">
        <v>0</v>
      </c>
      <c r="I48" s="105">
        <v>0</v>
      </c>
      <c r="J48" s="48">
        <v>0</v>
      </c>
      <c r="K48" s="105">
        <v>0</v>
      </c>
      <c r="L48" s="105">
        <v>1</v>
      </c>
      <c r="M48" s="48">
        <v>0</v>
      </c>
      <c r="N48" s="48">
        <v>0</v>
      </c>
      <c r="O48" s="48">
        <v>0</v>
      </c>
      <c r="P48" s="48">
        <v>0</v>
      </c>
      <c r="Q48" s="48">
        <v>0</v>
      </c>
      <c r="R48" s="48"/>
      <c r="S48" s="48"/>
      <c r="T48" s="48"/>
      <c r="U48" s="48"/>
      <c r="V48" s="48"/>
      <c r="W48" s="48"/>
      <c r="X48" s="48"/>
      <c r="Y48" s="48"/>
      <c r="Z48" s="48"/>
      <c r="AA48" s="48"/>
      <c r="AB48" s="48"/>
      <c r="AC48" s="48"/>
    </row>
    <row r="49" spans="1:29" ht="15.75" customHeight="1">
      <c r="A49" s="305">
        <v>26</v>
      </c>
      <c r="B49" s="305" t="s">
        <v>207</v>
      </c>
      <c r="C49" s="305" t="s">
        <v>208</v>
      </c>
      <c r="D49" s="306">
        <v>30600</v>
      </c>
      <c r="E49" s="48" t="s">
        <v>927</v>
      </c>
      <c r="F49" s="105" t="str">
        <f t="shared" si="12"/>
        <v>0</v>
      </c>
      <c r="G49" s="49">
        <v>0</v>
      </c>
      <c r="H49" s="105">
        <v>0</v>
      </c>
      <c r="I49" s="105">
        <v>0</v>
      </c>
      <c r="J49" s="48" t="s">
        <v>100</v>
      </c>
      <c r="K49" s="105">
        <v>0</v>
      </c>
      <c r="L49" s="105">
        <v>1</v>
      </c>
      <c r="M49" s="48">
        <v>0</v>
      </c>
      <c r="N49" s="48">
        <v>0</v>
      </c>
      <c r="O49" s="48">
        <v>0</v>
      </c>
      <c r="P49" s="48">
        <v>0</v>
      </c>
      <c r="Q49" s="48">
        <v>0</v>
      </c>
      <c r="R49" s="48"/>
      <c r="S49" s="48"/>
      <c r="T49" s="48"/>
      <c r="U49" s="48"/>
      <c r="V49" s="48"/>
      <c r="W49" s="48"/>
      <c r="X49" s="48"/>
      <c r="Y49" s="48"/>
      <c r="Z49" s="48"/>
      <c r="AA49" s="48"/>
      <c r="AB49" s="48"/>
      <c r="AC49" s="48"/>
    </row>
    <row r="50" spans="1:29" ht="15.75" customHeight="1">
      <c r="A50" s="305">
        <v>26</v>
      </c>
      <c r="B50" s="305" t="s">
        <v>207</v>
      </c>
      <c r="C50" s="305" t="s">
        <v>208</v>
      </c>
      <c r="D50" s="306">
        <v>30600</v>
      </c>
      <c r="E50" s="48" t="s">
        <v>928</v>
      </c>
      <c r="F50" s="105" t="str">
        <f t="shared" si="12"/>
        <v>0</v>
      </c>
      <c r="G50" s="49">
        <v>1</v>
      </c>
      <c r="H50" s="105">
        <v>0</v>
      </c>
      <c r="I50" s="105">
        <v>0</v>
      </c>
      <c r="J50" s="48" t="s">
        <v>100</v>
      </c>
      <c r="K50" s="105">
        <v>0</v>
      </c>
      <c r="L50" s="48">
        <v>0</v>
      </c>
      <c r="M50" s="48">
        <v>0</v>
      </c>
      <c r="N50" s="48">
        <v>0</v>
      </c>
      <c r="O50" s="48">
        <v>0</v>
      </c>
      <c r="P50" s="105">
        <v>3</v>
      </c>
      <c r="Q50" s="48">
        <v>0</v>
      </c>
      <c r="R50" s="48"/>
      <c r="S50" s="48"/>
      <c r="T50" s="48"/>
      <c r="U50" s="48"/>
      <c r="V50" s="48"/>
      <c r="W50" s="48"/>
      <c r="X50" s="48"/>
      <c r="Y50" s="48"/>
      <c r="Z50" s="48"/>
      <c r="AA50" s="48"/>
      <c r="AB50" s="48"/>
      <c r="AC50" s="48"/>
    </row>
    <row r="51" spans="1:29" ht="15.75" customHeight="1">
      <c r="A51" s="305">
        <v>26</v>
      </c>
      <c r="B51" s="305" t="s">
        <v>207</v>
      </c>
      <c r="C51" s="305" t="s">
        <v>208</v>
      </c>
      <c r="D51" s="306">
        <v>30600</v>
      </c>
      <c r="E51" s="48" t="s">
        <v>929</v>
      </c>
      <c r="F51" s="105" t="str">
        <f>HYPERLINK("https://law.justia.com/cases/texas/court-of-criminal-appeals/1986/69268-4.html","1")</f>
        <v>1</v>
      </c>
      <c r="G51" s="49">
        <v>2</v>
      </c>
      <c r="H51" s="105">
        <v>0</v>
      </c>
      <c r="I51" s="105">
        <v>0</v>
      </c>
      <c r="J51" s="48" t="s">
        <v>100</v>
      </c>
      <c r="K51" s="105">
        <v>0</v>
      </c>
      <c r="L51" s="48">
        <v>0</v>
      </c>
      <c r="M51" s="48">
        <v>0</v>
      </c>
      <c r="N51" s="48">
        <v>0</v>
      </c>
      <c r="O51" s="48">
        <v>0</v>
      </c>
      <c r="P51" s="105">
        <v>3</v>
      </c>
      <c r="Q51" s="48">
        <v>0</v>
      </c>
      <c r="R51" s="48"/>
      <c r="S51" s="48"/>
      <c r="T51" s="48"/>
      <c r="U51" s="48"/>
      <c r="V51" s="48"/>
      <c r="W51" s="48"/>
      <c r="X51" s="48"/>
      <c r="Y51" s="48"/>
      <c r="Z51" s="48"/>
      <c r="AA51" s="48"/>
      <c r="AB51" s="48"/>
      <c r="AC51" s="48"/>
    </row>
    <row r="52" spans="1:29" ht="15.75" customHeight="1">
      <c r="A52" s="307">
        <v>27</v>
      </c>
      <c r="B52" s="307" t="s">
        <v>211</v>
      </c>
      <c r="C52" s="307" t="s">
        <v>212</v>
      </c>
      <c r="D52" s="308">
        <v>30819</v>
      </c>
      <c r="E52" s="48" t="s">
        <v>930</v>
      </c>
      <c r="F52" s="105">
        <v>2</v>
      </c>
      <c r="G52" s="49"/>
      <c r="H52" s="105" t="str">
        <f t="shared" ref="H52:K52" si="13">HYPERLINK("https://books.google.com/books?id=DIG_9oBssrAC&amp;pg=PA142&amp;lpg=PA142&amp;dq=michael+silka+alaska&amp;source=bl&amp;ots=fgvFwxGqgh&amp;sig=x3elyUFed0YQk8KxgELsRnPflcM&amp;hl=en&amp;sa=X&amp;ved=0ahUKEwipxKvP-ZvZAhUNUa0KHcinCvAQ6AEIRDAE#v=onepage&amp;q=michael%20silka%20alaska&amp;f=false","1")</f>
        <v>1</v>
      </c>
      <c r="I52" s="105">
        <v>0</v>
      </c>
      <c r="J52" s="48" t="s">
        <v>100</v>
      </c>
      <c r="K52" s="105" t="str">
        <f t="shared" si="13"/>
        <v>1</v>
      </c>
      <c r="L52" s="48">
        <v>3</v>
      </c>
      <c r="M52" s="48">
        <v>0</v>
      </c>
      <c r="N52" s="48">
        <v>0</v>
      </c>
      <c r="O52" s="48">
        <v>0</v>
      </c>
      <c r="P52" s="48">
        <v>0</v>
      </c>
      <c r="Q52" s="48">
        <v>0</v>
      </c>
      <c r="R52" s="48"/>
      <c r="S52" s="48"/>
      <c r="T52" s="48"/>
      <c r="U52" s="48"/>
      <c r="V52" s="48"/>
      <c r="W52" s="48"/>
      <c r="X52" s="48"/>
      <c r="Y52" s="48"/>
      <c r="Z52" s="48"/>
      <c r="AA52" s="48"/>
      <c r="AB52" s="48"/>
      <c r="AC52" s="48"/>
    </row>
    <row r="53" spans="1:29" ht="15.75" customHeight="1">
      <c r="A53" s="309">
        <v>28</v>
      </c>
      <c r="B53" s="309" t="s">
        <v>215</v>
      </c>
      <c r="C53" s="309" t="s">
        <v>216</v>
      </c>
      <c r="D53" s="310">
        <v>30862</v>
      </c>
      <c r="E53" s="48" t="s">
        <v>831</v>
      </c>
      <c r="F53" s="105">
        <v>0</v>
      </c>
      <c r="G53" s="49">
        <v>1</v>
      </c>
      <c r="H53" s="105">
        <v>1</v>
      </c>
      <c r="I53" s="105">
        <v>0</v>
      </c>
      <c r="J53" s="48">
        <v>0</v>
      </c>
      <c r="K53" s="105">
        <v>1</v>
      </c>
      <c r="L53" s="48">
        <v>0</v>
      </c>
      <c r="M53" s="105">
        <v>3</v>
      </c>
      <c r="N53" s="48">
        <v>0</v>
      </c>
      <c r="O53" s="48">
        <v>0</v>
      </c>
      <c r="P53" s="48">
        <v>0</v>
      </c>
      <c r="Q53" s="48">
        <v>0</v>
      </c>
      <c r="R53" s="48"/>
      <c r="S53" s="48"/>
      <c r="T53" s="48"/>
      <c r="U53" s="48"/>
      <c r="V53" s="48"/>
      <c r="W53" s="48"/>
      <c r="X53" s="48"/>
      <c r="Y53" s="48"/>
      <c r="Z53" s="48"/>
      <c r="AA53" s="48"/>
      <c r="AB53" s="48"/>
      <c r="AC53" s="48"/>
    </row>
    <row r="54" spans="1:29" ht="15.75" customHeight="1">
      <c r="A54" s="311">
        <v>29</v>
      </c>
      <c r="B54" s="311" t="s">
        <v>220</v>
      </c>
      <c r="C54" s="311" t="s">
        <v>221</v>
      </c>
      <c r="D54" s="312">
        <v>30881</v>
      </c>
      <c r="E54" s="48" t="s">
        <v>931</v>
      </c>
      <c r="F54" s="105">
        <v>3</v>
      </c>
      <c r="G54" s="49">
        <v>1</v>
      </c>
      <c r="H54" s="105" t="str">
        <f t="shared" ref="H54:K54" si="14">HYPERLINK("https://www.nytimes.com/1984/07/20/us/weapons-used-by-killer-said-to-be-easy-to-obtain.html","1")</f>
        <v>1</v>
      </c>
      <c r="I54" s="105">
        <v>0</v>
      </c>
      <c r="J54" s="48">
        <v>0</v>
      </c>
      <c r="K54" s="105" t="str">
        <f t="shared" si="14"/>
        <v>1</v>
      </c>
      <c r="L54" s="105">
        <v>3</v>
      </c>
      <c r="M54" s="48">
        <v>0</v>
      </c>
      <c r="N54" s="48">
        <v>0</v>
      </c>
      <c r="O54" s="48">
        <v>0</v>
      </c>
      <c r="P54" s="48">
        <v>0</v>
      </c>
      <c r="Q54" s="48">
        <v>0</v>
      </c>
      <c r="R54" s="48"/>
      <c r="S54" s="48"/>
      <c r="T54" s="48"/>
      <c r="U54" s="48"/>
      <c r="V54" s="48"/>
      <c r="W54" s="48"/>
      <c r="X54" s="48"/>
      <c r="Y54" s="48"/>
      <c r="Z54" s="48"/>
      <c r="AA54" s="48"/>
      <c r="AB54" s="48"/>
      <c r="AC54" s="48"/>
    </row>
    <row r="55" spans="1:29" ht="15.75" customHeight="1">
      <c r="A55" s="311">
        <v>29</v>
      </c>
      <c r="B55" s="311" t="s">
        <v>220</v>
      </c>
      <c r="C55" s="311" t="s">
        <v>221</v>
      </c>
      <c r="D55" s="312">
        <v>30881</v>
      </c>
      <c r="E55" s="48" t="s">
        <v>932</v>
      </c>
      <c r="F55" s="105">
        <v>1</v>
      </c>
      <c r="G55" s="49">
        <v>2</v>
      </c>
      <c r="H55" s="105" t="str">
        <f t="shared" ref="H55:K55" si="15">HYPERLINK("https://www.nytimes.com/1984/07/20/us/weapons-used-by-killer-said-to-be-easy-to-obtain.html","1")</f>
        <v>1</v>
      </c>
      <c r="I55" s="105">
        <v>0</v>
      </c>
      <c r="J55" s="48" t="s">
        <v>100</v>
      </c>
      <c r="K55" s="105" t="str">
        <f t="shared" si="15"/>
        <v>1</v>
      </c>
      <c r="L55" s="105">
        <v>3</v>
      </c>
      <c r="M55" s="48">
        <v>0</v>
      </c>
      <c r="N55" s="48">
        <v>0</v>
      </c>
      <c r="O55" s="48">
        <v>0</v>
      </c>
      <c r="P55" s="48">
        <v>0</v>
      </c>
      <c r="Q55" s="48">
        <v>0</v>
      </c>
      <c r="R55" s="48"/>
      <c r="S55" s="48"/>
      <c r="T55" s="48"/>
      <c r="U55" s="48"/>
      <c r="V55" s="48"/>
      <c r="W55" s="48"/>
      <c r="X55" s="48"/>
      <c r="Y55" s="48"/>
      <c r="Z55" s="48"/>
      <c r="AA55" s="48"/>
      <c r="AB55" s="48"/>
      <c r="AC55" s="48"/>
    </row>
    <row r="56" spans="1:29" ht="15.75" customHeight="1">
      <c r="A56" s="311">
        <v>29</v>
      </c>
      <c r="B56" s="311" t="s">
        <v>220</v>
      </c>
      <c r="C56" s="311" t="s">
        <v>221</v>
      </c>
      <c r="D56" s="312">
        <v>30881</v>
      </c>
      <c r="E56" s="48" t="s">
        <v>933</v>
      </c>
      <c r="F56" s="105">
        <v>0</v>
      </c>
      <c r="G56" s="49">
        <v>1</v>
      </c>
      <c r="H56" s="105" t="str">
        <f t="shared" ref="H56:K56" si="16">HYPERLINK("https://www.nytimes.com/1984/07/20/us/weapons-used-by-killer-said-to-be-easy-to-obtain.html","1")</f>
        <v>1</v>
      </c>
      <c r="I56" s="105">
        <v>0</v>
      </c>
      <c r="J56" s="48">
        <v>0</v>
      </c>
      <c r="K56" s="105" t="str">
        <f t="shared" si="16"/>
        <v>1</v>
      </c>
      <c r="L56" s="105">
        <v>3</v>
      </c>
      <c r="M56" s="48">
        <v>0</v>
      </c>
      <c r="N56" s="48">
        <v>0</v>
      </c>
      <c r="O56" s="48">
        <v>0</v>
      </c>
      <c r="P56" s="48">
        <v>0</v>
      </c>
      <c r="Q56" s="48">
        <v>0</v>
      </c>
      <c r="R56" s="48"/>
      <c r="S56" s="48"/>
      <c r="T56" s="48"/>
      <c r="U56" s="48"/>
      <c r="V56" s="48"/>
      <c r="W56" s="48"/>
      <c r="X56" s="48"/>
      <c r="Y56" s="48"/>
      <c r="Z56" s="48"/>
      <c r="AA56" s="48"/>
      <c r="AB56" s="48"/>
      <c r="AC56" s="48"/>
    </row>
    <row r="57" spans="1:29" ht="15.75" customHeight="1">
      <c r="A57" s="313">
        <v>30</v>
      </c>
      <c r="B57" s="313" t="s">
        <v>224</v>
      </c>
      <c r="C57" s="313" t="s">
        <v>225</v>
      </c>
      <c r="D57" s="314">
        <v>30887</v>
      </c>
      <c r="E57" s="48" t="s">
        <v>934</v>
      </c>
      <c r="F57" s="105" t="str">
        <f>HYPERLINK("https://casetext.com/case/travelers-indem-co-v-olives-spt-goods-inc","0")</f>
        <v>0</v>
      </c>
      <c r="G57" s="49">
        <v>2</v>
      </c>
      <c r="H57" s="105" t="str">
        <f t="shared" ref="H57:H58" si="17">HYPERLINK("https://apnews.com/af0a3b9d06f6fb5871267b72a5f36e00","1")</f>
        <v>1</v>
      </c>
      <c r="I57" s="105">
        <v>0</v>
      </c>
      <c r="J57" s="48">
        <v>0</v>
      </c>
      <c r="K57" s="105" t="str">
        <f t="shared" ref="K57:K58" si="18">HYPERLINK("https://casetext.com/case/travelers-indem-co-v-olives-spt-goods-inc","0")</f>
        <v>0</v>
      </c>
      <c r="L57" s="48">
        <v>0</v>
      </c>
      <c r="M57" s="105">
        <v>2</v>
      </c>
      <c r="N57" s="48">
        <v>0</v>
      </c>
      <c r="O57" s="48">
        <v>0</v>
      </c>
      <c r="P57" s="48">
        <v>0</v>
      </c>
      <c r="Q57" s="48">
        <v>0</v>
      </c>
      <c r="R57" s="48"/>
      <c r="S57" s="48"/>
      <c r="T57" s="48"/>
      <c r="U57" s="48"/>
      <c r="V57" s="48"/>
      <c r="W57" s="48"/>
      <c r="X57" s="48"/>
      <c r="Y57" s="48"/>
      <c r="Z57" s="48"/>
      <c r="AA57" s="48"/>
      <c r="AB57" s="48"/>
      <c r="AC57" s="48"/>
    </row>
    <row r="58" spans="1:29" ht="15.75" customHeight="1">
      <c r="A58" s="313">
        <v>30</v>
      </c>
      <c r="B58" s="313" t="s">
        <v>224</v>
      </c>
      <c r="C58" s="313" t="s">
        <v>225</v>
      </c>
      <c r="D58" s="314">
        <v>30887</v>
      </c>
      <c r="E58" s="48" t="s">
        <v>935</v>
      </c>
      <c r="F58" s="105" t="str">
        <f>HYPERLINK("https://casetext.com/case/travelers-indem-co-v-olives-spt-goods-inc","1")</f>
        <v>1</v>
      </c>
      <c r="G58" s="49">
        <v>2</v>
      </c>
      <c r="H58" s="105" t="str">
        <f t="shared" si="17"/>
        <v>1</v>
      </c>
      <c r="I58" s="105">
        <v>0</v>
      </c>
      <c r="J58" s="48" t="s">
        <v>100</v>
      </c>
      <c r="K58" s="105" t="str">
        <f t="shared" si="18"/>
        <v>0</v>
      </c>
      <c r="L58" s="48">
        <v>0</v>
      </c>
      <c r="M58" s="105">
        <v>2</v>
      </c>
      <c r="N58" s="48">
        <v>0</v>
      </c>
      <c r="O58" s="48">
        <v>0</v>
      </c>
      <c r="P58" s="48">
        <v>0</v>
      </c>
      <c r="Q58" s="48">
        <v>0</v>
      </c>
      <c r="R58" s="48"/>
      <c r="S58" s="48"/>
      <c r="T58" s="48"/>
      <c r="U58" s="48"/>
      <c r="V58" s="48"/>
      <c r="W58" s="48"/>
      <c r="X58" s="48"/>
      <c r="Y58" s="48"/>
      <c r="Z58" s="48"/>
      <c r="AA58" s="48"/>
      <c r="AB58" s="48"/>
      <c r="AC58" s="48"/>
    </row>
    <row r="59" spans="1:29" ht="15.75" customHeight="1">
      <c r="A59" s="305">
        <v>31</v>
      </c>
      <c r="B59" s="305" t="s">
        <v>229</v>
      </c>
      <c r="C59" s="305" t="s">
        <v>230</v>
      </c>
      <c r="D59" s="306">
        <v>31122</v>
      </c>
      <c r="E59" s="48" t="s">
        <v>834</v>
      </c>
      <c r="F59" s="105">
        <v>0</v>
      </c>
      <c r="G59" s="49">
        <v>1</v>
      </c>
      <c r="H59" s="105" t="str">
        <f>HYPERLINK("https://www.nbcphiladelphia.com/news/local/Memories-of-1985-Pa-Factory-Slayings-Revived-224724192.html","1")</f>
        <v>1</v>
      </c>
      <c r="I59" s="105">
        <v>0</v>
      </c>
      <c r="J59" s="48" t="s">
        <v>100</v>
      </c>
      <c r="K59" s="48"/>
      <c r="L59" s="48"/>
      <c r="M59" s="48"/>
      <c r="N59" s="48"/>
      <c r="O59" s="48"/>
      <c r="P59" s="48"/>
      <c r="Q59" s="48">
        <v>1</v>
      </c>
      <c r="R59" s="48"/>
      <c r="S59" s="48"/>
      <c r="T59" s="48"/>
      <c r="U59" s="48"/>
      <c r="V59" s="48"/>
      <c r="W59" s="48"/>
      <c r="X59" s="48"/>
      <c r="Y59" s="48"/>
      <c r="Z59" s="48"/>
      <c r="AA59" s="48"/>
      <c r="AB59" s="48"/>
      <c r="AC59" s="48"/>
    </row>
    <row r="60" spans="1:29" ht="15.75" customHeight="1">
      <c r="A60" s="307">
        <v>32</v>
      </c>
      <c r="B60" s="307" t="s">
        <v>233</v>
      </c>
      <c r="C60" s="307" t="s">
        <v>234</v>
      </c>
      <c r="D60" s="308">
        <v>31644</v>
      </c>
      <c r="E60" s="48" t="s">
        <v>936</v>
      </c>
      <c r="F60" s="105">
        <v>0</v>
      </c>
      <c r="G60" s="49">
        <v>2</v>
      </c>
      <c r="H60" s="105">
        <v>1</v>
      </c>
      <c r="I60" s="105">
        <v>0</v>
      </c>
      <c r="J60" s="48">
        <v>0</v>
      </c>
      <c r="K60" s="105">
        <v>0</v>
      </c>
      <c r="L60" s="48">
        <v>0</v>
      </c>
      <c r="M60" s="48">
        <v>0</v>
      </c>
      <c r="N60" s="48">
        <v>0</v>
      </c>
      <c r="O60" s="105">
        <v>1</v>
      </c>
      <c r="P60" s="48">
        <v>0</v>
      </c>
      <c r="Q60" s="48">
        <v>0</v>
      </c>
      <c r="R60" s="48"/>
      <c r="S60" s="48"/>
      <c r="T60" s="48"/>
      <c r="U60" s="48"/>
      <c r="V60" s="48"/>
      <c r="W60" s="48"/>
      <c r="X60" s="48"/>
      <c r="Y60" s="48"/>
      <c r="Z60" s="48"/>
      <c r="AA60" s="48"/>
      <c r="AB60" s="48"/>
      <c r="AC60" s="48"/>
    </row>
    <row r="61" spans="1:29" ht="15.75" customHeight="1">
      <c r="A61" s="307">
        <v>32</v>
      </c>
      <c r="B61" s="307" t="s">
        <v>233</v>
      </c>
      <c r="C61" s="307" t="s">
        <v>234</v>
      </c>
      <c r="D61" s="308">
        <v>31644</v>
      </c>
      <c r="E61" s="48" t="s">
        <v>937</v>
      </c>
      <c r="F61" s="105">
        <v>0</v>
      </c>
      <c r="G61" s="49">
        <v>2</v>
      </c>
      <c r="H61" s="105">
        <v>1</v>
      </c>
      <c r="I61" s="105">
        <v>1</v>
      </c>
      <c r="J61" s="48">
        <v>0</v>
      </c>
      <c r="K61" s="105">
        <v>1</v>
      </c>
      <c r="L61" s="48">
        <v>0</v>
      </c>
      <c r="M61" s="48">
        <v>0</v>
      </c>
      <c r="N61" s="48">
        <v>0</v>
      </c>
      <c r="O61" s="105">
        <v>1</v>
      </c>
      <c r="P61" s="48">
        <v>0</v>
      </c>
      <c r="Q61" s="48">
        <v>0</v>
      </c>
      <c r="R61" s="48"/>
      <c r="S61" s="48"/>
      <c r="T61" s="48"/>
      <c r="U61" s="48"/>
      <c r="V61" s="48"/>
      <c r="W61" s="48"/>
      <c r="X61" s="48"/>
      <c r="Y61" s="48"/>
      <c r="Z61" s="48"/>
      <c r="AA61" s="48"/>
      <c r="AB61" s="48"/>
      <c r="AC61" s="48"/>
    </row>
    <row r="62" spans="1:29" ht="15.75" customHeight="1">
      <c r="A62" s="307">
        <v>32</v>
      </c>
      <c r="B62" s="307" t="s">
        <v>233</v>
      </c>
      <c r="C62" s="307" t="s">
        <v>234</v>
      </c>
      <c r="D62" s="308">
        <v>31644</v>
      </c>
      <c r="E62" s="48" t="s">
        <v>813</v>
      </c>
      <c r="F62" s="105">
        <v>0</v>
      </c>
      <c r="G62" s="49">
        <v>0</v>
      </c>
      <c r="H62" s="105">
        <v>0</v>
      </c>
      <c r="I62" s="105">
        <v>0</v>
      </c>
      <c r="J62" s="48">
        <v>0</v>
      </c>
      <c r="K62" s="48"/>
      <c r="L62" s="105">
        <v>3</v>
      </c>
      <c r="M62" s="48">
        <v>0</v>
      </c>
      <c r="N62" s="48">
        <v>0</v>
      </c>
      <c r="O62" s="48">
        <v>0</v>
      </c>
      <c r="P62" s="48">
        <v>0</v>
      </c>
      <c r="Q62" s="48">
        <v>0</v>
      </c>
      <c r="R62" s="48"/>
      <c r="S62" s="48"/>
      <c r="T62" s="48"/>
      <c r="U62" s="48"/>
      <c r="V62" s="48"/>
      <c r="W62" s="48"/>
      <c r="X62" s="48"/>
      <c r="Y62" s="48"/>
      <c r="Z62" s="48"/>
      <c r="AA62" s="48"/>
      <c r="AB62" s="48"/>
      <c r="AC62" s="48"/>
    </row>
    <row r="63" spans="1:29" ht="15.75" customHeight="1">
      <c r="A63" s="309">
        <v>33</v>
      </c>
      <c r="B63" s="309" t="s">
        <v>237</v>
      </c>
      <c r="C63" s="309" t="s">
        <v>182</v>
      </c>
      <c r="D63" s="310">
        <v>31890</v>
      </c>
      <c r="E63" s="48" t="s">
        <v>938</v>
      </c>
      <c r="F63" s="105">
        <v>3</v>
      </c>
      <c r="G63" s="49">
        <v>2</v>
      </c>
      <c r="H63" s="105">
        <v>1</v>
      </c>
      <c r="I63" s="105">
        <v>0</v>
      </c>
      <c r="J63" s="48">
        <v>0</v>
      </c>
      <c r="K63" s="105">
        <v>1</v>
      </c>
      <c r="L63" s="105">
        <v>1</v>
      </c>
      <c r="M63" s="48">
        <v>0</v>
      </c>
      <c r="N63" s="48">
        <v>0</v>
      </c>
      <c r="O63" s="48">
        <v>0</v>
      </c>
      <c r="P63" s="48">
        <v>0</v>
      </c>
      <c r="Q63" s="48">
        <v>0</v>
      </c>
      <c r="R63" s="48"/>
      <c r="S63" s="48"/>
      <c r="T63" s="48"/>
      <c r="U63" s="48"/>
      <c r="V63" s="48"/>
      <c r="W63" s="48"/>
      <c r="X63" s="48"/>
      <c r="Y63" s="48"/>
      <c r="Z63" s="48"/>
      <c r="AA63" s="48"/>
      <c r="AB63" s="48"/>
      <c r="AC63" s="48"/>
    </row>
    <row r="64" spans="1:29" ht="15.75" customHeight="1">
      <c r="A64" s="309">
        <v>33</v>
      </c>
      <c r="B64" s="309" t="s">
        <v>237</v>
      </c>
      <c r="C64" s="309" t="s">
        <v>182</v>
      </c>
      <c r="D64" s="310">
        <v>31890</v>
      </c>
      <c r="E64" s="48" t="s">
        <v>939</v>
      </c>
      <c r="F64" s="105">
        <v>0</v>
      </c>
      <c r="G64" s="49">
        <v>1</v>
      </c>
      <c r="H64" s="105">
        <v>1</v>
      </c>
      <c r="I64" s="105">
        <v>0</v>
      </c>
      <c r="J64" s="48" t="s">
        <v>100</v>
      </c>
      <c r="K64" s="105">
        <v>1</v>
      </c>
      <c r="L64" s="105">
        <v>1</v>
      </c>
      <c r="M64" s="48">
        <v>0</v>
      </c>
      <c r="N64" s="48">
        <v>0</v>
      </c>
      <c r="O64" s="48">
        <v>0</v>
      </c>
      <c r="P64" s="48">
        <v>0</v>
      </c>
      <c r="Q64" s="48">
        <v>0</v>
      </c>
      <c r="R64" s="48"/>
      <c r="S64" s="48"/>
      <c r="T64" s="48"/>
      <c r="U64" s="48"/>
      <c r="V64" s="48"/>
      <c r="W64" s="48"/>
      <c r="X64" s="48"/>
      <c r="Y64" s="48"/>
      <c r="Z64" s="48"/>
      <c r="AA64" s="48"/>
      <c r="AB64" s="48"/>
      <c r="AC64" s="48"/>
    </row>
    <row r="65" spans="1:29" ht="15.75" customHeight="1">
      <c r="A65" s="309">
        <v>33</v>
      </c>
      <c r="B65" s="309" t="s">
        <v>237</v>
      </c>
      <c r="C65" s="309" t="s">
        <v>182</v>
      </c>
      <c r="D65" s="310">
        <v>31890</v>
      </c>
      <c r="E65" s="48" t="s">
        <v>940</v>
      </c>
      <c r="F65" s="105">
        <v>1</v>
      </c>
      <c r="G65" s="49">
        <v>2</v>
      </c>
      <c r="H65" s="105">
        <v>1</v>
      </c>
      <c r="I65" s="105">
        <v>0</v>
      </c>
      <c r="J65" s="48" t="s">
        <v>100</v>
      </c>
      <c r="K65" s="105">
        <v>1</v>
      </c>
      <c r="L65" s="105">
        <v>3</v>
      </c>
      <c r="M65" s="48">
        <v>0</v>
      </c>
      <c r="N65" s="48">
        <v>0</v>
      </c>
      <c r="O65" s="48">
        <v>0</v>
      </c>
      <c r="P65" s="48">
        <v>0</v>
      </c>
      <c r="Q65" s="48">
        <v>0</v>
      </c>
      <c r="R65" s="48"/>
      <c r="S65" s="48"/>
      <c r="T65" s="48"/>
      <c r="U65" s="48"/>
      <c r="V65" s="48"/>
      <c r="W65" s="48"/>
      <c r="X65" s="48"/>
      <c r="Y65" s="48"/>
      <c r="Z65" s="48"/>
      <c r="AA65" s="48"/>
      <c r="AB65" s="48"/>
      <c r="AC65" s="48"/>
    </row>
    <row r="66" spans="1:29" ht="15.75" customHeight="1">
      <c r="A66" s="311">
        <v>34</v>
      </c>
      <c r="B66" s="311" t="s">
        <v>240</v>
      </c>
      <c r="C66" s="311" t="s">
        <v>241</v>
      </c>
      <c r="D66" s="312">
        <v>32189</v>
      </c>
      <c r="E66" s="48" t="s">
        <v>941</v>
      </c>
      <c r="F66" s="105" t="str">
        <f t="shared" ref="F66:F67" si="19">HYPERLINK("https://www.leagle.com/decision/incaco20090702055","0")</f>
        <v>0</v>
      </c>
      <c r="G66" s="49"/>
      <c r="H66" s="105">
        <v>0</v>
      </c>
      <c r="I66" s="105">
        <v>0</v>
      </c>
      <c r="J66" s="48" t="s">
        <v>100</v>
      </c>
      <c r="K66" s="48">
        <v>1</v>
      </c>
      <c r="L66" s="105">
        <v>3</v>
      </c>
      <c r="M66" s="48">
        <v>0</v>
      </c>
      <c r="N66" s="48">
        <v>0</v>
      </c>
      <c r="O66" s="48">
        <v>0</v>
      </c>
      <c r="P66" s="48">
        <v>0</v>
      </c>
      <c r="Q66" s="48">
        <v>0</v>
      </c>
      <c r="R66" s="48"/>
      <c r="S66" s="48"/>
      <c r="T66" s="48"/>
      <c r="U66" s="48"/>
      <c r="V66" s="48"/>
      <c r="W66" s="48"/>
      <c r="X66" s="48"/>
      <c r="Y66" s="48"/>
      <c r="Z66" s="48"/>
      <c r="AA66" s="48"/>
      <c r="AB66" s="48"/>
      <c r="AC66" s="48"/>
    </row>
    <row r="67" spans="1:29" ht="15.75" customHeight="1">
      <c r="A67" s="311">
        <v>34</v>
      </c>
      <c r="B67" s="311" t="s">
        <v>240</v>
      </c>
      <c r="C67" s="311" t="s">
        <v>241</v>
      </c>
      <c r="D67" s="312">
        <v>32189</v>
      </c>
      <c r="E67" s="48" t="s">
        <v>860</v>
      </c>
      <c r="F67" s="105" t="str">
        <f t="shared" si="19"/>
        <v>0</v>
      </c>
      <c r="G67" s="49">
        <v>1</v>
      </c>
      <c r="H67" s="105">
        <v>0</v>
      </c>
      <c r="I67" s="105">
        <v>0</v>
      </c>
      <c r="J67" s="48" t="s">
        <v>100</v>
      </c>
      <c r="K67" s="48">
        <v>1</v>
      </c>
      <c r="L67" s="105">
        <v>3</v>
      </c>
      <c r="M67" s="48">
        <v>0</v>
      </c>
      <c r="N67" s="48">
        <v>0</v>
      </c>
      <c r="O67" s="48">
        <v>0</v>
      </c>
      <c r="P67" s="48">
        <v>0</v>
      </c>
      <c r="Q67" s="48">
        <v>0</v>
      </c>
      <c r="R67" s="48"/>
      <c r="S67" s="48"/>
      <c r="T67" s="48"/>
      <c r="U67" s="48"/>
      <c r="V67" s="48"/>
      <c r="W67" s="48"/>
      <c r="X67" s="48"/>
      <c r="Y67" s="48"/>
      <c r="Z67" s="48"/>
      <c r="AA67" s="48"/>
      <c r="AB67" s="48"/>
      <c r="AC67" s="48"/>
    </row>
    <row r="68" spans="1:29" ht="15.75" customHeight="1">
      <c r="A68" s="311">
        <v>34</v>
      </c>
      <c r="B68" s="311" t="s">
        <v>240</v>
      </c>
      <c r="C68" s="311" t="s">
        <v>241</v>
      </c>
      <c r="D68" s="312">
        <v>32189</v>
      </c>
      <c r="E68" s="48" t="s">
        <v>942</v>
      </c>
      <c r="F68" s="105">
        <v>0</v>
      </c>
      <c r="G68" s="49">
        <v>1</v>
      </c>
      <c r="H68" s="105">
        <v>0</v>
      </c>
      <c r="I68" s="105">
        <v>0</v>
      </c>
      <c r="J68" s="48">
        <v>0</v>
      </c>
      <c r="K68" s="48">
        <v>1</v>
      </c>
      <c r="L68" s="105">
        <v>3</v>
      </c>
      <c r="M68" s="48">
        <v>0</v>
      </c>
      <c r="N68" s="48">
        <v>0</v>
      </c>
      <c r="O68" s="48">
        <v>0</v>
      </c>
      <c r="P68" s="48">
        <v>0</v>
      </c>
      <c r="Q68" s="48">
        <v>0</v>
      </c>
      <c r="R68" s="48"/>
      <c r="S68" s="48"/>
      <c r="T68" s="48"/>
      <c r="U68" s="48"/>
      <c r="V68" s="48"/>
      <c r="W68" s="48"/>
      <c r="X68" s="48"/>
      <c r="Y68" s="48"/>
      <c r="Z68" s="48"/>
      <c r="AA68" s="48"/>
      <c r="AB68" s="48"/>
      <c r="AC68" s="48"/>
    </row>
    <row r="69" spans="1:29" ht="15.75" customHeight="1">
      <c r="A69" s="311">
        <v>34</v>
      </c>
      <c r="B69" s="311" t="s">
        <v>240</v>
      </c>
      <c r="C69" s="311" t="s">
        <v>241</v>
      </c>
      <c r="D69" s="312">
        <v>32189</v>
      </c>
      <c r="E69" s="48" t="s">
        <v>943</v>
      </c>
      <c r="F69" s="105" t="str">
        <f>HYPERLINK("https://www.leagle.com/decision/incaco20090702055","1")</f>
        <v>1</v>
      </c>
      <c r="G69" s="49">
        <v>2</v>
      </c>
      <c r="H69" s="105">
        <v>1</v>
      </c>
      <c r="I69" s="48">
        <v>0</v>
      </c>
      <c r="J69" s="48" t="s">
        <v>100</v>
      </c>
      <c r="K69" s="105">
        <v>0</v>
      </c>
      <c r="L69" s="105">
        <v>1</v>
      </c>
      <c r="M69" s="48">
        <v>0</v>
      </c>
      <c r="N69" s="48">
        <v>0</v>
      </c>
      <c r="O69" s="48">
        <v>0</v>
      </c>
      <c r="P69" s="48">
        <v>0</v>
      </c>
      <c r="Q69" s="48">
        <v>0</v>
      </c>
      <c r="R69" s="48"/>
      <c r="S69" s="48"/>
      <c r="T69" s="48"/>
      <c r="U69" s="48"/>
      <c r="V69" s="48"/>
      <c r="W69" s="48"/>
      <c r="X69" s="48"/>
      <c r="Y69" s="48"/>
      <c r="Z69" s="48"/>
      <c r="AA69" s="48"/>
      <c r="AB69" s="48"/>
      <c r="AC69" s="48"/>
    </row>
    <row r="70" spans="1:29" ht="15.75" customHeight="1">
      <c r="A70" s="311">
        <v>34</v>
      </c>
      <c r="B70" s="311" t="s">
        <v>240</v>
      </c>
      <c r="C70" s="311" t="s">
        <v>241</v>
      </c>
      <c r="D70" s="312">
        <v>32189</v>
      </c>
      <c r="E70" s="48" t="s">
        <v>944</v>
      </c>
      <c r="F70" s="105" t="str">
        <f>HYPERLINK("https://www.leagle.com/decision/incaco20090702055","0")</f>
        <v>0</v>
      </c>
      <c r="G70" s="49"/>
      <c r="H70" s="105">
        <v>0</v>
      </c>
      <c r="I70" s="48">
        <v>0</v>
      </c>
      <c r="J70" s="48">
        <v>0</v>
      </c>
      <c r="K70" s="48">
        <v>1</v>
      </c>
      <c r="L70" s="105">
        <v>3</v>
      </c>
      <c r="M70" s="48">
        <v>0</v>
      </c>
      <c r="N70" s="48">
        <v>0</v>
      </c>
      <c r="O70" s="48">
        <v>0</v>
      </c>
      <c r="P70" s="48">
        <v>0</v>
      </c>
      <c r="Q70" s="48">
        <v>0</v>
      </c>
      <c r="R70" s="48"/>
      <c r="S70" s="48"/>
      <c r="T70" s="48"/>
      <c r="U70" s="48"/>
      <c r="V70" s="48"/>
      <c r="W70" s="48"/>
      <c r="X70" s="48"/>
      <c r="Y70" s="48"/>
      <c r="Z70" s="48"/>
      <c r="AA70" s="48"/>
      <c r="AB70" s="48"/>
      <c r="AC70" s="48"/>
    </row>
    <row r="71" spans="1:29" ht="15.75" customHeight="1">
      <c r="A71" s="311">
        <v>34</v>
      </c>
      <c r="B71" s="311" t="s">
        <v>240</v>
      </c>
      <c r="C71" s="311" t="s">
        <v>241</v>
      </c>
      <c r="D71" s="312">
        <v>32189</v>
      </c>
      <c r="E71" s="48" t="s">
        <v>945</v>
      </c>
      <c r="F71" s="105">
        <v>2</v>
      </c>
      <c r="G71" s="49">
        <v>2</v>
      </c>
      <c r="H71" s="105">
        <v>0</v>
      </c>
      <c r="I71" s="105">
        <v>1</v>
      </c>
      <c r="J71" s="105">
        <v>0</v>
      </c>
      <c r="K71" s="48">
        <v>1</v>
      </c>
      <c r="L71" s="105">
        <v>3</v>
      </c>
      <c r="M71" s="48">
        <v>0</v>
      </c>
      <c r="N71" s="48">
        <v>0</v>
      </c>
      <c r="O71" s="48">
        <v>0</v>
      </c>
      <c r="P71" s="48">
        <v>0</v>
      </c>
      <c r="Q71" s="48">
        <v>0</v>
      </c>
      <c r="R71" s="48"/>
      <c r="S71" s="48"/>
      <c r="T71" s="48"/>
      <c r="U71" s="48"/>
      <c r="V71" s="48"/>
      <c r="W71" s="48"/>
      <c r="X71" s="48"/>
      <c r="Y71" s="48"/>
      <c r="Z71" s="48"/>
      <c r="AA71" s="48"/>
      <c r="AB71" s="48"/>
      <c r="AC71" s="48"/>
    </row>
    <row r="72" spans="1:29" ht="15.75" customHeight="1">
      <c r="A72" s="311">
        <v>34</v>
      </c>
      <c r="B72" s="311" t="s">
        <v>240</v>
      </c>
      <c r="C72" s="311" t="s">
        <v>241</v>
      </c>
      <c r="D72" s="312">
        <v>32189</v>
      </c>
      <c r="E72" s="48" t="s">
        <v>946</v>
      </c>
      <c r="F72" s="105" t="str">
        <f>HYPERLINK("https://www.leagle.com/decision/incaco20090702055","1")</f>
        <v>1</v>
      </c>
      <c r="G72" s="49">
        <v>2</v>
      </c>
      <c r="H72" s="48"/>
      <c r="I72" s="48">
        <v>0</v>
      </c>
      <c r="J72" s="48" t="s">
        <v>100</v>
      </c>
      <c r="K72" s="48">
        <v>1</v>
      </c>
      <c r="L72" s="105">
        <v>3</v>
      </c>
      <c r="M72" s="48">
        <v>0</v>
      </c>
      <c r="N72" s="48">
        <v>0</v>
      </c>
      <c r="O72" s="48">
        <v>0</v>
      </c>
      <c r="P72" s="48">
        <v>0</v>
      </c>
      <c r="Q72" s="48">
        <v>0</v>
      </c>
      <c r="R72" s="48"/>
      <c r="S72" s="48"/>
      <c r="T72" s="48"/>
      <c r="U72" s="48"/>
      <c r="V72" s="48"/>
      <c r="W72" s="48"/>
      <c r="X72" s="48"/>
      <c r="Y72" s="48"/>
      <c r="Z72" s="48"/>
      <c r="AA72" s="48"/>
      <c r="AB72" s="48"/>
      <c r="AC72" s="48"/>
    </row>
    <row r="73" spans="1:29" ht="15.75" customHeight="1">
      <c r="A73" s="311">
        <v>34</v>
      </c>
      <c r="B73" s="311" t="s">
        <v>240</v>
      </c>
      <c r="C73" s="311" t="s">
        <v>241</v>
      </c>
      <c r="D73" s="312">
        <v>32189</v>
      </c>
      <c r="E73" s="48" t="s">
        <v>947</v>
      </c>
      <c r="F73" s="105">
        <v>0</v>
      </c>
      <c r="G73" s="49"/>
      <c r="H73" s="105">
        <v>0</v>
      </c>
      <c r="I73" s="48">
        <v>0</v>
      </c>
      <c r="J73" s="48">
        <v>0</v>
      </c>
      <c r="K73" s="48">
        <v>1</v>
      </c>
      <c r="L73" s="105">
        <v>3</v>
      </c>
      <c r="M73" s="48">
        <v>0</v>
      </c>
      <c r="N73" s="48">
        <v>0</v>
      </c>
      <c r="O73" s="48">
        <v>0</v>
      </c>
      <c r="P73" s="48">
        <v>0</v>
      </c>
      <c r="Q73" s="48">
        <v>0</v>
      </c>
      <c r="R73" s="48"/>
      <c r="S73" s="48"/>
      <c r="T73" s="48"/>
      <c r="U73" s="48"/>
      <c r="V73" s="48"/>
      <c r="W73" s="48"/>
      <c r="X73" s="48"/>
      <c r="Y73" s="48"/>
      <c r="Z73" s="48"/>
      <c r="AA73" s="48"/>
      <c r="AB73" s="48"/>
      <c r="AC73" s="48"/>
    </row>
    <row r="74" spans="1:29" ht="15.75" customHeight="1">
      <c r="A74" s="313">
        <v>35</v>
      </c>
      <c r="B74" s="313" t="s">
        <v>244</v>
      </c>
      <c r="C74" s="313" t="s">
        <v>212</v>
      </c>
      <c r="D74" s="314">
        <v>32341</v>
      </c>
      <c r="E74" s="48" t="s">
        <v>835</v>
      </c>
      <c r="F74" s="105" t="str">
        <f>HYPERLINK("http://www.journalnow.com/news/local/for-first-time-in-years-michael-hayes-is-free-of/article_d5514c21-a980-5bf3-934e-53b3e76e8c05.html","2")</f>
        <v>2</v>
      </c>
      <c r="G74" s="49">
        <v>0</v>
      </c>
      <c r="H74" s="105">
        <v>1</v>
      </c>
      <c r="I74" s="48">
        <v>0</v>
      </c>
      <c r="J74" s="48">
        <v>0</v>
      </c>
      <c r="K74" s="48"/>
      <c r="L74" s="48"/>
      <c r="M74" s="48"/>
      <c r="N74" s="48"/>
      <c r="O74" s="48"/>
      <c r="P74" s="48"/>
      <c r="Q74" s="48">
        <v>1</v>
      </c>
      <c r="R74" s="48"/>
      <c r="S74" s="48"/>
      <c r="T74" s="48"/>
      <c r="U74" s="48"/>
      <c r="V74" s="48"/>
      <c r="W74" s="48"/>
      <c r="X74" s="48"/>
      <c r="Y74" s="48"/>
      <c r="Z74" s="48"/>
      <c r="AA74" s="48"/>
      <c r="AB74" s="48"/>
      <c r="AC74" s="48"/>
    </row>
    <row r="75" spans="1:29" ht="15.75" customHeight="1">
      <c r="A75" s="305">
        <v>36</v>
      </c>
      <c r="B75" s="305" t="s">
        <v>247</v>
      </c>
      <c r="C75" s="305" t="s">
        <v>248</v>
      </c>
      <c r="D75" s="306">
        <v>32408</v>
      </c>
      <c r="E75" s="48" t="s">
        <v>830</v>
      </c>
      <c r="F75" s="105" t="str">
        <f>HYPERLINK("https://www.chicagotribune.com/news/ct-xpm-1988-09-23-8802010552-story.html","0")</f>
        <v>0</v>
      </c>
      <c r="G75" s="49">
        <v>1</v>
      </c>
      <c r="H75" s="105">
        <v>1</v>
      </c>
      <c r="I75" s="48">
        <v>0</v>
      </c>
      <c r="J75" s="48" t="s">
        <v>100</v>
      </c>
      <c r="K75" s="105">
        <v>1</v>
      </c>
      <c r="L75" s="48"/>
      <c r="M75" s="48"/>
      <c r="N75" s="48"/>
      <c r="O75" s="48"/>
      <c r="P75" s="48"/>
      <c r="Q75" s="48">
        <v>1</v>
      </c>
      <c r="R75" s="48"/>
      <c r="S75" s="48"/>
      <c r="T75" s="48"/>
      <c r="U75" s="48"/>
      <c r="V75" s="48"/>
      <c r="W75" s="48"/>
      <c r="X75" s="48"/>
      <c r="Y75" s="48"/>
      <c r="Z75" s="48"/>
      <c r="AA75" s="48"/>
      <c r="AB75" s="48"/>
      <c r="AC75" s="48"/>
    </row>
    <row r="76" spans="1:29" ht="15.75" customHeight="1">
      <c r="A76" s="307">
        <v>37</v>
      </c>
      <c r="B76" s="307" t="s">
        <v>252</v>
      </c>
      <c r="C76" s="307" t="s">
        <v>234</v>
      </c>
      <c r="D76" s="308">
        <v>32525</v>
      </c>
      <c r="E76" s="48" t="s">
        <v>948</v>
      </c>
      <c r="F76" s="105">
        <v>3</v>
      </c>
      <c r="G76" s="49">
        <v>2</v>
      </c>
      <c r="H76" s="105">
        <v>1</v>
      </c>
      <c r="I76" s="48">
        <v>0</v>
      </c>
      <c r="J76" s="48">
        <v>0</v>
      </c>
      <c r="K76" s="105">
        <v>1</v>
      </c>
      <c r="L76" s="48">
        <v>0</v>
      </c>
      <c r="M76" s="105">
        <v>3</v>
      </c>
      <c r="N76" s="48">
        <v>0</v>
      </c>
      <c r="O76" s="48">
        <v>0</v>
      </c>
      <c r="P76" s="48">
        <v>0</v>
      </c>
      <c r="Q76" s="48">
        <v>0</v>
      </c>
      <c r="R76" s="48"/>
      <c r="S76" s="48"/>
      <c r="T76" s="48"/>
      <c r="U76" s="48"/>
      <c r="V76" s="48"/>
      <c r="W76" s="48"/>
      <c r="X76" s="48"/>
      <c r="Y76" s="48"/>
      <c r="Z76" s="48"/>
      <c r="AA76" s="48"/>
      <c r="AB76" s="48"/>
      <c r="AC76" s="48"/>
    </row>
    <row r="77" spans="1:29" ht="15.75" customHeight="1">
      <c r="A77" s="307">
        <v>37</v>
      </c>
      <c r="B77" s="307" t="s">
        <v>252</v>
      </c>
      <c r="C77" s="307" t="s">
        <v>234</v>
      </c>
      <c r="D77" s="308">
        <v>32525</v>
      </c>
      <c r="E77" s="48" t="s">
        <v>949</v>
      </c>
      <c r="F77" s="105">
        <v>0</v>
      </c>
      <c r="G77" s="49">
        <v>1</v>
      </c>
      <c r="H77" s="105">
        <v>2</v>
      </c>
      <c r="I77" s="48">
        <v>0</v>
      </c>
      <c r="J77" s="48">
        <v>0</v>
      </c>
      <c r="K77" s="105">
        <v>0</v>
      </c>
      <c r="L77" s="48">
        <v>0</v>
      </c>
      <c r="M77" s="105">
        <v>3</v>
      </c>
      <c r="N77" s="48">
        <v>0</v>
      </c>
      <c r="O77" s="48">
        <v>0</v>
      </c>
      <c r="P77" s="48">
        <v>0</v>
      </c>
      <c r="Q77" s="48">
        <v>0</v>
      </c>
      <c r="R77" s="48"/>
      <c r="S77" s="48"/>
      <c r="T77" s="48"/>
      <c r="U77" s="48"/>
      <c r="V77" s="48"/>
      <c r="W77" s="48"/>
      <c r="X77" s="48"/>
      <c r="Y77" s="48"/>
      <c r="Z77" s="48"/>
      <c r="AA77" s="48"/>
      <c r="AB77" s="48"/>
      <c r="AC77" s="48"/>
    </row>
    <row r="78" spans="1:29" ht="15.75" customHeight="1">
      <c r="A78" s="309">
        <v>38</v>
      </c>
      <c r="B78" s="309" t="s">
        <v>257</v>
      </c>
      <c r="C78" s="309" t="s">
        <v>122</v>
      </c>
      <c r="D78" s="310">
        <v>32765</v>
      </c>
      <c r="E78" s="48" t="s">
        <v>950</v>
      </c>
      <c r="F78" s="105">
        <v>3</v>
      </c>
      <c r="G78" s="49">
        <v>1</v>
      </c>
      <c r="H78" s="48">
        <v>0</v>
      </c>
      <c r="I78" s="48">
        <v>0</v>
      </c>
      <c r="J78" s="48">
        <v>0</v>
      </c>
      <c r="K78" s="105">
        <v>1</v>
      </c>
      <c r="L78" s="105">
        <v>1</v>
      </c>
      <c r="M78" s="48">
        <v>0</v>
      </c>
      <c r="N78" s="48">
        <v>0</v>
      </c>
      <c r="O78" s="48">
        <v>0</v>
      </c>
      <c r="P78" s="48">
        <v>0</v>
      </c>
      <c r="Q78" s="48">
        <v>0</v>
      </c>
      <c r="R78" s="48"/>
      <c r="S78" s="48"/>
      <c r="T78" s="48"/>
      <c r="U78" s="48"/>
      <c r="V78" s="48"/>
      <c r="W78" s="48"/>
      <c r="X78" s="48"/>
      <c r="Y78" s="48"/>
      <c r="Z78" s="48"/>
      <c r="AA78" s="48"/>
      <c r="AB78" s="48"/>
      <c r="AC78" s="48"/>
    </row>
    <row r="79" spans="1:29" ht="15.75" customHeight="1">
      <c r="A79" s="309">
        <v>38</v>
      </c>
      <c r="B79" s="309" t="s">
        <v>257</v>
      </c>
      <c r="C79" s="309" t="s">
        <v>122</v>
      </c>
      <c r="D79" s="310">
        <v>32765</v>
      </c>
      <c r="E79" s="48" t="s">
        <v>950</v>
      </c>
      <c r="F79" s="105">
        <v>3</v>
      </c>
      <c r="G79" s="49">
        <v>1</v>
      </c>
      <c r="H79" s="48">
        <v>0</v>
      </c>
      <c r="I79" s="48">
        <v>0</v>
      </c>
      <c r="J79" s="48">
        <v>0</v>
      </c>
      <c r="K79" s="105">
        <v>1</v>
      </c>
      <c r="L79" s="105">
        <v>1</v>
      </c>
      <c r="M79" s="48">
        <v>0</v>
      </c>
      <c r="N79" s="48">
        <v>0</v>
      </c>
      <c r="O79" s="48">
        <v>0</v>
      </c>
      <c r="P79" s="48">
        <v>0</v>
      </c>
      <c r="Q79" s="48">
        <v>0</v>
      </c>
      <c r="R79" s="48"/>
      <c r="S79" s="48"/>
      <c r="T79" s="48"/>
      <c r="U79" s="48"/>
      <c r="V79" s="48"/>
      <c r="W79" s="48"/>
      <c r="X79" s="48"/>
      <c r="Y79" s="48"/>
      <c r="Z79" s="48"/>
      <c r="AA79" s="48"/>
      <c r="AB79" s="48"/>
      <c r="AC79" s="48"/>
    </row>
    <row r="80" spans="1:29" ht="15.75" customHeight="1">
      <c r="A80" s="309">
        <v>38</v>
      </c>
      <c r="B80" s="309" t="s">
        <v>257</v>
      </c>
      <c r="C80" s="309" t="s">
        <v>122</v>
      </c>
      <c r="D80" s="310">
        <v>32765</v>
      </c>
      <c r="E80" s="48" t="s">
        <v>951</v>
      </c>
      <c r="F80" s="105" t="str">
        <f t="shared" ref="F80:F81" si="20">HYPERLINK("https://www.nytimes.com/1989/09/16/us/disturbed-past-of-killer-of-7-is-unraveled.html","0")</f>
        <v>0</v>
      </c>
      <c r="G80" s="49">
        <v>1</v>
      </c>
      <c r="H80" s="48">
        <v>0</v>
      </c>
      <c r="I80" s="48">
        <v>0</v>
      </c>
      <c r="J80" s="48" t="s">
        <v>100</v>
      </c>
      <c r="K80" s="105">
        <v>1</v>
      </c>
      <c r="L80" s="105">
        <v>1</v>
      </c>
      <c r="M80" s="48">
        <v>0</v>
      </c>
      <c r="N80" s="48">
        <v>0</v>
      </c>
      <c r="O80" s="48">
        <v>0</v>
      </c>
      <c r="P80" s="48">
        <v>0</v>
      </c>
      <c r="Q80" s="48">
        <v>0</v>
      </c>
      <c r="R80" s="48"/>
      <c r="S80" s="48"/>
      <c r="T80" s="48"/>
      <c r="U80" s="48"/>
      <c r="V80" s="48"/>
      <c r="W80" s="48"/>
      <c r="X80" s="48"/>
      <c r="Y80" s="48"/>
      <c r="Z80" s="48"/>
      <c r="AA80" s="48"/>
      <c r="AB80" s="48"/>
      <c r="AC80" s="48"/>
    </row>
    <row r="81" spans="1:29" ht="15.75" customHeight="1">
      <c r="A81" s="309">
        <v>38</v>
      </c>
      <c r="B81" s="309" t="s">
        <v>257</v>
      </c>
      <c r="C81" s="309" t="s">
        <v>122</v>
      </c>
      <c r="D81" s="310">
        <v>32765</v>
      </c>
      <c r="E81" s="48" t="s">
        <v>952</v>
      </c>
      <c r="F81" s="105" t="str">
        <f t="shared" si="20"/>
        <v>0</v>
      </c>
      <c r="G81" s="49">
        <v>1</v>
      </c>
      <c r="H81" s="105">
        <v>2</v>
      </c>
      <c r="I81" s="48">
        <v>0</v>
      </c>
      <c r="J81" s="48">
        <v>0</v>
      </c>
      <c r="K81" s="105">
        <v>1</v>
      </c>
      <c r="L81" s="105">
        <v>1</v>
      </c>
      <c r="M81" s="48">
        <v>0</v>
      </c>
      <c r="N81" s="48">
        <v>0</v>
      </c>
      <c r="O81" s="48">
        <v>0</v>
      </c>
      <c r="P81" s="48">
        <v>0</v>
      </c>
      <c r="Q81" s="48">
        <v>0</v>
      </c>
      <c r="R81" s="48"/>
      <c r="S81" s="48"/>
      <c r="T81" s="48"/>
      <c r="U81" s="48"/>
      <c r="V81" s="48"/>
      <c r="W81" s="48"/>
      <c r="X81" s="48"/>
      <c r="Y81" s="48"/>
      <c r="Z81" s="48"/>
      <c r="AA81" s="48"/>
      <c r="AB81" s="48"/>
      <c r="AC81" s="48"/>
    </row>
    <row r="82" spans="1:29" ht="15.75" customHeight="1">
      <c r="A82" s="309">
        <v>38</v>
      </c>
      <c r="B82" s="309" t="s">
        <v>257</v>
      </c>
      <c r="C82" s="309" t="s">
        <v>122</v>
      </c>
      <c r="D82" s="310">
        <v>32765</v>
      </c>
      <c r="E82" s="48" t="s">
        <v>953</v>
      </c>
      <c r="F82" s="105" t="str">
        <f>HYPERLINK("https://www.nytimes.com/1989/09/16/us/disturbed-past-of-killer-of-7-is-unraveled.html","3")</f>
        <v>3</v>
      </c>
      <c r="G82" s="49">
        <v>2</v>
      </c>
      <c r="H82" s="105">
        <v>1</v>
      </c>
      <c r="I82" s="105">
        <v>0</v>
      </c>
      <c r="J82" s="48">
        <v>0</v>
      </c>
      <c r="K82" s="105">
        <v>1</v>
      </c>
      <c r="L82" s="105">
        <v>1</v>
      </c>
      <c r="M82" s="48">
        <v>0</v>
      </c>
      <c r="N82" s="48">
        <v>0</v>
      </c>
      <c r="O82" s="48">
        <v>0</v>
      </c>
      <c r="P82" s="48">
        <v>0</v>
      </c>
      <c r="Q82" s="48">
        <v>0</v>
      </c>
      <c r="R82" s="48"/>
      <c r="S82" s="48"/>
      <c r="T82" s="48"/>
      <c r="U82" s="48"/>
      <c r="V82" s="48"/>
      <c r="W82" s="48"/>
      <c r="X82" s="48"/>
      <c r="Y82" s="48"/>
      <c r="Z82" s="48"/>
      <c r="AA82" s="48"/>
      <c r="AB82" s="48"/>
      <c r="AC82" s="48"/>
    </row>
    <row r="83" spans="1:29" ht="15.75" customHeight="1">
      <c r="A83" s="311">
        <v>39</v>
      </c>
      <c r="B83" s="311" t="s">
        <v>260</v>
      </c>
      <c r="C83" s="311" t="s">
        <v>221</v>
      </c>
      <c r="D83" s="312">
        <v>33042</v>
      </c>
      <c r="E83" s="48" t="s">
        <v>954</v>
      </c>
      <c r="F83" s="105">
        <v>2</v>
      </c>
      <c r="G83" s="49">
        <v>2</v>
      </c>
      <c r="H83" s="105">
        <v>1</v>
      </c>
      <c r="I83" s="48">
        <v>0</v>
      </c>
      <c r="J83" s="48">
        <v>0</v>
      </c>
      <c r="K83" s="48"/>
      <c r="L83" s="48">
        <v>0</v>
      </c>
      <c r="M83" s="105">
        <v>1</v>
      </c>
      <c r="N83" s="48">
        <v>0</v>
      </c>
      <c r="O83" s="48">
        <v>0</v>
      </c>
      <c r="P83" s="48">
        <v>0</v>
      </c>
      <c r="Q83" s="48">
        <v>0</v>
      </c>
      <c r="R83" s="105" t="s">
        <v>956</v>
      </c>
      <c r="S83" s="48"/>
      <c r="T83" s="48"/>
      <c r="U83" s="48"/>
      <c r="V83" s="48"/>
      <c r="W83" s="48"/>
      <c r="X83" s="48"/>
      <c r="Y83" s="48"/>
      <c r="Z83" s="48"/>
      <c r="AA83" s="48"/>
      <c r="AB83" s="48"/>
      <c r="AC83" s="48"/>
    </row>
    <row r="84" spans="1:29" ht="15.75" customHeight="1">
      <c r="A84" s="311">
        <v>39</v>
      </c>
      <c r="B84" s="311" t="s">
        <v>260</v>
      </c>
      <c r="C84" s="311" t="s">
        <v>221</v>
      </c>
      <c r="D84" s="312">
        <v>33042</v>
      </c>
      <c r="E84" s="48" t="s">
        <v>955</v>
      </c>
      <c r="F84" s="105">
        <v>0</v>
      </c>
      <c r="G84" s="49">
        <v>1</v>
      </c>
      <c r="H84" s="105">
        <v>2</v>
      </c>
      <c r="I84" s="48">
        <v>0</v>
      </c>
      <c r="J84" s="48" t="s">
        <v>100</v>
      </c>
      <c r="K84" s="105">
        <v>1</v>
      </c>
      <c r="L84" s="48">
        <v>0</v>
      </c>
      <c r="M84" s="105">
        <v>1</v>
      </c>
      <c r="N84" s="48">
        <v>0</v>
      </c>
      <c r="O84" s="48">
        <v>0</v>
      </c>
      <c r="P84" s="48">
        <v>0</v>
      </c>
      <c r="Q84" s="48">
        <v>0</v>
      </c>
      <c r="R84" s="105" t="s">
        <v>956</v>
      </c>
      <c r="S84" s="48"/>
      <c r="T84" s="48"/>
      <c r="U84" s="48"/>
      <c r="V84" s="48"/>
      <c r="W84" s="48"/>
      <c r="X84" s="48"/>
      <c r="Y84" s="48"/>
      <c r="Z84" s="48"/>
      <c r="AA84" s="48"/>
      <c r="AB84" s="48"/>
      <c r="AC84" s="48"/>
    </row>
    <row r="85" spans="1:29" ht="15.75" customHeight="1">
      <c r="A85" s="311">
        <v>39</v>
      </c>
      <c r="B85" s="311" t="s">
        <v>260</v>
      </c>
      <c r="C85" s="311" t="s">
        <v>221</v>
      </c>
      <c r="D85" s="312">
        <v>33042</v>
      </c>
      <c r="E85" s="48" t="s">
        <v>957</v>
      </c>
      <c r="F85" s="105">
        <v>3</v>
      </c>
      <c r="G85" s="49">
        <v>1</v>
      </c>
      <c r="H85" s="105">
        <v>0</v>
      </c>
      <c r="I85" s="48">
        <v>0</v>
      </c>
      <c r="J85" s="48">
        <v>0</v>
      </c>
      <c r="K85" s="105"/>
      <c r="L85" s="48">
        <v>0</v>
      </c>
      <c r="M85" s="105">
        <v>1</v>
      </c>
      <c r="N85" s="48">
        <v>0</v>
      </c>
      <c r="O85" s="48">
        <v>0</v>
      </c>
      <c r="P85" s="48">
        <v>0</v>
      </c>
      <c r="Q85" s="48">
        <v>0</v>
      </c>
      <c r="R85" s="105" t="s">
        <v>956</v>
      </c>
      <c r="S85" s="48"/>
      <c r="T85" s="48"/>
      <c r="U85" s="48"/>
      <c r="V85" s="48"/>
      <c r="W85" s="48"/>
      <c r="X85" s="48"/>
      <c r="Y85" s="48"/>
      <c r="Z85" s="48"/>
      <c r="AA85" s="48"/>
      <c r="AB85" s="48"/>
      <c r="AC85" s="48"/>
    </row>
    <row r="86" spans="1:29" ht="15.75" customHeight="1">
      <c r="A86" s="313">
        <v>40</v>
      </c>
      <c r="B86" s="313" t="s">
        <v>263</v>
      </c>
      <c r="C86" s="313" t="s">
        <v>122</v>
      </c>
      <c r="D86" s="314">
        <v>33521</v>
      </c>
      <c r="E86" s="48" t="s">
        <v>958</v>
      </c>
      <c r="F86" s="105">
        <v>3</v>
      </c>
      <c r="G86" s="49">
        <v>0</v>
      </c>
      <c r="H86" s="48">
        <v>1</v>
      </c>
      <c r="I86" s="105">
        <v>1</v>
      </c>
      <c r="J86" s="48">
        <v>0</v>
      </c>
      <c r="K86" s="105">
        <v>1</v>
      </c>
      <c r="L86" s="48"/>
      <c r="M86" s="48"/>
      <c r="N86" s="48"/>
      <c r="O86" s="48"/>
      <c r="P86" s="48"/>
      <c r="Q86" s="48">
        <v>1</v>
      </c>
      <c r="R86" s="48"/>
      <c r="S86" s="48"/>
      <c r="T86" s="48"/>
      <c r="U86" s="48"/>
      <c r="V86" s="48"/>
      <c r="W86" s="48"/>
      <c r="X86" s="48"/>
      <c r="Y86" s="48"/>
      <c r="Z86" s="48"/>
      <c r="AA86" s="48"/>
      <c r="AB86" s="48"/>
      <c r="AC86" s="48"/>
    </row>
    <row r="87" spans="1:29" ht="15.75" customHeight="1">
      <c r="A87" s="313">
        <v>40</v>
      </c>
      <c r="B87" s="313" t="s">
        <v>263</v>
      </c>
      <c r="C87" s="313" t="s">
        <v>122</v>
      </c>
      <c r="D87" s="314">
        <v>33521</v>
      </c>
      <c r="E87" s="48" t="s">
        <v>959</v>
      </c>
      <c r="F87" s="105">
        <v>3</v>
      </c>
      <c r="G87" s="49">
        <v>1</v>
      </c>
      <c r="H87" s="48">
        <v>1</v>
      </c>
      <c r="I87" s="48">
        <v>0</v>
      </c>
      <c r="J87" s="48">
        <v>0</v>
      </c>
      <c r="K87" s="105">
        <v>1</v>
      </c>
      <c r="L87" s="48"/>
      <c r="M87" s="48"/>
      <c r="N87" s="48"/>
      <c r="O87" s="48"/>
      <c r="P87" s="48"/>
      <c r="Q87" s="48">
        <v>1</v>
      </c>
      <c r="R87" s="48"/>
      <c r="S87" s="48"/>
      <c r="T87" s="48"/>
      <c r="U87" s="48"/>
      <c r="V87" s="48"/>
      <c r="W87" s="48"/>
      <c r="X87" s="48"/>
      <c r="Y87" s="48"/>
      <c r="Z87" s="48"/>
      <c r="AA87" s="48"/>
      <c r="AB87" s="48"/>
      <c r="AC87" s="48"/>
    </row>
    <row r="88" spans="1:29" ht="15.75" customHeight="1">
      <c r="A88" s="305">
        <v>41</v>
      </c>
      <c r="B88" s="305" t="s">
        <v>267</v>
      </c>
      <c r="C88" s="305" t="s">
        <v>268</v>
      </c>
      <c r="D88" s="306">
        <v>33527</v>
      </c>
      <c r="E88" s="48" t="s">
        <v>960</v>
      </c>
      <c r="F88" s="105">
        <v>0</v>
      </c>
      <c r="G88" s="49">
        <v>1</v>
      </c>
      <c r="H88" s="105">
        <v>1</v>
      </c>
      <c r="I88" s="48">
        <v>0</v>
      </c>
      <c r="J88" s="105">
        <v>0</v>
      </c>
      <c r="K88" s="105">
        <v>1</v>
      </c>
      <c r="L88" s="105">
        <v>1</v>
      </c>
      <c r="M88" s="48">
        <v>0</v>
      </c>
      <c r="N88" s="48">
        <v>0</v>
      </c>
      <c r="O88" s="48">
        <v>0</v>
      </c>
      <c r="P88" s="48">
        <v>0</v>
      </c>
      <c r="Q88" s="48">
        <v>0</v>
      </c>
      <c r="R88" s="48"/>
      <c r="S88" s="48"/>
      <c r="T88" s="48"/>
      <c r="U88" s="48"/>
      <c r="V88" s="48"/>
      <c r="W88" s="48"/>
      <c r="X88" s="48"/>
      <c r="Y88" s="48"/>
      <c r="Z88" s="48"/>
      <c r="AA88" s="48"/>
      <c r="AB88" s="48"/>
      <c r="AC88" s="48"/>
    </row>
    <row r="89" spans="1:29" ht="15.75" customHeight="1">
      <c r="A89" s="305">
        <v>41</v>
      </c>
      <c r="B89" s="305" t="s">
        <v>267</v>
      </c>
      <c r="C89" s="305" t="s">
        <v>268</v>
      </c>
      <c r="D89" s="306">
        <v>33527</v>
      </c>
      <c r="E89" s="48" t="s">
        <v>961</v>
      </c>
      <c r="F89" s="105">
        <v>0</v>
      </c>
      <c r="G89" s="49">
        <v>1</v>
      </c>
      <c r="H89" s="105">
        <v>1</v>
      </c>
      <c r="I89" s="48">
        <v>0</v>
      </c>
      <c r="J89" s="105">
        <v>0</v>
      </c>
      <c r="K89" s="105">
        <v>1</v>
      </c>
      <c r="L89" s="105">
        <v>1</v>
      </c>
      <c r="M89" s="48">
        <v>0</v>
      </c>
      <c r="N89" s="48">
        <v>0</v>
      </c>
      <c r="O89" s="48">
        <v>0</v>
      </c>
      <c r="P89" s="48">
        <v>0</v>
      </c>
      <c r="Q89" s="48">
        <v>0</v>
      </c>
      <c r="R89" s="48"/>
      <c r="S89" s="48"/>
      <c r="T89" s="48"/>
      <c r="U89" s="48"/>
      <c r="V89" s="48"/>
      <c r="W89" s="48"/>
      <c r="X89" s="48"/>
      <c r="Y89" s="48"/>
      <c r="Z89" s="48"/>
      <c r="AA89" s="48"/>
      <c r="AB89" s="48"/>
      <c r="AC89" s="48"/>
    </row>
    <row r="90" spans="1:29" ht="15.75" customHeight="1">
      <c r="A90" s="307">
        <v>42</v>
      </c>
      <c r="B90" s="307" t="s">
        <v>272</v>
      </c>
      <c r="C90" s="307" t="s">
        <v>273</v>
      </c>
      <c r="D90" s="308">
        <v>33543</v>
      </c>
      <c r="E90" s="48" t="s">
        <v>962</v>
      </c>
      <c r="F90" s="105">
        <v>0</v>
      </c>
      <c r="G90" s="49">
        <v>1</v>
      </c>
      <c r="H90" s="105">
        <v>1</v>
      </c>
      <c r="I90" s="48">
        <v>0</v>
      </c>
      <c r="J90" s="48" t="s">
        <v>100</v>
      </c>
      <c r="K90" s="105">
        <v>1</v>
      </c>
      <c r="L90" s="105">
        <v>1</v>
      </c>
      <c r="M90" s="48">
        <v>0</v>
      </c>
      <c r="N90" s="48">
        <v>0</v>
      </c>
      <c r="O90" s="48">
        <v>0</v>
      </c>
      <c r="P90" s="48">
        <v>0</v>
      </c>
      <c r="Q90" s="48">
        <v>0</v>
      </c>
      <c r="R90" s="48"/>
      <c r="S90" s="48"/>
      <c r="T90" s="48"/>
      <c r="U90" s="48"/>
      <c r="V90" s="48"/>
      <c r="W90" s="48"/>
      <c r="X90" s="48"/>
      <c r="Y90" s="48"/>
      <c r="Z90" s="48"/>
      <c r="AA90" s="48"/>
      <c r="AB90" s="48"/>
      <c r="AC90" s="48"/>
    </row>
    <row r="91" spans="1:29" ht="15.75" customHeight="1">
      <c r="A91" s="307">
        <v>42</v>
      </c>
      <c r="B91" s="307" t="s">
        <v>272</v>
      </c>
      <c r="C91" s="307" t="s">
        <v>273</v>
      </c>
      <c r="D91" s="308">
        <v>33543</v>
      </c>
      <c r="E91" s="48" t="s">
        <v>813</v>
      </c>
      <c r="F91" s="105" t="str">
        <f>HYPERLINK("https://www.nytimes.com/1991/11/03/us/gunman-in-iowa-wrote-of-plans-in-five-letters.html","0")</f>
        <v>0</v>
      </c>
      <c r="G91" s="49">
        <v>0</v>
      </c>
      <c r="H91" s="105">
        <v>0</v>
      </c>
      <c r="I91" s="48">
        <v>0</v>
      </c>
      <c r="J91" s="48">
        <v>0</v>
      </c>
      <c r="K91" s="105">
        <v>1</v>
      </c>
      <c r="L91" s="105">
        <v>1</v>
      </c>
      <c r="M91" s="48">
        <v>0</v>
      </c>
      <c r="N91" s="48">
        <v>0</v>
      </c>
      <c r="O91" s="48">
        <v>0</v>
      </c>
      <c r="P91" s="48">
        <v>0</v>
      </c>
      <c r="Q91" s="48">
        <v>0</v>
      </c>
      <c r="R91" s="48"/>
      <c r="S91" s="48"/>
      <c r="T91" s="48"/>
      <c r="U91" s="48"/>
      <c r="V91" s="48"/>
      <c r="W91" s="48"/>
      <c r="X91" s="48"/>
      <c r="Y91" s="48"/>
      <c r="Z91" s="48"/>
      <c r="AA91" s="48"/>
      <c r="AB91" s="48"/>
      <c r="AC91" s="48"/>
    </row>
    <row r="92" spans="1:29" ht="15.75" customHeight="1">
      <c r="A92" s="309">
        <v>43</v>
      </c>
      <c r="B92" s="309" t="s">
        <v>276</v>
      </c>
      <c r="C92" s="309" t="s">
        <v>102</v>
      </c>
      <c r="D92" s="310">
        <v>33551</v>
      </c>
      <c r="E92" s="48" t="s">
        <v>836</v>
      </c>
      <c r="F92" s="105" t="str">
        <f>HYPERLINK("https://www.washingtonpost.com/archive/politics/1991/11/11/gunman-kills-four-and-self-in-kentucky/c3111990-c0ec-48f8-9200-4fa837a1dba4/?utm_term=.cf2a79e6aed7","0")</f>
        <v>0</v>
      </c>
      <c r="G92" s="49">
        <v>1</v>
      </c>
      <c r="H92" s="105">
        <v>1</v>
      </c>
      <c r="I92" s="48">
        <v>0</v>
      </c>
      <c r="J92" s="48" t="s">
        <v>100</v>
      </c>
      <c r="K92" s="48"/>
      <c r="L92" s="105">
        <v>2</v>
      </c>
      <c r="M92" s="48">
        <v>0</v>
      </c>
      <c r="N92" s="48">
        <v>0</v>
      </c>
      <c r="O92" s="48">
        <v>0</v>
      </c>
      <c r="P92" s="48">
        <v>0</v>
      </c>
      <c r="Q92" s="48">
        <v>0</v>
      </c>
      <c r="R92" s="48"/>
      <c r="S92" s="48"/>
      <c r="T92" s="48"/>
      <c r="U92" s="48"/>
      <c r="V92" s="48"/>
      <c r="W92" s="48"/>
      <c r="X92" s="48"/>
      <c r="Y92" s="48"/>
      <c r="Z92" s="48"/>
      <c r="AA92" s="48"/>
      <c r="AB92" s="48"/>
      <c r="AC92" s="48"/>
    </row>
    <row r="93" spans="1:29" ht="15.75" customHeight="1">
      <c r="A93" s="311">
        <v>44</v>
      </c>
      <c r="B93" s="311" t="s">
        <v>280</v>
      </c>
      <c r="C93" s="311" t="s">
        <v>281</v>
      </c>
      <c r="D93" s="312">
        <v>33556</v>
      </c>
      <c r="E93" s="48" t="s">
        <v>838</v>
      </c>
      <c r="F93" s="105" t="str">
        <f>HYPERLINK("https://www.latimes.com/archives/la-xpm-1991-11-15-mn-1435-story.html","2")</f>
        <v>2</v>
      </c>
      <c r="G93" s="49">
        <v>0</v>
      </c>
      <c r="H93" s="105">
        <v>1</v>
      </c>
      <c r="I93" s="105">
        <v>1</v>
      </c>
      <c r="J93" s="315">
        <v>1</v>
      </c>
      <c r="K93" s="105">
        <v>1</v>
      </c>
      <c r="L93" s="48">
        <v>0</v>
      </c>
      <c r="M93" s="105">
        <v>3</v>
      </c>
      <c r="N93" s="48">
        <v>0</v>
      </c>
      <c r="O93" s="48">
        <v>0</v>
      </c>
      <c r="P93" s="48">
        <v>0</v>
      </c>
      <c r="Q93" s="48">
        <v>0</v>
      </c>
      <c r="R93" s="48"/>
      <c r="S93" s="48"/>
      <c r="T93" s="48"/>
      <c r="U93" s="48"/>
      <c r="V93" s="48"/>
      <c r="W93" s="48"/>
      <c r="X93" s="48"/>
      <c r="Y93" s="48"/>
      <c r="Z93" s="48"/>
      <c r="AA93" s="48"/>
      <c r="AB93" s="48"/>
      <c r="AC93" s="48"/>
    </row>
    <row r="94" spans="1:29" ht="15.75" customHeight="1">
      <c r="A94" s="313">
        <v>45</v>
      </c>
      <c r="B94" s="313" t="s">
        <v>285</v>
      </c>
      <c r="C94" s="313" t="s">
        <v>2996</v>
      </c>
      <c r="D94" s="314">
        <v>33678</v>
      </c>
      <c r="E94" s="48" t="s">
        <v>839</v>
      </c>
      <c r="F94" s="105" t="str">
        <f>HYPERLINK("https://caselaw.findlaw.com/az-supreme-court/1250801.html","0")</f>
        <v>0</v>
      </c>
      <c r="G94" s="49"/>
      <c r="H94" s="105">
        <v>1</v>
      </c>
      <c r="I94" s="48">
        <v>0</v>
      </c>
      <c r="J94" s="48">
        <v>0</v>
      </c>
      <c r="K94" s="48"/>
      <c r="L94" s="48"/>
      <c r="M94" s="48"/>
      <c r="N94" s="48"/>
      <c r="O94" s="48"/>
      <c r="P94" s="48"/>
      <c r="Q94" s="48">
        <v>1</v>
      </c>
      <c r="R94" s="48"/>
      <c r="S94" s="48"/>
      <c r="T94" s="48"/>
      <c r="U94" s="48"/>
      <c r="V94" s="48"/>
      <c r="W94" s="48"/>
      <c r="X94" s="48"/>
      <c r="Y94" s="48"/>
      <c r="Z94" s="48"/>
      <c r="AA94" s="48"/>
      <c r="AB94" s="48"/>
      <c r="AC94" s="48"/>
    </row>
    <row r="95" spans="1:29" ht="15.75" customHeight="1">
      <c r="A95" s="305">
        <v>46</v>
      </c>
      <c r="B95" s="305" t="s">
        <v>288</v>
      </c>
      <c r="C95" s="305" t="s">
        <v>114</v>
      </c>
      <c r="D95" s="306">
        <v>33725</v>
      </c>
      <c r="E95" s="48" t="s">
        <v>963</v>
      </c>
      <c r="F95" s="105" t="str">
        <f>HYPERLINK("https://www.sacbee.com/news/local/history/article146987224.html","2")</f>
        <v>2</v>
      </c>
      <c r="G95" s="49">
        <v>0</v>
      </c>
      <c r="H95" s="105">
        <v>1</v>
      </c>
      <c r="I95" s="105">
        <v>1</v>
      </c>
      <c r="J95" s="48">
        <v>0</v>
      </c>
      <c r="K95" s="105">
        <v>1</v>
      </c>
      <c r="L95" s="105">
        <v>1</v>
      </c>
      <c r="M95" s="48">
        <v>0</v>
      </c>
      <c r="N95" s="48">
        <v>0</v>
      </c>
      <c r="O95" s="48">
        <v>0</v>
      </c>
      <c r="P95" s="48">
        <v>0</v>
      </c>
      <c r="Q95" s="48">
        <v>0</v>
      </c>
      <c r="R95" s="48"/>
      <c r="S95" s="48"/>
      <c r="T95" s="48"/>
      <c r="U95" s="48"/>
      <c r="V95" s="48"/>
      <c r="W95" s="48"/>
      <c r="X95" s="48"/>
      <c r="Y95" s="48"/>
      <c r="Z95" s="48"/>
      <c r="AA95" s="48"/>
      <c r="AB95" s="48"/>
      <c r="AC95" s="48"/>
    </row>
    <row r="96" spans="1:29" ht="15.75" customHeight="1">
      <c r="A96" s="305">
        <v>46</v>
      </c>
      <c r="B96" s="305" t="s">
        <v>288</v>
      </c>
      <c r="C96" s="305" t="s">
        <v>114</v>
      </c>
      <c r="D96" s="306">
        <v>33725</v>
      </c>
      <c r="E96" s="48" t="s">
        <v>964</v>
      </c>
      <c r="F96" s="105">
        <v>1</v>
      </c>
      <c r="G96" s="49">
        <v>2</v>
      </c>
      <c r="H96" s="105">
        <v>1</v>
      </c>
      <c r="I96" s="48">
        <v>0</v>
      </c>
      <c r="J96" s="48" t="s">
        <v>100</v>
      </c>
      <c r="K96" s="105">
        <v>1</v>
      </c>
      <c r="L96" s="105">
        <v>1</v>
      </c>
      <c r="M96" s="48">
        <v>0</v>
      </c>
      <c r="N96" s="48">
        <v>0</v>
      </c>
      <c r="O96" s="48">
        <v>0</v>
      </c>
      <c r="P96" s="48">
        <v>0</v>
      </c>
      <c r="Q96" s="48">
        <v>0</v>
      </c>
      <c r="R96" s="48"/>
      <c r="S96" s="48"/>
      <c r="T96" s="48"/>
      <c r="U96" s="48"/>
      <c r="V96" s="48"/>
      <c r="W96" s="48"/>
      <c r="X96" s="48"/>
      <c r="Y96" s="48"/>
      <c r="Z96" s="48"/>
      <c r="AA96" s="48"/>
      <c r="AB96" s="48"/>
      <c r="AC96" s="48"/>
    </row>
    <row r="97" spans="1:29" ht="15.75" customHeight="1">
      <c r="A97" s="307">
        <v>47</v>
      </c>
      <c r="B97" s="307" t="s">
        <v>293</v>
      </c>
      <c r="C97" s="307" t="s">
        <v>190</v>
      </c>
      <c r="D97" s="308">
        <v>33892</v>
      </c>
      <c r="E97" s="48" t="s">
        <v>841</v>
      </c>
      <c r="F97" s="105">
        <v>0</v>
      </c>
      <c r="G97" s="49">
        <v>1</v>
      </c>
      <c r="H97" s="105">
        <v>1</v>
      </c>
      <c r="I97" s="48">
        <v>0</v>
      </c>
      <c r="J97" s="48">
        <v>0</v>
      </c>
      <c r="K97" s="105">
        <v>1</v>
      </c>
      <c r="L97" s="48">
        <v>0</v>
      </c>
      <c r="M97" s="105">
        <v>6</v>
      </c>
      <c r="N97" s="48">
        <v>0</v>
      </c>
      <c r="O97" s="48">
        <v>0</v>
      </c>
      <c r="P97" s="48">
        <v>0</v>
      </c>
      <c r="Q97" s="48">
        <v>0</v>
      </c>
      <c r="R97" s="48"/>
      <c r="S97" s="48"/>
      <c r="T97" s="48"/>
      <c r="U97" s="48"/>
      <c r="V97" s="48"/>
      <c r="W97" s="48"/>
      <c r="X97" s="48"/>
      <c r="Y97" s="48"/>
      <c r="Z97" s="48"/>
      <c r="AA97" s="48"/>
      <c r="AB97" s="48"/>
      <c r="AC97" s="48"/>
    </row>
    <row r="98" spans="1:29" ht="15.75" customHeight="1">
      <c r="A98" s="309">
        <v>48</v>
      </c>
      <c r="B98" s="309" t="s">
        <v>296</v>
      </c>
      <c r="C98" s="309" t="s">
        <v>297</v>
      </c>
      <c r="D98" s="310">
        <v>33916</v>
      </c>
      <c r="E98" s="48" t="s">
        <v>965</v>
      </c>
      <c r="F98" s="315">
        <v>0</v>
      </c>
      <c r="G98" s="49">
        <v>0</v>
      </c>
      <c r="H98" s="105">
        <v>1</v>
      </c>
      <c r="I98" s="48">
        <v>0</v>
      </c>
      <c r="J98" s="48" t="s">
        <v>100</v>
      </c>
      <c r="K98" s="105">
        <v>0</v>
      </c>
      <c r="L98" s="48"/>
      <c r="M98" s="48"/>
      <c r="N98" s="48"/>
      <c r="O98" s="48"/>
      <c r="P98" s="48"/>
      <c r="Q98" s="48">
        <v>1</v>
      </c>
      <c r="R98" s="48"/>
      <c r="S98" s="48"/>
      <c r="T98" s="48"/>
      <c r="U98" s="48"/>
      <c r="V98" s="48"/>
      <c r="W98" s="48"/>
      <c r="X98" s="48"/>
      <c r="Y98" s="48"/>
      <c r="Z98" s="48"/>
      <c r="AA98" s="48"/>
      <c r="AB98" s="48"/>
      <c r="AC98" s="48"/>
    </row>
    <row r="99" spans="1:29" ht="15.75" customHeight="1">
      <c r="A99" s="309">
        <v>48</v>
      </c>
      <c r="B99" s="309" t="s">
        <v>296</v>
      </c>
      <c r="C99" s="309" t="s">
        <v>297</v>
      </c>
      <c r="D99" s="310">
        <v>33916</v>
      </c>
      <c r="E99" s="48" t="s">
        <v>829</v>
      </c>
      <c r="F99" s="315">
        <v>1</v>
      </c>
      <c r="G99" s="49">
        <v>2</v>
      </c>
      <c r="H99" s="105">
        <v>1</v>
      </c>
      <c r="I99" s="48">
        <v>0</v>
      </c>
      <c r="J99" s="48" t="s">
        <v>100</v>
      </c>
      <c r="K99" s="105">
        <v>0</v>
      </c>
      <c r="L99" s="48"/>
      <c r="M99" s="48"/>
      <c r="N99" s="48"/>
      <c r="O99" s="48"/>
      <c r="P99" s="48"/>
      <c r="Q99" s="48">
        <v>1</v>
      </c>
      <c r="R99" s="48"/>
      <c r="S99" s="48"/>
      <c r="T99" s="48"/>
      <c r="U99" s="48"/>
      <c r="V99" s="48"/>
      <c r="W99" s="48"/>
      <c r="X99" s="48"/>
      <c r="Y99" s="48"/>
      <c r="Z99" s="48"/>
      <c r="AA99" s="48"/>
      <c r="AB99" s="48"/>
      <c r="AC99" s="48"/>
    </row>
    <row r="100" spans="1:29" ht="15.75" customHeight="1">
      <c r="A100" s="311">
        <v>49</v>
      </c>
      <c r="B100" s="311" t="s">
        <v>300</v>
      </c>
      <c r="C100" s="311" t="s">
        <v>301</v>
      </c>
      <c r="D100" s="312">
        <v>34151</v>
      </c>
      <c r="E100" s="48" t="s">
        <v>966</v>
      </c>
      <c r="F100" s="105">
        <v>0</v>
      </c>
      <c r="G100" s="49">
        <v>2</v>
      </c>
      <c r="H100" s="105">
        <v>2</v>
      </c>
      <c r="I100" s="48">
        <v>0</v>
      </c>
      <c r="J100" s="48">
        <v>0</v>
      </c>
      <c r="K100" s="316"/>
      <c r="L100" s="317">
        <v>0</v>
      </c>
      <c r="M100" s="105">
        <v>3</v>
      </c>
      <c r="N100" s="48">
        <v>0</v>
      </c>
      <c r="O100" s="48">
        <v>0</v>
      </c>
      <c r="P100" s="48">
        <v>0</v>
      </c>
      <c r="Q100" s="48">
        <v>0</v>
      </c>
      <c r="R100" s="48"/>
      <c r="S100" s="48"/>
      <c r="T100" s="48"/>
      <c r="U100" s="48"/>
      <c r="V100" s="48"/>
      <c r="W100" s="48"/>
      <c r="X100" s="48"/>
      <c r="Y100" s="48"/>
      <c r="Z100" s="48"/>
      <c r="AA100" s="48"/>
      <c r="AB100" s="48"/>
      <c r="AC100" s="48"/>
    </row>
    <row r="101" spans="1:29" ht="15.75" customHeight="1">
      <c r="A101" s="311">
        <v>49</v>
      </c>
      <c r="B101" s="311" t="s">
        <v>300</v>
      </c>
      <c r="C101" s="311" t="s">
        <v>301</v>
      </c>
      <c r="D101" s="312">
        <v>34151</v>
      </c>
      <c r="E101" s="48" t="s">
        <v>967</v>
      </c>
      <c r="F101" s="105">
        <v>3</v>
      </c>
      <c r="G101" s="49">
        <v>1</v>
      </c>
      <c r="H101" s="105">
        <v>1</v>
      </c>
      <c r="I101" s="105">
        <v>1</v>
      </c>
      <c r="J101" s="105">
        <v>1</v>
      </c>
      <c r="K101" s="105">
        <v>1</v>
      </c>
      <c r="L101" s="105">
        <v>0</v>
      </c>
      <c r="M101" s="105">
        <v>3</v>
      </c>
      <c r="N101" s="48">
        <v>0</v>
      </c>
      <c r="O101" s="48">
        <v>0</v>
      </c>
      <c r="P101" s="48">
        <v>0</v>
      </c>
      <c r="Q101" s="48">
        <v>0</v>
      </c>
      <c r="R101" s="48"/>
      <c r="S101" s="48"/>
      <c r="T101" s="48"/>
      <c r="U101" s="48"/>
      <c r="V101" s="48"/>
      <c r="W101" s="48"/>
      <c r="X101" s="48"/>
      <c r="Y101" s="48"/>
      <c r="Z101" s="48"/>
      <c r="AA101" s="48"/>
      <c r="AB101" s="48"/>
      <c r="AC101" s="48"/>
    </row>
    <row r="102" spans="1:29" ht="15.75" customHeight="1">
      <c r="A102" s="311">
        <v>49</v>
      </c>
      <c r="B102" s="311" t="s">
        <v>300</v>
      </c>
      <c r="C102" s="311" t="s">
        <v>301</v>
      </c>
      <c r="D102" s="312">
        <v>34151</v>
      </c>
      <c r="E102" s="48" t="s">
        <v>967</v>
      </c>
      <c r="F102" s="105">
        <v>3</v>
      </c>
      <c r="G102" s="49">
        <v>1</v>
      </c>
      <c r="H102" s="105">
        <v>1</v>
      </c>
      <c r="I102" s="105">
        <v>1</v>
      </c>
      <c r="J102" s="105">
        <v>1</v>
      </c>
      <c r="K102" s="105">
        <v>1</v>
      </c>
      <c r="L102" s="105">
        <v>0</v>
      </c>
      <c r="M102" s="105">
        <v>3</v>
      </c>
      <c r="N102" s="48">
        <v>0</v>
      </c>
      <c r="O102" s="48">
        <v>0</v>
      </c>
      <c r="P102" s="48">
        <v>0</v>
      </c>
      <c r="Q102" s="48">
        <v>0</v>
      </c>
      <c r="R102" s="48"/>
      <c r="S102" s="48"/>
      <c r="T102" s="48"/>
      <c r="U102" s="48"/>
      <c r="V102" s="48"/>
      <c r="W102" s="48"/>
      <c r="X102" s="48"/>
      <c r="Y102" s="48"/>
      <c r="Z102" s="48"/>
      <c r="AA102" s="48"/>
      <c r="AB102" s="48"/>
      <c r="AC102" s="48"/>
    </row>
    <row r="103" spans="1:29" ht="15.75" customHeight="1">
      <c r="A103" s="313">
        <v>50</v>
      </c>
      <c r="B103" s="313" t="s">
        <v>305</v>
      </c>
      <c r="C103" s="313" t="s">
        <v>306</v>
      </c>
      <c r="D103" s="314">
        <v>34187</v>
      </c>
      <c r="E103" s="48" t="s">
        <v>857</v>
      </c>
      <c r="F103" s="105">
        <v>1</v>
      </c>
      <c r="G103" s="49">
        <v>2</v>
      </c>
      <c r="H103" s="105">
        <v>1</v>
      </c>
      <c r="I103" s="48">
        <v>0</v>
      </c>
      <c r="J103" s="48" t="s">
        <v>100</v>
      </c>
      <c r="K103" s="48"/>
      <c r="L103" s="48"/>
      <c r="M103" s="48"/>
      <c r="N103" s="48"/>
      <c r="O103" s="48"/>
      <c r="P103" s="48"/>
      <c r="Q103" s="48">
        <v>1</v>
      </c>
      <c r="R103" s="48"/>
      <c r="S103" s="48"/>
      <c r="T103" s="48"/>
      <c r="U103" s="48"/>
      <c r="V103" s="48"/>
      <c r="W103" s="48"/>
      <c r="X103" s="48"/>
      <c r="Y103" s="48"/>
      <c r="Z103" s="48"/>
      <c r="AA103" s="48"/>
      <c r="AB103" s="48"/>
      <c r="AC103" s="48"/>
    </row>
    <row r="104" spans="1:29" ht="15.75" customHeight="1">
      <c r="A104" s="313">
        <v>50</v>
      </c>
      <c r="B104" s="313" t="s">
        <v>305</v>
      </c>
      <c r="C104" s="313" t="s">
        <v>306</v>
      </c>
      <c r="D104" s="314">
        <v>34187</v>
      </c>
      <c r="E104" s="48" t="s">
        <v>829</v>
      </c>
      <c r="F104" s="105">
        <v>1</v>
      </c>
      <c r="G104" s="49">
        <v>2</v>
      </c>
      <c r="H104" s="48">
        <v>0</v>
      </c>
      <c r="I104" s="48">
        <v>0</v>
      </c>
      <c r="J104" s="48" t="s">
        <v>100</v>
      </c>
      <c r="K104" s="48"/>
      <c r="L104" s="48"/>
      <c r="M104" s="48"/>
      <c r="N104" s="48"/>
      <c r="O104" s="48"/>
      <c r="P104" s="48"/>
      <c r="Q104" s="48">
        <v>1</v>
      </c>
      <c r="R104" s="48"/>
      <c r="S104" s="48"/>
      <c r="T104" s="48"/>
      <c r="U104" s="48"/>
      <c r="V104" s="48"/>
      <c r="W104" s="48"/>
      <c r="X104" s="48"/>
      <c r="Y104" s="48"/>
      <c r="Z104" s="48"/>
      <c r="AA104" s="48"/>
      <c r="AB104" s="48"/>
      <c r="AC104" s="48"/>
    </row>
    <row r="105" spans="1:29" ht="15.75" customHeight="1">
      <c r="A105" s="313">
        <v>50</v>
      </c>
      <c r="B105" s="313" t="s">
        <v>305</v>
      </c>
      <c r="C105" s="313" t="s">
        <v>306</v>
      </c>
      <c r="D105" s="314">
        <v>34187</v>
      </c>
      <c r="E105" s="48" t="s">
        <v>835</v>
      </c>
      <c r="F105" s="105">
        <v>2</v>
      </c>
      <c r="G105" s="49">
        <v>0</v>
      </c>
      <c r="H105" s="48">
        <v>0</v>
      </c>
      <c r="I105" s="48">
        <v>0</v>
      </c>
      <c r="J105" s="48">
        <v>0</v>
      </c>
      <c r="K105" s="48"/>
      <c r="L105" s="48"/>
      <c r="M105" s="48"/>
      <c r="N105" s="48"/>
      <c r="O105" s="48"/>
      <c r="P105" s="48"/>
      <c r="Q105" s="48">
        <v>1</v>
      </c>
      <c r="R105" s="48"/>
      <c r="S105" s="48"/>
      <c r="T105" s="48"/>
      <c r="U105" s="48"/>
      <c r="V105" s="48"/>
      <c r="W105" s="48"/>
      <c r="X105" s="48"/>
      <c r="Y105" s="48"/>
      <c r="Z105" s="48"/>
      <c r="AA105" s="48"/>
      <c r="AB105" s="48"/>
      <c r="AC105" s="48"/>
    </row>
    <row r="106" spans="1:29" ht="15.75" customHeight="1">
      <c r="A106" s="305">
        <v>51</v>
      </c>
      <c r="B106" s="305" t="s">
        <v>309</v>
      </c>
      <c r="C106" s="305" t="s">
        <v>221</v>
      </c>
      <c r="D106" s="306">
        <v>34256</v>
      </c>
      <c r="E106" s="48" t="s">
        <v>829</v>
      </c>
      <c r="F106" s="105" t="str">
        <f>HYPERLINK("https://www.upi.com/Archives/1993/10/15/Five-dead-in-health-club-shootings/4365750657600/","1")</f>
        <v>1</v>
      </c>
      <c r="G106" s="49">
        <v>2</v>
      </c>
      <c r="H106" s="105">
        <v>1</v>
      </c>
      <c r="I106" s="48">
        <v>0</v>
      </c>
      <c r="J106" s="48" t="s">
        <v>100</v>
      </c>
      <c r="K106" s="105">
        <v>0</v>
      </c>
      <c r="L106" s="105">
        <v>1</v>
      </c>
      <c r="M106" s="48">
        <v>0</v>
      </c>
      <c r="N106" s="48">
        <v>0</v>
      </c>
      <c r="O106" s="48">
        <v>0</v>
      </c>
      <c r="P106" s="48">
        <v>0</v>
      </c>
      <c r="Q106" s="48">
        <v>0</v>
      </c>
      <c r="R106" s="48"/>
      <c r="S106" s="48"/>
      <c r="T106" s="48"/>
      <c r="U106" s="48"/>
      <c r="V106" s="48"/>
      <c r="W106" s="48"/>
      <c r="X106" s="48"/>
      <c r="Y106" s="48"/>
      <c r="Z106" s="48"/>
      <c r="AA106" s="48"/>
      <c r="AB106" s="48"/>
      <c r="AC106" s="48"/>
    </row>
    <row r="107" spans="1:29" ht="15.75" customHeight="1">
      <c r="A107" s="307">
        <v>52</v>
      </c>
      <c r="B107" s="307" t="s">
        <v>312</v>
      </c>
      <c r="C107" s="307" t="s">
        <v>313</v>
      </c>
      <c r="D107" s="308">
        <v>34305</v>
      </c>
      <c r="E107" s="48" t="s">
        <v>829</v>
      </c>
      <c r="F107" s="105">
        <v>1</v>
      </c>
      <c r="G107" s="49">
        <v>2</v>
      </c>
      <c r="H107" s="105">
        <v>1</v>
      </c>
      <c r="I107" s="48">
        <v>0</v>
      </c>
      <c r="J107" s="48" t="s">
        <v>100</v>
      </c>
      <c r="K107" s="105">
        <v>1</v>
      </c>
      <c r="L107" s="105">
        <v>3</v>
      </c>
      <c r="M107" s="48">
        <v>0</v>
      </c>
      <c r="N107" s="48">
        <v>0</v>
      </c>
      <c r="O107" s="48">
        <v>0</v>
      </c>
      <c r="P107" s="48">
        <v>0</v>
      </c>
      <c r="Q107" s="48">
        <v>0</v>
      </c>
      <c r="R107" s="48"/>
      <c r="S107" s="48"/>
      <c r="T107" s="48"/>
      <c r="U107" s="48"/>
      <c r="V107" s="48"/>
      <c r="W107" s="48"/>
      <c r="X107" s="48"/>
      <c r="Y107" s="48"/>
      <c r="Z107" s="48"/>
      <c r="AA107" s="48"/>
      <c r="AB107" s="48"/>
      <c r="AC107" s="48"/>
    </row>
    <row r="108" spans="1:29" ht="15.75" customHeight="1">
      <c r="A108" s="307">
        <v>52</v>
      </c>
      <c r="B108" s="307" t="s">
        <v>312</v>
      </c>
      <c r="C108" s="307" t="s">
        <v>313</v>
      </c>
      <c r="D108" s="308">
        <v>34305</v>
      </c>
      <c r="E108" s="48" t="s">
        <v>968</v>
      </c>
      <c r="F108" s="105">
        <v>0</v>
      </c>
      <c r="G108" s="49">
        <v>2</v>
      </c>
      <c r="H108" s="105">
        <v>1</v>
      </c>
      <c r="I108" s="48">
        <v>0</v>
      </c>
      <c r="J108" s="48" t="s">
        <v>100</v>
      </c>
      <c r="K108" s="105">
        <v>1</v>
      </c>
      <c r="L108" s="105">
        <v>3</v>
      </c>
      <c r="M108" s="48">
        <v>0</v>
      </c>
      <c r="N108" s="48">
        <v>0</v>
      </c>
      <c r="O108" s="48">
        <v>0</v>
      </c>
      <c r="P108" s="48">
        <v>0</v>
      </c>
      <c r="Q108" s="48">
        <v>0</v>
      </c>
      <c r="R108" s="48"/>
      <c r="S108" s="48"/>
      <c r="T108" s="48"/>
      <c r="U108" s="48"/>
      <c r="V108" s="48"/>
      <c r="W108" s="48"/>
      <c r="X108" s="48"/>
      <c r="Y108" s="48"/>
      <c r="Z108" s="48"/>
      <c r="AA108" s="48"/>
      <c r="AB108" s="48"/>
      <c r="AC108" s="48"/>
    </row>
    <row r="109" spans="1:29" ht="15.75" customHeight="1">
      <c r="A109" s="307">
        <v>52</v>
      </c>
      <c r="B109" s="307" t="s">
        <v>312</v>
      </c>
      <c r="C109" s="307" t="s">
        <v>313</v>
      </c>
      <c r="D109" s="308">
        <v>34305</v>
      </c>
      <c r="E109" s="48" t="s">
        <v>969</v>
      </c>
      <c r="F109" s="105">
        <v>2</v>
      </c>
      <c r="G109" s="49">
        <v>2</v>
      </c>
      <c r="H109" s="105">
        <v>1</v>
      </c>
      <c r="I109" s="105">
        <v>1</v>
      </c>
      <c r="J109" s="48">
        <v>0</v>
      </c>
      <c r="K109" s="105">
        <v>1</v>
      </c>
      <c r="L109" s="105">
        <v>3</v>
      </c>
      <c r="M109" s="48">
        <v>0</v>
      </c>
      <c r="N109" s="48">
        <v>0</v>
      </c>
      <c r="O109" s="48">
        <v>0</v>
      </c>
      <c r="P109" s="48">
        <v>0</v>
      </c>
      <c r="Q109" s="48">
        <v>0</v>
      </c>
      <c r="R109" s="48"/>
      <c r="S109" s="48"/>
      <c r="T109" s="48"/>
      <c r="U109" s="48"/>
      <c r="V109" s="48"/>
      <c r="W109" s="48"/>
      <c r="X109" s="48"/>
      <c r="Y109" s="48"/>
      <c r="Z109" s="48"/>
      <c r="AA109" s="48"/>
      <c r="AB109" s="48"/>
      <c r="AC109" s="48"/>
    </row>
    <row r="110" spans="1:29" ht="15.75" customHeight="1">
      <c r="A110" s="307">
        <v>52</v>
      </c>
      <c r="B110" s="307" t="s">
        <v>312</v>
      </c>
      <c r="C110" s="307" t="s">
        <v>313</v>
      </c>
      <c r="D110" s="308">
        <v>34305</v>
      </c>
      <c r="E110" s="48" t="s">
        <v>970</v>
      </c>
      <c r="F110" s="105">
        <v>2</v>
      </c>
      <c r="G110" s="49">
        <v>2</v>
      </c>
      <c r="H110" s="105">
        <v>0</v>
      </c>
      <c r="I110" s="48">
        <v>0</v>
      </c>
      <c r="J110" s="48">
        <v>0</v>
      </c>
      <c r="K110" s="105">
        <v>1</v>
      </c>
      <c r="L110" s="105">
        <v>3</v>
      </c>
      <c r="M110" s="48">
        <v>0</v>
      </c>
      <c r="N110" s="48">
        <v>0</v>
      </c>
      <c r="O110" s="48">
        <v>0</v>
      </c>
      <c r="P110" s="48">
        <v>0</v>
      </c>
      <c r="Q110" s="48">
        <v>0</v>
      </c>
      <c r="R110" s="48"/>
      <c r="S110" s="48"/>
      <c r="T110" s="48"/>
      <c r="U110" s="48"/>
      <c r="V110" s="48"/>
      <c r="W110" s="48"/>
      <c r="X110" s="48"/>
      <c r="Y110" s="48"/>
      <c r="Z110" s="48"/>
      <c r="AA110" s="48"/>
      <c r="AB110" s="48"/>
      <c r="AC110" s="48"/>
    </row>
    <row r="111" spans="1:29" ht="15.75" customHeight="1">
      <c r="A111" s="309">
        <v>53</v>
      </c>
      <c r="B111" s="309" t="s">
        <v>315</v>
      </c>
      <c r="C111" s="309" t="s">
        <v>316</v>
      </c>
      <c r="D111" s="310">
        <v>34310</v>
      </c>
      <c r="E111" s="48" t="s">
        <v>845</v>
      </c>
      <c r="F111" s="105" t="str">
        <f>HYPERLINK("https://www.nytimes.com/1993/12/12/nyregion/tormented-life-special-report-long-slide-privilege-ends-slaughter-train.html","0")</f>
        <v>0</v>
      </c>
      <c r="G111" s="49">
        <v>1</v>
      </c>
      <c r="H111" s="105" t="str">
        <f t="shared" ref="H111:K111" si="21">HYPERLINK("https://www.nytimes.com/1993/12/12/nyregion/tormented-life-special-report-long-slide-privilege-ends-slaughter-train.html","1")</f>
        <v>1</v>
      </c>
      <c r="I111" s="48">
        <v>0</v>
      </c>
      <c r="J111" s="48">
        <v>0</v>
      </c>
      <c r="K111" s="105" t="str">
        <f t="shared" si="21"/>
        <v>1</v>
      </c>
      <c r="L111" s="105">
        <v>1</v>
      </c>
      <c r="M111" s="48">
        <v>0</v>
      </c>
      <c r="N111" s="48">
        <v>0</v>
      </c>
      <c r="O111" s="48">
        <v>0</v>
      </c>
      <c r="P111" s="48">
        <v>0</v>
      </c>
      <c r="Q111" s="48">
        <v>0</v>
      </c>
      <c r="R111" s="48"/>
      <c r="S111" s="48"/>
      <c r="T111" s="48"/>
      <c r="U111" s="48"/>
      <c r="V111" s="48"/>
      <c r="W111" s="48"/>
      <c r="X111" s="48"/>
      <c r="Y111" s="48"/>
      <c r="Z111" s="48"/>
      <c r="AA111" s="48"/>
      <c r="AB111" s="48"/>
      <c r="AC111" s="48"/>
    </row>
    <row r="112" spans="1:29" ht="15.75" customHeight="1">
      <c r="A112" s="311">
        <v>54</v>
      </c>
      <c r="B112" s="311" t="s">
        <v>318</v>
      </c>
      <c r="C112" s="311" t="s">
        <v>319</v>
      </c>
      <c r="D112" s="312">
        <v>34317</v>
      </c>
      <c r="E112" s="48" t="s">
        <v>846</v>
      </c>
      <c r="F112" s="105">
        <v>0</v>
      </c>
      <c r="G112" s="49">
        <v>1</v>
      </c>
      <c r="H112" s="105" t="str">
        <f>HYPERLINK("https://caselaw.findlaw.com/co-supreme-court/1386758.html","1")</f>
        <v>1</v>
      </c>
      <c r="I112" s="48">
        <v>0</v>
      </c>
      <c r="J112" s="48">
        <v>0</v>
      </c>
      <c r="K112" s="105">
        <v>1</v>
      </c>
      <c r="L112" s="48"/>
      <c r="M112" s="48"/>
      <c r="N112" s="48"/>
      <c r="O112" s="48"/>
      <c r="P112" s="48"/>
      <c r="Q112" s="105" t="str">
        <f>HYPERLINK("https://caselaw.findlaw.com/co-supreme-court/1386758.html","1")</f>
        <v>1</v>
      </c>
      <c r="R112" s="48"/>
      <c r="S112" s="48"/>
      <c r="T112" s="48"/>
      <c r="U112" s="48"/>
      <c r="V112" s="48"/>
      <c r="W112" s="48"/>
      <c r="X112" s="48"/>
      <c r="Y112" s="48"/>
      <c r="Z112" s="48"/>
      <c r="AA112" s="48"/>
      <c r="AB112" s="48"/>
      <c r="AC112" s="48"/>
    </row>
    <row r="113" spans="1:29" ht="15.75" customHeight="1">
      <c r="A113" s="313">
        <v>55</v>
      </c>
      <c r="B113" s="313" t="s">
        <v>322</v>
      </c>
      <c r="C113" s="313" t="s">
        <v>323</v>
      </c>
      <c r="D113" s="314">
        <v>34505</v>
      </c>
      <c r="E113" s="48" t="s">
        <v>971</v>
      </c>
      <c r="F113" s="105" t="str">
        <f>HYPERLINK("https://www.nytimes.com/1994/06/22/us/an-airman-s-revenge-5-minutes-of-terror.html","3")</f>
        <v>3</v>
      </c>
      <c r="G113" s="49">
        <v>2</v>
      </c>
      <c r="H113" s="105">
        <v>1</v>
      </c>
      <c r="I113" s="48">
        <v>0</v>
      </c>
      <c r="J113" s="105">
        <v>1</v>
      </c>
      <c r="K113" s="105" t="str">
        <f>HYPERLINK("https://www.nytimes.com/1994/06/22/us/an-airman-s-revenge-5-minutes-of-terror.html?mtrref=undefined","0")</f>
        <v>0</v>
      </c>
      <c r="L113" s="105" t="str">
        <f>HYPERLINK("https://www.nytimes.com/1994/06/22/us/an-airman-s-revenge-5-minutes-of-terror.html?mtrref=undefined","1")</f>
        <v>1</v>
      </c>
      <c r="M113" s="48">
        <v>0</v>
      </c>
      <c r="N113" s="48">
        <v>0</v>
      </c>
      <c r="O113" s="48">
        <v>0</v>
      </c>
      <c r="P113" s="48">
        <v>0</v>
      </c>
      <c r="Q113" s="48">
        <v>0</v>
      </c>
      <c r="R113" s="48"/>
      <c r="S113" s="48"/>
      <c r="T113" s="48"/>
      <c r="U113" s="48"/>
      <c r="V113" s="48"/>
      <c r="W113" s="48"/>
      <c r="X113" s="48"/>
      <c r="Y113" s="48"/>
      <c r="Z113" s="48"/>
      <c r="AA113" s="48"/>
      <c r="AB113" s="48"/>
      <c r="AC113" s="48"/>
    </row>
    <row r="114" spans="1:29" ht="15.75" customHeight="1">
      <c r="A114" s="305">
        <v>56</v>
      </c>
      <c r="B114" s="305" t="s">
        <v>315</v>
      </c>
      <c r="C114" s="305" t="s">
        <v>325</v>
      </c>
      <c r="D114" s="306">
        <v>34699</v>
      </c>
      <c r="E114" s="48" t="s">
        <v>848</v>
      </c>
      <c r="F114" s="105" t="str">
        <f>HYPERLINK("https://newspaperarchive.com/wilson-daily-times-dec-08-1997-p-7/","0")</f>
        <v>0</v>
      </c>
      <c r="G114" s="49">
        <v>1</v>
      </c>
      <c r="H114" s="105" t="str">
        <f>HYPERLINK("https://newspaperarchive.com/wilson-daily-times-dec-08-1997-p-7/","1")</f>
        <v>1</v>
      </c>
      <c r="I114" s="48">
        <v>0</v>
      </c>
      <c r="J114" s="48">
        <v>0</v>
      </c>
      <c r="K114" s="105" t="str">
        <f>HYPERLINK("https://newspaperarchive.com/wilson-daily-times-dec-08-1997-p-7/","0")</f>
        <v>0</v>
      </c>
      <c r="L114" s="48">
        <v>0</v>
      </c>
      <c r="M114" s="48">
        <v>0</v>
      </c>
      <c r="N114" s="48">
        <v>0</v>
      </c>
      <c r="O114" s="48">
        <v>0</v>
      </c>
      <c r="P114" s="105" t="str">
        <f>HYPERLINK("https://newspaperarchive.com/wilson-daily-times-dec-08-1997-p-7/","1")</f>
        <v>1</v>
      </c>
      <c r="Q114" s="48">
        <v>0</v>
      </c>
      <c r="R114" s="48"/>
      <c r="S114" s="48"/>
      <c r="T114" s="48"/>
      <c r="U114" s="48"/>
      <c r="V114" s="48"/>
      <c r="W114" s="48"/>
      <c r="X114" s="48"/>
      <c r="Y114" s="48"/>
      <c r="Z114" s="48"/>
      <c r="AA114" s="48"/>
      <c r="AB114" s="48"/>
      <c r="AC114" s="48"/>
    </row>
    <row r="115" spans="1:29" ht="15.75" customHeight="1">
      <c r="A115" s="307">
        <v>57</v>
      </c>
      <c r="B115" s="307" t="s">
        <v>327</v>
      </c>
      <c r="C115" s="307" t="s">
        <v>221</v>
      </c>
      <c r="D115" s="308">
        <v>34792</v>
      </c>
      <c r="E115" s="48" t="s">
        <v>972</v>
      </c>
      <c r="F115" s="105">
        <v>0</v>
      </c>
      <c r="G115" s="49">
        <v>1</v>
      </c>
      <c r="H115" s="105">
        <v>1</v>
      </c>
      <c r="I115" s="48">
        <v>0</v>
      </c>
      <c r="J115" s="48">
        <v>0</v>
      </c>
      <c r="K115" s="316"/>
      <c r="L115" s="105">
        <v>3</v>
      </c>
      <c r="M115" s="48">
        <v>0</v>
      </c>
      <c r="N115" s="48">
        <v>0</v>
      </c>
      <c r="O115" s="48">
        <v>0</v>
      </c>
      <c r="P115" s="48">
        <v>0</v>
      </c>
      <c r="Q115" s="48">
        <v>0</v>
      </c>
      <c r="R115" s="48"/>
      <c r="S115" s="48"/>
      <c r="T115" s="48"/>
      <c r="U115" s="48"/>
      <c r="V115" s="48"/>
      <c r="W115" s="48"/>
      <c r="X115" s="48"/>
      <c r="Y115" s="48"/>
      <c r="Z115" s="48"/>
      <c r="AA115" s="48"/>
      <c r="AB115" s="48"/>
      <c r="AC115" s="48"/>
    </row>
    <row r="116" spans="1:29" ht="15.75" customHeight="1">
      <c r="A116" s="307">
        <v>57</v>
      </c>
      <c r="B116" s="307" t="s">
        <v>327</v>
      </c>
      <c r="C116" s="307" t="s">
        <v>221</v>
      </c>
      <c r="D116" s="308">
        <v>34792</v>
      </c>
      <c r="E116" s="318" t="s">
        <v>965</v>
      </c>
      <c r="F116" s="105" t="str">
        <f>HYPERLINK("http://www.nytimes.com/1995/04/04/us/6-die-in-texas-office-shooting.html","0")</f>
        <v>0</v>
      </c>
      <c r="G116" s="49">
        <v>0</v>
      </c>
      <c r="H116" s="105">
        <v>1</v>
      </c>
      <c r="I116" s="48">
        <v>0</v>
      </c>
      <c r="J116" s="48" t="s">
        <v>100</v>
      </c>
      <c r="K116" s="316"/>
      <c r="L116" s="105">
        <v>3</v>
      </c>
      <c r="M116" s="48">
        <v>0</v>
      </c>
      <c r="N116" s="48">
        <v>0</v>
      </c>
      <c r="O116" s="48">
        <v>0</v>
      </c>
      <c r="P116" s="48">
        <v>0</v>
      </c>
      <c r="Q116" s="48">
        <v>0</v>
      </c>
      <c r="R116" s="48"/>
      <c r="S116" s="48"/>
      <c r="T116" s="48"/>
      <c r="U116" s="48"/>
      <c r="V116" s="48"/>
      <c r="W116" s="48"/>
      <c r="X116" s="48"/>
      <c r="Y116" s="48"/>
      <c r="Z116" s="48"/>
      <c r="AA116" s="48"/>
      <c r="AB116" s="48"/>
      <c r="AC116" s="48"/>
    </row>
    <row r="117" spans="1:29" ht="15.75" customHeight="1">
      <c r="A117" s="309">
        <v>58</v>
      </c>
      <c r="B117" s="309" t="s">
        <v>330</v>
      </c>
      <c r="C117" s="309" t="s">
        <v>331</v>
      </c>
      <c r="D117" s="310">
        <v>34899</v>
      </c>
      <c r="E117" s="48" t="s">
        <v>849</v>
      </c>
      <c r="F117" s="105">
        <v>0</v>
      </c>
      <c r="G117" s="49">
        <v>1</v>
      </c>
      <c r="H117" s="105">
        <v>1</v>
      </c>
      <c r="I117" s="48">
        <v>0</v>
      </c>
      <c r="J117" s="105">
        <v>0</v>
      </c>
      <c r="K117" s="105">
        <v>1</v>
      </c>
      <c r="L117" s="105">
        <v>3</v>
      </c>
      <c r="M117" s="48">
        <v>0</v>
      </c>
      <c r="N117" s="48">
        <v>0</v>
      </c>
      <c r="O117" s="48">
        <v>0</v>
      </c>
      <c r="P117" s="48">
        <v>0</v>
      </c>
      <c r="Q117" s="48">
        <v>0</v>
      </c>
      <c r="R117" s="48"/>
      <c r="S117" s="48"/>
      <c r="T117" s="48"/>
      <c r="U117" s="48"/>
      <c r="V117" s="48"/>
      <c r="W117" s="48"/>
      <c r="X117" s="48"/>
      <c r="Y117" s="48"/>
      <c r="Z117" s="48"/>
      <c r="AA117" s="48"/>
      <c r="AB117" s="48"/>
      <c r="AC117" s="48"/>
    </row>
    <row r="118" spans="1:29" ht="15.75" customHeight="1">
      <c r="A118" s="311">
        <v>59</v>
      </c>
      <c r="B118" s="311" t="s">
        <v>334</v>
      </c>
      <c r="C118" s="311" t="s">
        <v>212</v>
      </c>
      <c r="D118" s="312">
        <v>35052</v>
      </c>
      <c r="E118" s="48" t="s">
        <v>973</v>
      </c>
      <c r="F118" s="105">
        <v>0</v>
      </c>
      <c r="G118" s="49">
        <v>1</v>
      </c>
      <c r="H118" s="105">
        <v>1</v>
      </c>
      <c r="I118" s="48">
        <v>0</v>
      </c>
      <c r="J118" s="105">
        <v>0</v>
      </c>
      <c r="K118" s="105">
        <v>0</v>
      </c>
      <c r="L118" s="48">
        <v>0</v>
      </c>
      <c r="M118" s="105">
        <v>5</v>
      </c>
      <c r="N118" s="48">
        <v>0</v>
      </c>
      <c r="O118" s="48">
        <v>0</v>
      </c>
      <c r="P118" s="48">
        <v>0</v>
      </c>
      <c r="Q118" s="48">
        <v>0</v>
      </c>
      <c r="R118" s="48"/>
      <c r="S118" s="48"/>
      <c r="T118" s="48"/>
      <c r="U118" s="48"/>
      <c r="V118" s="48"/>
      <c r="W118" s="48"/>
      <c r="X118" s="48"/>
      <c r="Y118" s="48"/>
      <c r="Z118" s="48"/>
      <c r="AA118" s="48"/>
      <c r="AB118" s="48"/>
      <c r="AC118" s="48"/>
    </row>
    <row r="119" spans="1:29" ht="15.75" customHeight="1">
      <c r="A119" s="313">
        <v>60</v>
      </c>
      <c r="B119" s="313" t="s">
        <v>338</v>
      </c>
      <c r="C119" s="313" t="s">
        <v>339</v>
      </c>
      <c r="D119" s="314">
        <v>35104</v>
      </c>
      <c r="E119" s="48" t="s">
        <v>852</v>
      </c>
      <c r="F119" s="105">
        <v>0</v>
      </c>
      <c r="G119" s="49">
        <v>1</v>
      </c>
      <c r="H119" s="105">
        <v>1</v>
      </c>
      <c r="I119" s="48">
        <v>0</v>
      </c>
      <c r="J119" s="105">
        <v>0</v>
      </c>
      <c r="K119" s="105">
        <v>1</v>
      </c>
      <c r="L119" s="105">
        <v>3</v>
      </c>
      <c r="M119" s="48">
        <v>0</v>
      </c>
      <c r="N119" s="48">
        <v>0</v>
      </c>
      <c r="O119" s="48">
        <v>0</v>
      </c>
      <c r="P119" s="48">
        <v>0</v>
      </c>
      <c r="Q119" s="48">
        <v>0</v>
      </c>
      <c r="R119" s="48"/>
      <c r="S119" s="48"/>
      <c r="T119" s="48"/>
      <c r="U119" s="48"/>
      <c r="V119" s="48"/>
      <c r="W119" s="48"/>
      <c r="X119" s="48"/>
      <c r="Y119" s="48"/>
      <c r="Z119" s="48"/>
      <c r="AA119" s="48"/>
      <c r="AB119" s="48"/>
      <c r="AC119" s="48"/>
    </row>
    <row r="120" spans="1:29" ht="15.75" customHeight="1">
      <c r="A120" s="313">
        <v>60</v>
      </c>
      <c r="B120" s="313" t="s">
        <v>338</v>
      </c>
      <c r="C120" s="313" t="s">
        <v>339</v>
      </c>
      <c r="D120" s="314">
        <v>35104</v>
      </c>
      <c r="E120" s="48" t="s">
        <v>965</v>
      </c>
      <c r="F120" s="105">
        <v>0</v>
      </c>
      <c r="G120" s="49">
        <v>0</v>
      </c>
      <c r="H120" s="105">
        <v>0</v>
      </c>
      <c r="I120" s="48">
        <v>0</v>
      </c>
      <c r="J120" s="48" t="s">
        <v>100</v>
      </c>
      <c r="K120" s="48"/>
      <c r="L120" s="48"/>
      <c r="M120" s="48"/>
      <c r="N120" s="48"/>
      <c r="O120" s="48"/>
      <c r="P120" s="48"/>
      <c r="Q120" s="48">
        <v>1</v>
      </c>
      <c r="R120" s="48"/>
      <c r="S120" s="48"/>
      <c r="T120" s="48"/>
      <c r="U120" s="48"/>
      <c r="V120" s="48"/>
      <c r="W120" s="48"/>
      <c r="X120" s="48"/>
      <c r="Y120" s="48"/>
      <c r="Z120" s="48"/>
      <c r="AA120" s="48"/>
      <c r="AB120" s="48"/>
      <c r="AC120" s="48"/>
    </row>
    <row r="121" spans="1:29" ht="15.75" customHeight="1">
      <c r="A121" s="305">
        <v>61</v>
      </c>
      <c r="B121" s="305" t="s">
        <v>341</v>
      </c>
      <c r="C121" s="305" t="s">
        <v>306</v>
      </c>
      <c r="D121" s="306">
        <v>35179</v>
      </c>
      <c r="E121" s="48" t="s">
        <v>974</v>
      </c>
      <c r="F121" s="105" t="str">
        <f>HYPERLINK("https://www.washingtonpost.com/archive/politics/1996/04/25/firefighter-kills-wife-four-colleagues-before-being-wounded/f5b9eab9-d1cc-4c59-b2db-d664fe68c611/","0")</f>
        <v>0</v>
      </c>
      <c r="G121" s="49">
        <v>2</v>
      </c>
      <c r="H121" s="48"/>
      <c r="I121" s="48">
        <v>0</v>
      </c>
      <c r="J121" s="48">
        <v>0</v>
      </c>
      <c r="K121" s="48"/>
      <c r="L121" s="48"/>
      <c r="M121" s="48"/>
      <c r="N121" s="48"/>
      <c r="O121" s="48"/>
      <c r="P121" s="48"/>
      <c r="Q121" s="48">
        <v>1</v>
      </c>
      <c r="R121" s="48"/>
      <c r="S121" s="48"/>
      <c r="T121" s="48"/>
      <c r="U121" s="48"/>
      <c r="V121" s="48"/>
      <c r="W121" s="48"/>
      <c r="X121" s="48"/>
      <c r="Y121" s="48"/>
      <c r="Z121" s="48"/>
      <c r="AA121" s="48"/>
      <c r="AB121" s="48"/>
      <c r="AC121" s="48"/>
    </row>
    <row r="122" spans="1:29" ht="15.75" customHeight="1">
      <c r="A122" s="305">
        <v>61</v>
      </c>
      <c r="B122" s="305" t="s">
        <v>341</v>
      </c>
      <c r="C122" s="305" t="s">
        <v>306</v>
      </c>
      <c r="D122" s="306">
        <v>35179</v>
      </c>
      <c r="E122" s="48" t="s">
        <v>975</v>
      </c>
      <c r="F122" s="105" t="str">
        <f>HYPERLINK("https://www.washingtonpost.com/archive/politics/1996/04/25/firefighter-kills-wife-four-colleagues-before-being-wounded/f5b9eab9-d1cc-4c59-b2db-d664fe68c611/","3")</f>
        <v>3</v>
      </c>
      <c r="G122" s="49"/>
      <c r="H122" s="105">
        <v>1</v>
      </c>
      <c r="I122" s="48">
        <v>0</v>
      </c>
      <c r="J122" s="48">
        <v>0</v>
      </c>
      <c r="K122" s="48"/>
      <c r="L122" s="48"/>
      <c r="M122" s="48"/>
      <c r="N122" s="48"/>
      <c r="O122" s="48"/>
      <c r="P122" s="48"/>
      <c r="Q122" s="48">
        <v>1</v>
      </c>
      <c r="R122" s="48"/>
      <c r="S122" s="48"/>
      <c r="T122" s="48"/>
      <c r="U122" s="48"/>
      <c r="V122" s="48"/>
      <c r="W122" s="48"/>
      <c r="X122" s="48"/>
      <c r="Y122" s="48"/>
      <c r="Z122" s="48"/>
      <c r="AA122" s="48"/>
      <c r="AB122" s="48"/>
      <c r="AC122" s="48"/>
    </row>
    <row r="123" spans="1:29" ht="15.75" customHeight="1">
      <c r="A123" s="305">
        <v>61</v>
      </c>
      <c r="B123" s="305" t="s">
        <v>341</v>
      </c>
      <c r="C123" s="305" t="s">
        <v>306</v>
      </c>
      <c r="D123" s="306">
        <v>35179</v>
      </c>
      <c r="E123" s="48" t="s">
        <v>976</v>
      </c>
      <c r="F123" s="105">
        <v>3</v>
      </c>
      <c r="G123" s="49">
        <v>1</v>
      </c>
      <c r="H123" s="48"/>
      <c r="I123" s="48">
        <v>0</v>
      </c>
      <c r="J123" s="48">
        <v>0</v>
      </c>
      <c r="K123" s="48"/>
      <c r="L123" s="48"/>
      <c r="M123" s="48"/>
      <c r="N123" s="48"/>
      <c r="O123" s="48"/>
      <c r="P123" s="48"/>
      <c r="Q123" s="48">
        <v>1</v>
      </c>
      <c r="R123" s="48"/>
      <c r="S123" s="48"/>
      <c r="T123" s="48"/>
      <c r="U123" s="48"/>
      <c r="V123" s="48"/>
      <c r="W123" s="48"/>
      <c r="X123" s="48"/>
      <c r="Y123" s="48"/>
      <c r="Z123" s="48"/>
      <c r="AA123" s="48"/>
      <c r="AB123" s="48"/>
      <c r="AC123" s="48"/>
    </row>
    <row r="124" spans="1:29" ht="15.75" customHeight="1">
      <c r="A124" s="307">
        <v>62</v>
      </c>
      <c r="B124" s="307" t="s">
        <v>344</v>
      </c>
      <c r="C124" s="307" t="s">
        <v>194</v>
      </c>
      <c r="D124" s="308">
        <v>35661</v>
      </c>
      <c r="E124" s="48" t="s">
        <v>977</v>
      </c>
      <c r="F124" s="105" t="str">
        <f>HYPERLINK("https://www.concordmonitor.com/Somber-memories-20-years-after-small-town-shootings-11846765","3")</f>
        <v>3</v>
      </c>
      <c r="G124" s="49">
        <v>2</v>
      </c>
      <c r="H124" s="105">
        <v>1</v>
      </c>
      <c r="I124" s="48">
        <v>0</v>
      </c>
      <c r="J124" s="48">
        <v>0</v>
      </c>
      <c r="K124" s="105">
        <v>1</v>
      </c>
      <c r="L124" s="105">
        <v>3</v>
      </c>
      <c r="M124" s="48">
        <v>0</v>
      </c>
      <c r="N124" s="48">
        <v>0</v>
      </c>
      <c r="O124" s="48">
        <v>0</v>
      </c>
      <c r="P124" s="48">
        <v>0</v>
      </c>
      <c r="Q124" s="48">
        <v>0</v>
      </c>
      <c r="R124" s="48"/>
      <c r="S124" s="48"/>
      <c r="T124" s="48"/>
      <c r="U124" s="48"/>
      <c r="V124" s="48"/>
      <c r="W124" s="48"/>
      <c r="X124" s="48"/>
      <c r="Y124" s="48"/>
      <c r="Z124" s="48"/>
      <c r="AA124" s="48"/>
      <c r="AB124" s="48"/>
      <c r="AC124" s="48"/>
    </row>
    <row r="125" spans="1:29" ht="15.75" customHeight="1">
      <c r="A125" s="307">
        <v>62</v>
      </c>
      <c r="B125" s="307" t="s">
        <v>344</v>
      </c>
      <c r="C125" s="307" t="s">
        <v>194</v>
      </c>
      <c r="D125" s="308">
        <v>35661</v>
      </c>
      <c r="E125" s="48" t="s">
        <v>978</v>
      </c>
      <c r="F125" s="105">
        <v>0</v>
      </c>
      <c r="G125" s="49">
        <v>1</v>
      </c>
      <c r="H125" s="105">
        <v>1</v>
      </c>
      <c r="I125" s="48">
        <v>0</v>
      </c>
      <c r="J125" s="48">
        <v>0</v>
      </c>
      <c r="K125" s="48"/>
      <c r="L125" s="48"/>
      <c r="M125" s="48"/>
      <c r="N125" s="48"/>
      <c r="O125" s="48"/>
      <c r="P125" s="48"/>
      <c r="Q125" s="48">
        <v>1</v>
      </c>
      <c r="R125" s="48"/>
      <c r="S125" s="48"/>
      <c r="T125" s="48"/>
      <c r="U125" s="48"/>
      <c r="V125" s="48"/>
      <c r="W125" s="48"/>
      <c r="X125" s="48"/>
      <c r="Y125" s="48"/>
      <c r="Z125" s="48"/>
      <c r="AA125" s="48"/>
      <c r="AB125" s="48"/>
      <c r="AC125" s="48"/>
    </row>
    <row r="126" spans="1:29" ht="15.75" customHeight="1">
      <c r="A126" s="309">
        <v>63</v>
      </c>
      <c r="B126" s="309" t="s">
        <v>348</v>
      </c>
      <c r="C126" s="309" t="s">
        <v>349</v>
      </c>
      <c r="D126" s="310">
        <v>35688</v>
      </c>
      <c r="E126" s="48" t="s">
        <v>850</v>
      </c>
      <c r="F126" s="105" t="str">
        <f>HYPERLINK("http://www.vpc.org/studies/wgun970915.htm","0")</f>
        <v>0</v>
      </c>
      <c r="G126" s="49">
        <v>1</v>
      </c>
      <c r="H126" s="105" t="str">
        <f>HYPERLINK("http://www.vpc.org/studies/wgun970915.htm","1")</f>
        <v>1</v>
      </c>
      <c r="I126" s="48">
        <v>0</v>
      </c>
      <c r="J126" s="105">
        <v>0</v>
      </c>
      <c r="K126" s="48"/>
      <c r="L126" s="48">
        <v>0</v>
      </c>
      <c r="M126" s="105">
        <v>5</v>
      </c>
      <c r="N126" s="48">
        <v>0</v>
      </c>
      <c r="O126" s="48">
        <v>0</v>
      </c>
      <c r="P126" s="48">
        <v>0</v>
      </c>
      <c r="Q126" s="48">
        <v>0</v>
      </c>
      <c r="R126" s="48"/>
      <c r="S126" s="48"/>
      <c r="T126" s="48"/>
      <c r="U126" s="48"/>
      <c r="V126" s="48"/>
      <c r="W126" s="48"/>
      <c r="X126" s="48"/>
      <c r="Y126" s="48"/>
      <c r="Z126" s="48"/>
      <c r="AA126" s="48"/>
      <c r="AB126" s="48"/>
      <c r="AC126" s="48"/>
    </row>
    <row r="127" spans="1:29" ht="15.75" customHeight="1">
      <c r="A127" s="311">
        <v>64</v>
      </c>
      <c r="B127" s="311" t="s">
        <v>351</v>
      </c>
      <c r="C127" s="311" t="s">
        <v>352</v>
      </c>
      <c r="D127" s="312">
        <v>35767</v>
      </c>
      <c r="E127" s="48" t="s">
        <v>979</v>
      </c>
      <c r="F127" s="105" t="str">
        <f>HYPERLINK("https://caselaw.findlaw.com/fl-supreme-court/1559835.html","0")</f>
        <v>0</v>
      </c>
      <c r="G127" s="49">
        <v>0</v>
      </c>
      <c r="H127" s="105">
        <v>1</v>
      </c>
      <c r="I127" s="48">
        <v>0</v>
      </c>
      <c r="J127" s="48">
        <v>0</v>
      </c>
      <c r="K127" s="105">
        <v>1</v>
      </c>
      <c r="L127" s="48"/>
      <c r="M127" s="48"/>
      <c r="N127" s="48"/>
      <c r="O127" s="48"/>
      <c r="P127" s="48"/>
      <c r="Q127" s="48">
        <v>1</v>
      </c>
      <c r="R127" s="48"/>
      <c r="S127" s="48"/>
      <c r="T127" s="48"/>
      <c r="U127" s="48"/>
      <c r="V127" s="48"/>
      <c r="W127" s="48"/>
      <c r="X127" s="48"/>
      <c r="Y127" s="48"/>
      <c r="Z127" s="48"/>
      <c r="AA127" s="48"/>
      <c r="AB127" s="48"/>
      <c r="AC127" s="48"/>
    </row>
    <row r="128" spans="1:29" ht="15.75" customHeight="1">
      <c r="A128" s="311">
        <v>64</v>
      </c>
      <c r="B128" s="311" t="s">
        <v>351</v>
      </c>
      <c r="C128" s="311" t="s">
        <v>352</v>
      </c>
      <c r="D128" s="312">
        <v>35767</v>
      </c>
      <c r="E128" s="48" t="s">
        <v>980</v>
      </c>
      <c r="F128" s="48"/>
      <c r="G128" s="49">
        <v>0</v>
      </c>
      <c r="H128" s="105">
        <v>1</v>
      </c>
      <c r="I128" s="48"/>
      <c r="J128" s="48">
        <v>0</v>
      </c>
      <c r="K128" s="48"/>
      <c r="L128" s="48"/>
      <c r="M128" s="48"/>
      <c r="N128" s="48"/>
      <c r="O128" s="48"/>
      <c r="P128" s="48"/>
      <c r="Q128" s="48">
        <v>1</v>
      </c>
      <c r="R128" s="48"/>
      <c r="S128" s="48"/>
      <c r="T128" s="48"/>
      <c r="U128" s="48"/>
      <c r="V128" s="48"/>
      <c r="W128" s="48"/>
      <c r="X128" s="48"/>
      <c r="Y128" s="48"/>
      <c r="Z128" s="48"/>
      <c r="AA128" s="48"/>
      <c r="AB128" s="48"/>
      <c r="AC128" s="48"/>
    </row>
    <row r="129" spans="1:29" ht="15.75" customHeight="1">
      <c r="A129" s="313">
        <v>65</v>
      </c>
      <c r="B129" s="313" t="s">
        <v>355</v>
      </c>
      <c r="C129" s="313" t="s">
        <v>356</v>
      </c>
      <c r="D129" s="314">
        <v>35782</v>
      </c>
      <c r="E129" s="48" t="s">
        <v>981</v>
      </c>
      <c r="F129" s="105">
        <v>3</v>
      </c>
      <c r="G129" s="49">
        <v>2</v>
      </c>
      <c r="H129" s="105">
        <v>1</v>
      </c>
      <c r="I129" s="105">
        <v>1</v>
      </c>
      <c r="J129" s="105">
        <v>0</v>
      </c>
      <c r="K129" s="105">
        <v>1</v>
      </c>
      <c r="L129" s="105">
        <v>1</v>
      </c>
      <c r="M129" s="48">
        <v>0</v>
      </c>
      <c r="N129" s="48">
        <v>0</v>
      </c>
      <c r="O129" s="48">
        <v>0</v>
      </c>
      <c r="P129" s="48">
        <v>0</v>
      </c>
      <c r="Q129" s="48">
        <v>0</v>
      </c>
      <c r="R129" s="48"/>
      <c r="S129" s="48"/>
      <c r="T129" s="48"/>
      <c r="U129" s="48"/>
      <c r="V129" s="48"/>
      <c r="W129" s="48"/>
      <c r="X129" s="48"/>
      <c r="Y129" s="48"/>
      <c r="Z129" s="48"/>
      <c r="AA129" s="48"/>
      <c r="AB129" s="48"/>
      <c r="AC129" s="48"/>
    </row>
    <row r="130" spans="1:29" ht="15.75" customHeight="1">
      <c r="A130" s="313">
        <v>65</v>
      </c>
      <c r="B130" s="313" t="s">
        <v>355</v>
      </c>
      <c r="C130" s="313" t="s">
        <v>356</v>
      </c>
      <c r="D130" s="314">
        <v>35782</v>
      </c>
      <c r="E130" s="48" t="s">
        <v>982</v>
      </c>
      <c r="F130" s="105" t="str">
        <f>HYPERLINK("http://articles.latimes.com/1997/dec/20/news/mn-431","1")</f>
        <v>1</v>
      </c>
      <c r="G130" s="49"/>
      <c r="H130" s="105">
        <v>0</v>
      </c>
      <c r="I130" s="48">
        <v>0</v>
      </c>
      <c r="J130" s="48" t="s">
        <v>100</v>
      </c>
      <c r="K130" s="105">
        <v>1</v>
      </c>
      <c r="L130" s="105">
        <v>3</v>
      </c>
      <c r="M130" s="48">
        <v>0</v>
      </c>
      <c r="N130" s="48">
        <v>0</v>
      </c>
      <c r="O130" s="48">
        <v>0</v>
      </c>
      <c r="P130" s="48">
        <v>0</v>
      </c>
      <c r="Q130" s="48">
        <v>0</v>
      </c>
      <c r="R130" s="48"/>
      <c r="S130" s="48"/>
      <c r="T130" s="48"/>
      <c r="U130" s="48"/>
      <c r="V130" s="48"/>
      <c r="W130" s="48"/>
      <c r="X130" s="48"/>
      <c r="Y130" s="48"/>
      <c r="Z130" s="48"/>
      <c r="AA130" s="48"/>
      <c r="AB130" s="48"/>
      <c r="AC130" s="48"/>
    </row>
    <row r="131" spans="1:29" ht="15.75" customHeight="1">
      <c r="A131" s="313">
        <v>65</v>
      </c>
      <c r="B131" s="313" t="s">
        <v>355</v>
      </c>
      <c r="C131" s="313" t="s">
        <v>356</v>
      </c>
      <c r="D131" s="314">
        <v>35782</v>
      </c>
      <c r="E131" s="48" t="s">
        <v>839</v>
      </c>
      <c r="F131" s="105" t="str">
        <f>HYPERLINK("http://articles.latimes.com/1997/dec/20/news/mn-431","0")</f>
        <v>0</v>
      </c>
      <c r="G131" s="49"/>
      <c r="H131" s="105">
        <v>0</v>
      </c>
      <c r="I131" s="48">
        <v>0</v>
      </c>
      <c r="J131" s="48">
        <v>0</v>
      </c>
      <c r="K131" s="105">
        <v>1</v>
      </c>
      <c r="L131" s="105">
        <v>3</v>
      </c>
      <c r="M131" s="48">
        <v>0</v>
      </c>
      <c r="N131" s="48">
        <v>0</v>
      </c>
      <c r="O131" s="48">
        <v>0</v>
      </c>
      <c r="P131" s="48">
        <v>0</v>
      </c>
      <c r="Q131" s="48">
        <v>0</v>
      </c>
      <c r="R131" s="48"/>
      <c r="S131" s="48"/>
      <c r="T131" s="48"/>
      <c r="U131" s="48"/>
      <c r="V131" s="48"/>
      <c r="W131" s="48"/>
      <c r="X131" s="48"/>
      <c r="Y131" s="48"/>
      <c r="Z131" s="48"/>
      <c r="AA131" s="48"/>
      <c r="AB131" s="48"/>
      <c r="AC131" s="48"/>
    </row>
    <row r="132" spans="1:29" ht="15.75" customHeight="1">
      <c r="A132" s="305">
        <v>66</v>
      </c>
      <c r="B132" s="305" t="s">
        <v>360</v>
      </c>
      <c r="C132" s="305" t="s">
        <v>361</v>
      </c>
      <c r="D132" s="306">
        <v>35860</v>
      </c>
      <c r="E132" s="48" t="s">
        <v>852</v>
      </c>
      <c r="F132" s="105" t="str">
        <f>HYPERLINK("http://www.nytimes.com/1998/03/07/nyregion/rampage-connecticut-overview-connecticut-lottery-worker-kills-4-bosses-then.html","0")</f>
        <v>0</v>
      </c>
      <c r="G132" s="49">
        <v>1</v>
      </c>
      <c r="H132" s="105" t="str">
        <f>HYPERLINK("http://www.nytimes.com/1998/03/07/nyregion/rampage-connecticut-overview-connecticut-lottery-worker-kills-4-bosses-then.html","1")</f>
        <v>1</v>
      </c>
      <c r="I132" s="48">
        <v>0</v>
      </c>
      <c r="J132" s="48">
        <v>0</v>
      </c>
      <c r="K132" s="105">
        <v>1</v>
      </c>
      <c r="L132" s="105">
        <v>3</v>
      </c>
      <c r="M132" s="48">
        <v>0</v>
      </c>
      <c r="N132" s="48">
        <v>0</v>
      </c>
      <c r="O132" s="48">
        <v>0</v>
      </c>
      <c r="P132" s="48">
        <v>0</v>
      </c>
      <c r="Q132" s="48">
        <v>0</v>
      </c>
      <c r="R132" s="48"/>
      <c r="S132" s="48"/>
      <c r="T132" s="48"/>
      <c r="U132" s="48"/>
      <c r="V132" s="48"/>
      <c r="W132" s="48"/>
      <c r="X132" s="48"/>
      <c r="Y132" s="48"/>
      <c r="Z132" s="48"/>
      <c r="AA132" s="48"/>
      <c r="AB132" s="48"/>
      <c r="AC132" s="48"/>
    </row>
    <row r="133" spans="1:29" ht="15.75" customHeight="1">
      <c r="A133" s="307" t="s">
        <v>983</v>
      </c>
      <c r="B133" s="307" t="s">
        <v>984</v>
      </c>
      <c r="C133" s="307" t="s">
        <v>985</v>
      </c>
      <c r="D133" s="308">
        <v>35878</v>
      </c>
      <c r="E133" s="48" t="s">
        <v>986</v>
      </c>
      <c r="F133" s="105">
        <v>0</v>
      </c>
      <c r="G133" s="49">
        <v>1</v>
      </c>
      <c r="H133" s="48">
        <v>0</v>
      </c>
      <c r="I133" s="48">
        <v>0</v>
      </c>
      <c r="J133" s="48">
        <v>0</v>
      </c>
      <c r="K133" s="105">
        <v>0</v>
      </c>
      <c r="L133" s="48">
        <v>0</v>
      </c>
      <c r="M133" s="48">
        <v>0</v>
      </c>
      <c r="N133" s="48">
        <v>0</v>
      </c>
      <c r="O133" s="48">
        <v>0</v>
      </c>
      <c r="P133" s="105">
        <v>1</v>
      </c>
      <c r="Q133" s="48">
        <v>0</v>
      </c>
      <c r="R133" s="48"/>
      <c r="S133" s="48"/>
      <c r="T133" s="48"/>
      <c r="U133" s="48"/>
      <c r="V133" s="48"/>
      <c r="W133" s="48"/>
      <c r="X133" s="48"/>
      <c r="Y133" s="48"/>
      <c r="Z133" s="48"/>
      <c r="AA133" s="48"/>
      <c r="AB133" s="48"/>
      <c r="AC133" s="48"/>
    </row>
    <row r="134" spans="1:29" ht="15.75" customHeight="1">
      <c r="A134" s="307" t="s">
        <v>983</v>
      </c>
      <c r="B134" s="307" t="s">
        <v>984</v>
      </c>
      <c r="C134" s="307" t="s">
        <v>985</v>
      </c>
      <c r="D134" s="308">
        <v>35878</v>
      </c>
      <c r="E134" s="48" t="s">
        <v>987</v>
      </c>
      <c r="F134" s="105">
        <v>2</v>
      </c>
      <c r="G134" s="49">
        <v>2</v>
      </c>
      <c r="H134" s="105">
        <v>1</v>
      </c>
      <c r="I134" s="105">
        <v>1</v>
      </c>
      <c r="J134" s="48">
        <v>0</v>
      </c>
      <c r="K134" s="105">
        <v>0</v>
      </c>
      <c r="L134" s="48">
        <v>0</v>
      </c>
      <c r="M134" s="48">
        <v>0</v>
      </c>
      <c r="N134" s="48">
        <v>0</v>
      </c>
      <c r="O134" s="48">
        <v>0</v>
      </c>
      <c r="P134" s="105">
        <v>1</v>
      </c>
      <c r="Q134" s="48">
        <v>0</v>
      </c>
      <c r="R134" s="48"/>
      <c r="S134" s="48"/>
      <c r="T134" s="48"/>
      <c r="U134" s="48"/>
      <c r="V134" s="48"/>
      <c r="W134" s="48"/>
      <c r="X134" s="48"/>
      <c r="Y134" s="48"/>
      <c r="Z134" s="48"/>
      <c r="AA134" s="48"/>
      <c r="AB134" s="48"/>
      <c r="AC134" s="48"/>
    </row>
    <row r="135" spans="1:29" ht="15.75" customHeight="1">
      <c r="A135" s="307" t="s">
        <v>983</v>
      </c>
      <c r="B135" s="307" t="s">
        <v>984</v>
      </c>
      <c r="C135" s="307" t="s">
        <v>985</v>
      </c>
      <c r="D135" s="308">
        <v>35878</v>
      </c>
      <c r="E135" s="48" t="s">
        <v>861</v>
      </c>
      <c r="F135" s="105">
        <v>0</v>
      </c>
      <c r="G135" s="49">
        <v>1</v>
      </c>
      <c r="H135" s="48"/>
      <c r="I135" s="48">
        <v>0</v>
      </c>
      <c r="J135" s="48" t="s">
        <v>100</v>
      </c>
      <c r="K135" s="105">
        <v>0</v>
      </c>
      <c r="L135" s="48">
        <v>0</v>
      </c>
      <c r="M135" s="48">
        <v>0</v>
      </c>
      <c r="N135" s="48">
        <v>0</v>
      </c>
      <c r="O135" s="48">
        <v>0</v>
      </c>
      <c r="P135" s="105">
        <v>1</v>
      </c>
      <c r="Q135" s="48">
        <v>0</v>
      </c>
      <c r="R135" s="48"/>
      <c r="S135" s="48"/>
      <c r="T135" s="48"/>
      <c r="U135" s="48"/>
      <c r="V135" s="48"/>
      <c r="W135" s="48"/>
      <c r="X135" s="48"/>
      <c r="Y135" s="48"/>
      <c r="Z135" s="48"/>
      <c r="AA135" s="48"/>
      <c r="AB135" s="48"/>
      <c r="AC135" s="48"/>
    </row>
    <row r="136" spans="1:29" ht="15.75" customHeight="1">
      <c r="A136" s="307" t="s">
        <v>983</v>
      </c>
      <c r="B136" s="307" t="s">
        <v>984</v>
      </c>
      <c r="C136" s="307" t="s">
        <v>985</v>
      </c>
      <c r="D136" s="308">
        <v>35878</v>
      </c>
      <c r="E136" s="48" t="s">
        <v>907</v>
      </c>
      <c r="F136" s="105">
        <v>0</v>
      </c>
      <c r="G136" s="49">
        <v>1</v>
      </c>
      <c r="H136" s="48"/>
      <c r="I136" s="48">
        <v>0</v>
      </c>
      <c r="J136" s="48" t="s">
        <v>100</v>
      </c>
      <c r="K136" s="105">
        <v>0</v>
      </c>
      <c r="L136" s="48">
        <v>0</v>
      </c>
      <c r="M136" s="48">
        <v>0</v>
      </c>
      <c r="N136" s="48">
        <v>0</v>
      </c>
      <c r="O136" s="48">
        <v>0</v>
      </c>
      <c r="P136" s="105">
        <v>1</v>
      </c>
      <c r="Q136" s="48">
        <v>0</v>
      </c>
      <c r="R136" s="48"/>
      <c r="S136" s="48"/>
      <c r="T136" s="48"/>
      <c r="U136" s="48"/>
      <c r="V136" s="48"/>
      <c r="W136" s="48"/>
      <c r="X136" s="48"/>
      <c r="Y136" s="48"/>
      <c r="Z136" s="48"/>
      <c r="AA136" s="48"/>
      <c r="AB136" s="48"/>
      <c r="AC136" s="48"/>
    </row>
    <row r="137" spans="1:29" ht="15.75" customHeight="1">
      <c r="A137" s="307" t="s">
        <v>983</v>
      </c>
      <c r="B137" s="307" t="s">
        <v>984</v>
      </c>
      <c r="C137" s="307" t="s">
        <v>985</v>
      </c>
      <c r="D137" s="308">
        <v>35878</v>
      </c>
      <c r="E137" s="48" t="s">
        <v>988</v>
      </c>
      <c r="F137" s="105">
        <v>0</v>
      </c>
      <c r="G137" s="49">
        <v>1</v>
      </c>
      <c r="H137" s="48">
        <v>0</v>
      </c>
      <c r="I137" s="48">
        <v>0</v>
      </c>
      <c r="J137" s="48">
        <v>0</v>
      </c>
      <c r="K137" s="105">
        <v>0</v>
      </c>
      <c r="L137" s="48">
        <v>0</v>
      </c>
      <c r="M137" s="48">
        <v>0</v>
      </c>
      <c r="N137" s="48">
        <v>0</v>
      </c>
      <c r="O137" s="48">
        <v>0</v>
      </c>
      <c r="P137" s="105">
        <v>1</v>
      </c>
      <c r="Q137" s="48">
        <v>0</v>
      </c>
      <c r="R137" s="48"/>
      <c r="S137" s="48"/>
      <c r="T137" s="48"/>
      <c r="U137" s="48"/>
      <c r="V137" s="48"/>
      <c r="W137" s="48"/>
      <c r="X137" s="48"/>
      <c r="Y137" s="48"/>
      <c r="Z137" s="48"/>
      <c r="AA137" s="48"/>
      <c r="AB137" s="48"/>
      <c r="AC137" s="48"/>
    </row>
    <row r="138" spans="1:29" ht="15.75" customHeight="1">
      <c r="A138" s="307" t="s">
        <v>983</v>
      </c>
      <c r="B138" s="307" t="s">
        <v>984</v>
      </c>
      <c r="C138" s="307" t="s">
        <v>985</v>
      </c>
      <c r="D138" s="308">
        <v>35878</v>
      </c>
      <c r="E138" s="48" t="s">
        <v>989</v>
      </c>
      <c r="F138" s="105">
        <v>2</v>
      </c>
      <c r="G138" s="49">
        <v>2</v>
      </c>
      <c r="H138" s="105">
        <v>1</v>
      </c>
      <c r="I138" s="48">
        <v>0</v>
      </c>
      <c r="J138" s="48">
        <v>0</v>
      </c>
      <c r="K138" s="105">
        <v>0</v>
      </c>
      <c r="L138" s="48">
        <v>0</v>
      </c>
      <c r="M138" s="48">
        <v>0</v>
      </c>
      <c r="N138" s="48">
        <v>0</v>
      </c>
      <c r="O138" s="48">
        <v>0</v>
      </c>
      <c r="P138" s="105">
        <v>1</v>
      </c>
      <c r="Q138" s="48">
        <v>0</v>
      </c>
      <c r="R138" s="48"/>
      <c r="S138" s="48"/>
      <c r="T138" s="48"/>
      <c r="U138" s="48"/>
      <c r="V138" s="48"/>
      <c r="W138" s="48"/>
      <c r="X138" s="48"/>
      <c r="Y138" s="48"/>
      <c r="Z138" s="48"/>
      <c r="AA138" s="48"/>
      <c r="AB138" s="48"/>
      <c r="AC138" s="48"/>
    </row>
    <row r="139" spans="1:29" ht="15.75" customHeight="1">
      <c r="A139" s="307" t="s">
        <v>983</v>
      </c>
      <c r="B139" s="307" t="s">
        <v>984</v>
      </c>
      <c r="C139" s="307" t="s">
        <v>985</v>
      </c>
      <c r="D139" s="308">
        <v>35878</v>
      </c>
      <c r="E139" s="48" t="s">
        <v>990</v>
      </c>
      <c r="F139" s="105">
        <v>0</v>
      </c>
      <c r="G139" s="49">
        <v>1</v>
      </c>
      <c r="H139" s="48">
        <v>0</v>
      </c>
      <c r="I139" s="48">
        <v>0</v>
      </c>
      <c r="J139" s="48" t="s">
        <v>100</v>
      </c>
      <c r="K139" s="105">
        <v>0</v>
      </c>
      <c r="L139" s="48">
        <v>0</v>
      </c>
      <c r="M139" s="48">
        <v>0</v>
      </c>
      <c r="N139" s="48">
        <v>0</v>
      </c>
      <c r="O139" s="48">
        <v>0</v>
      </c>
      <c r="P139" s="105">
        <v>1</v>
      </c>
      <c r="Q139" s="48">
        <v>0</v>
      </c>
      <c r="R139" s="48"/>
      <c r="S139" s="48"/>
      <c r="T139" s="48"/>
      <c r="U139" s="48"/>
      <c r="V139" s="48"/>
      <c r="W139" s="48"/>
      <c r="X139" s="48"/>
      <c r="Y139" s="48"/>
      <c r="Z139" s="48"/>
      <c r="AA139" s="48"/>
      <c r="AB139" s="48"/>
      <c r="AC139" s="48"/>
    </row>
    <row r="140" spans="1:29" ht="15.75" customHeight="1">
      <c r="A140" s="307" t="s">
        <v>983</v>
      </c>
      <c r="B140" s="307" t="s">
        <v>984</v>
      </c>
      <c r="C140" s="307" t="s">
        <v>985</v>
      </c>
      <c r="D140" s="308">
        <v>35878</v>
      </c>
      <c r="E140" s="48" t="s">
        <v>991</v>
      </c>
      <c r="F140" s="105">
        <v>0</v>
      </c>
      <c r="G140" s="49">
        <v>0</v>
      </c>
      <c r="H140" s="48">
        <v>0</v>
      </c>
      <c r="I140" s="48">
        <v>0</v>
      </c>
      <c r="J140" s="48" t="s">
        <v>100</v>
      </c>
      <c r="K140" s="105">
        <v>0</v>
      </c>
      <c r="L140" s="48">
        <v>0</v>
      </c>
      <c r="M140" s="48">
        <v>0</v>
      </c>
      <c r="N140" s="48">
        <v>0</v>
      </c>
      <c r="O140" s="48">
        <v>0</v>
      </c>
      <c r="P140" s="105">
        <v>1</v>
      </c>
      <c r="Q140" s="48">
        <v>0</v>
      </c>
      <c r="R140" s="48"/>
      <c r="S140" s="48"/>
      <c r="T140" s="48"/>
      <c r="U140" s="48"/>
      <c r="V140" s="48"/>
      <c r="W140" s="48"/>
      <c r="X140" s="48"/>
      <c r="Y140" s="48"/>
      <c r="Z140" s="48"/>
      <c r="AA140" s="48"/>
      <c r="AB140" s="48"/>
      <c r="AC140" s="48"/>
    </row>
    <row r="141" spans="1:29" ht="15.75" customHeight="1">
      <c r="A141" s="307" t="s">
        <v>983</v>
      </c>
      <c r="B141" s="307" t="s">
        <v>984</v>
      </c>
      <c r="C141" s="307" t="s">
        <v>985</v>
      </c>
      <c r="D141" s="308">
        <v>35878</v>
      </c>
      <c r="E141" s="48" t="s">
        <v>992</v>
      </c>
      <c r="F141" s="105" t="str">
        <f>HYPERLINK("https://www.nytimes.com/1998/03/29/us/from-wild-talk-and-friendship-to-five-deaths-in-a-schoolyard.html?mcubz=0","2")</f>
        <v>2</v>
      </c>
      <c r="G141" s="49">
        <v>2</v>
      </c>
      <c r="H141" s="105">
        <v>1</v>
      </c>
      <c r="I141" s="48">
        <v>0</v>
      </c>
      <c r="J141" s="48">
        <v>0</v>
      </c>
      <c r="K141" s="105">
        <v>0</v>
      </c>
      <c r="L141" s="48">
        <v>0</v>
      </c>
      <c r="M141" s="48">
        <v>0</v>
      </c>
      <c r="N141" s="48">
        <v>0</v>
      </c>
      <c r="O141" s="48">
        <v>0</v>
      </c>
      <c r="P141" s="105">
        <v>1</v>
      </c>
      <c r="Q141" s="48">
        <v>0</v>
      </c>
      <c r="R141" s="48"/>
      <c r="S141" s="48"/>
      <c r="T141" s="48"/>
      <c r="U141" s="48"/>
      <c r="V141" s="48"/>
      <c r="W141" s="48"/>
      <c r="X141" s="48"/>
      <c r="Y141" s="48"/>
      <c r="Z141" s="48"/>
      <c r="AA141" s="48"/>
      <c r="AB141" s="48"/>
      <c r="AC141" s="48"/>
    </row>
    <row r="142" spans="1:29" ht="15.75" customHeight="1">
      <c r="A142" s="307" t="s">
        <v>983</v>
      </c>
      <c r="B142" s="307" t="s">
        <v>984</v>
      </c>
      <c r="C142" s="307" t="s">
        <v>985</v>
      </c>
      <c r="D142" s="308">
        <v>35878</v>
      </c>
      <c r="E142" s="48" t="s">
        <v>993</v>
      </c>
      <c r="F142" s="105">
        <v>0</v>
      </c>
      <c r="G142" s="49">
        <v>1</v>
      </c>
      <c r="H142" s="48">
        <v>0</v>
      </c>
      <c r="I142" s="48">
        <v>0</v>
      </c>
      <c r="J142" s="48" t="s">
        <v>100</v>
      </c>
      <c r="K142" s="105">
        <v>0</v>
      </c>
      <c r="L142" s="48">
        <v>0</v>
      </c>
      <c r="M142" s="48">
        <v>0</v>
      </c>
      <c r="N142" s="48">
        <v>0</v>
      </c>
      <c r="O142" s="48">
        <v>0</v>
      </c>
      <c r="P142" s="105">
        <v>1</v>
      </c>
      <c r="Q142" s="48">
        <v>0</v>
      </c>
      <c r="R142" s="48"/>
      <c r="S142" s="48"/>
      <c r="T142" s="48"/>
      <c r="U142" s="48"/>
      <c r="V142" s="48"/>
      <c r="W142" s="48"/>
      <c r="X142" s="48"/>
      <c r="Y142" s="48"/>
      <c r="Z142" s="48"/>
      <c r="AA142" s="48"/>
      <c r="AB142" s="48"/>
      <c r="AC142" s="48"/>
    </row>
    <row r="143" spans="1:29" ht="15.75" customHeight="1">
      <c r="A143" s="309">
        <v>69</v>
      </c>
      <c r="B143" s="309" t="s">
        <v>373</v>
      </c>
      <c r="C143" s="309" t="s">
        <v>374</v>
      </c>
      <c r="D143" s="310">
        <v>35935</v>
      </c>
      <c r="E143" s="48" t="s">
        <v>994</v>
      </c>
      <c r="F143" s="105" t="str">
        <f>HYPERLINK("https://www.pbs.org/wgbh/pages/frontline/shows/kinkel/kip/cron.html","2")</f>
        <v>2</v>
      </c>
      <c r="G143" s="49">
        <v>0</v>
      </c>
      <c r="H143" s="105">
        <v>1</v>
      </c>
      <c r="I143" s="48">
        <v>0</v>
      </c>
      <c r="J143" s="105">
        <v>1</v>
      </c>
      <c r="K143" s="105">
        <v>1</v>
      </c>
      <c r="L143" s="48">
        <v>0</v>
      </c>
      <c r="M143" s="48">
        <v>0</v>
      </c>
      <c r="N143" s="48">
        <v>0</v>
      </c>
      <c r="O143" s="105">
        <v>1</v>
      </c>
      <c r="P143" s="48">
        <v>0</v>
      </c>
      <c r="Q143" s="48">
        <v>0</v>
      </c>
      <c r="R143" s="48"/>
      <c r="S143" s="48"/>
      <c r="T143" s="48"/>
      <c r="U143" s="48"/>
      <c r="V143" s="48"/>
      <c r="W143" s="48"/>
      <c r="X143" s="48"/>
      <c r="Y143" s="48"/>
      <c r="Z143" s="48"/>
      <c r="AA143" s="48"/>
      <c r="AB143" s="48"/>
      <c r="AC143" s="48"/>
    </row>
    <row r="144" spans="1:29" ht="15.75" customHeight="1">
      <c r="A144" s="309">
        <v>69</v>
      </c>
      <c r="B144" s="309" t="s">
        <v>373</v>
      </c>
      <c r="C144" s="309" t="s">
        <v>374</v>
      </c>
      <c r="D144" s="310">
        <v>35935</v>
      </c>
      <c r="E144" s="48" t="s">
        <v>995</v>
      </c>
      <c r="F144" s="105" t="str">
        <f t="shared" ref="F144:F145" si="22">HYPERLINK("https://www.pbs.org/wgbh/pages/frontline/shows/kinkel/kip/cron.html","0")</f>
        <v>0</v>
      </c>
      <c r="G144" s="49">
        <v>0</v>
      </c>
      <c r="H144" s="105">
        <v>0</v>
      </c>
      <c r="I144" s="48">
        <v>0</v>
      </c>
      <c r="J144" s="48">
        <v>0</v>
      </c>
      <c r="K144" s="105">
        <v>1</v>
      </c>
      <c r="L144" s="48">
        <v>0</v>
      </c>
      <c r="M144" s="105">
        <v>4</v>
      </c>
      <c r="N144" s="48">
        <v>0</v>
      </c>
      <c r="O144" s="48">
        <v>0</v>
      </c>
      <c r="P144" s="48">
        <v>0</v>
      </c>
      <c r="Q144" s="48">
        <v>0</v>
      </c>
      <c r="R144" s="48"/>
      <c r="S144" s="48"/>
      <c r="T144" s="48"/>
      <c r="U144" s="48"/>
      <c r="V144" s="48"/>
      <c r="W144" s="48"/>
      <c r="X144" s="48"/>
      <c r="Y144" s="48"/>
      <c r="Z144" s="48"/>
      <c r="AA144" s="48"/>
      <c r="AB144" s="48"/>
      <c r="AC144" s="48"/>
    </row>
    <row r="145" spans="1:29" ht="15.75" customHeight="1">
      <c r="A145" s="309">
        <v>69</v>
      </c>
      <c r="B145" s="309" t="s">
        <v>373</v>
      </c>
      <c r="C145" s="309" t="s">
        <v>374</v>
      </c>
      <c r="D145" s="310">
        <v>35935</v>
      </c>
      <c r="E145" s="48" t="s">
        <v>875</v>
      </c>
      <c r="F145" s="105" t="str">
        <f t="shared" si="22"/>
        <v>0</v>
      </c>
      <c r="G145" s="49">
        <v>1</v>
      </c>
      <c r="H145" s="105">
        <v>1</v>
      </c>
      <c r="I145" s="48">
        <v>0</v>
      </c>
      <c r="J145" s="48">
        <v>0</v>
      </c>
      <c r="K145" s="105">
        <v>1</v>
      </c>
      <c r="L145" s="48">
        <v>0</v>
      </c>
      <c r="M145" s="48">
        <v>0</v>
      </c>
      <c r="N145" s="48">
        <v>0</v>
      </c>
      <c r="O145" s="48">
        <v>0</v>
      </c>
      <c r="P145" s="105">
        <v>1</v>
      </c>
      <c r="Q145" s="48">
        <v>0</v>
      </c>
      <c r="R145" s="48"/>
      <c r="S145" s="48"/>
      <c r="T145" s="48"/>
      <c r="U145" s="48"/>
      <c r="V145" s="48"/>
      <c r="W145" s="48"/>
      <c r="X145" s="48"/>
      <c r="Y145" s="48"/>
      <c r="Z145" s="48"/>
      <c r="AA145" s="48"/>
      <c r="AB145" s="48"/>
      <c r="AC145" s="48"/>
    </row>
    <row r="146" spans="1:29" ht="15.75" customHeight="1">
      <c r="A146" s="311">
        <v>70</v>
      </c>
      <c r="B146" s="311" t="s">
        <v>293</v>
      </c>
      <c r="C146" s="311" t="s">
        <v>377</v>
      </c>
      <c r="D146" s="312">
        <v>36229</v>
      </c>
      <c r="E146" s="48" t="s">
        <v>856</v>
      </c>
      <c r="F146" s="105">
        <v>0</v>
      </c>
      <c r="G146" s="49">
        <v>1</v>
      </c>
      <c r="H146" s="101">
        <v>1</v>
      </c>
      <c r="I146" s="48">
        <v>0</v>
      </c>
      <c r="J146" s="51">
        <v>0</v>
      </c>
      <c r="K146" s="101" t="str">
        <f>HYPERLINK("https://www.weeklycitizen.com/article/20080610/NEWS/306109986","0")</f>
        <v>0</v>
      </c>
      <c r="L146" s="48">
        <v>0</v>
      </c>
      <c r="M146" s="101" t="str">
        <f>HYPERLINK("https://www.weeklycitizen.com/article/20080610/NEWS/306109986","3")</f>
        <v>3</v>
      </c>
      <c r="N146" s="48">
        <v>0</v>
      </c>
      <c r="O146" s="48">
        <v>0</v>
      </c>
      <c r="P146" s="48">
        <v>0</v>
      </c>
      <c r="Q146" s="48">
        <v>0</v>
      </c>
      <c r="R146" s="48"/>
      <c r="S146" s="48"/>
      <c r="T146" s="48"/>
      <c r="U146" s="48"/>
      <c r="V146" s="48"/>
      <c r="W146" s="48"/>
      <c r="X146" s="48"/>
      <c r="Y146" s="48"/>
      <c r="Z146" s="48"/>
      <c r="AA146" s="48"/>
      <c r="AB146" s="48"/>
      <c r="AC146" s="48"/>
    </row>
    <row r="147" spans="1:29" ht="15.75" customHeight="1">
      <c r="A147" s="313" t="s">
        <v>996</v>
      </c>
      <c r="B147" s="313" t="s">
        <v>997</v>
      </c>
      <c r="C147" s="313" t="s">
        <v>998</v>
      </c>
      <c r="D147" s="314">
        <v>36270</v>
      </c>
      <c r="E147" s="48" t="s">
        <v>999</v>
      </c>
      <c r="F147" s="105" t="str">
        <f t="shared" ref="F147:F148" si="23">HYPERLINK("https://www.cga.ct.gov/2013/rpt/2013-R-0057.htm","1")</f>
        <v>1</v>
      </c>
      <c r="G147" s="49">
        <v>2</v>
      </c>
      <c r="H147" s="105">
        <v>1</v>
      </c>
      <c r="I147" s="105">
        <v>1</v>
      </c>
      <c r="J147" s="48" t="s">
        <v>100</v>
      </c>
      <c r="K147" s="105">
        <v>1</v>
      </c>
      <c r="L147" s="48">
        <v>0</v>
      </c>
      <c r="M147" s="105">
        <v>2</v>
      </c>
      <c r="N147" s="48">
        <v>0</v>
      </c>
      <c r="O147" s="48">
        <v>0</v>
      </c>
      <c r="P147" s="48">
        <v>0</v>
      </c>
      <c r="Q147" s="48">
        <v>0</v>
      </c>
      <c r="R147" s="48"/>
      <c r="S147" s="48"/>
      <c r="T147" s="48"/>
      <c r="U147" s="48"/>
      <c r="V147" s="48"/>
      <c r="W147" s="48"/>
      <c r="X147" s="48"/>
      <c r="Y147" s="48"/>
      <c r="Z147" s="48"/>
      <c r="AA147" s="48"/>
      <c r="AB147" s="48"/>
      <c r="AC147" s="48"/>
    </row>
    <row r="148" spans="1:29" ht="15.75" customHeight="1">
      <c r="A148" s="313" t="s">
        <v>996</v>
      </c>
      <c r="B148" s="313" t="s">
        <v>997</v>
      </c>
      <c r="C148" s="313" t="s">
        <v>998</v>
      </c>
      <c r="D148" s="314">
        <v>36270</v>
      </c>
      <c r="E148" s="48" t="s">
        <v>1000</v>
      </c>
      <c r="F148" s="105" t="str">
        <f t="shared" si="23"/>
        <v>1</v>
      </c>
      <c r="G148" s="49">
        <v>2</v>
      </c>
      <c r="H148" s="105">
        <v>1</v>
      </c>
      <c r="I148" s="105">
        <v>1</v>
      </c>
      <c r="J148" s="48" t="s">
        <v>100</v>
      </c>
      <c r="K148" s="105">
        <v>1</v>
      </c>
      <c r="L148" s="48">
        <v>0</v>
      </c>
      <c r="M148" s="105">
        <v>2</v>
      </c>
      <c r="N148" s="48">
        <v>0</v>
      </c>
      <c r="O148" s="48">
        <v>0</v>
      </c>
      <c r="P148" s="48">
        <v>0</v>
      </c>
      <c r="Q148" s="48">
        <v>0</v>
      </c>
      <c r="R148" s="48"/>
      <c r="S148" s="48"/>
      <c r="T148" s="48"/>
      <c r="U148" s="48"/>
      <c r="V148" s="48"/>
      <c r="W148" s="48"/>
      <c r="X148" s="48"/>
      <c r="Y148" s="48"/>
      <c r="Z148" s="48"/>
      <c r="AA148" s="48"/>
      <c r="AB148" s="48"/>
      <c r="AC148" s="48"/>
    </row>
    <row r="149" spans="1:29" ht="15.75" customHeight="1">
      <c r="A149" s="313" t="s">
        <v>996</v>
      </c>
      <c r="B149" s="313" t="s">
        <v>997</v>
      </c>
      <c r="C149" s="313" t="s">
        <v>998</v>
      </c>
      <c r="D149" s="314">
        <v>36270</v>
      </c>
      <c r="E149" s="48" t="s">
        <v>1001</v>
      </c>
      <c r="F149" s="105">
        <v>3</v>
      </c>
      <c r="G149" s="49">
        <v>1</v>
      </c>
      <c r="H149" s="105">
        <v>1</v>
      </c>
      <c r="I149" s="48">
        <v>0</v>
      </c>
      <c r="J149" s="48">
        <v>0</v>
      </c>
      <c r="K149" s="105">
        <v>1</v>
      </c>
      <c r="L149" s="48">
        <v>0</v>
      </c>
      <c r="M149" s="105">
        <v>2</v>
      </c>
      <c r="N149" s="48">
        <v>0</v>
      </c>
      <c r="O149" s="48">
        <v>0</v>
      </c>
      <c r="P149" s="48">
        <v>0</v>
      </c>
      <c r="Q149" s="48">
        <v>0</v>
      </c>
      <c r="R149" s="48"/>
      <c r="S149" s="48"/>
      <c r="T149" s="48"/>
      <c r="U149" s="48"/>
      <c r="V149" s="48"/>
      <c r="W149" s="48"/>
      <c r="X149" s="48"/>
      <c r="Y149" s="48"/>
      <c r="Z149" s="48"/>
      <c r="AA149" s="48"/>
      <c r="AB149" s="48"/>
      <c r="AC149" s="48"/>
    </row>
    <row r="150" spans="1:29" ht="15.75" customHeight="1">
      <c r="A150" s="313" t="s">
        <v>996</v>
      </c>
      <c r="B150" s="313" t="s">
        <v>997</v>
      </c>
      <c r="C150" s="313" t="s">
        <v>998</v>
      </c>
      <c r="D150" s="314">
        <v>36270</v>
      </c>
      <c r="E150" s="48" t="s">
        <v>1002</v>
      </c>
      <c r="F150" s="105">
        <v>3</v>
      </c>
      <c r="G150" s="49">
        <v>1</v>
      </c>
      <c r="H150" s="105">
        <v>1</v>
      </c>
      <c r="I150" s="48">
        <v>0</v>
      </c>
      <c r="J150" s="48">
        <v>0</v>
      </c>
      <c r="K150" s="105">
        <v>1</v>
      </c>
      <c r="L150" s="48">
        <v>0</v>
      </c>
      <c r="M150" s="105">
        <v>4</v>
      </c>
      <c r="N150" s="48">
        <v>0</v>
      </c>
      <c r="O150" s="48">
        <v>0</v>
      </c>
      <c r="P150" s="48">
        <v>0</v>
      </c>
      <c r="Q150" s="48">
        <v>0</v>
      </c>
      <c r="R150" s="48"/>
      <c r="S150" s="48"/>
      <c r="T150" s="48"/>
      <c r="U150" s="48"/>
      <c r="V150" s="48"/>
      <c r="W150" s="48"/>
      <c r="X150" s="48"/>
      <c r="Y150" s="48"/>
      <c r="Z150" s="48"/>
      <c r="AA150" s="48"/>
      <c r="AB150" s="48"/>
      <c r="AC150" s="48"/>
    </row>
    <row r="151" spans="1:29" ht="15.75" customHeight="1">
      <c r="A151" s="305">
        <v>73</v>
      </c>
      <c r="B151" s="305" t="s">
        <v>386</v>
      </c>
      <c r="C151" s="305" t="s">
        <v>387</v>
      </c>
      <c r="D151" s="306">
        <v>36314</v>
      </c>
      <c r="E151" s="48" t="s">
        <v>857</v>
      </c>
      <c r="F151" s="105" t="str">
        <f>HYPERLINK("https://www.latimes.com/archives/la-xpm-1999-jun-04-mn-44038-story.html","1")</f>
        <v>1</v>
      </c>
      <c r="G151" s="49">
        <v>2</v>
      </c>
      <c r="H151" s="105" t="str">
        <f>HYPERLINK("https://www.latimes.com/archives/la-xpm-1999-jun-04-mn-44038-story.html","1")</f>
        <v>1</v>
      </c>
      <c r="I151" s="48">
        <v>0</v>
      </c>
      <c r="J151" s="48" t="s">
        <v>100</v>
      </c>
      <c r="K151" s="101" t="str">
        <f t="shared" ref="K151:L151" si="24">HYPERLINK("https://lasvegassun.com/news/1999/jun/04/floyd-described-as-sweet-guy-with-violent-streak/","1")</f>
        <v>1</v>
      </c>
      <c r="L151" s="101" t="str">
        <f t="shared" si="24"/>
        <v>1</v>
      </c>
      <c r="M151" s="48">
        <v>0</v>
      </c>
      <c r="N151" s="48">
        <v>0</v>
      </c>
      <c r="O151" s="48">
        <v>0</v>
      </c>
      <c r="P151" s="48">
        <v>0</v>
      </c>
      <c r="Q151" s="48">
        <v>0</v>
      </c>
      <c r="R151" s="48"/>
      <c r="S151" s="48"/>
      <c r="T151" s="48"/>
      <c r="U151" s="48"/>
      <c r="V151" s="48"/>
      <c r="W151" s="48"/>
      <c r="X151" s="48"/>
      <c r="Y151" s="48"/>
      <c r="Z151" s="48"/>
      <c r="AA151" s="48"/>
      <c r="AB151" s="48"/>
      <c r="AC151" s="48"/>
    </row>
    <row r="152" spans="1:29" ht="15.75" customHeight="1">
      <c r="A152" s="307">
        <v>74</v>
      </c>
      <c r="B152" s="307" t="s">
        <v>390</v>
      </c>
      <c r="C152" s="307" t="s">
        <v>136</v>
      </c>
      <c r="D152" s="308">
        <v>36370</v>
      </c>
      <c r="E152" s="48" t="s">
        <v>1003</v>
      </c>
      <c r="F152" s="105">
        <v>0</v>
      </c>
      <c r="G152" s="49">
        <v>2</v>
      </c>
      <c r="H152" s="105">
        <v>1</v>
      </c>
      <c r="I152" s="48">
        <v>0</v>
      </c>
      <c r="J152" s="48">
        <v>0</v>
      </c>
      <c r="K152" s="48"/>
      <c r="L152" s="105">
        <v>2</v>
      </c>
      <c r="M152" s="48">
        <v>0</v>
      </c>
      <c r="N152" s="48">
        <v>0</v>
      </c>
      <c r="O152" s="48">
        <v>0</v>
      </c>
      <c r="P152" s="48">
        <v>0</v>
      </c>
      <c r="Q152" s="48">
        <v>0</v>
      </c>
      <c r="R152" s="48"/>
      <c r="S152" s="48"/>
      <c r="T152" s="48"/>
      <c r="U152" s="48"/>
      <c r="V152" s="48"/>
      <c r="W152" s="48"/>
      <c r="X152" s="48"/>
      <c r="Y152" s="48"/>
      <c r="Z152" s="48"/>
      <c r="AA152" s="48"/>
      <c r="AB152" s="48"/>
      <c r="AC152" s="48"/>
    </row>
    <row r="153" spans="1:29" ht="15.75" customHeight="1">
      <c r="A153" s="307">
        <v>74</v>
      </c>
      <c r="B153" s="307" t="s">
        <v>390</v>
      </c>
      <c r="C153" s="307" t="s">
        <v>136</v>
      </c>
      <c r="D153" s="308">
        <v>36370</v>
      </c>
      <c r="E153" s="48" t="s">
        <v>1004</v>
      </c>
      <c r="F153" s="105" t="str">
        <f>HYPERLINK("https://www.washingtonpost.com/archive/politics/1999/07/31/killer-wrote-of-fear-hopelessness/af33786a-de37-45cd-9d5f-1098379892dd/?noredirect=on&amp;utm_term=.df0baa182fdc","0")</f>
        <v>0</v>
      </c>
      <c r="G153" s="49">
        <v>0</v>
      </c>
      <c r="H153" s="105">
        <v>0</v>
      </c>
      <c r="I153" s="48">
        <v>0</v>
      </c>
      <c r="J153" s="48" t="s">
        <v>100</v>
      </c>
      <c r="K153" s="105">
        <v>1</v>
      </c>
      <c r="L153" s="105">
        <v>1</v>
      </c>
      <c r="M153" s="48">
        <v>0</v>
      </c>
      <c r="N153" s="48">
        <v>0</v>
      </c>
      <c r="O153" s="48">
        <v>0</v>
      </c>
      <c r="P153" s="48">
        <v>0</v>
      </c>
      <c r="Q153" s="48">
        <v>0</v>
      </c>
      <c r="R153" s="48"/>
      <c r="S153" s="48"/>
      <c r="T153" s="48"/>
      <c r="U153" s="48"/>
      <c r="V153" s="48"/>
      <c r="W153" s="48"/>
      <c r="X153" s="48"/>
      <c r="Y153" s="48"/>
      <c r="Z153" s="48"/>
      <c r="AA153" s="48"/>
      <c r="AB153" s="48"/>
      <c r="AC153" s="48"/>
    </row>
    <row r="154" spans="1:29" ht="15.75" customHeight="1">
      <c r="A154" s="307">
        <v>74</v>
      </c>
      <c r="B154" s="307" t="s">
        <v>390</v>
      </c>
      <c r="C154" s="307" t="s">
        <v>136</v>
      </c>
      <c r="D154" s="308">
        <v>36370</v>
      </c>
      <c r="E154" s="48" t="s">
        <v>859</v>
      </c>
      <c r="F154" s="105">
        <v>0</v>
      </c>
      <c r="G154" s="49">
        <v>1</v>
      </c>
      <c r="H154" s="105">
        <v>1</v>
      </c>
      <c r="I154" s="48">
        <v>0</v>
      </c>
      <c r="J154" s="48">
        <v>0</v>
      </c>
      <c r="K154" s="105">
        <v>1</v>
      </c>
      <c r="L154" s="105">
        <v>1</v>
      </c>
      <c r="M154" s="48">
        <v>0</v>
      </c>
      <c r="N154" s="48">
        <v>0</v>
      </c>
      <c r="O154" s="48">
        <v>0</v>
      </c>
      <c r="P154" s="48">
        <v>0</v>
      </c>
      <c r="Q154" s="48">
        <v>0</v>
      </c>
      <c r="R154" s="48"/>
      <c r="S154" s="48"/>
      <c r="T154" s="48"/>
      <c r="U154" s="48"/>
      <c r="V154" s="48"/>
      <c r="W154" s="48"/>
      <c r="X154" s="48"/>
      <c r="Y154" s="48"/>
      <c r="Z154" s="48"/>
      <c r="AA154" s="48"/>
      <c r="AB154" s="48"/>
      <c r="AC154" s="48"/>
    </row>
    <row r="155" spans="1:29" ht="15.75" customHeight="1">
      <c r="A155" s="307">
        <v>74</v>
      </c>
      <c r="B155" s="307" t="s">
        <v>390</v>
      </c>
      <c r="C155" s="307" t="s">
        <v>136</v>
      </c>
      <c r="D155" s="308">
        <v>36370</v>
      </c>
      <c r="E155" s="48" t="s">
        <v>1005</v>
      </c>
      <c r="F155" s="105" t="str">
        <f>HYPERLINK("https://www.washingtonpost.com/archive/politics/1999/07/31/killer-wrote-of-fear-hopelessness/af33786a-de37-45cd-9d5f-1098379892dd/?noredirect=on&amp;utm_term=.df0baa182fdc","0")</f>
        <v>0</v>
      </c>
      <c r="G155" s="49">
        <v>0</v>
      </c>
      <c r="H155" s="105">
        <v>0</v>
      </c>
      <c r="I155" s="48">
        <v>0</v>
      </c>
      <c r="J155" s="48">
        <v>0</v>
      </c>
      <c r="K155" s="48"/>
      <c r="L155" s="48"/>
      <c r="M155" s="48"/>
      <c r="N155" s="48"/>
      <c r="O155" s="48"/>
      <c r="P155" s="48"/>
      <c r="Q155" s="105">
        <v>1</v>
      </c>
      <c r="R155" s="48"/>
      <c r="S155" s="48"/>
      <c r="T155" s="48"/>
      <c r="U155" s="48"/>
      <c r="V155" s="48"/>
      <c r="W155" s="48"/>
      <c r="X155" s="48"/>
      <c r="Y155" s="48"/>
      <c r="Z155" s="48"/>
      <c r="AA155" s="48"/>
      <c r="AB155" s="48"/>
      <c r="AC155" s="48"/>
    </row>
    <row r="156" spans="1:29" ht="15.75" customHeight="1">
      <c r="A156" s="309">
        <v>75</v>
      </c>
      <c r="B156" s="309" t="s">
        <v>393</v>
      </c>
      <c r="C156" s="309" t="s">
        <v>394</v>
      </c>
      <c r="D156" s="310">
        <v>36418</v>
      </c>
      <c r="E156" s="48" t="s">
        <v>1006</v>
      </c>
      <c r="F156" s="105" t="str">
        <f>HYPERLINK("http://www.nytimes.com/1999/09/17/us/deaths-in-a-church-the-overview-an-angry-mystery-man-who-brought-death.html","0")</f>
        <v>0</v>
      </c>
      <c r="G156" s="49">
        <v>1</v>
      </c>
      <c r="H156" s="105">
        <v>0</v>
      </c>
      <c r="I156" s="48">
        <v>0</v>
      </c>
      <c r="J156" s="48">
        <v>0</v>
      </c>
      <c r="K156" s="105">
        <v>1</v>
      </c>
      <c r="L156" s="105">
        <v>1</v>
      </c>
      <c r="M156" s="48">
        <v>0</v>
      </c>
      <c r="N156" s="48">
        <v>0</v>
      </c>
      <c r="O156" s="48">
        <v>0</v>
      </c>
      <c r="P156" s="48">
        <v>0</v>
      </c>
      <c r="Q156" s="48">
        <v>0</v>
      </c>
      <c r="R156" s="48"/>
      <c r="S156" s="48"/>
      <c r="T156" s="48"/>
      <c r="U156" s="48"/>
      <c r="V156" s="48"/>
      <c r="W156" s="48"/>
      <c r="X156" s="48"/>
      <c r="Y156" s="48"/>
      <c r="Z156" s="48"/>
      <c r="AA156" s="48"/>
      <c r="AB156" s="48"/>
      <c r="AC156" s="48"/>
    </row>
    <row r="157" spans="1:29" ht="15.75" customHeight="1">
      <c r="A157" s="309">
        <v>75</v>
      </c>
      <c r="B157" s="309" t="s">
        <v>393</v>
      </c>
      <c r="C157" s="309" t="s">
        <v>394</v>
      </c>
      <c r="D157" s="310">
        <v>36418</v>
      </c>
      <c r="E157" s="48" t="s">
        <v>1007</v>
      </c>
      <c r="F157" s="105">
        <v>0</v>
      </c>
      <c r="G157" s="49">
        <v>1</v>
      </c>
      <c r="H157" s="105">
        <v>1</v>
      </c>
      <c r="I157" s="48">
        <v>0</v>
      </c>
      <c r="J157" s="48">
        <v>0</v>
      </c>
      <c r="K157" s="105">
        <v>1</v>
      </c>
      <c r="L157" s="105">
        <v>1</v>
      </c>
      <c r="M157" s="48">
        <v>0</v>
      </c>
      <c r="N157" s="48">
        <v>0</v>
      </c>
      <c r="O157" s="48">
        <v>0</v>
      </c>
      <c r="P157" s="48">
        <v>0</v>
      </c>
      <c r="Q157" s="48">
        <v>0</v>
      </c>
      <c r="R157" s="48"/>
      <c r="S157" s="48"/>
      <c r="T157" s="48"/>
      <c r="U157" s="48"/>
      <c r="V157" s="48"/>
      <c r="W157" s="48"/>
      <c r="X157" s="48"/>
      <c r="Y157" s="48"/>
      <c r="Z157" s="48"/>
      <c r="AA157" s="48"/>
      <c r="AB157" s="48"/>
      <c r="AC157" s="48"/>
    </row>
    <row r="158" spans="1:29" ht="15.75" customHeight="1">
      <c r="A158" s="311">
        <v>76</v>
      </c>
      <c r="B158" s="311" t="s">
        <v>398</v>
      </c>
      <c r="C158" s="311" t="s">
        <v>399</v>
      </c>
      <c r="D158" s="312">
        <v>36466</v>
      </c>
      <c r="E158" s="48" t="s">
        <v>859</v>
      </c>
      <c r="F158" s="105">
        <v>0</v>
      </c>
      <c r="G158" s="49">
        <v>1</v>
      </c>
      <c r="H158" s="105" t="str">
        <f>HYPERLINK("http://www.nytimes.com/1999/11/03/us/man-opens-fire-in-xerox-office-killing-7.html?mcubz=1","1")</f>
        <v>1</v>
      </c>
      <c r="I158" s="48">
        <v>0</v>
      </c>
      <c r="J158" s="105">
        <v>0</v>
      </c>
      <c r="K158" s="101">
        <v>1</v>
      </c>
      <c r="L158" s="101">
        <v>1</v>
      </c>
      <c r="M158" s="51">
        <v>0</v>
      </c>
      <c r="N158" s="48">
        <v>0</v>
      </c>
      <c r="O158" s="48">
        <v>0</v>
      </c>
      <c r="P158" s="48">
        <v>0</v>
      </c>
      <c r="Q158" s="48">
        <v>0</v>
      </c>
      <c r="R158" s="48"/>
      <c r="S158" s="48"/>
      <c r="T158" s="48"/>
      <c r="U158" s="48"/>
      <c r="V158" s="48"/>
      <c r="W158" s="48"/>
      <c r="X158" s="48"/>
      <c r="Y158" s="48"/>
      <c r="Z158" s="48"/>
      <c r="AA158" s="48"/>
      <c r="AB158" s="48"/>
      <c r="AC158" s="48"/>
    </row>
    <row r="159" spans="1:29" ht="15.75" customHeight="1">
      <c r="A159" s="313">
        <v>77</v>
      </c>
      <c r="B159" s="313" t="s">
        <v>403</v>
      </c>
      <c r="C159" s="313" t="s">
        <v>404</v>
      </c>
      <c r="D159" s="314">
        <v>36524</v>
      </c>
      <c r="E159" s="48" t="s">
        <v>1008</v>
      </c>
      <c r="F159" s="105">
        <v>0</v>
      </c>
      <c r="G159" s="49">
        <v>1</v>
      </c>
      <c r="H159" s="105">
        <v>1</v>
      </c>
      <c r="I159" s="48">
        <v>0</v>
      </c>
      <c r="J159" s="48">
        <v>0</v>
      </c>
      <c r="K159" s="105">
        <v>1</v>
      </c>
      <c r="L159" s="48">
        <v>0</v>
      </c>
      <c r="M159" s="105">
        <v>1</v>
      </c>
      <c r="N159" s="48">
        <v>0</v>
      </c>
      <c r="O159" s="48">
        <v>0</v>
      </c>
      <c r="P159" s="48">
        <v>0</v>
      </c>
      <c r="Q159" s="48">
        <v>0</v>
      </c>
      <c r="R159" s="48"/>
      <c r="S159" s="48"/>
      <c r="T159" s="48"/>
      <c r="U159" s="48"/>
      <c r="V159" s="48"/>
      <c r="W159" s="48"/>
      <c r="X159" s="48"/>
      <c r="Y159" s="48"/>
      <c r="Z159" s="48"/>
      <c r="AA159" s="48"/>
      <c r="AB159" s="48"/>
      <c r="AC159" s="48"/>
    </row>
    <row r="160" spans="1:29" ht="15.75" customHeight="1">
      <c r="A160" s="313">
        <v>77</v>
      </c>
      <c r="B160" s="313" t="s">
        <v>403</v>
      </c>
      <c r="C160" s="313" t="s">
        <v>404</v>
      </c>
      <c r="D160" s="314">
        <v>36524</v>
      </c>
      <c r="E160" s="48" t="s">
        <v>861</v>
      </c>
      <c r="F160" s="105">
        <v>0</v>
      </c>
      <c r="G160" s="49">
        <v>1</v>
      </c>
      <c r="H160" s="105">
        <v>1</v>
      </c>
      <c r="I160" s="48">
        <v>0</v>
      </c>
      <c r="J160" s="48" t="s">
        <v>100</v>
      </c>
      <c r="K160" s="48"/>
      <c r="L160" s="105">
        <v>3</v>
      </c>
      <c r="M160" s="48">
        <v>0</v>
      </c>
      <c r="N160" s="48">
        <v>0</v>
      </c>
      <c r="O160" s="48">
        <v>0</v>
      </c>
      <c r="P160" s="48">
        <v>0</v>
      </c>
      <c r="Q160" s="48">
        <v>0</v>
      </c>
      <c r="R160" s="48"/>
      <c r="S160" s="48"/>
      <c r="T160" s="48"/>
      <c r="U160" s="48"/>
      <c r="V160" s="48"/>
      <c r="W160" s="48"/>
      <c r="X160" s="48"/>
      <c r="Y160" s="48"/>
      <c r="Z160" s="48"/>
      <c r="AA160" s="48"/>
      <c r="AB160" s="48"/>
      <c r="AC160" s="48"/>
    </row>
    <row r="161" spans="1:29" ht="15.75" customHeight="1">
      <c r="A161" s="305">
        <v>78</v>
      </c>
      <c r="B161" s="305" t="s">
        <v>263</v>
      </c>
      <c r="C161" s="305" t="s">
        <v>102</v>
      </c>
      <c r="D161" s="306">
        <v>36605</v>
      </c>
      <c r="E161" s="48" t="s">
        <v>850</v>
      </c>
      <c r="F161" s="105">
        <v>0</v>
      </c>
      <c r="G161" s="49">
        <v>1</v>
      </c>
      <c r="H161" s="105" t="str">
        <f>HYPERLINK("https://www.dallasnews.com/news/texas/2012/03/13/man-condemned-for-irving-car-wash-shooting-spree-in-2000-loses-appeal","1")</f>
        <v>1</v>
      </c>
      <c r="I161" s="48">
        <v>0</v>
      </c>
      <c r="J161" s="48">
        <v>0</v>
      </c>
      <c r="K161" s="105">
        <v>0</v>
      </c>
      <c r="L161" s="48">
        <v>0</v>
      </c>
      <c r="M161" s="48">
        <v>0</v>
      </c>
      <c r="N161" s="48">
        <v>0</v>
      </c>
      <c r="O161" s="48">
        <v>0</v>
      </c>
      <c r="P161" s="105">
        <v>1</v>
      </c>
      <c r="Q161" s="48">
        <v>0</v>
      </c>
      <c r="R161" s="48"/>
      <c r="S161" s="48"/>
      <c r="T161" s="48"/>
      <c r="U161" s="48"/>
      <c r="V161" s="48"/>
      <c r="W161" s="48"/>
      <c r="X161" s="48"/>
      <c r="Y161" s="48"/>
      <c r="Z161" s="48"/>
      <c r="AA161" s="48"/>
      <c r="AB161" s="48"/>
      <c r="AC161" s="48"/>
    </row>
    <row r="162" spans="1:29" ht="15.75" customHeight="1">
      <c r="A162" s="307">
        <v>79</v>
      </c>
      <c r="B162" s="307" t="s">
        <v>409</v>
      </c>
      <c r="C162" s="307" t="s">
        <v>241</v>
      </c>
      <c r="D162" s="308">
        <v>36644</v>
      </c>
      <c r="E162" s="48" t="s">
        <v>860</v>
      </c>
      <c r="F162" s="105">
        <v>0</v>
      </c>
      <c r="G162" s="49">
        <v>1</v>
      </c>
      <c r="H162" s="105" t="str">
        <f t="shared" ref="H162:K162" si="25">HYPERLINK("https://web.archive.org/web/20070831085028/http:/the-duke.duq-duke.duq.edu/justice/Taylor/Baumhamm.htm","1")</f>
        <v>1</v>
      </c>
      <c r="I162" s="48">
        <v>0</v>
      </c>
      <c r="J162" s="48" t="s">
        <v>100</v>
      </c>
      <c r="K162" s="105" t="str">
        <f t="shared" si="25"/>
        <v>1</v>
      </c>
      <c r="L162" s="105">
        <v>1</v>
      </c>
      <c r="M162" s="48">
        <v>0</v>
      </c>
      <c r="N162" s="48">
        <v>0</v>
      </c>
      <c r="O162" s="48">
        <v>0</v>
      </c>
      <c r="P162" s="48">
        <v>0</v>
      </c>
      <c r="Q162" s="48">
        <v>0</v>
      </c>
      <c r="R162" s="48"/>
      <c r="S162" s="48"/>
      <c r="T162" s="48"/>
      <c r="U162" s="48"/>
      <c r="V162" s="48"/>
      <c r="W162" s="48"/>
      <c r="X162" s="48"/>
      <c r="Y162" s="48"/>
      <c r="Z162" s="48"/>
      <c r="AA162" s="48"/>
      <c r="AB162" s="48"/>
      <c r="AC162" s="48"/>
    </row>
    <row r="163" spans="1:29" ht="15.75" customHeight="1">
      <c r="A163" s="309">
        <v>80</v>
      </c>
      <c r="B163" s="309" t="s">
        <v>413</v>
      </c>
      <c r="C163" s="309" t="s">
        <v>212</v>
      </c>
      <c r="D163" s="310">
        <v>36886</v>
      </c>
      <c r="E163" s="48" t="s">
        <v>1009</v>
      </c>
      <c r="F163" s="105" t="str">
        <f>HYPERLINK("https://caselaw.findlaw.com/ma-supreme-judicial-court/1448833.html","1")</f>
        <v>1</v>
      </c>
      <c r="G163" s="49">
        <v>2</v>
      </c>
      <c r="H163" s="105">
        <v>1</v>
      </c>
      <c r="I163" s="48">
        <v>0</v>
      </c>
      <c r="J163" s="48" t="s">
        <v>100</v>
      </c>
      <c r="K163" s="105">
        <v>1</v>
      </c>
      <c r="L163" s="48">
        <v>0</v>
      </c>
      <c r="M163" s="105">
        <v>5</v>
      </c>
      <c r="N163" s="48">
        <v>0</v>
      </c>
      <c r="O163" s="48">
        <v>0</v>
      </c>
      <c r="P163" s="48">
        <v>0</v>
      </c>
      <c r="Q163" s="48">
        <v>0</v>
      </c>
      <c r="R163" s="48"/>
      <c r="S163" s="48"/>
      <c r="T163" s="48"/>
      <c r="U163" s="48"/>
      <c r="V163" s="48"/>
      <c r="W163" s="48"/>
      <c r="X163" s="48"/>
      <c r="Y163" s="48"/>
      <c r="Z163" s="48"/>
      <c r="AA163" s="48"/>
      <c r="AB163" s="48"/>
      <c r="AC163" s="48"/>
    </row>
    <row r="164" spans="1:29" ht="15.75" customHeight="1">
      <c r="A164" s="309">
        <v>80</v>
      </c>
      <c r="B164" s="309" t="s">
        <v>413</v>
      </c>
      <c r="C164" s="309" t="s">
        <v>212</v>
      </c>
      <c r="D164" s="310">
        <v>36886</v>
      </c>
      <c r="E164" s="48" t="s">
        <v>1010</v>
      </c>
      <c r="F164" s="105" t="str">
        <f>HYPERLINK("https://caselaw.findlaw.com/ma-supreme-judicial-court/1448833.html","3")</f>
        <v>3</v>
      </c>
      <c r="G164" s="49"/>
      <c r="H164" s="105">
        <v>1</v>
      </c>
      <c r="I164" s="48">
        <v>0</v>
      </c>
      <c r="J164" s="48">
        <v>0</v>
      </c>
      <c r="K164" s="105">
        <v>1</v>
      </c>
      <c r="L164" s="48">
        <v>0</v>
      </c>
      <c r="M164" s="105">
        <v>5</v>
      </c>
      <c r="N164" s="48">
        <v>0</v>
      </c>
      <c r="O164" s="48">
        <v>0</v>
      </c>
      <c r="P164" s="48">
        <v>0</v>
      </c>
      <c r="Q164" s="48">
        <v>0</v>
      </c>
      <c r="R164" s="48"/>
      <c r="S164" s="48"/>
      <c r="T164" s="48"/>
      <c r="U164" s="48"/>
      <c r="V164" s="48"/>
      <c r="W164" s="48"/>
      <c r="X164" s="48"/>
      <c r="Y164" s="48"/>
      <c r="Z164" s="48"/>
      <c r="AA164" s="48"/>
      <c r="AB164" s="48"/>
      <c r="AC164" s="48"/>
    </row>
    <row r="165" spans="1:29" ht="15.75" customHeight="1">
      <c r="A165" s="309">
        <v>80</v>
      </c>
      <c r="B165" s="309" t="s">
        <v>413</v>
      </c>
      <c r="C165" s="309" t="s">
        <v>212</v>
      </c>
      <c r="D165" s="310">
        <v>36886</v>
      </c>
      <c r="E165" s="48" t="s">
        <v>1011</v>
      </c>
      <c r="F165" s="105" t="str">
        <f>HYPERLINK("https://caselaw.findlaw.com/ma-supreme-judicial-court/1448833.html","0")</f>
        <v>0</v>
      </c>
      <c r="G165" s="49">
        <v>0</v>
      </c>
      <c r="H165" s="105">
        <v>0</v>
      </c>
      <c r="I165" s="48">
        <v>0</v>
      </c>
      <c r="J165" s="48">
        <v>0</v>
      </c>
      <c r="K165" s="105">
        <v>1</v>
      </c>
      <c r="L165" s="48">
        <v>0</v>
      </c>
      <c r="M165" s="105">
        <v>5</v>
      </c>
      <c r="N165" s="48">
        <v>0</v>
      </c>
      <c r="O165" s="48">
        <v>0</v>
      </c>
      <c r="P165" s="48">
        <v>0</v>
      </c>
      <c r="Q165" s="48">
        <v>0</v>
      </c>
      <c r="R165" s="48"/>
      <c r="S165" s="48"/>
      <c r="T165" s="48"/>
      <c r="U165" s="48"/>
      <c r="V165" s="48"/>
      <c r="W165" s="48"/>
      <c r="X165" s="48"/>
      <c r="Y165" s="48"/>
      <c r="Z165" s="48"/>
      <c r="AA165" s="48"/>
      <c r="AB165" s="48"/>
      <c r="AC165" s="48"/>
    </row>
    <row r="166" spans="1:29" ht="15.75" customHeight="1">
      <c r="A166" s="309">
        <v>80</v>
      </c>
      <c r="B166" s="309" t="s">
        <v>413</v>
      </c>
      <c r="C166" s="309" t="s">
        <v>212</v>
      </c>
      <c r="D166" s="310">
        <v>36886</v>
      </c>
      <c r="E166" s="48" t="s">
        <v>1012</v>
      </c>
      <c r="F166" s="105">
        <v>2</v>
      </c>
      <c r="G166" s="49">
        <v>2</v>
      </c>
      <c r="H166" s="105">
        <v>0</v>
      </c>
      <c r="I166" s="105">
        <v>1</v>
      </c>
      <c r="J166" s="48">
        <v>0</v>
      </c>
      <c r="K166" s="105">
        <v>1</v>
      </c>
      <c r="L166" s="48">
        <v>0</v>
      </c>
      <c r="M166" s="105">
        <v>5</v>
      </c>
      <c r="N166" s="48">
        <v>0</v>
      </c>
      <c r="O166" s="48">
        <v>0</v>
      </c>
      <c r="P166" s="48">
        <v>0</v>
      </c>
      <c r="Q166" s="48">
        <v>0</v>
      </c>
      <c r="R166" s="48"/>
      <c r="S166" s="48"/>
      <c r="T166" s="48"/>
      <c r="U166" s="48"/>
      <c r="V166" s="48"/>
      <c r="W166" s="48"/>
      <c r="X166" s="48"/>
      <c r="Y166" s="48"/>
      <c r="Z166" s="48"/>
      <c r="AA166" s="48"/>
      <c r="AB166" s="48"/>
      <c r="AC166" s="48"/>
    </row>
    <row r="167" spans="1:29" ht="15.75" customHeight="1">
      <c r="A167" s="311">
        <v>81</v>
      </c>
      <c r="B167" s="311" t="s">
        <v>417</v>
      </c>
      <c r="C167" s="311" t="s">
        <v>3034</v>
      </c>
      <c r="D167" s="312">
        <v>36900</v>
      </c>
      <c r="E167" s="48" t="s">
        <v>1013</v>
      </c>
      <c r="F167" s="105" t="str">
        <f t="shared" ref="F167:F168" si="26">HYPERLINK("https://www.chron.com/news/article/Gunman-s-wife-accused-him-of-assault-in-1998-1997336.php","0")</f>
        <v>0</v>
      </c>
      <c r="G167" s="49"/>
      <c r="H167" s="105">
        <v>1</v>
      </c>
      <c r="I167" s="48">
        <v>0</v>
      </c>
      <c r="J167" s="48" t="s">
        <v>100</v>
      </c>
      <c r="K167" s="48"/>
      <c r="L167" s="48"/>
      <c r="M167" s="48"/>
      <c r="N167" s="48"/>
      <c r="O167" s="48"/>
      <c r="P167" s="48"/>
      <c r="Q167" s="48">
        <v>1</v>
      </c>
      <c r="R167" s="48"/>
      <c r="S167" s="48"/>
      <c r="T167" s="48"/>
      <c r="U167" s="48"/>
      <c r="V167" s="48"/>
      <c r="W167" s="48"/>
      <c r="X167" s="48"/>
      <c r="Y167" s="48"/>
      <c r="Z167" s="48"/>
      <c r="AA167" s="48"/>
      <c r="AB167" s="48"/>
      <c r="AC167" s="48"/>
    </row>
    <row r="168" spans="1:29" ht="15.75" customHeight="1">
      <c r="A168" s="311">
        <v>81</v>
      </c>
      <c r="B168" s="311" t="s">
        <v>417</v>
      </c>
      <c r="C168" s="311" t="s">
        <v>3034</v>
      </c>
      <c r="D168" s="312">
        <v>36900</v>
      </c>
      <c r="E168" s="48" t="s">
        <v>947</v>
      </c>
      <c r="F168" s="105" t="str">
        <f t="shared" si="26"/>
        <v>0</v>
      </c>
      <c r="G168" s="49"/>
      <c r="H168" s="105">
        <v>1</v>
      </c>
      <c r="I168" s="48">
        <v>0</v>
      </c>
      <c r="J168" s="48">
        <v>0</v>
      </c>
      <c r="K168" s="48"/>
      <c r="L168" s="48"/>
      <c r="M168" s="48"/>
      <c r="N168" s="48"/>
      <c r="O168" s="48"/>
      <c r="P168" s="48"/>
      <c r="Q168" s="48">
        <v>1</v>
      </c>
      <c r="R168" s="48"/>
      <c r="S168" s="48"/>
      <c r="T168" s="48"/>
      <c r="U168" s="48"/>
      <c r="V168" s="48"/>
      <c r="W168" s="48"/>
      <c r="X168" s="48"/>
      <c r="Y168" s="48"/>
      <c r="Z168" s="48"/>
      <c r="AA168" s="48"/>
      <c r="AB168" s="48"/>
      <c r="AC168" s="48"/>
    </row>
    <row r="169" spans="1:29" ht="15.75" customHeight="1">
      <c r="A169" s="313">
        <v>82</v>
      </c>
      <c r="B169" s="313" t="s">
        <v>419</v>
      </c>
      <c r="C169" s="313" t="s">
        <v>182</v>
      </c>
      <c r="D169" s="314">
        <v>36927</v>
      </c>
      <c r="E169" s="48" t="s">
        <v>1014</v>
      </c>
      <c r="F169" s="105">
        <v>2</v>
      </c>
      <c r="G169" s="49">
        <v>2</v>
      </c>
      <c r="H169" s="105">
        <v>0</v>
      </c>
      <c r="I169" s="105">
        <v>1</v>
      </c>
      <c r="J169" s="48">
        <v>0</v>
      </c>
      <c r="K169" s="105">
        <v>1</v>
      </c>
      <c r="L169" s="105">
        <v>1</v>
      </c>
      <c r="M169" s="48">
        <v>0</v>
      </c>
      <c r="N169" s="48">
        <v>0</v>
      </c>
      <c r="O169" s="48">
        <v>0</v>
      </c>
      <c r="P169" s="48">
        <v>0</v>
      </c>
      <c r="Q169" s="48">
        <v>0</v>
      </c>
      <c r="R169" s="48"/>
      <c r="S169" s="48"/>
      <c r="T169" s="48"/>
      <c r="U169" s="48"/>
      <c r="V169" s="48"/>
      <c r="W169" s="48"/>
      <c r="X169" s="48"/>
      <c r="Y169" s="48"/>
      <c r="Z169" s="48"/>
      <c r="AA169" s="48"/>
      <c r="AB169" s="48"/>
      <c r="AC169" s="48"/>
    </row>
    <row r="170" spans="1:29" ht="15.75" customHeight="1">
      <c r="A170" s="313">
        <v>82</v>
      </c>
      <c r="B170" s="313" t="s">
        <v>419</v>
      </c>
      <c r="C170" s="313" t="s">
        <v>182</v>
      </c>
      <c r="D170" s="314">
        <v>36927</v>
      </c>
      <c r="E170" s="48" t="s">
        <v>1015</v>
      </c>
      <c r="F170" s="105">
        <v>3</v>
      </c>
      <c r="G170" s="49">
        <v>2</v>
      </c>
      <c r="H170" s="105">
        <v>1</v>
      </c>
      <c r="I170" s="48">
        <v>0</v>
      </c>
      <c r="J170" s="105">
        <v>0</v>
      </c>
      <c r="K170" s="48"/>
      <c r="L170" s="48"/>
      <c r="M170" s="48"/>
      <c r="N170" s="48"/>
      <c r="O170" s="48"/>
      <c r="P170" s="48"/>
      <c r="Q170" s="105">
        <v>1</v>
      </c>
      <c r="R170" s="48"/>
      <c r="S170" s="48"/>
      <c r="T170" s="48"/>
      <c r="U170" s="48"/>
      <c r="V170" s="48"/>
      <c r="W170" s="48"/>
      <c r="X170" s="48"/>
      <c r="Y170" s="48"/>
      <c r="Z170" s="48"/>
      <c r="AA170" s="48"/>
      <c r="AB170" s="48"/>
      <c r="AC170" s="48"/>
    </row>
    <row r="171" spans="1:29" ht="15.75" customHeight="1">
      <c r="A171" s="313">
        <v>82</v>
      </c>
      <c r="B171" s="313" t="s">
        <v>419</v>
      </c>
      <c r="C171" s="313" t="s">
        <v>182</v>
      </c>
      <c r="D171" s="314">
        <v>36927</v>
      </c>
      <c r="E171" s="48" t="s">
        <v>1016</v>
      </c>
      <c r="F171" s="105" t="str">
        <f>HYPERLINK("http://www.cnn.com/2001/US/02/07/plant.shootings/","0")</f>
        <v>0</v>
      </c>
      <c r="G171" s="49">
        <v>1</v>
      </c>
      <c r="H171" s="105">
        <v>1</v>
      </c>
      <c r="I171" s="48">
        <v>0</v>
      </c>
      <c r="J171" s="48" t="s">
        <v>100</v>
      </c>
      <c r="K171" s="48"/>
      <c r="L171" s="48"/>
      <c r="M171" s="48"/>
      <c r="N171" s="48"/>
      <c r="O171" s="48"/>
      <c r="P171" s="48"/>
      <c r="Q171" s="105">
        <v>1</v>
      </c>
      <c r="R171" s="48"/>
      <c r="S171" s="48"/>
      <c r="T171" s="48"/>
      <c r="U171" s="48"/>
      <c r="V171" s="48"/>
      <c r="W171" s="48"/>
      <c r="X171" s="48"/>
      <c r="Y171" s="48"/>
      <c r="Z171" s="48"/>
      <c r="AA171" s="48"/>
      <c r="AB171" s="48"/>
      <c r="AC171" s="48"/>
    </row>
    <row r="172" spans="1:29" ht="15.75" customHeight="1">
      <c r="A172" s="313">
        <v>82</v>
      </c>
      <c r="B172" s="313" t="s">
        <v>419</v>
      </c>
      <c r="C172" s="313" t="s">
        <v>182</v>
      </c>
      <c r="D172" s="314">
        <v>36927</v>
      </c>
      <c r="E172" s="48" t="s">
        <v>1017</v>
      </c>
      <c r="F172" s="105" t="str">
        <f>HYPERLINK("http://www.cnn.com/2001/US/02/07/plant.shootings/","1")</f>
        <v>1</v>
      </c>
      <c r="G172" s="49">
        <v>2</v>
      </c>
      <c r="H172" s="105">
        <v>0</v>
      </c>
      <c r="I172" s="48">
        <v>0</v>
      </c>
      <c r="J172" s="48" t="s">
        <v>100</v>
      </c>
      <c r="K172" s="105">
        <v>1</v>
      </c>
      <c r="L172" s="105">
        <v>1</v>
      </c>
      <c r="M172" s="48">
        <v>0</v>
      </c>
      <c r="N172" s="48">
        <v>0</v>
      </c>
      <c r="O172" s="48">
        <v>0</v>
      </c>
      <c r="P172" s="48">
        <v>0</v>
      </c>
      <c r="Q172" s="48">
        <v>0</v>
      </c>
      <c r="R172" s="48"/>
      <c r="S172" s="48"/>
      <c r="T172" s="48"/>
      <c r="U172" s="48"/>
      <c r="V172" s="48"/>
      <c r="W172" s="48"/>
      <c r="X172" s="48"/>
      <c r="Y172" s="48"/>
      <c r="Z172" s="48"/>
      <c r="AA172" s="48"/>
      <c r="AB172" s="48"/>
      <c r="AC172" s="48"/>
    </row>
    <row r="173" spans="1:29" ht="15.75" customHeight="1">
      <c r="A173" s="305">
        <v>83</v>
      </c>
      <c r="B173" s="305" t="s">
        <v>422</v>
      </c>
      <c r="C173" s="305" t="s">
        <v>423</v>
      </c>
      <c r="D173" s="306">
        <v>37075</v>
      </c>
      <c r="E173" s="48" t="s">
        <v>861</v>
      </c>
      <c r="F173" s="105" t="str">
        <f>HYPERLINK("https://www.denverpost.com/2015/04/03/insanity-ruling-angers-families-of-rifile-shooting-victims/","0")</f>
        <v>0</v>
      </c>
      <c r="G173" s="49">
        <v>1</v>
      </c>
      <c r="H173" s="105" t="str">
        <f>HYPERLINK("https://www.denverpost.com/2015/04/03/insanity-ruling-angers-families-of-rifile-shooting-victims/","1")</f>
        <v>1</v>
      </c>
      <c r="I173" s="48">
        <v>0</v>
      </c>
      <c r="J173" s="48" t="s">
        <v>100</v>
      </c>
      <c r="K173" s="48"/>
      <c r="L173" s="48"/>
      <c r="M173" s="48"/>
      <c r="N173" s="48"/>
      <c r="O173" s="48"/>
      <c r="P173" s="48"/>
      <c r="Q173" s="48">
        <v>1</v>
      </c>
      <c r="R173" s="48"/>
      <c r="S173" s="48"/>
      <c r="T173" s="48"/>
      <c r="U173" s="48"/>
      <c r="V173" s="48"/>
      <c r="W173" s="48"/>
      <c r="X173" s="48"/>
      <c r="Y173" s="48"/>
      <c r="Z173" s="48"/>
      <c r="AA173" s="48"/>
      <c r="AB173" s="48"/>
      <c r="AC173" s="48"/>
    </row>
    <row r="174" spans="1:29" ht="15.75" customHeight="1">
      <c r="A174" s="307">
        <v>84</v>
      </c>
      <c r="B174" s="307" t="s">
        <v>315</v>
      </c>
      <c r="C174" s="307" t="s">
        <v>122</v>
      </c>
      <c r="D174" s="308">
        <v>37142</v>
      </c>
      <c r="E174" s="48" t="s">
        <v>2951</v>
      </c>
      <c r="F174" s="105" t="str">
        <f>HYPERLINK("http://www.cnn.com/2001/US/09/10/sacramento.shooting/","3")</f>
        <v>3</v>
      </c>
      <c r="G174" s="49"/>
      <c r="H174" s="105">
        <v>1</v>
      </c>
      <c r="I174" s="105">
        <v>1</v>
      </c>
      <c r="J174" s="48"/>
      <c r="K174" s="105">
        <v>0</v>
      </c>
      <c r="L174" s="48">
        <v>0</v>
      </c>
      <c r="M174" s="48">
        <v>0</v>
      </c>
      <c r="N174" s="48">
        <v>0</v>
      </c>
      <c r="O174" s="48">
        <v>0</v>
      </c>
      <c r="P174" s="105">
        <v>1</v>
      </c>
      <c r="Q174" s="48">
        <v>0</v>
      </c>
      <c r="R174" s="48"/>
      <c r="S174" s="48"/>
      <c r="T174" s="48"/>
      <c r="U174" s="48"/>
      <c r="V174" s="48"/>
      <c r="W174" s="48"/>
      <c r="X174" s="48"/>
      <c r="Y174" s="48"/>
      <c r="Z174" s="48"/>
      <c r="AA174" s="48"/>
      <c r="AB174" s="48"/>
      <c r="AC174" s="48"/>
    </row>
    <row r="175" spans="1:29" ht="15.75" customHeight="1">
      <c r="A175" s="307">
        <v>84</v>
      </c>
      <c r="B175" s="307" t="s">
        <v>315</v>
      </c>
      <c r="C175" s="307" t="s">
        <v>122</v>
      </c>
      <c r="D175" s="308">
        <v>37142</v>
      </c>
      <c r="E175" s="48" t="s">
        <v>850</v>
      </c>
      <c r="F175" s="105" t="str">
        <f t="shared" ref="F175:F176" si="27">HYPERLINK("https://www.sfgate.com/news/article/Sacramento-rampage-5-shot-dead-Slayer-kills-2881164.php","0")</f>
        <v>0</v>
      </c>
      <c r="G175" s="49">
        <v>1</v>
      </c>
      <c r="H175" s="105">
        <v>1</v>
      </c>
      <c r="I175" s="48">
        <v>0</v>
      </c>
      <c r="J175" s="48">
        <v>0</v>
      </c>
      <c r="K175" s="105">
        <v>0</v>
      </c>
      <c r="L175" s="48">
        <v>0</v>
      </c>
      <c r="M175" s="48">
        <v>0</v>
      </c>
      <c r="N175" s="48">
        <v>0</v>
      </c>
      <c r="O175" s="48">
        <v>0</v>
      </c>
      <c r="P175" s="105">
        <v>1</v>
      </c>
      <c r="Q175" s="48">
        <v>0</v>
      </c>
      <c r="R175" s="48"/>
      <c r="S175" s="48"/>
      <c r="T175" s="48"/>
      <c r="U175" s="48"/>
      <c r="V175" s="48"/>
      <c r="W175" s="48"/>
      <c r="X175" s="48"/>
      <c r="Y175" s="48"/>
      <c r="Z175" s="48"/>
      <c r="AA175" s="48"/>
      <c r="AB175" s="48"/>
      <c r="AC175" s="48"/>
    </row>
    <row r="176" spans="1:29" ht="15.75" customHeight="1">
      <c r="A176" s="307">
        <v>84</v>
      </c>
      <c r="B176" s="307" t="s">
        <v>315</v>
      </c>
      <c r="C176" s="307" t="s">
        <v>122</v>
      </c>
      <c r="D176" s="308">
        <v>37142</v>
      </c>
      <c r="E176" s="48" t="s">
        <v>850</v>
      </c>
      <c r="F176" s="105" t="str">
        <f t="shared" si="27"/>
        <v>0</v>
      </c>
      <c r="G176" s="49">
        <v>1</v>
      </c>
      <c r="H176" s="48"/>
      <c r="I176" s="48">
        <v>0</v>
      </c>
      <c r="J176" s="48">
        <v>0</v>
      </c>
      <c r="K176" s="105">
        <v>0</v>
      </c>
      <c r="L176" s="48">
        <v>0</v>
      </c>
      <c r="M176" s="48">
        <v>0</v>
      </c>
      <c r="N176" s="48">
        <v>0</v>
      </c>
      <c r="O176" s="48">
        <v>0</v>
      </c>
      <c r="P176" s="105">
        <v>1</v>
      </c>
      <c r="Q176" s="48">
        <v>0</v>
      </c>
      <c r="R176" s="48"/>
      <c r="S176" s="48"/>
      <c r="T176" s="48"/>
      <c r="U176" s="48"/>
      <c r="V176" s="48"/>
      <c r="W176" s="48"/>
      <c r="X176" s="48"/>
      <c r="Y176" s="48"/>
      <c r="Z176" s="48"/>
      <c r="AA176" s="48"/>
      <c r="AB176" s="48"/>
      <c r="AC176" s="48"/>
    </row>
    <row r="177" spans="1:29" ht="15.75" customHeight="1">
      <c r="A177" s="307">
        <v>84</v>
      </c>
      <c r="B177" s="307" t="s">
        <v>315</v>
      </c>
      <c r="C177" s="307" t="s">
        <v>122</v>
      </c>
      <c r="D177" s="308">
        <v>37142</v>
      </c>
      <c r="E177" s="48" t="s">
        <v>982</v>
      </c>
      <c r="F177" s="105" t="str">
        <f>HYPERLINK("https://www.latimes.com/archives/la-xpm-2001-sep-11-mn-44550-story.html","1")</f>
        <v>1</v>
      </c>
      <c r="G177" s="49"/>
      <c r="H177" s="105">
        <v>1</v>
      </c>
      <c r="I177" s="48">
        <v>0</v>
      </c>
      <c r="J177" s="48" t="s">
        <v>100</v>
      </c>
      <c r="K177" s="105">
        <v>0</v>
      </c>
      <c r="L177" s="48">
        <v>0</v>
      </c>
      <c r="M177" s="48">
        <v>0</v>
      </c>
      <c r="N177" s="48">
        <v>0</v>
      </c>
      <c r="O177" s="48">
        <v>0</v>
      </c>
      <c r="P177" s="105">
        <v>1</v>
      </c>
      <c r="Q177" s="48">
        <v>0</v>
      </c>
      <c r="R177" s="48"/>
      <c r="S177" s="48"/>
      <c r="T177" s="48"/>
      <c r="U177" s="48"/>
      <c r="V177" s="48"/>
      <c r="W177" s="48"/>
      <c r="X177" s="48"/>
      <c r="Y177" s="48"/>
      <c r="Z177" s="48"/>
      <c r="AA177" s="48"/>
      <c r="AB177" s="48"/>
      <c r="AC177" s="48"/>
    </row>
    <row r="178" spans="1:29" ht="15.75" customHeight="1">
      <c r="A178" s="307">
        <v>84</v>
      </c>
      <c r="B178" s="307" t="s">
        <v>315</v>
      </c>
      <c r="C178" s="307" t="s">
        <v>122</v>
      </c>
      <c r="D178" s="308">
        <v>37142</v>
      </c>
      <c r="E178" s="48" t="s">
        <v>2952</v>
      </c>
      <c r="F178" s="105" t="str">
        <f>HYPERLINK("http://www.cnn.com/2001/US/09/10/sacramento.shooting/","3")</f>
        <v>3</v>
      </c>
      <c r="G178" s="49"/>
      <c r="H178" s="48"/>
      <c r="I178" s="105">
        <v>1</v>
      </c>
      <c r="J178" s="48"/>
      <c r="K178" s="105">
        <v>0</v>
      </c>
      <c r="L178" s="48">
        <v>0</v>
      </c>
      <c r="M178" s="48">
        <v>0</v>
      </c>
      <c r="N178" s="48">
        <v>0</v>
      </c>
      <c r="O178" s="48">
        <v>0</v>
      </c>
      <c r="P178" s="105">
        <v>1</v>
      </c>
      <c r="Q178" s="48">
        <v>0</v>
      </c>
      <c r="R178" s="48"/>
      <c r="S178" s="48"/>
      <c r="T178" s="48"/>
      <c r="U178" s="48"/>
      <c r="V178" s="48"/>
      <c r="W178" s="48"/>
      <c r="X178" s="48"/>
      <c r="Y178" s="48"/>
      <c r="Z178" s="48"/>
      <c r="AA178" s="48"/>
      <c r="AB178" s="48"/>
      <c r="AC178" s="48"/>
    </row>
    <row r="179" spans="1:29" ht="15.75" customHeight="1">
      <c r="A179" s="309">
        <v>85</v>
      </c>
      <c r="B179" s="309" t="s">
        <v>429</v>
      </c>
      <c r="C179" s="309" t="s">
        <v>182</v>
      </c>
      <c r="D179" s="310">
        <v>37337</v>
      </c>
      <c r="E179" s="48" t="s">
        <v>1018</v>
      </c>
      <c r="F179" s="105" t="str">
        <f>HYPERLINK("https://www.ourmidland.com/news/article/Gunman-had-history-of-mental-illness-7103532.php","1")</f>
        <v>1</v>
      </c>
      <c r="G179" s="49">
        <v>2</v>
      </c>
      <c r="H179" s="105">
        <v>1</v>
      </c>
      <c r="I179" s="105">
        <v>1</v>
      </c>
      <c r="J179" s="48" t="s">
        <v>100</v>
      </c>
      <c r="K179" s="105">
        <v>1</v>
      </c>
      <c r="L179" s="105">
        <v>3</v>
      </c>
      <c r="M179" s="48">
        <v>0</v>
      </c>
      <c r="N179" s="48">
        <v>0</v>
      </c>
      <c r="O179" s="48">
        <v>0</v>
      </c>
      <c r="P179" s="105">
        <v>0</v>
      </c>
      <c r="Q179" s="48">
        <v>0</v>
      </c>
      <c r="R179" s="48"/>
      <c r="S179" s="48"/>
      <c r="T179" s="48"/>
      <c r="U179" s="48"/>
      <c r="V179" s="48"/>
      <c r="W179" s="48"/>
      <c r="X179" s="48"/>
      <c r="Y179" s="48"/>
      <c r="Z179" s="48"/>
      <c r="AA179" s="48"/>
      <c r="AB179" s="48"/>
      <c r="AC179" s="48"/>
    </row>
    <row r="180" spans="1:29" ht="15.75" customHeight="1">
      <c r="A180" s="309">
        <v>85</v>
      </c>
      <c r="B180" s="309" t="s">
        <v>429</v>
      </c>
      <c r="C180" s="309" t="s">
        <v>182</v>
      </c>
      <c r="D180" s="310">
        <v>37337</v>
      </c>
      <c r="E180" s="48" t="s">
        <v>835</v>
      </c>
      <c r="F180" s="105" t="str">
        <f>HYPERLINK("https://www.ourmidland.com/news/article/Gunman-had-history-of-mental-illness-7103532.php","2")</f>
        <v>2</v>
      </c>
      <c r="G180" s="49">
        <v>0</v>
      </c>
      <c r="H180" s="105">
        <v>1</v>
      </c>
      <c r="I180" s="48">
        <v>0</v>
      </c>
      <c r="J180" s="48">
        <v>0</v>
      </c>
      <c r="K180" s="105">
        <v>1</v>
      </c>
      <c r="L180" s="105">
        <v>3</v>
      </c>
      <c r="M180" s="48">
        <v>0</v>
      </c>
      <c r="N180" s="48">
        <v>0</v>
      </c>
      <c r="O180" s="48">
        <v>0</v>
      </c>
      <c r="P180" s="48">
        <v>0</v>
      </c>
      <c r="Q180" s="48">
        <v>0</v>
      </c>
      <c r="R180" s="48"/>
      <c r="S180" s="48"/>
      <c r="T180" s="48"/>
      <c r="U180" s="48"/>
      <c r="V180" s="48"/>
      <c r="W180" s="48"/>
      <c r="X180" s="48"/>
      <c r="Y180" s="48"/>
      <c r="Z180" s="48"/>
      <c r="AA180" s="48"/>
      <c r="AB180" s="48"/>
      <c r="AC180" s="48"/>
    </row>
    <row r="181" spans="1:29" ht="15.75" customHeight="1">
      <c r="A181" s="311">
        <v>86</v>
      </c>
      <c r="B181" s="311" t="s">
        <v>432</v>
      </c>
      <c r="C181" s="311" t="s">
        <v>433</v>
      </c>
      <c r="D181" s="312">
        <v>37677</v>
      </c>
      <c r="E181" s="48" t="s">
        <v>862</v>
      </c>
      <c r="F181" s="105">
        <v>0</v>
      </c>
      <c r="G181" s="49">
        <v>1</v>
      </c>
      <c r="H181" s="105" t="str">
        <f>HYPERLINK("https://www.nytimes.com/2003/02/26/us/gunman-kills-four-at-alabama-job-agency.html","1")</f>
        <v>1</v>
      </c>
      <c r="I181" s="48">
        <v>0</v>
      </c>
      <c r="J181" s="48">
        <v>0</v>
      </c>
      <c r="K181" s="48"/>
      <c r="L181" s="105"/>
      <c r="M181" s="48"/>
      <c r="N181" s="48"/>
      <c r="O181" s="48"/>
      <c r="P181" s="48"/>
      <c r="Q181" s="48">
        <v>1</v>
      </c>
      <c r="R181" s="48"/>
      <c r="S181" s="48"/>
      <c r="T181" s="48"/>
      <c r="U181" s="48"/>
      <c r="V181" s="48"/>
      <c r="W181" s="48"/>
      <c r="X181" s="48"/>
      <c r="Y181" s="48"/>
      <c r="Z181" s="48"/>
      <c r="AA181" s="48"/>
      <c r="AB181" s="48"/>
      <c r="AC181" s="48"/>
    </row>
    <row r="182" spans="1:29" ht="15.75" customHeight="1">
      <c r="A182" s="311">
        <v>87</v>
      </c>
      <c r="B182" s="311" t="s">
        <v>436</v>
      </c>
      <c r="C182" s="311" t="s">
        <v>437</v>
      </c>
      <c r="D182" s="312">
        <v>37810</v>
      </c>
      <c r="E182" s="48" t="s">
        <v>829</v>
      </c>
      <c r="F182" s="105" t="str">
        <f>HYPERLINK("https://www.nytimes.com/2003/07/09/us/man-kills-5-co-workers-at-plant-and-himself.html?mcubz=0","1")</f>
        <v>1</v>
      </c>
      <c r="G182" s="49">
        <v>2</v>
      </c>
      <c r="H182" s="105">
        <v>1</v>
      </c>
      <c r="I182" s="48">
        <v>0</v>
      </c>
      <c r="J182" s="48" t="s">
        <v>100</v>
      </c>
      <c r="K182" s="48"/>
      <c r="L182" s="105">
        <v>2</v>
      </c>
      <c r="M182" s="48">
        <v>0</v>
      </c>
      <c r="N182" s="48">
        <v>0</v>
      </c>
      <c r="O182" s="48">
        <v>0</v>
      </c>
      <c r="P182" s="48">
        <v>0</v>
      </c>
      <c r="Q182" s="48">
        <v>0</v>
      </c>
      <c r="R182" s="48"/>
      <c r="S182" s="48"/>
      <c r="T182" s="48"/>
      <c r="U182" s="48"/>
      <c r="V182" s="48"/>
      <c r="W182" s="48"/>
      <c r="X182" s="48"/>
      <c r="Y182" s="48"/>
      <c r="Z182" s="48"/>
      <c r="AA182" s="48"/>
      <c r="AB182" s="48"/>
      <c r="AC182" s="48"/>
    </row>
    <row r="183" spans="1:29" ht="15.75" customHeight="1">
      <c r="A183" s="311">
        <v>87</v>
      </c>
      <c r="B183" s="311" t="s">
        <v>436</v>
      </c>
      <c r="C183" s="311" t="s">
        <v>437</v>
      </c>
      <c r="D183" s="312">
        <v>37810</v>
      </c>
      <c r="E183" s="48" t="s">
        <v>970</v>
      </c>
      <c r="F183" s="105" t="str">
        <f>HYPERLINK("https://www.nytimes.com/2003/07/09/us/man-kills-5-co-workers-at-plant-and-himself.html?mcubz=0","2")</f>
        <v>2</v>
      </c>
      <c r="G183" s="49">
        <v>2</v>
      </c>
      <c r="H183" s="105">
        <v>0</v>
      </c>
      <c r="I183" s="48">
        <v>0</v>
      </c>
      <c r="J183" s="48">
        <v>0</v>
      </c>
      <c r="K183" s="48"/>
      <c r="L183" s="105">
        <v>2</v>
      </c>
      <c r="M183" s="48">
        <v>0</v>
      </c>
      <c r="N183" s="48">
        <v>0</v>
      </c>
      <c r="O183" s="48">
        <v>0</v>
      </c>
      <c r="P183" s="48">
        <v>0</v>
      </c>
      <c r="Q183" s="48">
        <v>0</v>
      </c>
      <c r="R183" s="48"/>
      <c r="S183" s="48"/>
      <c r="T183" s="48"/>
      <c r="U183" s="48"/>
      <c r="V183" s="48"/>
      <c r="W183" s="48"/>
      <c r="X183" s="48"/>
      <c r="Y183" s="48"/>
      <c r="Z183" s="48"/>
      <c r="AA183" s="48"/>
      <c r="AB183" s="48"/>
      <c r="AC183" s="48"/>
    </row>
    <row r="184" spans="1:29" ht="15.75" customHeight="1">
      <c r="A184" s="311">
        <v>87</v>
      </c>
      <c r="B184" s="311" t="s">
        <v>436</v>
      </c>
      <c r="C184" s="311" t="s">
        <v>437</v>
      </c>
      <c r="D184" s="312">
        <v>37810</v>
      </c>
      <c r="E184" s="48" t="s">
        <v>1019</v>
      </c>
      <c r="F184" s="105" t="str">
        <f t="shared" ref="F184:F185" si="28">HYPERLINK("https://www.nytimes.com/2003/07/09/us/man-kills-5-co-workers-at-plant-and-himself.html?mcubz=0","0")</f>
        <v>0</v>
      </c>
      <c r="G184" s="49">
        <v>0</v>
      </c>
      <c r="H184" s="105">
        <v>0</v>
      </c>
      <c r="I184" s="48">
        <v>0</v>
      </c>
      <c r="J184" s="48" t="s">
        <v>100</v>
      </c>
      <c r="K184" s="48"/>
      <c r="L184" s="105">
        <v>2</v>
      </c>
      <c r="M184" s="48">
        <v>0</v>
      </c>
      <c r="N184" s="48">
        <v>0</v>
      </c>
      <c r="O184" s="48">
        <v>0</v>
      </c>
      <c r="P184" s="48">
        <v>0</v>
      </c>
      <c r="Q184" s="48">
        <v>0</v>
      </c>
      <c r="R184" s="48"/>
      <c r="S184" s="48"/>
      <c r="T184" s="48"/>
      <c r="U184" s="48"/>
      <c r="V184" s="48"/>
      <c r="W184" s="48"/>
      <c r="X184" s="48"/>
      <c r="Y184" s="48"/>
      <c r="Z184" s="48"/>
      <c r="AA184" s="48"/>
      <c r="AB184" s="48"/>
      <c r="AC184" s="48"/>
    </row>
    <row r="185" spans="1:29" ht="15.75" customHeight="1">
      <c r="A185" s="311">
        <v>87</v>
      </c>
      <c r="B185" s="311" t="s">
        <v>436</v>
      </c>
      <c r="C185" s="311" t="s">
        <v>437</v>
      </c>
      <c r="D185" s="312">
        <v>37810</v>
      </c>
      <c r="E185" s="48" t="s">
        <v>1020</v>
      </c>
      <c r="F185" s="105" t="str">
        <f t="shared" si="28"/>
        <v>0</v>
      </c>
      <c r="G185" s="49">
        <v>2</v>
      </c>
      <c r="H185" s="105">
        <v>0</v>
      </c>
      <c r="I185" s="48">
        <v>0</v>
      </c>
      <c r="J185" s="48">
        <v>0</v>
      </c>
      <c r="K185" s="48"/>
      <c r="L185" s="105">
        <v>2</v>
      </c>
      <c r="M185" s="48">
        <v>0</v>
      </c>
      <c r="N185" s="48">
        <v>0</v>
      </c>
      <c r="O185" s="48">
        <v>0</v>
      </c>
      <c r="P185" s="48">
        <v>0</v>
      </c>
      <c r="Q185" s="48">
        <v>0</v>
      </c>
      <c r="R185" s="48"/>
      <c r="S185" s="48"/>
      <c r="T185" s="48"/>
      <c r="U185" s="48"/>
      <c r="V185" s="48"/>
      <c r="W185" s="48"/>
      <c r="X185" s="48"/>
      <c r="Y185" s="48"/>
      <c r="Z185" s="48"/>
      <c r="AA185" s="48"/>
      <c r="AB185" s="48"/>
      <c r="AC185" s="48"/>
    </row>
    <row r="186" spans="1:29" ht="15.75" customHeight="1">
      <c r="A186" s="311">
        <v>87</v>
      </c>
      <c r="B186" s="311" t="s">
        <v>436</v>
      </c>
      <c r="C186" s="311" t="s">
        <v>437</v>
      </c>
      <c r="D186" s="312">
        <v>37810</v>
      </c>
      <c r="E186" s="48" t="s">
        <v>1021</v>
      </c>
      <c r="F186" s="105" t="str">
        <f>HYPERLINK("https://www.nytimes.com/2003/07/09/us/man-kills-5-co-workers-at-plant-and-himself.html?mcubz=0","2")</f>
        <v>2</v>
      </c>
      <c r="G186" s="49">
        <v>0</v>
      </c>
      <c r="H186" s="105">
        <v>0</v>
      </c>
      <c r="I186" s="105">
        <v>1</v>
      </c>
      <c r="J186" s="48">
        <v>0</v>
      </c>
      <c r="K186" s="48"/>
      <c r="L186" s="105">
        <v>2</v>
      </c>
      <c r="M186" s="48">
        <v>0</v>
      </c>
      <c r="N186" s="48">
        <v>0</v>
      </c>
      <c r="O186" s="48">
        <v>0</v>
      </c>
      <c r="P186" s="48">
        <v>0</v>
      </c>
      <c r="Q186" s="48">
        <v>0</v>
      </c>
      <c r="R186" s="48"/>
      <c r="S186" s="48"/>
      <c r="T186" s="48"/>
      <c r="U186" s="48"/>
      <c r="V186" s="48"/>
      <c r="W186" s="48"/>
      <c r="X186" s="48"/>
      <c r="Y186" s="48"/>
      <c r="Z186" s="48"/>
      <c r="AA186" s="48"/>
      <c r="AB186" s="48"/>
      <c r="AC186" s="48"/>
    </row>
    <row r="187" spans="1:29" ht="15.75" customHeight="1">
      <c r="A187" s="313">
        <v>88</v>
      </c>
      <c r="B187" s="313" t="s">
        <v>441</v>
      </c>
      <c r="C187" s="313" t="s">
        <v>442</v>
      </c>
      <c r="D187" s="314">
        <v>37860</v>
      </c>
      <c r="E187" s="48" t="s">
        <v>1022</v>
      </c>
      <c r="F187" s="105" t="str">
        <f>HYPERLINK("https://www.chicagotribune.com/news/ct-xpm-2003-08-29-0308290321-story.html","0")</f>
        <v>0</v>
      </c>
      <c r="G187" s="49">
        <v>1</v>
      </c>
      <c r="H187" s="105" t="str">
        <f>HYPERLINK("https://www.chicagotribune.com/news/ct-xpm-2003-08-29-0308290321-story.html","1")</f>
        <v>1</v>
      </c>
      <c r="I187" s="48">
        <v>0</v>
      </c>
      <c r="J187" s="48">
        <v>0</v>
      </c>
      <c r="K187" s="48"/>
      <c r="L187" s="48">
        <v>0</v>
      </c>
      <c r="M187" s="48">
        <v>5</v>
      </c>
      <c r="N187" s="48">
        <v>0</v>
      </c>
      <c r="O187" s="48">
        <v>0</v>
      </c>
      <c r="P187" s="48">
        <v>0</v>
      </c>
      <c r="Q187" s="48">
        <v>0</v>
      </c>
      <c r="R187" s="48"/>
      <c r="S187" s="48"/>
      <c r="T187" s="48"/>
      <c r="U187" s="48"/>
      <c r="V187" s="48"/>
      <c r="W187" s="48"/>
      <c r="X187" s="48"/>
      <c r="Y187" s="48"/>
      <c r="Z187" s="48"/>
      <c r="AA187" s="48"/>
      <c r="AB187" s="48"/>
      <c r="AC187" s="48"/>
    </row>
    <row r="188" spans="1:29" ht="15.75" customHeight="1">
      <c r="A188" s="305">
        <v>89</v>
      </c>
      <c r="B188" s="305" t="s">
        <v>444</v>
      </c>
      <c r="C188" s="305" t="s">
        <v>445</v>
      </c>
      <c r="D188" s="306">
        <v>37918</v>
      </c>
      <c r="E188" s="48" t="s">
        <v>852</v>
      </c>
      <c r="F188" s="105" t="str">
        <f>HYPERLINK("http://pendoreillerivervalley.com/four-killed-in-oldtown-shooting-p111-119.htm","0")</f>
        <v>0</v>
      </c>
      <c r="G188" s="49">
        <v>1</v>
      </c>
      <c r="H188" s="105" t="str">
        <f>HYPERLINK("http://pendoreillerivervalley.com/four-killed-in-oldtown-shooting-p111-119.htm","1")</f>
        <v>1</v>
      </c>
      <c r="I188" s="48">
        <v>0</v>
      </c>
      <c r="J188" s="48">
        <v>0</v>
      </c>
      <c r="K188" s="48"/>
      <c r="L188" s="48"/>
      <c r="M188" s="48"/>
      <c r="N188" s="48"/>
      <c r="O188" s="48"/>
      <c r="P188" s="48"/>
      <c r="Q188" s="48">
        <v>1</v>
      </c>
      <c r="R188" s="48"/>
      <c r="S188" s="48"/>
      <c r="T188" s="48"/>
      <c r="U188" s="48"/>
      <c r="V188" s="48"/>
      <c r="W188" s="48"/>
      <c r="X188" s="48"/>
      <c r="Y188" s="48"/>
      <c r="Z188" s="48"/>
      <c r="AA188" s="48"/>
      <c r="AB188" s="48"/>
      <c r="AC188" s="48"/>
    </row>
    <row r="189" spans="1:29" ht="15.75" customHeight="1">
      <c r="A189" s="307">
        <v>90</v>
      </c>
      <c r="B189" s="307" t="s">
        <v>193</v>
      </c>
      <c r="C189" s="307" t="s">
        <v>448</v>
      </c>
      <c r="D189" s="308">
        <v>38170</v>
      </c>
      <c r="E189" s="48" t="s">
        <v>1013</v>
      </c>
      <c r="F189" s="105">
        <v>0</v>
      </c>
      <c r="G189" s="49"/>
      <c r="H189" s="105">
        <v>1</v>
      </c>
      <c r="I189" s="48">
        <v>0</v>
      </c>
      <c r="J189" s="48" t="s">
        <v>100</v>
      </c>
      <c r="K189" s="48"/>
      <c r="L189" s="48"/>
      <c r="M189" s="48"/>
      <c r="N189" s="48"/>
      <c r="O189" s="48"/>
      <c r="P189" s="48"/>
      <c r="Q189" s="48">
        <v>1</v>
      </c>
      <c r="R189" s="48"/>
      <c r="S189" s="48"/>
      <c r="T189" s="48"/>
      <c r="U189" s="48"/>
      <c r="V189" s="48"/>
      <c r="W189" s="48"/>
      <c r="X189" s="48"/>
      <c r="Y189" s="48"/>
      <c r="Z189" s="48"/>
      <c r="AA189" s="48"/>
      <c r="AB189" s="48"/>
      <c r="AC189" s="48"/>
    </row>
    <row r="190" spans="1:29" ht="15.75" customHeight="1">
      <c r="A190" s="307">
        <v>90</v>
      </c>
      <c r="B190" s="307" t="s">
        <v>193</v>
      </c>
      <c r="C190" s="307" t="s">
        <v>448</v>
      </c>
      <c r="D190" s="308">
        <v>38170</v>
      </c>
      <c r="E190" s="48" t="s">
        <v>862</v>
      </c>
      <c r="F190" s="105">
        <v>0</v>
      </c>
      <c r="G190" s="49">
        <v>1</v>
      </c>
      <c r="H190" s="105">
        <v>1</v>
      </c>
      <c r="I190" s="48">
        <v>0</v>
      </c>
      <c r="J190" s="48">
        <v>0</v>
      </c>
      <c r="K190" s="48"/>
      <c r="L190" s="48"/>
      <c r="M190" s="48"/>
      <c r="N190" s="48"/>
      <c r="O190" s="48"/>
      <c r="P190" s="48"/>
      <c r="Q190" s="48">
        <v>1</v>
      </c>
      <c r="R190" s="48"/>
      <c r="S190" s="48"/>
      <c r="T190" s="48"/>
      <c r="U190" s="48"/>
      <c r="V190" s="48"/>
      <c r="W190" s="48"/>
      <c r="X190" s="48"/>
      <c r="Y190" s="48"/>
      <c r="Z190" s="48"/>
      <c r="AA190" s="48"/>
      <c r="AB190" s="48"/>
      <c r="AC190" s="48"/>
    </row>
    <row r="191" spans="1:29" ht="15.75" customHeight="1">
      <c r="A191" s="309">
        <v>91</v>
      </c>
      <c r="B191" s="309" t="s">
        <v>450</v>
      </c>
      <c r="C191" s="309" t="s">
        <v>451</v>
      </c>
      <c r="D191" s="310">
        <v>38312</v>
      </c>
      <c r="E191" s="48" t="s">
        <v>1023</v>
      </c>
      <c r="F191" s="105">
        <v>3</v>
      </c>
      <c r="G191" s="49">
        <v>2</v>
      </c>
      <c r="H191" s="105" t="str">
        <f>HYPERLINK("http://news.minnesota.publicradio.org/features/2004/11/22_kelleherb_huntershooting/","1")</f>
        <v>1</v>
      </c>
      <c r="I191" s="48">
        <v>0</v>
      </c>
      <c r="J191" s="105">
        <v>0</v>
      </c>
      <c r="K191" s="105" t="str">
        <f>HYPERLINK("https://www.chicagotribune.com/investigations/chi-0509070252sep07-story.html","1")</f>
        <v>1</v>
      </c>
      <c r="L191" s="48"/>
      <c r="M191" s="48"/>
      <c r="N191" s="48"/>
      <c r="O191" s="48"/>
      <c r="P191" s="48"/>
      <c r="Q191" s="105" t="str">
        <f>HYPERLINK("http://news.minnesota.publicradio.org/features/2004/11/22_kelleherb_huntershooting/","1")</f>
        <v>1</v>
      </c>
      <c r="R191" s="48"/>
      <c r="S191" s="48"/>
      <c r="T191" s="48"/>
      <c r="U191" s="48"/>
      <c r="V191" s="48"/>
      <c r="W191" s="48"/>
      <c r="X191" s="48"/>
      <c r="Y191" s="48"/>
      <c r="Z191" s="48"/>
      <c r="AA191" s="48"/>
      <c r="AB191" s="48"/>
      <c r="AC191" s="48"/>
    </row>
    <row r="192" spans="1:29" ht="15.75" customHeight="1">
      <c r="A192" s="311">
        <v>92</v>
      </c>
      <c r="B192" s="311" t="s">
        <v>454</v>
      </c>
      <c r="C192" s="311" t="s">
        <v>319</v>
      </c>
      <c r="D192" s="312">
        <v>38329</v>
      </c>
      <c r="E192" s="48" t="s">
        <v>863</v>
      </c>
      <c r="F192" s="105" t="str">
        <f>HYPERLINK("https://www.rollingstone.com/music/news/behind-the-murder-of-dimebag-darrell-20041230","0")</f>
        <v>0</v>
      </c>
      <c r="G192" s="49">
        <v>1</v>
      </c>
      <c r="H192" s="105" t="str">
        <f t="shared" ref="H192:K192" si="29">HYPERLINK("https://www.cbsnews.com/news/mom-of-concert-killer-he-was-sick/","1")</f>
        <v>1</v>
      </c>
      <c r="I192" s="48">
        <v>0</v>
      </c>
      <c r="J192" s="48">
        <v>0</v>
      </c>
      <c r="K192" s="105" t="str">
        <f t="shared" si="29"/>
        <v>1</v>
      </c>
      <c r="L192" s="48">
        <v>0</v>
      </c>
      <c r="M192" s="48">
        <v>0</v>
      </c>
      <c r="N192" s="48">
        <v>0</v>
      </c>
      <c r="O192" s="105" t="str">
        <f>HYPERLINK("https://www.cbsnews.com/news/mom-of-concert-killer-he-was-sick/","1")</f>
        <v>1</v>
      </c>
      <c r="P192" s="48">
        <v>0</v>
      </c>
      <c r="Q192" s="48">
        <v>0</v>
      </c>
      <c r="R192" s="48"/>
      <c r="S192" s="48"/>
      <c r="T192" s="48"/>
      <c r="U192" s="48"/>
      <c r="V192" s="48"/>
      <c r="W192" s="48"/>
      <c r="X192" s="48"/>
      <c r="Y192" s="48"/>
      <c r="Z192" s="48"/>
      <c r="AA192" s="48"/>
      <c r="AB192" s="48"/>
      <c r="AC192" s="48"/>
    </row>
    <row r="193" spans="1:29" ht="15.75" customHeight="1">
      <c r="A193" s="313">
        <v>93</v>
      </c>
      <c r="B193" s="313" t="s">
        <v>457</v>
      </c>
      <c r="C193" s="313" t="s">
        <v>458</v>
      </c>
      <c r="D193" s="314">
        <v>38422</v>
      </c>
      <c r="E193" s="48" t="s">
        <v>925</v>
      </c>
      <c r="F193" s="105" t="str">
        <f t="shared" ref="F193:F194" si="30">HYPERLINK("https://www.cnn.com/2013/10/31/us/atlanta-courthouse-shootings-fast-facts/index.html","0")</f>
        <v>0</v>
      </c>
      <c r="G193" s="49"/>
      <c r="H193" s="105">
        <v>1</v>
      </c>
      <c r="I193" s="48">
        <v>0</v>
      </c>
      <c r="J193" s="48">
        <v>0</v>
      </c>
      <c r="K193" s="105">
        <v>0</v>
      </c>
      <c r="L193" s="48">
        <v>0</v>
      </c>
      <c r="M193" s="48">
        <v>0</v>
      </c>
      <c r="N193" s="48">
        <v>0</v>
      </c>
      <c r="O193" s="48">
        <v>0</v>
      </c>
      <c r="P193" s="48">
        <v>3</v>
      </c>
      <c r="Q193" s="48">
        <v>0</v>
      </c>
      <c r="R193" s="48"/>
      <c r="S193" s="48"/>
      <c r="T193" s="48"/>
      <c r="U193" s="48"/>
      <c r="V193" s="48"/>
      <c r="W193" s="48"/>
      <c r="X193" s="48"/>
      <c r="Y193" s="48"/>
      <c r="Z193" s="48"/>
      <c r="AA193" s="48"/>
      <c r="AB193" s="48"/>
      <c r="AC193" s="48"/>
    </row>
    <row r="194" spans="1:29" ht="15.75" customHeight="1">
      <c r="A194" s="313">
        <v>93</v>
      </c>
      <c r="B194" s="313" t="s">
        <v>457</v>
      </c>
      <c r="C194" s="313" t="s">
        <v>458</v>
      </c>
      <c r="D194" s="314">
        <v>38422</v>
      </c>
      <c r="E194" s="48" t="s">
        <v>925</v>
      </c>
      <c r="F194" s="105" t="str">
        <f t="shared" si="30"/>
        <v>0</v>
      </c>
      <c r="G194" s="49"/>
      <c r="H194" s="48"/>
      <c r="I194" s="48">
        <v>0</v>
      </c>
      <c r="J194" s="48">
        <v>0</v>
      </c>
      <c r="K194" s="105">
        <v>0</v>
      </c>
      <c r="L194" s="48">
        <v>0</v>
      </c>
      <c r="M194" s="48">
        <v>0</v>
      </c>
      <c r="N194" s="48">
        <v>0</v>
      </c>
      <c r="O194" s="48">
        <v>0</v>
      </c>
      <c r="P194" s="48">
        <v>3</v>
      </c>
      <c r="Q194" s="48">
        <v>0</v>
      </c>
      <c r="R194" s="48"/>
      <c r="S194" s="48"/>
      <c r="T194" s="48"/>
      <c r="U194" s="48"/>
      <c r="V194" s="48"/>
      <c r="W194" s="48"/>
      <c r="X194" s="48"/>
      <c r="Y194" s="48"/>
      <c r="Z194" s="48"/>
      <c r="AA194" s="48"/>
      <c r="AB194" s="48"/>
      <c r="AC194" s="48"/>
    </row>
    <row r="195" spans="1:29" ht="15.75" customHeight="1">
      <c r="A195" s="305">
        <v>93</v>
      </c>
      <c r="B195" s="305" t="s">
        <v>457</v>
      </c>
      <c r="C195" s="305" t="s">
        <v>458</v>
      </c>
      <c r="D195" s="306">
        <v>38422</v>
      </c>
      <c r="E195" s="48" t="s">
        <v>1024</v>
      </c>
      <c r="F195" s="105">
        <v>0</v>
      </c>
      <c r="G195" s="49"/>
      <c r="H195" s="48">
        <v>0</v>
      </c>
      <c r="I195" s="48">
        <v>0</v>
      </c>
      <c r="J195" s="48">
        <v>0</v>
      </c>
      <c r="K195" s="105">
        <v>0</v>
      </c>
      <c r="L195" s="48">
        <v>0</v>
      </c>
      <c r="M195" s="48">
        <v>0</v>
      </c>
      <c r="N195" s="48">
        <v>0</v>
      </c>
      <c r="O195" s="48">
        <v>0</v>
      </c>
      <c r="P195" s="48">
        <v>3</v>
      </c>
      <c r="Q195" s="48">
        <v>0</v>
      </c>
      <c r="R195" s="48"/>
      <c r="S195" s="48"/>
      <c r="T195" s="48"/>
      <c r="U195" s="48"/>
      <c r="V195" s="48"/>
      <c r="W195" s="48"/>
      <c r="X195" s="48"/>
      <c r="Y195" s="48"/>
      <c r="Z195" s="48"/>
      <c r="AA195" s="48"/>
      <c r="AB195" s="48"/>
      <c r="AC195" s="48"/>
    </row>
    <row r="196" spans="1:29" ht="15.75" customHeight="1">
      <c r="A196" s="307">
        <v>94</v>
      </c>
      <c r="B196" s="307" t="s">
        <v>460</v>
      </c>
      <c r="C196" s="307" t="s">
        <v>461</v>
      </c>
      <c r="D196" s="308">
        <v>38423</v>
      </c>
      <c r="E196" s="48" t="s">
        <v>863</v>
      </c>
      <c r="F196" s="105" t="str">
        <f>HYPERLINK("https://www.starnewsonline.com/news/20050803/officials-end-investigation-of-deadly-church-shooting","0")</f>
        <v>0</v>
      </c>
      <c r="G196" s="49">
        <v>1</v>
      </c>
      <c r="H196" s="105" t="str">
        <f>HYPERLINK("https://www.starnewsonline.com/news/20050803/officials-end-investigation-of-deadly-church-shooting","1")</f>
        <v>1</v>
      </c>
      <c r="I196" s="48">
        <v>0</v>
      </c>
      <c r="J196" s="48">
        <v>0</v>
      </c>
      <c r="K196" s="315">
        <v>1</v>
      </c>
      <c r="L196" s="105" t="str">
        <f>HYPERLINK("https://www.csgv.org/mass-shootings-by-good-guys/","1")</f>
        <v>1</v>
      </c>
      <c r="M196" s="48">
        <v>0</v>
      </c>
      <c r="N196" s="48">
        <v>0</v>
      </c>
      <c r="O196" s="48">
        <v>0</v>
      </c>
      <c r="P196" s="48">
        <v>0</v>
      </c>
      <c r="Q196" s="48">
        <v>0</v>
      </c>
      <c r="R196" s="48"/>
      <c r="S196" s="48"/>
      <c r="T196" s="48"/>
      <c r="U196" s="48"/>
      <c r="V196" s="48"/>
      <c r="W196" s="48"/>
      <c r="X196" s="48"/>
      <c r="Y196" s="48"/>
      <c r="Z196" s="48"/>
      <c r="AA196" s="48"/>
      <c r="AB196" s="48"/>
      <c r="AC196" s="48"/>
    </row>
    <row r="197" spans="1:29" ht="15.75" customHeight="1">
      <c r="A197" s="309">
        <v>95</v>
      </c>
      <c r="B197" s="309" t="s">
        <v>464</v>
      </c>
      <c r="C197" s="309" t="s">
        <v>465</v>
      </c>
      <c r="D197" s="310">
        <v>38432</v>
      </c>
      <c r="E197" s="48" t="s">
        <v>1025</v>
      </c>
      <c r="F197" s="105">
        <v>0</v>
      </c>
      <c r="G197" s="49">
        <v>2</v>
      </c>
      <c r="H197" s="105">
        <v>1</v>
      </c>
      <c r="I197" s="48">
        <v>0</v>
      </c>
      <c r="J197" s="48">
        <v>0</v>
      </c>
      <c r="K197" s="105">
        <v>0</v>
      </c>
      <c r="L197" s="48">
        <v>0</v>
      </c>
      <c r="M197" s="48">
        <v>0</v>
      </c>
      <c r="N197" s="48">
        <v>0</v>
      </c>
      <c r="O197" s="48">
        <v>0</v>
      </c>
      <c r="P197" s="105">
        <v>1</v>
      </c>
      <c r="Q197" s="48">
        <v>0</v>
      </c>
      <c r="R197" s="48"/>
      <c r="S197" s="48"/>
      <c r="T197" s="48"/>
      <c r="U197" s="48"/>
      <c r="V197" s="48"/>
      <c r="W197" s="48"/>
      <c r="X197" s="48"/>
      <c r="Y197" s="48"/>
      <c r="Z197" s="48"/>
      <c r="AA197" s="48"/>
      <c r="AB197" s="48"/>
      <c r="AC197" s="48"/>
    </row>
    <row r="198" spans="1:29" ht="15.75" customHeight="1">
      <c r="A198" s="309">
        <v>95</v>
      </c>
      <c r="B198" s="309" t="s">
        <v>464</v>
      </c>
      <c r="C198" s="309" t="s">
        <v>465</v>
      </c>
      <c r="D198" s="310">
        <v>38432</v>
      </c>
      <c r="E198" s="48" t="s">
        <v>1026</v>
      </c>
      <c r="F198" s="105">
        <v>1</v>
      </c>
      <c r="G198" s="49">
        <v>2</v>
      </c>
      <c r="H198" s="105">
        <v>1</v>
      </c>
      <c r="I198" s="48">
        <v>0</v>
      </c>
      <c r="J198" s="48" t="s">
        <v>100</v>
      </c>
      <c r="K198" s="105">
        <v>0</v>
      </c>
      <c r="L198" s="48">
        <v>0</v>
      </c>
      <c r="M198" s="48">
        <v>0</v>
      </c>
      <c r="N198" s="48">
        <v>0</v>
      </c>
      <c r="O198" s="48">
        <v>0</v>
      </c>
      <c r="P198" s="105">
        <v>1</v>
      </c>
      <c r="Q198" s="48">
        <v>0</v>
      </c>
      <c r="R198" s="48"/>
      <c r="S198" s="48"/>
      <c r="T198" s="48"/>
      <c r="U198" s="48"/>
      <c r="V198" s="48"/>
      <c r="W198" s="48"/>
      <c r="X198" s="48"/>
      <c r="Y198" s="48"/>
      <c r="Z198" s="48"/>
      <c r="AA198" s="48"/>
      <c r="AB198" s="48"/>
      <c r="AC198" s="48"/>
    </row>
    <row r="199" spans="1:29" ht="15.75" customHeight="1">
      <c r="A199" s="309">
        <v>95</v>
      </c>
      <c r="B199" s="309" t="s">
        <v>464</v>
      </c>
      <c r="C199" s="309" t="s">
        <v>465</v>
      </c>
      <c r="D199" s="310">
        <v>38432</v>
      </c>
      <c r="E199" s="48" t="s">
        <v>1027</v>
      </c>
      <c r="F199" s="105">
        <v>0</v>
      </c>
      <c r="G199" s="49">
        <v>0</v>
      </c>
      <c r="H199" s="105">
        <v>1</v>
      </c>
      <c r="I199" s="48">
        <v>0</v>
      </c>
      <c r="J199" s="48">
        <v>0</v>
      </c>
      <c r="K199" s="105">
        <v>1</v>
      </c>
      <c r="L199" s="48">
        <v>0</v>
      </c>
      <c r="M199" s="105">
        <v>4</v>
      </c>
      <c r="N199" s="48">
        <v>0</v>
      </c>
      <c r="O199" s="48">
        <v>0</v>
      </c>
      <c r="P199" s="105">
        <v>0</v>
      </c>
      <c r="Q199" s="48">
        <v>0</v>
      </c>
      <c r="R199" s="48"/>
      <c r="S199" s="48"/>
      <c r="T199" s="48"/>
      <c r="U199" s="48"/>
      <c r="V199" s="48"/>
      <c r="W199" s="48"/>
      <c r="X199" s="48"/>
      <c r="Y199" s="48"/>
      <c r="Z199" s="48"/>
      <c r="AA199" s="48"/>
      <c r="AB199" s="48"/>
      <c r="AC199" s="48"/>
    </row>
    <row r="200" spans="1:29" ht="15.75" customHeight="1">
      <c r="A200" s="311">
        <v>96</v>
      </c>
      <c r="B200" s="311" t="s">
        <v>469</v>
      </c>
      <c r="C200" s="311" t="s">
        <v>470</v>
      </c>
      <c r="D200" s="312">
        <v>38592</v>
      </c>
      <c r="E200" s="48" t="s">
        <v>862</v>
      </c>
      <c r="F200" s="105" t="str">
        <f t="shared" ref="F200:F201" si="31">HYPERLINK("https://www.myplainview.com/news/article/Gunman-kills-self-after-shooting-four-at-rural-8725414.php","0")</f>
        <v>0</v>
      </c>
      <c r="G200" s="49">
        <v>1</v>
      </c>
      <c r="H200" s="105">
        <v>1</v>
      </c>
      <c r="I200" s="48">
        <v>0</v>
      </c>
      <c r="J200" s="48">
        <v>0</v>
      </c>
      <c r="K200" s="48"/>
      <c r="L200" s="48"/>
      <c r="M200" s="48"/>
      <c r="N200" s="48"/>
      <c r="O200" s="48"/>
      <c r="P200" s="48"/>
      <c r="Q200" s="48">
        <v>1</v>
      </c>
      <c r="R200" s="48"/>
      <c r="S200" s="48"/>
      <c r="T200" s="48"/>
      <c r="U200" s="48"/>
      <c r="V200" s="48"/>
      <c r="W200" s="48"/>
      <c r="X200" s="48"/>
      <c r="Y200" s="48"/>
      <c r="Z200" s="48"/>
      <c r="AA200" s="48"/>
      <c r="AB200" s="48"/>
      <c r="AC200" s="48"/>
    </row>
    <row r="201" spans="1:29" ht="15.75" customHeight="1">
      <c r="A201" s="311">
        <v>96</v>
      </c>
      <c r="B201" s="311" t="s">
        <v>469</v>
      </c>
      <c r="C201" s="311" t="s">
        <v>470</v>
      </c>
      <c r="D201" s="312">
        <v>38592</v>
      </c>
      <c r="E201" s="48" t="s">
        <v>830</v>
      </c>
      <c r="F201" s="105" t="str">
        <f t="shared" si="31"/>
        <v>0</v>
      </c>
      <c r="G201" s="49">
        <v>1</v>
      </c>
      <c r="H201" s="105">
        <v>1</v>
      </c>
      <c r="I201" s="48">
        <v>0</v>
      </c>
      <c r="J201" s="48" t="s">
        <v>100</v>
      </c>
      <c r="K201" s="48"/>
      <c r="L201" s="48"/>
      <c r="M201" s="48"/>
      <c r="N201" s="48"/>
      <c r="O201" s="48"/>
      <c r="P201" s="48"/>
      <c r="Q201" s="48">
        <v>1</v>
      </c>
      <c r="R201" s="48"/>
      <c r="S201" s="48"/>
      <c r="T201" s="48"/>
      <c r="U201" s="48"/>
      <c r="V201" s="48"/>
      <c r="W201" s="48"/>
      <c r="X201" s="48"/>
      <c r="Y201" s="48"/>
      <c r="Z201" s="48"/>
      <c r="AA201" s="48"/>
      <c r="AB201" s="48"/>
      <c r="AC201" s="48"/>
    </row>
    <row r="202" spans="1:29" ht="15.75" customHeight="1">
      <c r="A202" s="313">
        <v>97</v>
      </c>
      <c r="B202" s="313" t="s">
        <v>472</v>
      </c>
      <c r="C202" s="313" t="s">
        <v>473</v>
      </c>
      <c r="D202" s="314">
        <v>38747</v>
      </c>
      <c r="E202" s="48" t="s">
        <v>865</v>
      </c>
      <c r="F202" s="105" t="str">
        <f>HYPERLINK("https://www.independent.com/news/2013/jan/31/goleta-postal-murders/","0")</f>
        <v>0</v>
      </c>
      <c r="G202" s="49">
        <v>1</v>
      </c>
      <c r="H202" s="105" t="str">
        <f t="shared" ref="H202:L202" si="32">HYPERLINK("https://www.independent.com/2013/01/31/goleta-postal-murders/","1")</f>
        <v>1</v>
      </c>
      <c r="I202" s="48">
        <v>0</v>
      </c>
      <c r="J202" s="48">
        <v>0</v>
      </c>
      <c r="K202" s="105" t="str">
        <f t="shared" si="32"/>
        <v>1</v>
      </c>
      <c r="L202" s="105" t="str">
        <f t="shared" si="32"/>
        <v>1</v>
      </c>
      <c r="M202" s="48">
        <v>0</v>
      </c>
      <c r="N202" s="48">
        <v>0</v>
      </c>
      <c r="O202" s="48">
        <v>0</v>
      </c>
      <c r="P202" s="48">
        <v>0</v>
      </c>
      <c r="Q202" s="48">
        <v>0</v>
      </c>
      <c r="R202" s="48"/>
      <c r="S202" s="48"/>
      <c r="T202" s="48"/>
      <c r="U202" s="48"/>
      <c r="V202" s="48"/>
      <c r="W202" s="48"/>
      <c r="X202" s="48"/>
      <c r="Y202" s="48"/>
      <c r="Z202" s="48"/>
      <c r="AA202" s="48"/>
      <c r="AB202" s="48"/>
      <c r="AC202" s="48"/>
    </row>
    <row r="203" spans="1:29" ht="15.75" customHeight="1">
      <c r="A203" s="305">
        <v>98</v>
      </c>
      <c r="B203" s="305" t="s">
        <v>476</v>
      </c>
      <c r="C203" s="305" t="s">
        <v>477</v>
      </c>
      <c r="D203" s="306">
        <v>38801</v>
      </c>
      <c r="E203" s="48" t="s">
        <v>1028</v>
      </c>
      <c r="F203" s="105">
        <v>0</v>
      </c>
      <c r="G203" s="49">
        <v>2</v>
      </c>
      <c r="H203" s="105">
        <v>1</v>
      </c>
      <c r="I203" s="48">
        <v>0</v>
      </c>
      <c r="J203" s="48">
        <v>0</v>
      </c>
      <c r="K203" s="105">
        <v>1</v>
      </c>
      <c r="L203" s="105">
        <v>1</v>
      </c>
      <c r="M203" s="48"/>
      <c r="N203" s="48"/>
      <c r="O203" s="48"/>
      <c r="P203" s="48"/>
      <c r="Q203" s="48"/>
      <c r="R203" s="48"/>
      <c r="S203" s="48"/>
      <c r="T203" s="48"/>
      <c r="U203" s="48"/>
      <c r="V203" s="48"/>
      <c r="W203" s="48"/>
      <c r="X203" s="48"/>
      <c r="Y203" s="48"/>
      <c r="Z203" s="48"/>
      <c r="AA203" s="48"/>
      <c r="AB203" s="48"/>
      <c r="AC203" s="48"/>
    </row>
    <row r="204" spans="1:29" ht="15.75" customHeight="1">
      <c r="A204" s="305">
        <v>98</v>
      </c>
      <c r="B204" s="305" t="s">
        <v>476</v>
      </c>
      <c r="C204" s="305" t="s">
        <v>477</v>
      </c>
      <c r="D204" s="306">
        <v>38801</v>
      </c>
      <c r="E204" s="48" t="s">
        <v>1029</v>
      </c>
      <c r="F204" s="105">
        <v>3</v>
      </c>
      <c r="G204" s="49">
        <v>2</v>
      </c>
      <c r="H204" s="105">
        <v>0</v>
      </c>
      <c r="I204" s="48">
        <v>0</v>
      </c>
      <c r="J204" s="48">
        <v>0</v>
      </c>
      <c r="K204" s="48"/>
      <c r="L204" s="48"/>
      <c r="M204" s="48"/>
      <c r="N204" s="48"/>
      <c r="O204" s="48"/>
      <c r="P204" s="48"/>
      <c r="Q204" s="48">
        <v>1</v>
      </c>
      <c r="R204" s="48"/>
      <c r="S204" s="48"/>
      <c r="T204" s="48"/>
      <c r="U204" s="48"/>
      <c r="V204" s="48"/>
      <c r="W204" s="48"/>
      <c r="X204" s="48"/>
      <c r="Y204" s="48"/>
      <c r="Z204" s="48"/>
      <c r="AA204" s="48"/>
      <c r="AB204" s="48"/>
      <c r="AC204" s="48"/>
    </row>
    <row r="205" spans="1:29" ht="15.75" customHeight="1">
      <c r="A205" s="305">
        <v>98</v>
      </c>
      <c r="B205" s="305" t="s">
        <v>476</v>
      </c>
      <c r="C205" s="305" t="s">
        <v>477</v>
      </c>
      <c r="D205" s="306">
        <v>38801</v>
      </c>
      <c r="E205" s="48" t="s">
        <v>1030</v>
      </c>
      <c r="F205" s="105">
        <v>1</v>
      </c>
      <c r="G205" s="49">
        <v>2</v>
      </c>
      <c r="H205" s="105">
        <v>1</v>
      </c>
      <c r="I205" s="105">
        <v>1</v>
      </c>
      <c r="J205" s="48" t="s">
        <v>100</v>
      </c>
      <c r="K205" s="105">
        <v>1</v>
      </c>
      <c r="L205" s="105">
        <v>1</v>
      </c>
      <c r="M205" s="48"/>
      <c r="N205" s="48"/>
      <c r="O205" s="48"/>
      <c r="P205" s="48"/>
      <c r="Q205" s="48"/>
      <c r="R205" s="48"/>
      <c r="S205" s="48"/>
      <c r="T205" s="48"/>
      <c r="U205" s="48"/>
      <c r="V205" s="48"/>
      <c r="W205" s="48"/>
      <c r="X205" s="48"/>
      <c r="Y205" s="48"/>
      <c r="Z205" s="48"/>
      <c r="AA205" s="48"/>
      <c r="AB205" s="48"/>
      <c r="AC205" s="48"/>
    </row>
    <row r="206" spans="1:29" ht="15.75" customHeight="1">
      <c r="A206" s="307">
        <v>99</v>
      </c>
      <c r="B206" s="307" t="s">
        <v>480</v>
      </c>
      <c r="C206" s="307" t="s">
        <v>481</v>
      </c>
      <c r="D206" s="308">
        <v>38858</v>
      </c>
      <c r="E206" s="48" t="s">
        <v>1013</v>
      </c>
      <c r="F206" s="105" t="str">
        <f>HYPERLINK("https://caselaw.findlaw.com/la-supreme-court/1546275.html","0")</f>
        <v>0</v>
      </c>
      <c r="G206" s="49"/>
      <c r="H206" s="105" t="str">
        <f>HYPERLINK("https://caselaw.findlaw.com/la-supreme-court/1546275.html","1")</f>
        <v>1</v>
      </c>
      <c r="I206" s="48">
        <v>0</v>
      </c>
      <c r="J206" s="48" t="s">
        <v>100</v>
      </c>
      <c r="K206" s="48"/>
      <c r="L206" s="48"/>
      <c r="M206" s="48"/>
      <c r="N206" s="48"/>
      <c r="O206" s="48"/>
      <c r="P206" s="48"/>
      <c r="Q206" s="48">
        <v>1</v>
      </c>
      <c r="R206" s="48"/>
      <c r="S206" s="48"/>
      <c r="T206" s="48"/>
      <c r="U206" s="48"/>
      <c r="V206" s="48"/>
      <c r="W206" s="48"/>
      <c r="X206" s="48"/>
      <c r="Y206" s="48"/>
      <c r="Z206" s="48"/>
      <c r="AA206" s="48"/>
      <c r="AB206" s="48"/>
      <c r="AC206" s="48"/>
    </row>
    <row r="207" spans="1:29" ht="15.75" customHeight="1">
      <c r="A207" s="309">
        <v>100</v>
      </c>
      <c r="B207" s="309" t="s">
        <v>484</v>
      </c>
      <c r="C207" s="309" t="s">
        <v>94</v>
      </c>
      <c r="D207" s="310">
        <v>38992</v>
      </c>
      <c r="E207" s="48" t="s">
        <v>1031</v>
      </c>
      <c r="F207" s="105">
        <v>1</v>
      </c>
      <c r="G207" s="49">
        <v>2</v>
      </c>
      <c r="H207" s="105">
        <v>1</v>
      </c>
      <c r="I207" s="48">
        <v>0</v>
      </c>
      <c r="J207" s="48" t="s">
        <v>100</v>
      </c>
      <c r="K207" s="48"/>
      <c r="L207" s="105">
        <v>3</v>
      </c>
      <c r="M207" s="48">
        <v>0</v>
      </c>
      <c r="N207" s="48">
        <v>0</v>
      </c>
      <c r="O207" s="48">
        <v>0</v>
      </c>
      <c r="P207" s="48">
        <v>0</v>
      </c>
      <c r="Q207" s="48">
        <v>0</v>
      </c>
      <c r="R207" s="48"/>
      <c r="S207" s="48"/>
      <c r="T207" s="48"/>
      <c r="U207" s="48"/>
      <c r="V207" s="48"/>
      <c r="W207" s="48"/>
      <c r="X207" s="48"/>
      <c r="Y207" s="48"/>
      <c r="Z207" s="48"/>
      <c r="AA207" s="48"/>
      <c r="AB207" s="48"/>
      <c r="AC207" s="48"/>
    </row>
    <row r="208" spans="1:29" ht="15.75" customHeight="1">
      <c r="A208" s="309">
        <v>100</v>
      </c>
      <c r="B208" s="309" t="s">
        <v>484</v>
      </c>
      <c r="C208" s="309" t="s">
        <v>94</v>
      </c>
      <c r="D208" s="310">
        <v>38992</v>
      </c>
      <c r="E208" s="48" t="s">
        <v>1032</v>
      </c>
      <c r="F208" s="105">
        <v>0</v>
      </c>
      <c r="G208" s="49">
        <v>1</v>
      </c>
      <c r="H208" s="105">
        <v>1</v>
      </c>
      <c r="I208" s="48">
        <v>0</v>
      </c>
      <c r="J208" s="48">
        <v>0</v>
      </c>
      <c r="K208" s="105">
        <v>1</v>
      </c>
      <c r="L208" s="105">
        <v>1</v>
      </c>
      <c r="M208" s="48">
        <v>0</v>
      </c>
      <c r="N208" s="48">
        <v>0</v>
      </c>
      <c r="O208" s="48">
        <v>0</v>
      </c>
      <c r="P208" s="48">
        <v>0</v>
      </c>
      <c r="Q208" s="48">
        <v>0</v>
      </c>
      <c r="R208" s="48"/>
      <c r="S208" s="48"/>
      <c r="T208" s="48"/>
      <c r="U208" s="48"/>
      <c r="V208" s="48"/>
      <c r="W208" s="48"/>
      <c r="X208" s="48"/>
      <c r="Y208" s="48"/>
      <c r="Z208" s="48"/>
      <c r="AA208" s="48"/>
      <c r="AB208" s="48"/>
      <c r="AC208" s="48"/>
    </row>
    <row r="209" spans="1:29" ht="15.75" customHeight="1">
      <c r="A209" s="309">
        <v>100</v>
      </c>
      <c r="B209" s="309" t="s">
        <v>484</v>
      </c>
      <c r="C209" s="309" t="s">
        <v>94</v>
      </c>
      <c r="D209" s="310">
        <v>38992</v>
      </c>
      <c r="E209" s="48" t="s">
        <v>1033</v>
      </c>
      <c r="F209" s="105">
        <v>2</v>
      </c>
      <c r="G209" s="49">
        <v>2</v>
      </c>
      <c r="H209" s="48">
        <v>0</v>
      </c>
      <c r="I209" s="105">
        <v>0</v>
      </c>
      <c r="J209" s="48">
        <v>0</v>
      </c>
      <c r="K209" s="48"/>
      <c r="L209" s="105">
        <v>3</v>
      </c>
      <c r="M209" s="48">
        <v>0</v>
      </c>
      <c r="N209" s="48">
        <v>0</v>
      </c>
      <c r="O209" s="48">
        <v>0</v>
      </c>
      <c r="P209" s="48">
        <v>0</v>
      </c>
      <c r="Q209" s="48">
        <v>0</v>
      </c>
      <c r="R209" s="48"/>
      <c r="S209" s="48"/>
      <c r="T209" s="48"/>
      <c r="U209" s="48"/>
      <c r="V209" s="48"/>
      <c r="W209" s="48"/>
      <c r="X209" s="48"/>
      <c r="Y209" s="48"/>
      <c r="Z209" s="48"/>
      <c r="AA209" s="48"/>
      <c r="AB209" s="48"/>
      <c r="AC209" s="48"/>
    </row>
    <row r="210" spans="1:29" ht="15.75" customHeight="1">
      <c r="A210" s="311">
        <v>101</v>
      </c>
      <c r="B210" s="311" t="s">
        <v>488</v>
      </c>
      <c r="C210" s="311" t="s">
        <v>489</v>
      </c>
      <c r="D210" s="312">
        <v>39125</v>
      </c>
      <c r="E210" s="48" t="s">
        <v>1034</v>
      </c>
      <c r="F210" s="105">
        <v>1</v>
      </c>
      <c r="G210" s="49">
        <v>2</v>
      </c>
      <c r="H210" s="105">
        <v>1</v>
      </c>
      <c r="I210" s="105">
        <v>1</v>
      </c>
      <c r="J210" s="48" t="s">
        <v>100</v>
      </c>
      <c r="K210" s="105">
        <v>1</v>
      </c>
      <c r="L210" s="48">
        <v>0</v>
      </c>
      <c r="M210" s="105">
        <v>1</v>
      </c>
      <c r="N210" s="48">
        <v>0</v>
      </c>
      <c r="O210" s="48">
        <v>0</v>
      </c>
      <c r="P210" s="48">
        <v>0</v>
      </c>
      <c r="Q210" s="48">
        <v>0</v>
      </c>
      <c r="R210" s="48"/>
      <c r="S210" s="48"/>
      <c r="T210" s="48"/>
      <c r="U210" s="48"/>
      <c r="V210" s="48"/>
      <c r="W210" s="48"/>
      <c r="X210" s="48"/>
      <c r="Y210" s="48"/>
      <c r="Z210" s="48"/>
      <c r="AA210" s="48"/>
      <c r="AB210" s="48"/>
      <c r="AC210" s="48"/>
    </row>
    <row r="211" spans="1:29" ht="15.75" customHeight="1">
      <c r="A211" s="311">
        <v>101</v>
      </c>
      <c r="B211" s="311" t="s">
        <v>488</v>
      </c>
      <c r="C211" s="311" t="s">
        <v>489</v>
      </c>
      <c r="D211" s="312">
        <v>39125</v>
      </c>
      <c r="E211" s="48" t="s">
        <v>1035</v>
      </c>
      <c r="F211" s="105">
        <v>0</v>
      </c>
      <c r="G211" s="49">
        <v>1</v>
      </c>
      <c r="H211" s="105">
        <v>1</v>
      </c>
      <c r="I211" s="48">
        <v>0</v>
      </c>
      <c r="J211" s="48" t="s">
        <v>100</v>
      </c>
      <c r="K211" s="105">
        <v>1</v>
      </c>
      <c r="L211" s="48">
        <v>0</v>
      </c>
      <c r="M211" s="105">
        <v>4</v>
      </c>
      <c r="N211" s="48">
        <v>0</v>
      </c>
      <c r="O211" s="48">
        <v>0</v>
      </c>
      <c r="P211" s="48">
        <v>0</v>
      </c>
      <c r="Q211" s="48">
        <v>0</v>
      </c>
      <c r="R211" s="48"/>
      <c r="S211" s="48"/>
      <c r="T211" s="48"/>
      <c r="U211" s="48"/>
      <c r="V211" s="48"/>
      <c r="W211" s="48"/>
      <c r="X211" s="48"/>
      <c r="Y211" s="48"/>
      <c r="Z211" s="48"/>
      <c r="AA211" s="48"/>
      <c r="AB211" s="48"/>
      <c r="AC211" s="48"/>
    </row>
    <row r="212" spans="1:29" ht="15.75" customHeight="1">
      <c r="A212" s="313">
        <v>102</v>
      </c>
      <c r="B212" s="313" t="s">
        <v>492</v>
      </c>
      <c r="C212" s="313" t="s">
        <v>493</v>
      </c>
      <c r="D212" s="314">
        <v>39188</v>
      </c>
      <c r="E212" s="48" t="s">
        <v>875</v>
      </c>
      <c r="F212" s="105">
        <v>0</v>
      </c>
      <c r="G212" s="49">
        <v>1</v>
      </c>
      <c r="H212" s="105">
        <v>1</v>
      </c>
      <c r="I212" s="48">
        <v>0</v>
      </c>
      <c r="J212" s="48">
        <v>0</v>
      </c>
      <c r="K212" s="105">
        <v>1</v>
      </c>
      <c r="L212" s="48">
        <v>0</v>
      </c>
      <c r="M212" s="105">
        <v>1</v>
      </c>
      <c r="N212" s="48">
        <v>0</v>
      </c>
      <c r="O212" s="48">
        <v>0</v>
      </c>
      <c r="P212" s="48">
        <v>0</v>
      </c>
      <c r="Q212" s="48">
        <v>0</v>
      </c>
      <c r="R212" s="105" t="s">
        <v>1036</v>
      </c>
      <c r="S212" s="48"/>
      <c r="T212" s="48"/>
      <c r="U212" s="48"/>
      <c r="V212" s="48"/>
      <c r="W212" s="48"/>
      <c r="X212" s="48"/>
      <c r="Y212" s="48"/>
      <c r="Z212" s="48"/>
      <c r="AA212" s="48"/>
      <c r="AB212" s="48"/>
      <c r="AC212" s="48"/>
    </row>
    <row r="213" spans="1:29" ht="15.75" customHeight="1">
      <c r="A213" s="313">
        <v>102</v>
      </c>
      <c r="B213" s="313" t="s">
        <v>492</v>
      </c>
      <c r="C213" s="313" t="s">
        <v>493</v>
      </c>
      <c r="D213" s="314">
        <v>39188</v>
      </c>
      <c r="E213" s="48" t="s">
        <v>1037</v>
      </c>
      <c r="F213" s="105">
        <v>0</v>
      </c>
      <c r="G213" s="49">
        <v>0</v>
      </c>
      <c r="H213" s="105">
        <v>1</v>
      </c>
      <c r="I213" s="48">
        <v>0</v>
      </c>
      <c r="J213" s="48">
        <v>0</v>
      </c>
      <c r="K213" s="105">
        <v>1</v>
      </c>
      <c r="L213" s="48">
        <v>0</v>
      </c>
      <c r="M213" s="105">
        <v>1</v>
      </c>
      <c r="N213" s="48">
        <v>0</v>
      </c>
      <c r="O213" s="48">
        <v>0</v>
      </c>
      <c r="P213" s="48">
        <v>0</v>
      </c>
      <c r="Q213" s="48">
        <v>0</v>
      </c>
      <c r="R213" s="105" t="s">
        <v>1036</v>
      </c>
      <c r="S213" s="48"/>
      <c r="T213" s="48"/>
      <c r="U213" s="48"/>
      <c r="V213" s="48"/>
      <c r="W213" s="48"/>
      <c r="X213" s="48"/>
      <c r="Y213" s="48"/>
      <c r="Z213" s="48"/>
      <c r="AA213" s="48"/>
      <c r="AB213" s="48"/>
      <c r="AC213" s="48"/>
    </row>
    <row r="214" spans="1:29" ht="15.75" customHeight="1">
      <c r="A214" s="305">
        <v>103</v>
      </c>
      <c r="B214" s="305" t="s">
        <v>498</v>
      </c>
      <c r="C214" s="305" t="s">
        <v>102</v>
      </c>
      <c r="D214" s="306">
        <v>39421</v>
      </c>
      <c r="E214" s="48" t="s">
        <v>1038</v>
      </c>
      <c r="F214" s="105">
        <v>3</v>
      </c>
      <c r="G214" s="49">
        <v>2</v>
      </c>
      <c r="H214" s="105">
        <v>1</v>
      </c>
      <c r="I214" s="48">
        <v>0</v>
      </c>
      <c r="J214" s="48">
        <v>0</v>
      </c>
      <c r="K214" s="105" t="str">
        <f>HYPERLINK("https://journalstar.com/news/state-and-regional/govt-and-politics/mom-of-mall-shooter-says-she-s-responsible/article_50377e0d-10ca-5118-8d7d-2e41b45349b6.html","0")</f>
        <v>0</v>
      </c>
      <c r="L214" s="48">
        <v>0</v>
      </c>
      <c r="M214" s="48">
        <v>0</v>
      </c>
      <c r="N214" s="48">
        <v>0</v>
      </c>
      <c r="O214" s="48">
        <v>0</v>
      </c>
      <c r="P214" s="105" t="str">
        <f>HYPERLINK("https://journalstar.com/news/state-and-regional/govt-and-politics/mom-of-mall-shooter-says-she-s-responsible/article_50377e0d-10ca-5118-8d7d-2e41b45349b6.html","1")</f>
        <v>1</v>
      </c>
      <c r="Q214" s="48">
        <v>0</v>
      </c>
      <c r="R214" s="48"/>
      <c r="S214" s="48"/>
      <c r="T214" s="48"/>
      <c r="U214" s="48"/>
      <c r="V214" s="48"/>
      <c r="W214" s="48"/>
      <c r="X214" s="48"/>
      <c r="Y214" s="48"/>
      <c r="Z214" s="48"/>
      <c r="AA214" s="48"/>
      <c r="AB214" s="48"/>
      <c r="AC214" s="48"/>
    </row>
    <row r="215" spans="1:29" ht="15.75" customHeight="1">
      <c r="A215" s="307">
        <v>104</v>
      </c>
      <c r="B215" s="307" t="s">
        <v>502</v>
      </c>
      <c r="C215" s="307" t="s">
        <v>361</v>
      </c>
      <c r="D215" s="308">
        <v>39425</v>
      </c>
      <c r="E215" s="48" t="s">
        <v>1039</v>
      </c>
      <c r="F215" s="105">
        <v>0</v>
      </c>
      <c r="G215" s="49">
        <v>2</v>
      </c>
      <c r="H215" s="105">
        <v>0</v>
      </c>
      <c r="I215" s="48">
        <v>0</v>
      </c>
      <c r="J215" s="48">
        <v>0</v>
      </c>
      <c r="K215" s="105">
        <v>1</v>
      </c>
      <c r="L215" s="105">
        <v>1</v>
      </c>
      <c r="M215" s="48">
        <v>0</v>
      </c>
      <c r="N215" s="48">
        <v>0</v>
      </c>
      <c r="O215" s="48">
        <v>0</v>
      </c>
      <c r="P215" s="48">
        <v>0</v>
      </c>
      <c r="Q215" s="48">
        <v>0</v>
      </c>
      <c r="R215" s="48"/>
      <c r="S215" s="48"/>
      <c r="T215" s="48"/>
      <c r="U215" s="48"/>
      <c r="V215" s="48"/>
      <c r="W215" s="48"/>
      <c r="X215" s="48"/>
      <c r="Y215" s="48"/>
      <c r="Z215" s="48"/>
      <c r="AA215" s="48"/>
      <c r="AB215" s="48"/>
      <c r="AC215" s="48"/>
    </row>
    <row r="216" spans="1:29" ht="15.75" customHeight="1">
      <c r="A216" s="307">
        <v>104</v>
      </c>
      <c r="B216" s="307" t="s">
        <v>502</v>
      </c>
      <c r="C216" s="307" t="s">
        <v>361</v>
      </c>
      <c r="D216" s="308">
        <v>39425</v>
      </c>
      <c r="E216" s="48" t="s">
        <v>1040</v>
      </c>
      <c r="F216" s="105">
        <v>0</v>
      </c>
      <c r="G216" s="49">
        <v>1</v>
      </c>
      <c r="H216" s="105">
        <v>2</v>
      </c>
      <c r="I216" s="48">
        <v>0</v>
      </c>
      <c r="J216" s="48">
        <v>0</v>
      </c>
      <c r="K216" s="105">
        <v>1</v>
      </c>
      <c r="L216" s="105">
        <v>1</v>
      </c>
      <c r="M216" s="48">
        <v>0</v>
      </c>
      <c r="N216" s="48">
        <v>0</v>
      </c>
      <c r="O216" s="48">
        <v>0</v>
      </c>
      <c r="P216" s="48">
        <v>0</v>
      </c>
      <c r="Q216" s="48">
        <v>0</v>
      </c>
      <c r="R216" s="48"/>
      <c r="S216" s="48"/>
      <c r="T216" s="48"/>
      <c r="U216" s="48"/>
      <c r="V216" s="48"/>
      <c r="W216" s="48"/>
      <c r="X216" s="48"/>
      <c r="Y216" s="48"/>
      <c r="Z216" s="48"/>
      <c r="AA216" s="48"/>
      <c r="AB216" s="48"/>
      <c r="AC216" s="48"/>
    </row>
    <row r="217" spans="1:29" ht="15.75" customHeight="1">
      <c r="A217" s="307">
        <v>104</v>
      </c>
      <c r="B217" s="307" t="s">
        <v>502</v>
      </c>
      <c r="C217" s="307" t="s">
        <v>361</v>
      </c>
      <c r="D217" s="308">
        <v>39425</v>
      </c>
      <c r="E217" s="48" t="s">
        <v>3044</v>
      </c>
      <c r="F217" s="105" t="str">
        <f t="shared" ref="F217:F218" si="33">HYPERLINK("https://www.kktv.com/home/headlines/12440361.html","3")</f>
        <v>3</v>
      </c>
      <c r="G217" s="49">
        <v>2</v>
      </c>
      <c r="H217" s="105">
        <v>1</v>
      </c>
      <c r="I217" s="315">
        <v>1</v>
      </c>
      <c r="J217" s="48">
        <v>0</v>
      </c>
      <c r="K217" s="105">
        <v>1</v>
      </c>
      <c r="L217" s="105">
        <v>1</v>
      </c>
      <c r="M217" s="48">
        <v>0</v>
      </c>
      <c r="N217" s="48">
        <v>0</v>
      </c>
      <c r="O217" s="48">
        <v>0</v>
      </c>
      <c r="P217" s="48">
        <v>0</v>
      </c>
      <c r="Q217" s="48">
        <v>0</v>
      </c>
      <c r="R217" s="48"/>
      <c r="S217" s="48"/>
      <c r="T217" s="48"/>
      <c r="U217" s="48"/>
      <c r="V217" s="48"/>
      <c r="W217" s="48"/>
      <c r="X217" s="48"/>
      <c r="Y217" s="48"/>
      <c r="Z217" s="48"/>
      <c r="AA217" s="48"/>
      <c r="AB217" s="48"/>
      <c r="AC217" s="48"/>
    </row>
    <row r="218" spans="1:29" ht="15.75" customHeight="1">
      <c r="A218" s="307">
        <v>104</v>
      </c>
      <c r="B218" s="307" t="s">
        <v>502</v>
      </c>
      <c r="C218" s="307" t="s">
        <v>361</v>
      </c>
      <c r="D218" s="308">
        <v>39425</v>
      </c>
      <c r="E218" s="48" t="s">
        <v>1041</v>
      </c>
      <c r="F218" s="105" t="str">
        <f t="shared" si="33"/>
        <v>3</v>
      </c>
      <c r="G218" s="49"/>
      <c r="H218" s="105">
        <v>0</v>
      </c>
      <c r="I218" s="48">
        <v>0</v>
      </c>
      <c r="J218" s="48">
        <v>0</v>
      </c>
      <c r="K218" s="105">
        <v>1</v>
      </c>
      <c r="L218" s="105">
        <v>1</v>
      </c>
      <c r="M218" s="48">
        <v>0</v>
      </c>
      <c r="N218" s="48">
        <v>0</v>
      </c>
      <c r="O218" s="48">
        <v>0</v>
      </c>
      <c r="P218" s="48">
        <v>0</v>
      </c>
      <c r="Q218" s="48">
        <v>0</v>
      </c>
      <c r="R218" s="48"/>
      <c r="S218" s="48"/>
      <c r="T218" s="48"/>
      <c r="U218" s="48"/>
      <c r="V218" s="48"/>
      <c r="W218" s="48"/>
      <c r="X218" s="48"/>
      <c r="Y218" s="48"/>
      <c r="Z218" s="48"/>
      <c r="AA218" s="48"/>
      <c r="AB218" s="48"/>
      <c r="AC218" s="48"/>
    </row>
    <row r="219" spans="1:29" ht="15.75" customHeight="1">
      <c r="A219" s="309">
        <v>105</v>
      </c>
      <c r="B219" s="309" t="s">
        <v>507</v>
      </c>
      <c r="C219" s="309" t="s">
        <v>94</v>
      </c>
      <c r="D219" s="310">
        <v>39485</v>
      </c>
      <c r="E219" s="48" t="s">
        <v>1042</v>
      </c>
      <c r="F219" s="105">
        <v>0</v>
      </c>
      <c r="G219" s="49">
        <v>2</v>
      </c>
      <c r="H219" s="105" t="str">
        <f>HYPERLINK("https://web.archive.org/web/20080208212628/http://www.stltoday.com/stltoday/news/stories.nsf/stlouiscitycounty/story/DF9F175C2F225844862573E9001BDB9A?OpenDocument","1")</f>
        <v>1</v>
      </c>
      <c r="I219" s="48">
        <v>0</v>
      </c>
      <c r="J219" s="48">
        <v>0</v>
      </c>
      <c r="K219" s="105" t="str">
        <f>HYPERLINK("https://web.archive.org/web/20080208212628/http://www.stltoday.com/stltoday/news/stories.nsf/stlouiscitycounty/story/DF9F175C2F225844862573E9001BDB9A?OpenDocument","0")</f>
        <v>0</v>
      </c>
      <c r="L219" s="48">
        <v>0</v>
      </c>
      <c r="M219" s="48">
        <v>0</v>
      </c>
      <c r="N219" s="48">
        <v>0</v>
      </c>
      <c r="O219" s="48">
        <v>0</v>
      </c>
      <c r="P219" s="105">
        <v>3</v>
      </c>
      <c r="Q219" s="48">
        <v>0</v>
      </c>
      <c r="R219" s="48"/>
      <c r="S219" s="48"/>
      <c r="T219" s="48"/>
      <c r="U219" s="48"/>
      <c r="V219" s="48"/>
      <c r="W219" s="48"/>
      <c r="X219" s="48"/>
      <c r="Y219" s="48"/>
      <c r="Z219" s="48"/>
      <c r="AA219" s="48"/>
      <c r="AB219" s="48"/>
      <c r="AC219" s="48"/>
    </row>
    <row r="220" spans="1:29" ht="15.75" customHeight="1">
      <c r="A220" s="309">
        <v>105</v>
      </c>
      <c r="B220" s="309" t="s">
        <v>507</v>
      </c>
      <c r="C220" s="309" t="s">
        <v>94</v>
      </c>
      <c r="D220" s="310">
        <v>39485</v>
      </c>
      <c r="E220" s="48" t="s">
        <v>1043</v>
      </c>
      <c r="F220" s="105">
        <v>0</v>
      </c>
      <c r="G220" s="49">
        <v>2</v>
      </c>
      <c r="H220" s="105" t="str">
        <f>HYPERLINK("https://www.lakeexpo.com/news/top_stories/thornton-used-stolen-gun-in-kirkwood-killings/article_59696954-4d4c-5052-91c6-ac18d02a2e27.html","1")</f>
        <v>1</v>
      </c>
      <c r="I220" s="48">
        <v>0</v>
      </c>
      <c r="J220" s="48" t="s">
        <v>100</v>
      </c>
      <c r="K220" s="105">
        <v>0</v>
      </c>
      <c r="L220" s="48"/>
      <c r="M220" s="48"/>
      <c r="N220" s="48"/>
      <c r="O220" s="48"/>
      <c r="P220" s="316"/>
      <c r="Q220" s="105">
        <v>1</v>
      </c>
      <c r="R220" s="48"/>
      <c r="S220" s="48"/>
      <c r="T220" s="48"/>
      <c r="U220" s="48"/>
      <c r="V220" s="48"/>
      <c r="W220" s="48"/>
      <c r="X220" s="48"/>
      <c r="Y220" s="48"/>
      <c r="Z220" s="48"/>
      <c r="AA220" s="48"/>
      <c r="AB220" s="48"/>
      <c r="AC220" s="48"/>
    </row>
    <row r="221" spans="1:29" ht="15.75" customHeight="1">
      <c r="A221" s="311">
        <v>106</v>
      </c>
      <c r="B221" s="311" t="s">
        <v>510</v>
      </c>
      <c r="C221" s="311" t="s">
        <v>423</v>
      </c>
      <c r="D221" s="312">
        <v>39492</v>
      </c>
      <c r="E221" s="48" t="s">
        <v>875</v>
      </c>
      <c r="F221" s="105">
        <v>0</v>
      </c>
      <c r="G221" s="49">
        <v>1</v>
      </c>
      <c r="H221" s="105">
        <v>1</v>
      </c>
      <c r="I221" s="48">
        <v>0</v>
      </c>
      <c r="J221" s="48">
        <v>0</v>
      </c>
      <c r="K221" s="105">
        <v>0</v>
      </c>
      <c r="L221" s="105">
        <v>1</v>
      </c>
      <c r="M221" s="48">
        <v>0</v>
      </c>
      <c r="N221" s="48">
        <v>0</v>
      </c>
      <c r="O221" s="48">
        <v>0</v>
      </c>
      <c r="P221" s="48">
        <v>0</v>
      </c>
      <c r="Q221" s="48">
        <v>0</v>
      </c>
      <c r="R221" s="48"/>
      <c r="S221" s="48"/>
      <c r="T221" s="48"/>
      <c r="U221" s="48"/>
      <c r="V221" s="48"/>
      <c r="W221" s="48"/>
      <c r="X221" s="48"/>
      <c r="Y221" s="48"/>
      <c r="Z221" s="48"/>
      <c r="AA221" s="48"/>
      <c r="AB221" s="48"/>
      <c r="AC221" s="48"/>
    </row>
    <row r="222" spans="1:29" ht="15.75" customHeight="1">
      <c r="A222" s="311">
        <v>106</v>
      </c>
      <c r="B222" s="311" t="s">
        <v>510</v>
      </c>
      <c r="C222" s="311" t="s">
        <v>423</v>
      </c>
      <c r="D222" s="312">
        <v>39492</v>
      </c>
      <c r="E222" s="48" t="s">
        <v>1044</v>
      </c>
      <c r="F222" s="105">
        <v>0</v>
      </c>
      <c r="G222" s="49">
        <v>1</v>
      </c>
      <c r="H222" s="105">
        <v>0</v>
      </c>
      <c r="I222" s="48">
        <v>0</v>
      </c>
      <c r="J222" s="48">
        <v>0</v>
      </c>
      <c r="K222" s="105">
        <v>1</v>
      </c>
      <c r="L222" s="105">
        <v>1</v>
      </c>
      <c r="M222" s="48">
        <v>0</v>
      </c>
      <c r="N222" s="48">
        <v>0</v>
      </c>
      <c r="O222" s="48">
        <v>0</v>
      </c>
      <c r="P222" s="48">
        <v>0</v>
      </c>
      <c r="Q222" s="48">
        <v>0</v>
      </c>
      <c r="R222" s="48"/>
      <c r="S222" s="48"/>
      <c r="T222" s="48"/>
      <c r="U222" s="48"/>
      <c r="V222" s="48"/>
      <c r="W222" s="48"/>
      <c r="X222" s="48"/>
      <c r="Y222" s="48"/>
      <c r="Z222" s="48"/>
      <c r="AA222" s="48"/>
      <c r="AB222" s="48"/>
      <c r="AC222" s="48"/>
    </row>
    <row r="223" spans="1:29" ht="15.75" customHeight="1">
      <c r="A223" s="311">
        <v>106</v>
      </c>
      <c r="B223" s="311" t="s">
        <v>510</v>
      </c>
      <c r="C223" s="311" t="s">
        <v>423</v>
      </c>
      <c r="D223" s="312">
        <v>39492</v>
      </c>
      <c r="E223" s="48" t="s">
        <v>1045</v>
      </c>
      <c r="F223" s="105">
        <v>1</v>
      </c>
      <c r="G223" s="49">
        <v>2</v>
      </c>
      <c r="H223" s="105">
        <v>1</v>
      </c>
      <c r="I223" s="105">
        <v>1</v>
      </c>
      <c r="J223" s="48" t="s">
        <v>100</v>
      </c>
      <c r="K223" s="105">
        <v>0</v>
      </c>
      <c r="L223" s="105">
        <v>1</v>
      </c>
      <c r="M223" s="48">
        <v>0</v>
      </c>
      <c r="N223" s="48">
        <v>0</v>
      </c>
      <c r="O223" s="48">
        <v>0</v>
      </c>
      <c r="P223" s="48">
        <v>0</v>
      </c>
      <c r="Q223" s="48">
        <v>0</v>
      </c>
      <c r="R223" s="48"/>
      <c r="S223" s="48"/>
      <c r="T223" s="48"/>
      <c r="U223" s="48"/>
      <c r="V223" s="48"/>
      <c r="W223" s="48"/>
      <c r="X223" s="48"/>
      <c r="Y223" s="48"/>
      <c r="Z223" s="48"/>
      <c r="AA223" s="48"/>
      <c r="AB223" s="48"/>
      <c r="AC223" s="48"/>
    </row>
    <row r="224" spans="1:29" ht="15.75" customHeight="1">
      <c r="A224" s="311">
        <v>106</v>
      </c>
      <c r="B224" s="311" t="s">
        <v>510</v>
      </c>
      <c r="C224" s="311" t="s">
        <v>423</v>
      </c>
      <c r="D224" s="312">
        <v>39492</v>
      </c>
      <c r="E224" s="48" t="s">
        <v>1046</v>
      </c>
      <c r="F224" s="105">
        <v>0</v>
      </c>
      <c r="G224" s="49">
        <v>1</v>
      </c>
      <c r="H224" s="105">
        <v>0</v>
      </c>
      <c r="I224" s="48">
        <v>0</v>
      </c>
      <c r="J224" s="48">
        <v>0</v>
      </c>
      <c r="K224" s="105">
        <v>1</v>
      </c>
      <c r="L224" s="105">
        <v>1</v>
      </c>
      <c r="M224" s="48">
        <v>0</v>
      </c>
      <c r="N224" s="48">
        <v>0</v>
      </c>
      <c r="O224" s="48">
        <v>0</v>
      </c>
      <c r="P224" s="48">
        <v>0</v>
      </c>
      <c r="Q224" s="48">
        <v>0</v>
      </c>
      <c r="R224" s="48"/>
      <c r="S224" s="48"/>
      <c r="T224" s="48"/>
      <c r="U224" s="48"/>
      <c r="V224" s="48"/>
      <c r="W224" s="48"/>
      <c r="X224" s="48"/>
      <c r="Y224" s="48"/>
      <c r="Z224" s="48"/>
      <c r="AA224" s="48"/>
      <c r="AB224" s="48"/>
      <c r="AC224" s="48"/>
    </row>
    <row r="225" spans="1:29" ht="15.75" customHeight="1">
      <c r="A225" s="313">
        <v>107</v>
      </c>
      <c r="B225" s="313" t="s">
        <v>513</v>
      </c>
      <c r="C225" s="313" t="s">
        <v>514</v>
      </c>
      <c r="D225" s="314">
        <v>39525</v>
      </c>
      <c r="E225" s="48" t="s">
        <v>947</v>
      </c>
      <c r="F225" s="105" t="str">
        <f>HYPERLINK("http://www.nbcnews.com/id/23699429/ns/us_news-crime_and_courts/t/suspect-held-after-killed-junk-yard-rampage/#.Wg3mgbSpn58","0")</f>
        <v>0</v>
      </c>
      <c r="G225" s="49"/>
      <c r="H225" s="105" t="str">
        <f>HYPERLINK("http://www.nbcnews.com/id/23699429/ns/us_news-crime_and_courts/t/suspect-held-after-killed-junk-yard-rampage/#.Wg3mgbSpn58","1")</f>
        <v>1</v>
      </c>
      <c r="I225" s="48">
        <v>0</v>
      </c>
      <c r="J225" s="48">
        <v>0</v>
      </c>
      <c r="K225" s="104" t="str">
        <f>HYPERLINK("https://caselaw.findlaw.com/ca-court-of-appeal/1714165.html","0")</f>
        <v>0</v>
      </c>
      <c r="L225" s="48">
        <v>0</v>
      </c>
      <c r="M225" s="48">
        <v>0</v>
      </c>
      <c r="N225" s="48">
        <v>0</v>
      </c>
      <c r="O225" s="48">
        <v>0</v>
      </c>
      <c r="P225" s="104" t="s">
        <v>806</v>
      </c>
      <c r="Q225" s="48">
        <v>0</v>
      </c>
      <c r="R225" s="48"/>
      <c r="S225" s="48"/>
      <c r="T225" s="48"/>
      <c r="U225" s="48"/>
      <c r="V225" s="48"/>
      <c r="W225" s="48"/>
      <c r="X225" s="48"/>
      <c r="Y225" s="48"/>
      <c r="Z225" s="48"/>
      <c r="AA225" s="48"/>
      <c r="AB225" s="48"/>
      <c r="AC225" s="48"/>
    </row>
    <row r="226" spans="1:29" ht="15.75" customHeight="1">
      <c r="A226" s="305">
        <v>108</v>
      </c>
      <c r="B226" s="305" t="s">
        <v>517</v>
      </c>
      <c r="C226" s="305" t="s">
        <v>518</v>
      </c>
      <c r="D226" s="306">
        <v>39624</v>
      </c>
      <c r="E226" s="48" t="s">
        <v>870</v>
      </c>
      <c r="F226" s="105">
        <v>0</v>
      </c>
      <c r="G226" s="49">
        <v>2</v>
      </c>
      <c r="H226" s="105">
        <v>1</v>
      </c>
      <c r="I226" s="48">
        <v>0</v>
      </c>
      <c r="J226" s="48">
        <v>0</v>
      </c>
      <c r="K226" s="105">
        <v>1</v>
      </c>
      <c r="L226" s="105">
        <v>3</v>
      </c>
      <c r="M226" s="48">
        <v>0</v>
      </c>
      <c r="N226" s="48">
        <v>0</v>
      </c>
      <c r="O226" s="48">
        <v>0</v>
      </c>
      <c r="P226" s="48">
        <v>0</v>
      </c>
      <c r="Q226" s="48">
        <v>0</v>
      </c>
      <c r="R226" s="48"/>
      <c r="S226" s="48"/>
      <c r="T226" s="48"/>
      <c r="U226" s="48"/>
      <c r="V226" s="48"/>
      <c r="W226" s="48"/>
      <c r="X226" s="48"/>
      <c r="Y226" s="48"/>
      <c r="Z226" s="48"/>
      <c r="AA226" s="48"/>
      <c r="AB226" s="48"/>
      <c r="AC226" s="48"/>
    </row>
    <row r="227" spans="1:29" ht="15.75" customHeight="1">
      <c r="A227" s="307">
        <v>109</v>
      </c>
      <c r="B227" s="307" t="s">
        <v>520</v>
      </c>
      <c r="C227" s="307" t="s">
        <v>521</v>
      </c>
      <c r="D227" s="308">
        <v>39693</v>
      </c>
      <c r="E227" s="48" t="s">
        <v>1047</v>
      </c>
      <c r="F227" s="105">
        <v>2</v>
      </c>
      <c r="G227" s="49"/>
      <c r="H227" s="105">
        <v>1</v>
      </c>
      <c r="I227" s="48">
        <v>0</v>
      </c>
      <c r="J227" s="48">
        <v>0</v>
      </c>
      <c r="K227" s="105">
        <v>0</v>
      </c>
      <c r="L227" s="48">
        <v>0</v>
      </c>
      <c r="M227" s="48">
        <v>0</v>
      </c>
      <c r="N227" s="48">
        <v>0</v>
      </c>
      <c r="O227" s="48">
        <v>0</v>
      </c>
      <c r="P227" s="105">
        <v>2</v>
      </c>
      <c r="Q227" s="48">
        <v>0</v>
      </c>
      <c r="R227" s="48"/>
      <c r="S227" s="48"/>
      <c r="T227" s="48"/>
      <c r="U227" s="48"/>
      <c r="V227" s="48"/>
      <c r="W227" s="48"/>
      <c r="X227" s="48"/>
      <c r="Y227" s="48"/>
      <c r="Z227" s="48"/>
      <c r="AA227" s="48"/>
      <c r="AB227" s="48"/>
      <c r="AC227" s="48"/>
    </row>
    <row r="228" spans="1:29" ht="15.75" customHeight="1">
      <c r="A228" s="307">
        <v>109</v>
      </c>
      <c r="B228" s="307" t="s">
        <v>520</v>
      </c>
      <c r="C228" s="307" t="s">
        <v>521</v>
      </c>
      <c r="D228" s="308">
        <v>39693</v>
      </c>
      <c r="E228" s="48" t="s">
        <v>839</v>
      </c>
      <c r="F228" s="105">
        <v>0</v>
      </c>
      <c r="G228" s="49"/>
      <c r="H228" s="105">
        <v>1</v>
      </c>
      <c r="I228" s="48">
        <v>0</v>
      </c>
      <c r="J228" s="48">
        <v>0</v>
      </c>
      <c r="K228" s="105">
        <v>0</v>
      </c>
      <c r="L228" s="48">
        <v>0</v>
      </c>
      <c r="M228" s="48">
        <v>0</v>
      </c>
      <c r="N228" s="48">
        <v>0</v>
      </c>
      <c r="O228" s="48">
        <v>0</v>
      </c>
      <c r="P228" s="105">
        <v>2</v>
      </c>
      <c r="Q228" s="48">
        <v>0</v>
      </c>
      <c r="R228" s="48"/>
      <c r="S228" s="48"/>
      <c r="T228" s="48"/>
      <c r="U228" s="48"/>
      <c r="V228" s="48"/>
      <c r="W228" s="48"/>
      <c r="X228" s="48"/>
      <c r="Y228" s="48"/>
      <c r="Z228" s="48"/>
      <c r="AA228" s="48"/>
      <c r="AB228" s="48"/>
      <c r="AC228" s="48"/>
    </row>
    <row r="229" spans="1:29" ht="15.75" customHeight="1">
      <c r="A229" s="309">
        <v>110</v>
      </c>
      <c r="B229" s="309" t="s">
        <v>524</v>
      </c>
      <c r="C229" s="309" t="s">
        <v>102</v>
      </c>
      <c r="D229" s="310">
        <v>39901</v>
      </c>
      <c r="E229" s="48" t="s">
        <v>830</v>
      </c>
      <c r="F229" s="105">
        <v>0</v>
      </c>
      <c r="G229" s="49">
        <v>1</v>
      </c>
      <c r="H229" s="105">
        <v>0</v>
      </c>
      <c r="I229" s="48">
        <v>0</v>
      </c>
      <c r="J229" s="48" t="s">
        <v>100</v>
      </c>
      <c r="K229" s="105">
        <v>1</v>
      </c>
      <c r="L229" s="105">
        <v>3</v>
      </c>
      <c r="M229" s="48">
        <v>0</v>
      </c>
      <c r="N229" s="48">
        <v>0</v>
      </c>
      <c r="O229" s="48">
        <v>0</v>
      </c>
      <c r="P229" s="316">
        <v>0</v>
      </c>
      <c r="Q229" s="48">
        <v>0</v>
      </c>
      <c r="R229" s="48"/>
      <c r="S229" s="48"/>
      <c r="T229" s="48"/>
      <c r="U229" s="48"/>
      <c r="V229" s="48"/>
      <c r="W229" s="48"/>
      <c r="X229" s="48"/>
      <c r="Y229" s="48"/>
      <c r="Z229" s="48"/>
      <c r="AA229" s="48"/>
      <c r="AB229" s="48"/>
      <c r="AC229" s="48"/>
    </row>
    <row r="230" spans="1:29" ht="15.75" customHeight="1">
      <c r="A230" s="309">
        <v>110</v>
      </c>
      <c r="B230" s="309" t="s">
        <v>524</v>
      </c>
      <c r="C230" s="309" t="s">
        <v>102</v>
      </c>
      <c r="D230" s="310">
        <v>39901</v>
      </c>
      <c r="E230" s="48" t="s">
        <v>1048</v>
      </c>
      <c r="F230" s="105">
        <v>1</v>
      </c>
      <c r="G230" s="49">
        <v>2</v>
      </c>
      <c r="H230" s="105">
        <v>1</v>
      </c>
      <c r="I230" s="48">
        <v>0</v>
      </c>
      <c r="J230" s="48" t="s">
        <v>100</v>
      </c>
      <c r="K230" s="105">
        <v>1</v>
      </c>
      <c r="L230" s="105">
        <v>3</v>
      </c>
      <c r="M230" s="48">
        <v>0</v>
      </c>
      <c r="N230" s="48">
        <v>0</v>
      </c>
      <c r="O230" s="48">
        <v>0</v>
      </c>
      <c r="P230" s="48">
        <v>0</v>
      </c>
      <c r="Q230" s="48">
        <v>0</v>
      </c>
      <c r="R230" s="48"/>
      <c r="S230" s="48"/>
      <c r="T230" s="48"/>
      <c r="U230" s="48"/>
      <c r="V230" s="48"/>
      <c r="W230" s="48"/>
      <c r="X230" s="48"/>
      <c r="Y230" s="48"/>
      <c r="Z230" s="48"/>
      <c r="AA230" s="48"/>
      <c r="AB230" s="48"/>
      <c r="AC230" s="48"/>
    </row>
    <row r="231" spans="1:29" ht="15.75" customHeight="1">
      <c r="A231" s="309">
        <v>110</v>
      </c>
      <c r="B231" s="309" t="s">
        <v>524</v>
      </c>
      <c r="C231" s="309" t="s">
        <v>102</v>
      </c>
      <c r="D231" s="310">
        <v>39901</v>
      </c>
      <c r="E231" s="48" t="s">
        <v>835</v>
      </c>
      <c r="F231" s="105" t="str">
        <f>HYPERLINK("https://caselaw.findlaw.com/nc-court-of-appeals/1651398.html","2")</f>
        <v>2</v>
      </c>
      <c r="G231" s="49">
        <v>0</v>
      </c>
      <c r="H231" s="105">
        <v>1</v>
      </c>
      <c r="I231" s="48">
        <v>0</v>
      </c>
      <c r="J231" s="48">
        <v>0</v>
      </c>
      <c r="K231" s="105">
        <v>1</v>
      </c>
      <c r="L231" s="105">
        <v>3</v>
      </c>
      <c r="M231" s="48">
        <v>0</v>
      </c>
      <c r="N231" s="48">
        <v>0</v>
      </c>
      <c r="O231" s="48">
        <v>0</v>
      </c>
      <c r="P231" s="48">
        <v>0</v>
      </c>
      <c r="Q231" s="48">
        <v>0</v>
      </c>
      <c r="R231" s="48"/>
      <c r="S231" s="48"/>
      <c r="T231" s="48"/>
      <c r="U231" s="48"/>
      <c r="V231" s="48"/>
      <c r="W231" s="48"/>
      <c r="X231" s="48"/>
      <c r="Y231" s="48"/>
      <c r="Z231" s="48"/>
      <c r="AA231" s="48"/>
      <c r="AB231" s="48"/>
      <c r="AC231" s="48"/>
    </row>
    <row r="232" spans="1:29" ht="15.75" customHeight="1">
      <c r="A232" s="309">
        <v>110</v>
      </c>
      <c r="B232" s="309" t="s">
        <v>524</v>
      </c>
      <c r="C232" s="309" t="s">
        <v>102</v>
      </c>
      <c r="D232" s="310">
        <v>39901</v>
      </c>
      <c r="E232" s="48" t="s">
        <v>1049</v>
      </c>
      <c r="F232" s="105" t="str">
        <f>HYPERLINK("https://caselaw.findlaw.com/nc-court-of-appeals/1651398.html","0")</f>
        <v>0</v>
      </c>
      <c r="G232" s="49">
        <v>0</v>
      </c>
      <c r="H232" s="105">
        <v>0</v>
      </c>
      <c r="I232" s="48">
        <v>0</v>
      </c>
      <c r="J232" s="48">
        <v>0</v>
      </c>
      <c r="K232" s="105">
        <v>1</v>
      </c>
      <c r="L232" s="105">
        <v>3</v>
      </c>
      <c r="M232" s="48">
        <v>0</v>
      </c>
      <c r="N232" s="48">
        <v>0</v>
      </c>
      <c r="O232" s="48">
        <v>0</v>
      </c>
      <c r="P232" s="48">
        <v>0</v>
      </c>
      <c r="Q232" s="48">
        <v>0</v>
      </c>
      <c r="R232" s="48"/>
      <c r="S232" s="48"/>
      <c r="T232" s="48"/>
      <c r="U232" s="48"/>
      <c r="V232" s="48"/>
      <c r="W232" s="48"/>
      <c r="X232" s="48"/>
      <c r="Y232" s="48"/>
      <c r="Z232" s="48"/>
      <c r="AA232" s="48"/>
      <c r="AB232" s="48"/>
      <c r="AC232" s="48"/>
    </row>
    <row r="233" spans="1:29" ht="15.75" customHeight="1">
      <c r="A233" s="311">
        <v>111</v>
      </c>
      <c r="B233" s="311" t="s">
        <v>527</v>
      </c>
      <c r="C233" s="311" t="s">
        <v>528</v>
      </c>
      <c r="D233" s="312">
        <v>39906</v>
      </c>
      <c r="E233" s="48" t="s">
        <v>1050</v>
      </c>
      <c r="F233" s="105">
        <v>0</v>
      </c>
      <c r="G233" s="49">
        <v>1</v>
      </c>
      <c r="H233" s="105">
        <v>1</v>
      </c>
      <c r="I233" s="105">
        <v>1</v>
      </c>
      <c r="J233" s="105">
        <v>1</v>
      </c>
      <c r="K233" s="105">
        <v>1</v>
      </c>
      <c r="L233" s="105">
        <v>1</v>
      </c>
      <c r="M233" s="48">
        <v>0</v>
      </c>
      <c r="N233" s="48">
        <v>0</v>
      </c>
      <c r="O233" s="48">
        <v>0</v>
      </c>
      <c r="P233" s="48">
        <v>0</v>
      </c>
      <c r="Q233" s="48">
        <v>0</v>
      </c>
      <c r="R233" s="48"/>
      <c r="S233" s="48"/>
      <c r="T233" s="48"/>
      <c r="U233" s="48"/>
      <c r="V233" s="48"/>
      <c r="W233" s="48"/>
      <c r="X233" s="48"/>
      <c r="Y233" s="48"/>
      <c r="Z233" s="48"/>
      <c r="AA233" s="48"/>
      <c r="AB233" s="48"/>
      <c r="AC233" s="48"/>
    </row>
    <row r="234" spans="1:29" ht="15.75" customHeight="1">
      <c r="A234" s="311">
        <v>111</v>
      </c>
      <c r="B234" s="311" t="s">
        <v>527</v>
      </c>
      <c r="C234" s="311" t="s">
        <v>528</v>
      </c>
      <c r="D234" s="312">
        <v>39906</v>
      </c>
      <c r="E234" s="48" t="s">
        <v>1051</v>
      </c>
      <c r="F234" s="105">
        <v>0</v>
      </c>
      <c r="G234" s="49">
        <v>2</v>
      </c>
      <c r="H234" s="105">
        <v>1</v>
      </c>
      <c r="I234" s="48">
        <v>0</v>
      </c>
      <c r="J234" s="105">
        <v>1</v>
      </c>
      <c r="K234" s="105">
        <v>0</v>
      </c>
      <c r="L234" s="105">
        <v>1</v>
      </c>
      <c r="M234" s="48">
        <v>0</v>
      </c>
      <c r="N234" s="48">
        <v>0</v>
      </c>
      <c r="O234" s="48">
        <v>0</v>
      </c>
      <c r="P234" s="48">
        <v>0</v>
      </c>
      <c r="Q234" s="48">
        <v>0</v>
      </c>
      <c r="R234" s="48"/>
      <c r="S234" s="48"/>
      <c r="T234" s="48"/>
      <c r="U234" s="48"/>
      <c r="V234" s="48"/>
      <c r="W234" s="48"/>
      <c r="X234" s="48"/>
      <c r="Y234" s="48"/>
      <c r="Z234" s="48"/>
      <c r="AA234" s="48"/>
      <c r="AB234" s="48"/>
      <c r="AC234" s="48"/>
    </row>
    <row r="235" spans="1:29" ht="15.75" customHeight="1">
      <c r="A235" s="313">
        <v>112</v>
      </c>
      <c r="B235" s="313" t="s">
        <v>532</v>
      </c>
      <c r="C235" s="313" t="s">
        <v>533</v>
      </c>
      <c r="D235" s="314">
        <v>40118</v>
      </c>
      <c r="E235" s="48" t="s">
        <v>1052</v>
      </c>
      <c r="F235" s="105" t="str">
        <f>HYPERLINK("https://www.mtairynews.com/archive/18387/view-full_story-12350459-article-murderer_gets_three_life_terms","3")</f>
        <v>3</v>
      </c>
      <c r="G235" s="49"/>
      <c r="H235" s="105" t="str">
        <f>HYPERLINK("https://www.mtairynews.com/archive/18387/view-full_story-12350459-article-murderer_gets_three_life_terms","1")</f>
        <v>1</v>
      </c>
      <c r="I235" s="48"/>
      <c r="J235" s="48"/>
      <c r="K235" s="48"/>
      <c r="L235" s="48"/>
      <c r="M235" s="48"/>
      <c r="N235" s="48"/>
      <c r="O235" s="48"/>
      <c r="P235" s="48"/>
      <c r="Q235" s="48">
        <v>1</v>
      </c>
      <c r="R235" s="48"/>
      <c r="S235" s="48"/>
      <c r="T235" s="48"/>
      <c r="U235" s="48"/>
      <c r="V235" s="48"/>
      <c r="W235" s="48"/>
      <c r="X235" s="48"/>
      <c r="Y235" s="48"/>
      <c r="Z235" s="48"/>
      <c r="AA235" s="48"/>
      <c r="AB235" s="48"/>
      <c r="AC235" s="48"/>
    </row>
    <row r="236" spans="1:29" ht="15.75" customHeight="1">
      <c r="A236" s="305">
        <v>113</v>
      </c>
      <c r="B236" s="305" t="s">
        <v>536</v>
      </c>
      <c r="C236" s="305" t="s">
        <v>537</v>
      </c>
      <c r="D236" s="306">
        <v>40122</v>
      </c>
      <c r="E236" s="48" t="s">
        <v>1053</v>
      </c>
      <c r="F236" s="105">
        <v>0</v>
      </c>
      <c r="G236" s="49">
        <v>2</v>
      </c>
      <c r="H236" s="105">
        <v>1</v>
      </c>
      <c r="I236" s="105">
        <v>1</v>
      </c>
      <c r="J236" s="105">
        <v>1</v>
      </c>
      <c r="K236" s="105">
        <v>1</v>
      </c>
      <c r="L236" s="105">
        <v>1</v>
      </c>
      <c r="M236" s="48">
        <v>0</v>
      </c>
      <c r="N236" s="48">
        <v>0</v>
      </c>
      <c r="O236" s="48">
        <v>0</v>
      </c>
      <c r="P236" s="48">
        <v>0</v>
      </c>
      <c r="Q236" s="48">
        <v>0</v>
      </c>
      <c r="R236" s="48"/>
      <c r="S236" s="48"/>
      <c r="T236" s="48"/>
      <c r="U236" s="48"/>
      <c r="V236" s="48"/>
      <c r="W236" s="48"/>
      <c r="X236" s="48"/>
      <c r="Y236" s="48"/>
      <c r="Z236" s="48"/>
      <c r="AA236" s="48"/>
      <c r="AB236" s="48"/>
      <c r="AC236" s="48"/>
    </row>
    <row r="237" spans="1:29" ht="15.75" customHeight="1">
      <c r="A237" s="305">
        <v>113</v>
      </c>
      <c r="B237" s="305" t="s">
        <v>536</v>
      </c>
      <c r="C237" s="305" t="s">
        <v>537</v>
      </c>
      <c r="D237" s="306">
        <v>40122</v>
      </c>
      <c r="E237" s="48" t="s">
        <v>905</v>
      </c>
      <c r="F237" s="105">
        <v>0</v>
      </c>
      <c r="G237" s="49">
        <v>1</v>
      </c>
      <c r="H237" s="105">
        <v>0</v>
      </c>
      <c r="I237" s="48">
        <v>0</v>
      </c>
      <c r="J237" s="48" t="s">
        <v>100</v>
      </c>
      <c r="K237" s="48"/>
      <c r="L237" s="48"/>
      <c r="M237" s="48"/>
      <c r="N237" s="48"/>
      <c r="O237" s="48"/>
      <c r="P237" s="48"/>
      <c r="Q237" s="48">
        <v>1</v>
      </c>
      <c r="R237" s="48"/>
      <c r="S237" s="48"/>
      <c r="T237" s="48"/>
      <c r="U237" s="48"/>
      <c r="V237" s="48"/>
      <c r="W237" s="48"/>
      <c r="X237" s="48"/>
      <c r="Y237" s="48"/>
      <c r="Z237" s="48"/>
      <c r="AA237" s="48"/>
      <c r="AB237" s="48"/>
      <c r="AC237" s="48"/>
    </row>
    <row r="238" spans="1:29" ht="15.75" customHeight="1">
      <c r="A238" s="307">
        <v>114</v>
      </c>
      <c r="B238" s="307" t="s">
        <v>540</v>
      </c>
      <c r="C238" s="307" t="s">
        <v>541</v>
      </c>
      <c r="D238" s="308">
        <v>40146</v>
      </c>
      <c r="E238" s="48" t="s">
        <v>1054</v>
      </c>
      <c r="F238" s="105">
        <v>0</v>
      </c>
      <c r="G238" s="49">
        <v>1</v>
      </c>
      <c r="H238" s="105">
        <v>1</v>
      </c>
      <c r="I238" s="48">
        <v>0</v>
      </c>
      <c r="J238" s="48" t="s">
        <v>100</v>
      </c>
      <c r="K238" s="48"/>
      <c r="L238" s="48"/>
      <c r="M238" s="48"/>
      <c r="N238" s="48"/>
      <c r="O238" s="48"/>
      <c r="P238" s="48"/>
      <c r="Q238" s="105">
        <v>1</v>
      </c>
      <c r="R238" s="48"/>
      <c r="S238" s="48"/>
      <c r="T238" s="48"/>
      <c r="U238" s="48"/>
      <c r="V238" s="48"/>
      <c r="W238" s="48"/>
      <c r="X238" s="48"/>
      <c r="Y238" s="48"/>
      <c r="Z238" s="48"/>
      <c r="AA238" s="48"/>
      <c r="AB238" s="48"/>
      <c r="AC238" s="48"/>
    </row>
    <row r="239" spans="1:29" ht="15.75" customHeight="1">
      <c r="A239" s="307">
        <v>114</v>
      </c>
      <c r="B239" s="307" t="s">
        <v>540</v>
      </c>
      <c r="C239" s="307" t="s">
        <v>541</v>
      </c>
      <c r="D239" s="308">
        <v>40146</v>
      </c>
      <c r="E239" s="48" t="s">
        <v>1055</v>
      </c>
      <c r="F239" s="105">
        <v>0</v>
      </c>
      <c r="G239" s="49">
        <v>1</v>
      </c>
      <c r="H239" s="105">
        <v>1</v>
      </c>
      <c r="I239" s="48">
        <v>0</v>
      </c>
      <c r="J239" s="105">
        <v>0</v>
      </c>
      <c r="K239" s="48"/>
      <c r="L239" s="48"/>
      <c r="M239" s="48"/>
      <c r="N239" s="48"/>
      <c r="O239" s="48"/>
      <c r="P239" s="48"/>
      <c r="Q239" s="105">
        <v>1</v>
      </c>
      <c r="R239" s="48"/>
      <c r="S239" s="48"/>
      <c r="T239" s="48"/>
      <c r="U239" s="48"/>
      <c r="V239" s="48"/>
      <c r="W239" s="48"/>
      <c r="X239" s="48"/>
      <c r="Y239" s="48"/>
      <c r="Z239" s="48"/>
      <c r="AA239" s="48"/>
      <c r="AB239" s="48"/>
      <c r="AC239" s="48"/>
    </row>
    <row r="240" spans="1:29" ht="15.75" customHeight="1">
      <c r="A240" s="307">
        <v>114</v>
      </c>
      <c r="B240" s="307" t="s">
        <v>540</v>
      </c>
      <c r="C240" s="307" t="s">
        <v>541</v>
      </c>
      <c r="D240" s="308">
        <v>40146</v>
      </c>
      <c r="E240" s="48" t="s">
        <v>1056</v>
      </c>
      <c r="F240" s="105">
        <v>0</v>
      </c>
      <c r="G240" s="49">
        <v>2</v>
      </c>
      <c r="H240" s="105">
        <v>1</v>
      </c>
      <c r="I240" s="48">
        <v>0</v>
      </c>
      <c r="J240" s="48">
        <v>0</v>
      </c>
      <c r="K240" s="105">
        <v>0</v>
      </c>
      <c r="L240" s="48">
        <v>0</v>
      </c>
      <c r="M240" s="48">
        <v>0</v>
      </c>
      <c r="N240" s="48">
        <v>0</v>
      </c>
      <c r="O240" s="48">
        <v>0</v>
      </c>
      <c r="P240" s="105">
        <v>3</v>
      </c>
      <c r="Q240" s="48">
        <v>0</v>
      </c>
      <c r="R240" s="48"/>
      <c r="S240" s="48"/>
      <c r="T240" s="48"/>
      <c r="U240" s="48"/>
      <c r="V240" s="48"/>
      <c r="W240" s="48"/>
      <c r="X240" s="48"/>
      <c r="Y240" s="48"/>
      <c r="Z240" s="48"/>
      <c r="AA240" s="48"/>
      <c r="AB240" s="48"/>
      <c r="AC240" s="48"/>
    </row>
    <row r="241" spans="1:29" ht="15.75" customHeight="1">
      <c r="A241" s="309">
        <v>115</v>
      </c>
      <c r="B241" s="309" t="s">
        <v>544</v>
      </c>
      <c r="C241" s="309" t="s">
        <v>545</v>
      </c>
      <c r="D241" s="310">
        <v>40271</v>
      </c>
      <c r="E241" s="48" t="s">
        <v>852</v>
      </c>
      <c r="F241" s="105">
        <v>0</v>
      </c>
      <c r="G241" s="49">
        <v>1</v>
      </c>
      <c r="H241" s="105">
        <v>1</v>
      </c>
      <c r="I241" s="48">
        <v>0</v>
      </c>
      <c r="J241" s="105">
        <v>1</v>
      </c>
      <c r="K241" s="48"/>
      <c r="L241" s="48"/>
      <c r="M241" s="48"/>
      <c r="N241" s="48"/>
      <c r="O241" s="48"/>
      <c r="P241" s="48"/>
      <c r="Q241" s="48">
        <v>1</v>
      </c>
      <c r="R241" s="48"/>
      <c r="S241" s="48"/>
      <c r="T241" s="48"/>
      <c r="U241" s="48"/>
      <c r="V241" s="48"/>
      <c r="W241" s="48"/>
      <c r="X241" s="48"/>
      <c r="Y241" s="48"/>
      <c r="Z241" s="48"/>
      <c r="AA241" s="48"/>
      <c r="AB241" s="48"/>
      <c r="AC241" s="48"/>
    </row>
    <row r="242" spans="1:29" ht="15.75" customHeight="1">
      <c r="A242" s="311">
        <v>116</v>
      </c>
      <c r="B242" s="311" t="s">
        <v>547</v>
      </c>
      <c r="C242" s="311" t="s">
        <v>548</v>
      </c>
      <c r="D242" s="312">
        <v>40335</v>
      </c>
      <c r="E242" s="48" t="s">
        <v>873</v>
      </c>
      <c r="F242" s="105" t="str">
        <f>HYPERLINK("http://www.nydailynews.com/sports/baseball/yankees/yankees-mets-pitcher-orlando-el-duque-hernandez-shock-half-brother-shootings-article-1.181967","0")</f>
        <v>0</v>
      </c>
      <c r="G242" s="49">
        <v>2</v>
      </c>
      <c r="H242" s="101">
        <v>1</v>
      </c>
      <c r="I242" s="48">
        <v>0</v>
      </c>
      <c r="J242" s="51">
        <v>0</v>
      </c>
      <c r="K242" s="101" t="str">
        <f>HYPERLINK("https://www.huffpost.com/entry/hialeah-only-the-latest-m_b_3676274","1")</f>
        <v>1</v>
      </c>
      <c r="L242" s="51"/>
      <c r="M242" s="48"/>
      <c r="N242" s="48"/>
      <c r="O242" s="48"/>
      <c r="P242" s="48"/>
      <c r="Q242" s="48">
        <v>1</v>
      </c>
      <c r="R242" s="48"/>
      <c r="S242" s="48"/>
      <c r="T242" s="48"/>
      <c r="U242" s="48"/>
      <c r="V242" s="48"/>
      <c r="W242" s="48"/>
      <c r="X242" s="48"/>
      <c r="Y242" s="48"/>
      <c r="Z242" s="48"/>
      <c r="AA242" s="48"/>
      <c r="AB242" s="48"/>
      <c r="AC242" s="48"/>
    </row>
    <row r="243" spans="1:29" ht="15.75" customHeight="1">
      <c r="A243" s="313">
        <v>117</v>
      </c>
      <c r="B243" s="313" t="s">
        <v>507</v>
      </c>
      <c r="C243" s="313" t="s">
        <v>551</v>
      </c>
      <c r="D243" s="314">
        <v>40393</v>
      </c>
      <c r="E243" s="48" t="s">
        <v>1057</v>
      </c>
      <c r="F243" s="105">
        <v>0</v>
      </c>
      <c r="G243" s="49">
        <v>1</v>
      </c>
      <c r="H243" s="105">
        <v>1</v>
      </c>
      <c r="I243" s="48">
        <v>0</v>
      </c>
      <c r="J243" s="105">
        <v>0</v>
      </c>
      <c r="K243" s="105">
        <v>1</v>
      </c>
      <c r="L243" s="105">
        <v>1</v>
      </c>
      <c r="M243" s="48">
        <v>0</v>
      </c>
      <c r="N243" s="48">
        <v>0</v>
      </c>
      <c r="O243" s="48">
        <v>0</v>
      </c>
      <c r="P243" s="48">
        <v>0</v>
      </c>
      <c r="Q243" s="48">
        <v>0</v>
      </c>
      <c r="R243" s="48"/>
      <c r="S243" s="48"/>
      <c r="T243" s="48"/>
      <c r="U243" s="48"/>
      <c r="V243" s="48"/>
      <c r="W243" s="48"/>
      <c r="X243" s="48"/>
      <c r="Y243" s="48"/>
      <c r="Z243" s="48"/>
      <c r="AA243" s="48"/>
      <c r="AB243" s="48"/>
      <c r="AC243" s="48"/>
    </row>
    <row r="244" spans="1:29" ht="15.75" customHeight="1">
      <c r="A244" s="313">
        <v>117</v>
      </c>
      <c r="B244" s="313" t="s">
        <v>507</v>
      </c>
      <c r="C244" s="313" t="s">
        <v>551</v>
      </c>
      <c r="D244" s="314">
        <v>40393</v>
      </c>
      <c r="E244" s="48" t="s">
        <v>1057</v>
      </c>
      <c r="F244" s="105">
        <v>0</v>
      </c>
      <c r="G244" s="49">
        <v>1</v>
      </c>
      <c r="H244" s="105">
        <v>1</v>
      </c>
      <c r="I244" s="48">
        <v>0</v>
      </c>
      <c r="J244" s="105">
        <v>0</v>
      </c>
      <c r="K244" s="105"/>
      <c r="L244" s="105">
        <v>1</v>
      </c>
      <c r="M244" s="48">
        <v>0</v>
      </c>
      <c r="N244" s="48">
        <v>0</v>
      </c>
      <c r="O244" s="48">
        <v>0</v>
      </c>
      <c r="P244" s="48">
        <v>0</v>
      </c>
      <c r="Q244" s="48">
        <v>0</v>
      </c>
      <c r="R244" s="48"/>
      <c r="S244" s="48"/>
      <c r="T244" s="48"/>
      <c r="U244" s="48"/>
      <c r="V244" s="48"/>
      <c r="W244" s="48"/>
      <c r="X244" s="48"/>
      <c r="Y244" s="48"/>
      <c r="Z244" s="48"/>
      <c r="AA244" s="48"/>
      <c r="AB244" s="48"/>
      <c r="AC244" s="48"/>
    </row>
    <row r="245" spans="1:29" ht="15.75" customHeight="1">
      <c r="A245" s="313">
        <v>117</v>
      </c>
      <c r="B245" s="313" t="s">
        <v>507</v>
      </c>
      <c r="C245" s="313" t="s">
        <v>551</v>
      </c>
      <c r="D245" s="314">
        <v>40393</v>
      </c>
      <c r="E245" s="48" t="s">
        <v>982</v>
      </c>
      <c r="F245" s="105" t="str">
        <f>HYPERLINK("https://abcnews.go.com/US/connecticut-shooter-omar-thornton-chased-victims-beer-distributor/story?id=11322281","1")</f>
        <v>1</v>
      </c>
      <c r="G245" s="49"/>
      <c r="H245" s="105">
        <v>0</v>
      </c>
      <c r="I245" s="48">
        <v>0</v>
      </c>
      <c r="J245" s="48" t="s">
        <v>100</v>
      </c>
      <c r="K245" s="48"/>
      <c r="L245" s="105">
        <v>1</v>
      </c>
      <c r="M245" s="48">
        <v>0</v>
      </c>
      <c r="N245" s="48">
        <v>0</v>
      </c>
      <c r="O245" s="48">
        <v>0</v>
      </c>
      <c r="P245" s="48">
        <v>0</v>
      </c>
      <c r="Q245" s="48">
        <v>0</v>
      </c>
      <c r="R245" s="48"/>
      <c r="S245" s="48"/>
      <c r="T245" s="48"/>
      <c r="U245" s="48"/>
      <c r="V245" s="48"/>
      <c r="W245" s="48"/>
      <c r="X245" s="48"/>
      <c r="Y245" s="48"/>
      <c r="Z245" s="48"/>
      <c r="AA245" s="48"/>
      <c r="AB245" s="48"/>
      <c r="AC245" s="48"/>
    </row>
    <row r="246" spans="1:29" ht="15.75" customHeight="1">
      <c r="A246" s="305">
        <v>118</v>
      </c>
      <c r="B246" s="305" t="s">
        <v>553</v>
      </c>
      <c r="C246" s="305" t="s">
        <v>554</v>
      </c>
      <c r="D246" s="306">
        <v>40404</v>
      </c>
      <c r="E246" s="48" t="s">
        <v>850</v>
      </c>
      <c r="F246" s="105" t="str">
        <f>HYPERLINK("https://www.sandiegouniontribune.com/sdut-gang-member-gets-life-for-upstate-ny-mass-shooting-2011jun02-story.html","0")</f>
        <v>0</v>
      </c>
      <c r="G246" s="49">
        <v>1</v>
      </c>
      <c r="H246" s="105" t="str">
        <f>HYPERLINK("https://www.sandiegouniontribune.com/sdut-gang-member-gets-life-for-upstate-ny-mass-shooting-2011jun02-story.html","1")</f>
        <v>1</v>
      </c>
      <c r="I246" s="48">
        <v>0</v>
      </c>
      <c r="J246" s="48">
        <v>0</v>
      </c>
      <c r="K246" s="48"/>
      <c r="L246" s="48"/>
      <c r="M246" s="48"/>
      <c r="N246" s="48"/>
      <c r="O246" s="48"/>
      <c r="P246" s="48"/>
      <c r="Q246" s="48">
        <v>1</v>
      </c>
      <c r="R246" s="48"/>
      <c r="S246" s="48"/>
      <c r="T246" s="48"/>
      <c r="U246" s="48"/>
      <c r="V246" s="48"/>
      <c r="W246" s="48"/>
      <c r="X246" s="48"/>
      <c r="Y246" s="48"/>
      <c r="Z246" s="48"/>
      <c r="AA246" s="48"/>
      <c r="AB246" s="48"/>
      <c r="AC246" s="48"/>
    </row>
    <row r="247" spans="1:29" ht="15.75" customHeight="1">
      <c r="A247" s="307">
        <v>119</v>
      </c>
      <c r="B247" s="307" t="s">
        <v>556</v>
      </c>
      <c r="C247" s="307" t="s">
        <v>557</v>
      </c>
      <c r="D247" s="308">
        <v>40432</v>
      </c>
      <c r="E247" s="48" t="s">
        <v>857</v>
      </c>
      <c r="F247" s="105" t="str">
        <f>HYPERLINK("https://www.theguardian.com/world/2010/sep/12/man-shot-wife-cooked-eggs","1")</f>
        <v>1</v>
      </c>
      <c r="G247" s="49">
        <v>2</v>
      </c>
      <c r="H247" s="105" t="str">
        <f>HYPERLINK("https://www.theguardian.com/world/2010/sep/12/man-shot-wife-cooked-eggs","1")</f>
        <v>1</v>
      </c>
      <c r="I247" s="48">
        <v>0</v>
      </c>
      <c r="J247" s="48" t="s">
        <v>100</v>
      </c>
      <c r="K247" s="105">
        <v>1</v>
      </c>
      <c r="L247" s="48"/>
      <c r="M247" s="48"/>
      <c r="N247" s="48"/>
      <c r="O247" s="48"/>
      <c r="P247" s="48"/>
      <c r="Q247" s="48">
        <v>1</v>
      </c>
      <c r="R247" s="48"/>
      <c r="S247" s="48"/>
      <c r="T247" s="48"/>
      <c r="U247" s="48"/>
      <c r="V247" s="48"/>
      <c r="W247" s="48"/>
      <c r="X247" s="48"/>
      <c r="Y247" s="48"/>
      <c r="Z247" s="48"/>
      <c r="AA247" s="48"/>
      <c r="AB247" s="48"/>
      <c r="AC247" s="48"/>
    </row>
    <row r="248" spans="1:29" ht="15.75" customHeight="1">
      <c r="A248" s="309">
        <v>120</v>
      </c>
      <c r="B248" s="309" t="s">
        <v>560</v>
      </c>
      <c r="C248" s="309" t="s">
        <v>561</v>
      </c>
      <c r="D248" s="310">
        <v>40551</v>
      </c>
      <c r="E248" s="48" t="s">
        <v>875</v>
      </c>
      <c r="F248" s="105" t="str">
        <f>HYPERLINK("https://abcnews.go.com/US/jared-loughner-alleged-tucson-shooting-gunman-appears-court/story?id=12580344","0")</f>
        <v>0</v>
      </c>
      <c r="G248" s="49">
        <v>1</v>
      </c>
      <c r="H248" s="101" t="str">
        <f t="shared" ref="H248:K248" si="34">HYPERLINK("https://abcnews.go.com/US/jared-loughner-alleged-tucson-shooting-gunman-appears-court/story?id=12580344","1")</f>
        <v>1</v>
      </c>
      <c r="I248" s="48">
        <v>0</v>
      </c>
      <c r="J248" s="101">
        <v>1</v>
      </c>
      <c r="K248" s="101" t="str">
        <f t="shared" si="34"/>
        <v>1</v>
      </c>
      <c r="L248" s="101">
        <v>1</v>
      </c>
      <c r="M248" s="48">
        <v>0</v>
      </c>
      <c r="N248" s="48">
        <v>0</v>
      </c>
      <c r="O248" s="48">
        <v>0</v>
      </c>
      <c r="P248" s="48">
        <v>0</v>
      </c>
      <c r="Q248" s="48">
        <v>0</v>
      </c>
      <c r="R248" s="48"/>
      <c r="S248" s="48"/>
      <c r="T248" s="48"/>
      <c r="U248" s="48"/>
      <c r="V248" s="48"/>
      <c r="W248" s="48"/>
      <c r="X248" s="48"/>
      <c r="Y248" s="48"/>
      <c r="Z248" s="48"/>
      <c r="AA248" s="48"/>
      <c r="AB248" s="48"/>
      <c r="AC248" s="48"/>
    </row>
    <row r="249" spans="1:29" ht="15.75" customHeight="1">
      <c r="A249" s="311">
        <v>121</v>
      </c>
      <c r="B249" s="311" t="s">
        <v>563</v>
      </c>
      <c r="C249" s="311" t="s">
        <v>212</v>
      </c>
      <c r="D249" s="312">
        <v>40762</v>
      </c>
      <c r="E249" s="48" t="s">
        <v>1058</v>
      </c>
      <c r="F249" s="105">
        <v>0</v>
      </c>
      <c r="G249" s="49">
        <v>2</v>
      </c>
      <c r="H249" s="105">
        <v>1</v>
      </c>
      <c r="I249" s="48">
        <v>0</v>
      </c>
      <c r="J249" s="105">
        <v>0</v>
      </c>
      <c r="K249" s="105">
        <v>0</v>
      </c>
      <c r="L249" s="105">
        <v>1</v>
      </c>
      <c r="M249" s="48">
        <v>0</v>
      </c>
      <c r="N249" s="48">
        <v>0</v>
      </c>
      <c r="O249" s="48">
        <v>0</v>
      </c>
      <c r="P249" s="48">
        <v>0</v>
      </c>
      <c r="Q249" s="48">
        <v>0</v>
      </c>
      <c r="R249" s="48"/>
      <c r="S249" s="48"/>
      <c r="T249" s="48"/>
      <c r="U249" s="48"/>
      <c r="V249" s="48"/>
      <c r="W249" s="48"/>
      <c r="X249" s="48"/>
      <c r="Y249" s="48"/>
      <c r="Z249" s="48"/>
      <c r="AA249" s="48"/>
      <c r="AB249" s="48"/>
      <c r="AC249" s="48"/>
    </row>
    <row r="250" spans="1:29" ht="15.75" customHeight="1">
      <c r="A250" s="311">
        <v>121</v>
      </c>
      <c r="B250" s="311" t="s">
        <v>563</v>
      </c>
      <c r="C250" s="311" t="s">
        <v>212</v>
      </c>
      <c r="D250" s="312">
        <v>40762</v>
      </c>
      <c r="E250" s="48" t="s">
        <v>1059</v>
      </c>
      <c r="F250" s="105">
        <v>0</v>
      </c>
      <c r="G250" s="49">
        <v>1</v>
      </c>
      <c r="H250" s="105">
        <v>1</v>
      </c>
      <c r="I250" s="48">
        <v>0</v>
      </c>
      <c r="J250" s="48" t="s">
        <v>100</v>
      </c>
      <c r="K250" s="105">
        <v>1</v>
      </c>
      <c r="L250" s="105">
        <v>1</v>
      </c>
      <c r="M250" s="48">
        <v>0</v>
      </c>
      <c r="N250" s="48">
        <v>0</v>
      </c>
      <c r="O250" s="48">
        <v>0</v>
      </c>
      <c r="P250" s="48">
        <v>0</v>
      </c>
      <c r="Q250" s="48">
        <v>0</v>
      </c>
      <c r="R250" s="48"/>
      <c r="S250" s="48"/>
      <c r="T250" s="48"/>
      <c r="U250" s="48"/>
      <c r="V250" s="48"/>
      <c r="W250" s="48"/>
      <c r="X250" s="48"/>
      <c r="Y250" s="48"/>
      <c r="Z250" s="48"/>
      <c r="AA250" s="48"/>
      <c r="AB250" s="48"/>
      <c r="AC250" s="48"/>
    </row>
    <row r="251" spans="1:29" ht="15.75" customHeight="1">
      <c r="A251" s="313">
        <v>122</v>
      </c>
      <c r="B251" s="313" t="s">
        <v>566</v>
      </c>
      <c r="C251" s="313" t="s">
        <v>567</v>
      </c>
      <c r="D251" s="314">
        <v>40792</v>
      </c>
      <c r="E251" s="48" t="s">
        <v>1060</v>
      </c>
      <c r="F251" s="105">
        <v>3</v>
      </c>
      <c r="G251" s="49">
        <v>2</v>
      </c>
      <c r="H251" s="105">
        <v>1</v>
      </c>
      <c r="I251" s="105">
        <v>1</v>
      </c>
      <c r="J251" s="105">
        <v>0</v>
      </c>
      <c r="K251" s="105"/>
      <c r="L251" s="105">
        <v>2</v>
      </c>
      <c r="M251" s="48">
        <v>0</v>
      </c>
      <c r="N251" s="48">
        <v>0</v>
      </c>
      <c r="O251" s="48">
        <v>0</v>
      </c>
      <c r="P251" s="48">
        <v>0</v>
      </c>
      <c r="Q251" s="48">
        <v>0</v>
      </c>
      <c r="R251" s="48"/>
      <c r="S251" s="48"/>
      <c r="T251" s="48"/>
      <c r="U251" s="48"/>
      <c r="V251" s="48"/>
      <c r="W251" s="48"/>
      <c r="X251" s="48"/>
      <c r="Y251" s="48"/>
      <c r="Z251" s="48"/>
      <c r="AA251" s="48"/>
      <c r="AB251" s="48"/>
      <c r="AC251" s="48"/>
    </row>
    <row r="252" spans="1:29" ht="15.75" customHeight="1">
      <c r="A252" s="313">
        <v>122</v>
      </c>
      <c r="B252" s="313" t="s">
        <v>566</v>
      </c>
      <c r="C252" s="313" t="s">
        <v>567</v>
      </c>
      <c r="D252" s="314">
        <v>40792</v>
      </c>
      <c r="E252" s="48" t="s">
        <v>1061</v>
      </c>
      <c r="F252" s="105">
        <v>3</v>
      </c>
      <c r="G252" s="49">
        <v>2</v>
      </c>
      <c r="H252" s="105">
        <v>0</v>
      </c>
      <c r="I252" s="105">
        <v>0</v>
      </c>
      <c r="J252" s="48">
        <v>0</v>
      </c>
      <c r="K252" s="105"/>
      <c r="L252" s="105"/>
      <c r="M252" s="48"/>
      <c r="N252" s="48"/>
      <c r="O252" s="48"/>
      <c r="P252" s="48"/>
      <c r="Q252" s="48">
        <v>1</v>
      </c>
      <c r="R252" s="48"/>
      <c r="S252" s="48"/>
      <c r="T252" s="48"/>
      <c r="U252" s="48"/>
      <c r="V252" s="48"/>
      <c r="W252" s="48"/>
      <c r="X252" s="48"/>
      <c r="Y252" s="48"/>
      <c r="Z252" s="48"/>
      <c r="AA252" s="48"/>
      <c r="AB252" s="48"/>
      <c r="AC252" s="48"/>
    </row>
    <row r="253" spans="1:29" ht="15.75" customHeight="1">
      <c r="A253" s="313">
        <v>122</v>
      </c>
      <c r="B253" s="313" t="s">
        <v>566</v>
      </c>
      <c r="C253" s="313" t="s">
        <v>567</v>
      </c>
      <c r="D253" s="314">
        <v>40792</v>
      </c>
      <c r="E253" s="48" t="s">
        <v>1062</v>
      </c>
      <c r="F253" s="105" t="str">
        <f t="shared" ref="F253:F254" si="35">HYPERLINK("https://www.leg.state.nv.us/App/NELIS/REL/77th2013/ExhibitDocument/OpenExhibitDocument?exhibitId=2560&amp;fileDownloadName=Power%20Point-Ken%20Furlong.pdf","0")</f>
        <v>0</v>
      </c>
      <c r="G253" s="49">
        <v>1</v>
      </c>
      <c r="H253" s="105">
        <v>0</v>
      </c>
      <c r="I253" s="48">
        <v>0</v>
      </c>
      <c r="J253" s="105">
        <v>0</v>
      </c>
      <c r="K253" s="105">
        <v>1</v>
      </c>
      <c r="L253" s="105">
        <v>1</v>
      </c>
      <c r="M253" s="48">
        <v>0</v>
      </c>
      <c r="N253" s="48">
        <v>0</v>
      </c>
      <c r="O253" s="48">
        <v>0</v>
      </c>
      <c r="P253" s="48">
        <v>0</v>
      </c>
      <c r="Q253" s="48">
        <v>0</v>
      </c>
      <c r="R253" s="48"/>
      <c r="S253" s="48"/>
      <c r="T253" s="48"/>
      <c r="U253" s="48"/>
      <c r="V253" s="48"/>
      <c r="W253" s="48"/>
      <c r="X253" s="48"/>
      <c r="Y253" s="48"/>
      <c r="Z253" s="48"/>
      <c r="AA253" s="48"/>
      <c r="AB253" s="48"/>
      <c r="AC253" s="48"/>
    </row>
    <row r="254" spans="1:29" ht="15.75" customHeight="1">
      <c r="A254" s="313">
        <v>122</v>
      </c>
      <c r="B254" s="313" t="s">
        <v>566</v>
      </c>
      <c r="C254" s="313" t="s">
        <v>567</v>
      </c>
      <c r="D254" s="314">
        <v>40792</v>
      </c>
      <c r="E254" s="48" t="s">
        <v>1063</v>
      </c>
      <c r="F254" s="105" t="str">
        <f t="shared" si="35"/>
        <v>0</v>
      </c>
      <c r="G254" s="49">
        <v>1</v>
      </c>
      <c r="H254" s="105">
        <v>2</v>
      </c>
      <c r="I254" s="48">
        <v>0</v>
      </c>
      <c r="J254" s="48" t="s">
        <v>100</v>
      </c>
      <c r="K254" s="48"/>
      <c r="L254" s="105">
        <v>2</v>
      </c>
      <c r="M254" s="48">
        <v>0</v>
      </c>
      <c r="N254" s="48">
        <v>0</v>
      </c>
      <c r="O254" s="48">
        <v>0</v>
      </c>
      <c r="P254" s="48">
        <v>0</v>
      </c>
      <c r="Q254" s="48">
        <v>0</v>
      </c>
      <c r="R254" s="48"/>
      <c r="S254" s="48"/>
      <c r="T254" s="48"/>
      <c r="U254" s="48"/>
      <c r="V254" s="48"/>
      <c r="W254" s="48"/>
      <c r="X254" s="48"/>
      <c r="Y254" s="48"/>
      <c r="Z254" s="48"/>
      <c r="AA254" s="48"/>
      <c r="AB254" s="48"/>
      <c r="AC254" s="48"/>
    </row>
    <row r="255" spans="1:29" ht="15.75" customHeight="1">
      <c r="A255" s="305">
        <v>123</v>
      </c>
      <c r="B255" s="305" t="s">
        <v>570</v>
      </c>
      <c r="C255" s="305" t="s">
        <v>571</v>
      </c>
      <c r="D255" s="306">
        <v>40828</v>
      </c>
      <c r="E255" s="48" t="s">
        <v>1064</v>
      </c>
      <c r="F255" s="105" t="str">
        <f t="shared" ref="F255:F257" si="36">HYPERLINK("https://www.latimes.com/local/la-xpm-2011-oct-15-la-me-seal-beach-shooting-20111015-story.html","0")</f>
        <v>0</v>
      </c>
      <c r="G255" s="49">
        <v>2</v>
      </c>
      <c r="H255" s="48"/>
      <c r="I255" s="48">
        <v>0</v>
      </c>
      <c r="J255" s="48" t="s">
        <v>100</v>
      </c>
      <c r="K255" s="105">
        <v>1</v>
      </c>
      <c r="L255" s="105">
        <v>3</v>
      </c>
      <c r="M255" s="48">
        <v>0</v>
      </c>
      <c r="N255" s="48">
        <v>0</v>
      </c>
      <c r="O255" s="48">
        <v>0</v>
      </c>
      <c r="P255" s="48">
        <v>0</v>
      </c>
      <c r="Q255" s="48">
        <v>0</v>
      </c>
      <c r="R255" s="48"/>
      <c r="S255" s="48"/>
      <c r="T255" s="48"/>
      <c r="U255" s="48"/>
      <c r="V255" s="48"/>
      <c r="W255" s="48"/>
      <c r="X255" s="48"/>
      <c r="Y255" s="48"/>
      <c r="Z255" s="48"/>
      <c r="AA255" s="48"/>
      <c r="AB255" s="48"/>
      <c r="AC255" s="48"/>
    </row>
    <row r="256" spans="1:29" ht="15.75" customHeight="1">
      <c r="A256" s="305">
        <v>123</v>
      </c>
      <c r="B256" s="305" t="s">
        <v>570</v>
      </c>
      <c r="C256" s="305" t="s">
        <v>571</v>
      </c>
      <c r="D256" s="306">
        <v>40828</v>
      </c>
      <c r="E256" s="48" t="s">
        <v>1065</v>
      </c>
      <c r="F256" s="105" t="str">
        <f t="shared" si="36"/>
        <v>0</v>
      </c>
      <c r="G256" s="49">
        <v>2</v>
      </c>
      <c r="H256" s="48"/>
      <c r="I256" s="48">
        <v>0</v>
      </c>
      <c r="J256" s="48">
        <v>0</v>
      </c>
      <c r="K256" s="105">
        <v>1</v>
      </c>
      <c r="L256" s="105">
        <v>3</v>
      </c>
      <c r="M256" s="48">
        <v>0</v>
      </c>
      <c r="N256" s="48">
        <v>0</v>
      </c>
      <c r="O256" s="48">
        <v>0</v>
      </c>
      <c r="P256" s="48">
        <v>0</v>
      </c>
      <c r="Q256" s="48">
        <v>0</v>
      </c>
      <c r="R256" s="48"/>
      <c r="S256" s="48"/>
      <c r="T256" s="48"/>
      <c r="U256" s="48"/>
      <c r="V256" s="48"/>
      <c r="W256" s="48"/>
      <c r="X256" s="48"/>
      <c r="Y256" s="48"/>
      <c r="Z256" s="48"/>
      <c r="AA256" s="48"/>
      <c r="AB256" s="48"/>
      <c r="AC256" s="48"/>
    </row>
    <row r="257" spans="1:29" ht="15.75" customHeight="1">
      <c r="A257" s="305">
        <v>123</v>
      </c>
      <c r="B257" s="305" t="s">
        <v>570</v>
      </c>
      <c r="C257" s="305" t="s">
        <v>571</v>
      </c>
      <c r="D257" s="306">
        <v>40828</v>
      </c>
      <c r="E257" s="48" t="s">
        <v>1066</v>
      </c>
      <c r="F257" s="105" t="str">
        <f t="shared" si="36"/>
        <v>0</v>
      </c>
      <c r="G257" s="49">
        <v>1</v>
      </c>
      <c r="H257" s="48"/>
      <c r="I257" s="48">
        <v>0</v>
      </c>
      <c r="J257" s="48">
        <v>0</v>
      </c>
      <c r="K257" s="105">
        <v>1</v>
      </c>
      <c r="L257" s="105">
        <v>3</v>
      </c>
      <c r="M257" s="48">
        <v>0</v>
      </c>
      <c r="N257" s="48">
        <v>0</v>
      </c>
      <c r="O257" s="48">
        <v>0</v>
      </c>
      <c r="P257" s="48">
        <v>0</v>
      </c>
      <c r="Q257" s="48">
        <v>0</v>
      </c>
      <c r="R257" s="48"/>
      <c r="S257" s="48"/>
      <c r="T257" s="48"/>
      <c r="U257" s="48"/>
      <c r="V257" s="48"/>
      <c r="W257" s="48"/>
      <c r="X257" s="48"/>
      <c r="Y257" s="48"/>
      <c r="Z257" s="48"/>
      <c r="AA257" s="48"/>
      <c r="AB257" s="48"/>
      <c r="AC257" s="48"/>
    </row>
    <row r="258" spans="1:29" ht="15.75" customHeight="1">
      <c r="A258" s="307">
        <v>124</v>
      </c>
      <c r="B258" s="307" t="s">
        <v>575</v>
      </c>
      <c r="C258" s="307" t="s">
        <v>576</v>
      </c>
      <c r="D258" s="308">
        <v>41001</v>
      </c>
      <c r="E258" s="48" t="s">
        <v>876</v>
      </c>
      <c r="F258" s="105">
        <v>0</v>
      </c>
      <c r="G258" s="49">
        <v>2</v>
      </c>
      <c r="H258" s="101" t="str">
        <f t="shared" ref="H258:K258" si="37">HYPERLINK("https://www.eastbaytimes.com/2017/07/14/oikos-nursing-school-massacre-suspect-one-goh-to-face-life-in-prison/","1")</f>
        <v>1</v>
      </c>
      <c r="I258" s="48">
        <v>0</v>
      </c>
      <c r="J258" s="101">
        <v>0</v>
      </c>
      <c r="K258" s="101" t="str">
        <f t="shared" si="37"/>
        <v>1</v>
      </c>
      <c r="L258" s="101">
        <v>1</v>
      </c>
      <c r="M258" s="48">
        <v>0</v>
      </c>
      <c r="N258" s="48">
        <v>0</v>
      </c>
      <c r="O258" s="48">
        <v>0</v>
      </c>
      <c r="P258" s="48">
        <v>0</v>
      </c>
      <c r="Q258" s="48">
        <v>0</v>
      </c>
      <c r="R258" s="48"/>
      <c r="S258" s="48"/>
      <c r="T258" s="48"/>
      <c r="U258" s="48"/>
      <c r="V258" s="48"/>
      <c r="W258" s="48"/>
      <c r="X258" s="48"/>
      <c r="Y258" s="48"/>
      <c r="Z258" s="48"/>
      <c r="AA258" s="48"/>
      <c r="AB258" s="48"/>
      <c r="AC258" s="48"/>
    </row>
    <row r="259" spans="1:29" ht="15.75" customHeight="1">
      <c r="A259" s="309">
        <v>125</v>
      </c>
      <c r="B259" s="309" t="s">
        <v>579</v>
      </c>
      <c r="C259" s="309" t="s">
        <v>580</v>
      </c>
      <c r="D259" s="310">
        <v>41059</v>
      </c>
      <c r="E259" s="48" t="s">
        <v>876</v>
      </c>
      <c r="F259" s="105">
        <v>0</v>
      </c>
      <c r="G259" s="49">
        <v>2</v>
      </c>
      <c r="H259" s="105">
        <v>1</v>
      </c>
      <c r="I259" s="48">
        <v>0</v>
      </c>
      <c r="J259" s="105">
        <v>0</v>
      </c>
      <c r="K259" s="105">
        <v>1</v>
      </c>
      <c r="L259" s="105">
        <v>1</v>
      </c>
      <c r="M259" s="48">
        <v>0</v>
      </c>
      <c r="N259" s="48">
        <v>0</v>
      </c>
      <c r="O259" s="48">
        <v>0</v>
      </c>
      <c r="P259" s="48">
        <v>0</v>
      </c>
      <c r="Q259" s="48">
        <v>0</v>
      </c>
      <c r="R259" s="48"/>
      <c r="S259" s="48"/>
      <c r="T259" s="48"/>
      <c r="U259" s="48"/>
      <c r="V259" s="48"/>
      <c r="W259" s="48"/>
      <c r="X259" s="48"/>
      <c r="Y259" s="48"/>
      <c r="Z259" s="48"/>
      <c r="AA259" s="48"/>
      <c r="AB259" s="48"/>
      <c r="AC259" s="48"/>
    </row>
    <row r="260" spans="1:29" ht="15.75" customHeight="1">
      <c r="A260" s="309">
        <v>125</v>
      </c>
      <c r="B260" s="309" t="s">
        <v>579</v>
      </c>
      <c r="C260" s="309" t="s">
        <v>580</v>
      </c>
      <c r="D260" s="310">
        <v>41059</v>
      </c>
      <c r="E260" s="48" t="s">
        <v>876</v>
      </c>
      <c r="F260" s="105">
        <v>0</v>
      </c>
      <c r="G260" s="49">
        <v>2</v>
      </c>
      <c r="H260" s="105">
        <v>1</v>
      </c>
      <c r="I260" s="48">
        <v>0</v>
      </c>
      <c r="J260" s="105">
        <v>0</v>
      </c>
      <c r="K260" s="105">
        <v>1</v>
      </c>
      <c r="L260" s="105">
        <v>1</v>
      </c>
      <c r="M260" s="48">
        <v>0</v>
      </c>
      <c r="N260" s="48">
        <v>0</v>
      </c>
      <c r="O260" s="48">
        <v>0</v>
      </c>
      <c r="P260" s="48">
        <v>0</v>
      </c>
      <c r="Q260" s="48">
        <v>0</v>
      </c>
      <c r="R260" s="48"/>
      <c r="S260" s="48"/>
      <c r="T260" s="48"/>
      <c r="U260" s="48"/>
      <c r="V260" s="48"/>
      <c r="W260" s="48"/>
      <c r="X260" s="48"/>
      <c r="Y260" s="48"/>
      <c r="Z260" s="48"/>
      <c r="AA260" s="48"/>
      <c r="AB260" s="48"/>
      <c r="AC260" s="48"/>
    </row>
    <row r="261" spans="1:29" ht="15.75" customHeight="1">
      <c r="A261" s="311">
        <v>126</v>
      </c>
      <c r="B261" s="311" t="s">
        <v>582</v>
      </c>
      <c r="C261" s="311" t="s">
        <v>221</v>
      </c>
      <c r="D261" s="312">
        <v>41110</v>
      </c>
      <c r="E261" s="48" t="s">
        <v>1067</v>
      </c>
      <c r="F261" s="105">
        <v>1</v>
      </c>
      <c r="G261" s="49">
        <v>2</v>
      </c>
      <c r="H261" s="105">
        <v>1</v>
      </c>
      <c r="I261" s="48">
        <v>0</v>
      </c>
      <c r="J261" s="48" t="s">
        <v>100</v>
      </c>
      <c r="K261" s="105">
        <v>1</v>
      </c>
      <c r="L261" s="105">
        <v>1</v>
      </c>
      <c r="M261" s="48">
        <v>0</v>
      </c>
      <c r="N261" s="48">
        <v>0</v>
      </c>
      <c r="O261" s="48">
        <v>0</v>
      </c>
      <c r="P261" s="48">
        <v>0</v>
      </c>
      <c r="Q261" s="48">
        <v>0</v>
      </c>
      <c r="R261" s="48"/>
      <c r="S261" s="48"/>
      <c r="T261" s="48"/>
      <c r="U261" s="48"/>
      <c r="V261" s="48"/>
      <c r="W261" s="48"/>
      <c r="X261" s="48"/>
      <c r="Y261" s="48"/>
      <c r="Z261" s="48"/>
      <c r="AA261" s="48"/>
      <c r="AB261" s="48"/>
      <c r="AC261" s="48"/>
    </row>
    <row r="262" spans="1:29" ht="15.75" customHeight="1">
      <c r="A262" s="311">
        <v>126</v>
      </c>
      <c r="B262" s="311" t="s">
        <v>582</v>
      </c>
      <c r="C262" s="311" t="s">
        <v>221</v>
      </c>
      <c r="D262" s="312">
        <v>41110</v>
      </c>
      <c r="E262" s="48" t="s">
        <v>1056</v>
      </c>
      <c r="F262" s="105">
        <v>0</v>
      </c>
      <c r="G262" s="49">
        <v>2</v>
      </c>
      <c r="H262" s="105">
        <v>1</v>
      </c>
      <c r="I262" s="48">
        <v>0</v>
      </c>
      <c r="J262" s="105">
        <v>0</v>
      </c>
      <c r="K262" s="105">
        <v>0</v>
      </c>
      <c r="L262" s="105">
        <v>1</v>
      </c>
      <c r="M262" s="48">
        <v>0</v>
      </c>
      <c r="N262" s="48">
        <v>0</v>
      </c>
      <c r="O262" s="48">
        <v>0</v>
      </c>
      <c r="P262" s="48">
        <v>0</v>
      </c>
      <c r="Q262" s="48">
        <v>0</v>
      </c>
      <c r="R262" s="48"/>
      <c r="S262" s="48"/>
      <c r="T262" s="48"/>
      <c r="U262" s="48"/>
      <c r="V262" s="48"/>
      <c r="W262" s="48"/>
      <c r="X262" s="48"/>
      <c r="Y262" s="48"/>
      <c r="Z262" s="48"/>
      <c r="AA262" s="48"/>
      <c r="AB262" s="48"/>
      <c r="AC262" s="48"/>
    </row>
    <row r="263" spans="1:29" ht="15.75" customHeight="1">
      <c r="A263" s="311">
        <v>126</v>
      </c>
      <c r="B263" s="311" t="s">
        <v>582</v>
      </c>
      <c r="C263" s="311" t="s">
        <v>221</v>
      </c>
      <c r="D263" s="312">
        <v>41110</v>
      </c>
      <c r="E263" s="48" t="s">
        <v>1056</v>
      </c>
      <c r="F263" s="105">
        <v>0</v>
      </c>
      <c r="G263" s="49">
        <v>2</v>
      </c>
      <c r="H263" s="105">
        <v>0</v>
      </c>
      <c r="I263" s="48">
        <v>0</v>
      </c>
      <c r="J263" s="105">
        <v>0</v>
      </c>
      <c r="K263" s="105">
        <v>1</v>
      </c>
      <c r="L263" s="105">
        <v>1</v>
      </c>
      <c r="M263" s="48">
        <v>0</v>
      </c>
      <c r="N263" s="48">
        <v>0</v>
      </c>
      <c r="O263" s="48">
        <v>0</v>
      </c>
      <c r="P263" s="48">
        <v>0</v>
      </c>
      <c r="Q263" s="48">
        <v>0</v>
      </c>
      <c r="R263" s="48"/>
      <c r="S263" s="48"/>
      <c r="T263" s="48"/>
      <c r="U263" s="48"/>
      <c r="V263" s="48"/>
      <c r="W263" s="48"/>
      <c r="X263" s="48"/>
      <c r="Y263" s="48"/>
      <c r="Z263" s="48"/>
      <c r="AA263" s="48"/>
      <c r="AB263" s="48"/>
      <c r="AC263" s="48"/>
    </row>
    <row r="264" spans="1:29" ht="15.75" customHeight="1">
      <c r="A264" s="311">
        <v>126</v>
      </c>
      <c r="B264" s="311" t="s">
        <v>582</v>
      </c>
      <c r="C264" s="311" t="s">
        <v>221</v>
      </c>
      <c r="D264" s="312">
        <v>41110</v>
      </c>
      <c r="E264" s="48" t="s">
        <v>1068</v>
      </c>
      <c r="F264" s="105">
        <v>3</v>
      </c>
      <c r="G264" s="49">
        <v>2</v>
      </c>
      <c r="H264" s="105">
        <v>1</v>
      </c>
      <c r="I264" s="48">
        <v>0</v>
      </c>
      <c r="J264" s="105">
        <v>1</v>
      </c>
      <c r="K264" s="105">
        <v>1</v>
      </c>
      <c r="L264" s="105">
        <v>1</v>
      </c>
      <c r="M264" s="48">
        <v>0</v>
      </c>
      <c r="N264" s="48">
        <v>0</v>
      </c>
      <c r="O264" s="48">
        <v>0</v>
      </c>
      <c r="P264" s="48">
        <v>0</v>
      </c>
      <c r="Q264" s="48">
        <v>0</v>
      </c>
      <c r="R264" s="48"/>
      <c r="S264" s="48"/>
      <c r="T264" s="48"/>
      <c r="U264" s="48"/>
      <c r="V264" s="48"/>
      <c r="W264" s="48"/>
      <c r="X264" s="48"/>
      <c r="Y264" s="48"/>
      <c r="Z264" s="48"/>
      <c r="AA264" s="48"/>
      <c r="AB264" s="48"/>
      <c r="AC264" s="48"/>
    </row>
    <row r="265" spans="1:29" ht="15.75" customHeight="1">
      <c r="A265" s="313">
        <v>127</v>
      </c>
      <c r="B265" s="313" t="s">
        <v>586</v>
      </c>
      <c r="C265" s="313" t="s">
        <v>587</v>
      </c>
      <c r="D265" s="314">
        <v>41126</v>
      </c>
      <c r="E265" s="48" t="s">
        <v>878</v>
      </c>
      <c r="F265" s="105">
        <v>0</v>
      </c>
      <c r="G265" s="49">
        <v>1</v>
      </c>
      <c r="H265" s="101" t="str">
        <f>HYPERLINK("https://www.cnn.com/2012/08/06/us/wisconsin-temple-shooting/index.html","1")</f>
        <v>1</v>
      </c>
      <c r="I265" s="48">
        <v>0</v>
      </c>
      <c r="J265" s="51">
        <v>0</v>
      </c>
      <c r="K265" s="101" t="str">
        <f>HYPERLINK("https://www.cnn.com/2012/08/06/us/wisconsin-temple-shooting/index.html","0")</f>
        <v>0</v>
      </c>
      <c r="L265" s="101" t="str">
        <f>HYPERLINK("https://www.cnn.com/2012/08/06/us/wisconsin-temple-shooting/index.html","1")</f>
        <v>1</v>
      </c>
      <c r="M265" s="48">
        <v>0</v>
      </c>
      <c r="N265" s="48">
        <v>0</v>
      </c>
      <c r="O265" s="48">
        <v>0</v>
      </c>
      <c r="P265" s="48">
        <v>0</v>
      </c>
      <c r="Q265" s="48">
        <v>0</v>
      </c>
      <c r="R265" s="48"/>
      <c r="S265" s="48"/>
      <c r="T265" s="48"/>
      <c r="U265" s="48"/>
      <c r="V265" s="48"/>
      <c r="W265" s="48"/>
      <c r="X265" s="48"/>
      <c r="Y265" s="48"/>
      <c r="Z265" s="48"/>
      <c r="AA265" s="48"/>
      <c r="AB265" s="48"/>
      <c r="AC265" s="48"/>
    </row>
    <row r="266" spans="1:29" ht="15.75" customHeight="1">
      <c r="A266" s="305">
        <v>128</v>
      </c>
      <c r="B266" s="305" t="s">
        <v>590</v>
      </c>
      <c r="C266" s="305" t="s">
        <v>367</v>
      </c>
      <c r="D266" s="306">
        <v>41179</v>
      </c>
      <c r="E266" s="48" t="s">
        <v>852</v>
      </c>
      <c r="F266" s="105" t="str">
        <f>HYPERLINK("http://www.startribune.com/andrew-engeldinger-lost-his-job-then-opened-fire-killing-5/171774461/","0")</f>
        <v>0</v>
      </c>
      <c r="G266" s="49">
        <v>1</v>
      </c>
      <c r="H266" s="105" t="str">
        <f>HYPERLINK("http://www.startribune.com/andrew-engeldinger-lost-his-job-then-opened-fire-killing-5/171774461/","1")</f>
        <v>1</v>
      </c>
      <c r="I266" s="48">
        <v>0</v>
      </c>
      <c r="J266" s="48">
        <v>0</v>
      </c>
      <c r="K266" s="105" t="str">
        <f>HYPERLINK("https://abcnews.go.com/US/minneapolis-shooter-spared-shot-victim-dies/story?id=17344310","1")</f>
        <v>1</v>
      </c>
      <c r="L266" s="105">
        <v>3</v>
      </c>
      <c r="M266" s="48">
        <v>0</v>
      </c>
      <c r="N266" s="48">
        <v>0</v>
      </c>
      <c r="O266" s="48">
        <v>0</v>
      </c>
      <c r="P266" s="48">
        <v>0</v>
      </c>
      <c r="Q266" s="48">
        <v>0</v>
      </c>
      <c r="R266" s="48"/>
      <c r="S266" s="48"/>
      <c r="T266" s="48"/>
      <c r="U266" s="48"/>
      <c r="V266" s="48"/>
      <c r="W266" s="48"/>
      <c r="X266" s="48"/>
      <c r="Y266" s="48"/>
      <c r="Z266" s="48"/>
      <c r="AA266" s="48"/>
      <c r="AB266" s="48"/>
      <c r="AC266" s="48"/>
    </row>
    <row r="267" spans="1:29" ht="15.75" customHeight="1">
      <c r="A267" s="307">
        <v>129</v>
      </c>
      <c r="B267" s="307" t="s">
        <v>592</v>
      </c>
      <c r="C267" s="307" t="s">
        <v>593</v>
      </c>
      <c r="D267" s="308">
        <v>41257</v>
      </c>
      <c r="E267" s="48" t="s">
        <v>1069</v>
      </c>
      <c r="F267" s="105">
        <v>3</v>
      </c>
      <c r="G267" s="49">
        <v>2</v>
      </c>
      <c r="H267" s="105">
        <v>1</v>
      </c>
      <c r="I267" s="48">
        <v>0</v>
      </c>
      <c r="J267" s="105">
        <v>0</v>
      </c>
      <c r="K267" s="105">
        <v>0</v>
      </c>
      <c r="L267" s="48">
        <v>0</v>
      </c>
      <c r="M267" s="48">
        <v>0</v>
      </c>
      <c r="N267" s="48">
        <v>0</v>
      </c>
      <c r="O267" s="48">
        <v>0</v>
      </c>
      <c r="P267" s="105">
        <v>1</v>
      </c>
      <c r="Q267" s="48">
        <v>0</v>
      </c>
      <c r="R267" s="48"/>
      <c r="S267" s="48"/>
      <c r="T267" s="48"/>
      <c r="U267" s="48"/>
      <c r="V267" s="48"/>
      <c r="W267" s="48"/>
      <c r="X267" s="48"/>
      <c r="Y267" s="48"/>
      <c r="Z267" s="48"/>
      <c r="AA267" s="48"/>
      <c r="AB267" s="48"/>
      <c r="AC267" s="48"/>
    </row>
    <row r="268" spans="1:29" ht="15.75" customHeight="1">
      <c r="A268" s="307">
        <v>129</v>
      </c>
      <c r="B268" s="307" t="s">
        <v>592</v>
      </c>
      <c r="C268" s="307" t="s">
        <v>593</v>
      </c>
      <c r="D268" s="308">
        <v>41257</v>
      </c>
      <c r="E268" s="48" t="s">
        <v>1070</v>
      </c>
      <c r="F268" s="105" t="str">
        <f t="shared" ref="F268:F269" si="38">HYPERLINK("https://web.archive.org/web/20131223225701/http://www.ct.gov/csao/lib/csao/Sandy_Hook_Final_Report.pdf","0")</f>
        <v>0</v>
      </c>
      <c r="G268" s="49">
        <v>2</v>
      </c>
      <c r="H268" s="105">
        <v>2</v>
      </c>
      <c r="I268" s="48">
        <v>0</v>
      </c>
      <c r="J268" s="105">
        <v>0</v>
      </c>
      <c r="K268" s="105">
        <v>0</v>
      </c>
      <c r="L268" s="48">
        <v>0</v>
      </c>
      <c r="M268" s="48">
        <v>0</v>
      </c>
      <c r="N268" s="48">
        <v>0</v>
      </c>
      <c r="O268" s="48">
        <v>0</v>
      </c>
      <c r="P268" s="105">
        <v>1</v>
      </c>
      <c r="Q268" s="48">
        <v>0</v>
      </c>
      <c r="R268" s="48"/>
      <c r="S268" s="48"/>
      <c r="T268" s="48"/>
      <c r="U268" s="48"/>
      <c r="V268" s="48"/>
      <c r="W268" s="48"/>
      <c r="X268" s="48"/>
      <c r="Y268" s="48"/>
      <c r="Z268" s="48"/>
      <c r="AA268" s="48"/>
      <c r="AB268" s="48"/>
      <c r="AC268" s="48"/>
    </row>
    <row r="269" spans="1:29" ht="15.75" customHeight="1">
      <c r="A269" s="307">
        <v>129</v>
      </c>
      <c r="B269" s="307" t="s">
        <v>592</v>
      </c>
      <c r="C269" s="307" t="s">
        <v>593</v>
      </c>
      <c r="D269" s="308">
        <v>41257</v>
      </c>
      <c r="E269" s="48" t="s">
        <v>1071</v>
      </c>
      <c r="F269" s="105" t="str">
        <f t="shared" si="38"/>
        <v>0</v>
      </c>
      <c r="G269" s="49">
        <v>1</v>
      </c>
      <c r="H269" s="105">
        <v>0</v>
      </c>
      <c r="I269" s="48">
        <v>0</v>
      </c>
      <c r="J269" s="105">
        <v>0</v>
      </c>
      <c r="K269" s="105">
        <v>0</v>
      </c>
      <c r="L269" s="48">
        <v>0</v>
      </c>
      <c r="M269" s="48">
        <v>0</v>
      </c>
      <c r="N269" s="48">
        <v>0</v>
      </c>
      <c r="O269" s="48">
        <v>0</v>
      </c>
      <c r="P269" s="105">
        <v>1</v>
      </c>
      <c r="Q269" s="48">
        <v>0</v>
      </c>
      <c r="R269" s="48"/>
      <c r="S269" s="48"/>
      <c r="T269" s="48"/>
      <c r="U269" s="48"/>
      <c r="V269" s="48"/>
      <c r="W269" s="48"/>
      <c r="X269" s="48"/>
      <c r="Y269" s="48"/>
      <c r="Z269" s="48"/>
      <c r="AA269" s="48"/>
      <c r="AB269" s="48"/>
      <c r="AC269" s="48"/>
    </row>
    <row r="270" spans="1:29" ht="15.75" customHeight="1">
      <c r="A270" s="307">
        <v>129</v>
      </c>
      <c r="B270" s="307" t="s">
        <v>592</v>
      </c>
      <c r="C270" s="307" t="s">
        <v>593</v>
      </c>
      <c r="D270" s="308">
        <v>41257</v>
      </c>
      <c r="E270" s="48" t="s">
        <v>1072</v>
      </c>
      <c r="F270" s="105" t="str">
        <f>HYPERLINK("https://web.archive.org/web/20131223225701/http://www.ct.gov/csao/lib/csao/Sandy_Hook_Final_Report.pdf","2")</f>
        <v>2</v>
      </c>
      <c r="G270" s="49">
        <v>0</v>
      </c>
      <c r="H270" s="105">
        <v>1</v>
      </c>
      <c r="I270" s="48">
        <v>0</v>
      </c>
      <c r="J270" s="105">
        <v>0</v>
      </c>
      <c r="K270" s="105">
        <v>0</v>
      </c>
      <c r="L270" s="48">
        <v>0</v>
      </c>
      <c r="M270" s="48">
        <v>0</v>
      </c>
      <c r="N270" s="48">
        <v>0</v>
      </c>
      <c r="O270" s="48">
        <v>0</v>
      </c>
      <c r="P270" s="105">
        <v>1</v>
      </c>
      <c r="Q270" s="48">
        <v>0</v>
      </c>
      <c r="R270" s="48"/>
      <c r="S270" s="48"/>
      <c r="T270" s="48"/>
      <c r="U270" s="48"/>
      <c r="V270" s="48"/>
      <c r="W270" s="48"/>
      <c r="X270" s="48"/>
      <c r="Y270" s="48"/>
      <c r="Z270" s="48"/>
      <c r="AA270" s="48"/>
      <c r="AB270" s="48"/>
      <c r="AC270" s="48"/>
    </row>
    <row r="271" spans="1:29" ht="15.75" customHeight="1">
      <c r="A271" s="307">
        <v>129</v>
      </c>
      <c r="B271" s="307" t="s">
        <v>592</v>
      </c>
      <c r="C271" s="307" t="s">
        <v>593</v>
      </c>
      <c r="D271" s="308">
        <v>41257</v>
      </c>
      <c r="E271" s="48" t="s">
        <v>1073</v>
      </c>
      <c r="F271" s="105" t="str">
        <f>HYPERLINK("https://web.archive.org/web/20131223225701/http://www.ct.gov/csao/lib/csao/Sandy_Hook_Final_Report.pdf","1")</f>
        <v>1</v>
      </c>
      <c r="G271" s="49">
        <v>2</v>
      </c>
      <c r="H271" s="105">
        <v>0</v>
      </c>
      <c r="I271" s="48">
        <v>0</v>
      </c>
      <c r="J271" s="48" t="s">
        <v>100</v>
      </c>
      <c r="K271" s="105">
        <v>0</v>
      </c>
      <c r="L271" s="48">
        <v>0</v>
      </c>
      <c r="M271" s="48">
        <v>0</v>
      </c>
      <c r="N271" s="48">
        <v>0</v>
      </c>
      <c r="O271" s="48">
        <v>0</v>
      </c>
      <c r="P271" s="105">
        <v>1</v>
      </c>
      <c r="Q271" s="48">
        <v>0</v>
      </c>
      <c r="R271" s="48"/>
      <c r="S271" s="48"/>
      <c r="T271" s="48"/>
      <c r="U271" s="48"/>
      <c r="V271" s="48"/>
      <c r="W271" s="48"/>
      <c r="X271" s="48"/>
      <c r="Y271" s="48"/>
      <c r="Z271" s="48"/>
      <c r="AA271" s="48"/>
      <c r="AB271" s="48"/>
      <c r="AC271" s="48"/>
    </row>
    <row r="272" spans="1:29" ht="15.75" customHeight="1">
      <c r="A272" s="309">
        <v>130</v>
      </c>
      <c r="B272" s="309" t="s">
        <v>597</v>
      </c>
      <c r="C272" s="309" t="s">
        <v>598</v>
      </c>
      <c r="D272" s="310">
        <v>41346</v>
      </c>
      <c r="E272" s="48" t="s">
        <v>829</v>
      </c>
      <c r="F272" s="105" t="str">
        <f>HYPERLINK("https://www.uticaod.com/x930813837/2-people-reportedly-shot-at-Herkimer-car-wash","1")</f>
        <v>1</v>
      </c>
      <c r="G272" s="49">
        <v>2</v>
      </c>
      <c r="H272" s="105" t="str">
        <f>HYPERLINK("https://www.uticaod.com/x930813837/2-people-reportedly-shot-at-Herkimer-car-wash","1")</f>
        <v>1</v>
      </c>
      <c r="I272" s="48">
        <v>0</v>
      </c>
      <c r="J272" s="48" t="s">
        <v>100</v>
      </c>
      <c r="K272" s="48"/>
      <c r="L272" s="48"/>
      <c r="M272" s="48"/>
      <c r="N272" s="48"/>
      <c r="O272" s="48"/>
      <c r="P272" s="48"/>
      <c r="Q272" s="48">
        <v>1</v>
      </c>
      <c r="R272" s="48"/>
      <c r="S272" s="48"/>
      <c r="T272" s="48"/>
      <c r="U272" s="48"/>
      <c r="V272" s="48"/>
      <c r="W272" s="48"/>
      <c r="X272" s="48"/>
      <c r="Y272" s="48"/>
      <c r="Z272" s="48"/>
      <c r="AA272" s="48"/>
      <c r="AB272" s="48"/>
      <c r="AC272" s="48"/>
    </row>
    <row r="273" spans="1:29" ht="15.75" customHeight="1">
      <c r="A273" s="311">
        <v>131</v>
      </c>
      <c r="B273" s="311" t="s">
        <v>601</v>
      </c>
      <c r="C273" s="311" t="s">
        <v>602</v>
      </c>
      <c r="D273" s="312">
        <v>41385</v>
      </c>
      <c r="E273" s="48" t="s">
        <v>1074</v>
      </c>
      <c r="F273" s="105" t="str">
        <f>HYPERLINK("https://www.federalwaymirror.com/news/names-of-victims-emerge-after-deadly-federal-way-shooting/","0")</f>
        <v>0</v>
      </c>
      <c r="G273" s="49">
        <v>2</v>
      </c>
      <c r="H273" s="105">
        <v>1</v>
      </c>
      <c r="I273" s="48">
        <v>0</v>
      </c>
      <c r="J273" s="105">
        <v>0</v>
      </c>
      <c r="K273" s="105">
        <v>1</v>
      </c>
      <c r="L273" s="105">
        <v>3</v>
      </c>
      <c r="M273" s="48">
        <v>0</v>
      </c>
      <c r="N273" s="48">
        <v>0</v>
      </c>
      <c r="O273" s="48">
        <v>0</v>
      </c>
      <c r="P273" s="48">
        <v>0</v>
      </c>
      <c r="Q273" s="48">
        <v>0</v>
      </c>
      <c r="R273" s="48"/>
      <c r="S273" s="48"/>
      <c r="T273" s="48"/>
      <c r="U273" s="48"/>
      <c r="V273" s="48"/>
      <c r="W273" s="48"/>
      <c r="X273" s="48"/>
      <c r="Y273" s="48"/>
      <c r="Z273" s="48"/>
      <c r="AA273" s="48"/>
      <c r="AB273" s="48"/>
      <c r="AC273" s="48"/>
    </row>
    <row r="274" spans="1:29" ht="15.75" customHeight="1">
      <c r="A274" s="311">
        <v>131</v>
      </c>
      <c r="B274" s="311" t="s">
        <v>601</v>
      </c>
      <c r="C274" s="311" t="s">
        <v>602</v>
      </c>
      <c r="D274" s="312">
        <v>41385</v>
      </c>
      <c r="E274" s="48" t="s">
        <v>1075</v>
      </c>
      <c r="F274" s="105" t="str">
        <f>HYPERLINK("https://www.federalwaymirror.com/news/names-of-victims-emerge-after-deadly-federal-way-shooting/","1")</f>
        <v>1</v>
      </c>
      <c r="G274" s="49">
        <v>2</v>
      </c>
      <c r="H274" s="105" t="str">
        <f>HYPERLINK("https://www.federalwaymirror.com/news/5-dead-in-federal-way-apartment-shootout-8-officers-placed-on-leave/","1")</f>
        <v>1</v>
      </c>
      <c r="I274" s="105">
        <v>1</v>
      </c>
      <c r="J274" s="48" t="s">
        <v>100</v>
      </c>
      <c r="K274" s="105"/>
      <c r="L274" s="105"/>
      <c r="M274" s="48"/>
      <c r="N274" s="48"/>
      <c r="O274" s="48"/>
      <c r="P274" s="48"/>
      <c r="Q274" s="48">
        <v>0</v>
      </c>
      <c r="R274" s="48"/>
      <c r="S274" s="48"/>
      <c r="T274" s="48"/>
      <c r="U274" s="48"/>
      <c r="V274" s="48"/>
      <c r="W274" s="48"/>
      <c r="X274" s="48"/>
      <c r="Y274" s="48"/>
      <c r="Z274" s="48"/>
      <c r="AA274" s="48"/>
      <c r="AB274" s="48"/>
      <c r="AC274" s="48"/>
    </row>
    <row r="275" spans="1:29" ht="15.75" customHeight="1">
      <c r="A275" s="313">
        <v>132</v>
      </c>
      <c r="B275" s="313" t="s">
        <v>604</v>
      </c>
      <c r="C275" s="313" t="s">
        <v>190</v>
      </c>
      <c r="D275" s="314">
        <v>41432</v>
      </c>
      <c r="E275" s="48" t="s">
        <v>1076</v>
      </c>
      <c r="F275" s="105" t="str">
        <f>HYPERLINK("https://www.latimes.com/local/la-xpm-2013-jun-12-la-me-santa-monica-gun-20130613-story.html","3")</f>
        <v>3</v>
      </c>
      <c r="G275" s="49">
        <v>2</v>
      </c>
      <c r="H275" s="105">
        <v>1</v>
      </c>
      <c r="I275" s="105">
        <v>1</v>
      </c>
      <c r="J275" s="105">
        <v>1</v>
      </c>
      <c r="K275" s="105">
        <v>0</v>
      </c>
      <c r="L275" s="48">
        <v>0</v>
      </c>
      <c r="M275" s="48">
        <v>0</v>
      </c>
      <c r="N275" s="105">
        <v>1</v>
      </c>
      <c r="O275" s="48">
        <v>0</v>
      </c>
      <c r="P275" s="48">
        <v>0</v>
      </c>
      <c r="Q275" s="48">
        <v>0</v>
      </c>
      <c r="R275" s="48"/>
      <c r="S275" s="48"/>
      <c r="T275" s="48"/>
      <c r="U275" s="48"/>
      <c r="V275" s="48"/>
      <c r="W275" s="48"/>
      <c r="X275" s="48"/>
      <c r="Y275" s="48"/>
      <c r="Z275" s="48"/>
      <c r="AA275" s="48"/>
      <c r="AB275" s="48"/>
      <c r="AC275" s="48"/>
    </row>
    <row r="276" spans="1:29" ht="15.75" customHeight="1">
      <c r="A276" s="313">
        <v>132</v>
      </c>
      <c r="B276" s="313" t="s">
        <v>604</v>
      </c>
      <c r="C276" s="313" t="s">
        <v>190</v>
      </c>
      <c r="D276" s="314">
        <v>41432</v>
      </c>
      <c r="E276" s="48" t="s">
        <v>1077</v>
      </c>
      <c r="F276" s="105">
        <v>0</v>
      </c>
      <c r="G276" s="49">
        <v>2</v>
      </c>
      <c r="H276" s="105">
        <v>0</v>
      </c>
      <c r="I276" s="105" t="str">
        <f>HYPERLINK("https://www.latimes.com/local/la-xpm-2013-jun-12-la-me-santa-monica-gun-20130613-story.html","1")</f>
        <v>1</v>
      </c>
      <c r="J276" s="48" t="s">
        <v>100</v>
      </c>
      <c r="K276" s="105">
        <v>1</v>
      </c>
      <c r="L276" s="48">
        <v>0</v>
      </c>
      <c r="M276" s="48">
        <v>0</v>
      </c>
      <c r="N276" s="48">
        <v>0</v>
      </c>
      <c r="O276" s="105">
        <v>1</v>
      </c>
      <c r="P276" s="48">
        <v>0</v>
      </c>
      <c r="Q276" s="48">
        <v>0</v>
      </c>
      <c r="R276" s="48"/>
      <c r="S276" s="48"/>
      <c r="T276" s="48"/>
      <c r="U276" s="48"/>
      <c r="V276" s="48"/>
      <c r="W276" s="48"/>
      <c r="X276" s="48"/>
      <c r="Y276" s="48"/>
      <c r="Z276" s="48"/>
      <c r="AA276" s="48"/>
      <c r="AB276" s="48"/>
      <c r="AC276" s="48"/>
    </row>
    <row r="277" spans="1:29" ht="15.75" customHeight="1">
      <c r="A277" s="305">
        <v>133</v>
      </c>
      <c r="B277" s="305" t="s">
        <v>608</v>
      </c>
      <c r="C277" s="305" t="s">
        <v>609</v>
      </c>
      <c r="D277" s="306">
        <v>41481</v>
      </c>
      <c r="E277" s="48" t="s">
        <v>859</v>
      </c>
      <c r="F277" s="105">
        <v>0</v>
      </c>
      <c r="G277" s="49">
        <v>1</v>
      </c>
      <c r="H277" s="105" t="str">
        <f>HYPERLINK("https://www.nytimes.com/2013/07/28/us/6-shot-dead-by-neighbor-at-building-near-miami.html","1")</f>
        <v>1</v>
      </c>
      <c r="I277" s="48">
        <v>0</v>
      </c>
      <c r="J277" s="48">
        <v>0</v>
      </c>
      <c r="K277" s="105" t="str">
        <f>HYPERLINK("https://www.miamiherald.com/news/special-reports/hialeah-mass-shooting/article1953653.html","1")</f>
        <v>1</v>
      </c>
      <c r="L277" s="101">
        <v>1</v>
      </c>
      <c r="M277" s="48">
        <v>0</v>
      </c>
      <c r="N277" s="48">
        <v>0</v>
      </c>
      <c r="O277" s="48">
        <v>0</v>
      </c>
      <c r="P277" s="48">
        <v>0</v>
      </c>
      <c r="Q277" s="48">
        <v>0</v>
      </c>
      <c r="R277" s="48"/>
      <c r="S277" s="48"/>
      <c r="T277" s="48"/>
      <c r="U277" s="48"/>
      <c r="V277" s="48"/>
      <c r="W277" s="48"/>
      <c r="X277" s="48"/>
      <c r="Y277" s="48"/>
      <c r="Z277" s="48"/>
      <c r="AA277" s="48"/>
      <c r="AB277" s="48"/>
      <c r="AC277" s="48"/>
    </row>
    <row r="278" spans="1:29" ht="15.75" customHeight="1">
      <c r="A278" s="307">
        <v>134</v>
      </c>
      <c r="B278" s="307" t="s">
        <v>612</v>
      </c>
      <c r="C278" s="307" t="s">
        <v>613</v>
      </c>
      <c r="D278" s="308">
        <v>41533</v>
      </c>
      <c r="E278" s="48" t="s">
        <v>1078</v>
      </c>
      <c r="F278" s="105">
        <v>1</v>
      </c>
      <c r="G278" s="49">
        <v>2</v>
      </c>
      <c r="H278" s="105" t="str">
        <f>HYPERLINK("https://www.washingtonpost.com/local/crime/fbi-police-detail-shooting-navy-yard-shooting/2013/09/25/ee321abe-2600-11e3-b3e9-d97fb087acd6_story.html?utm_term=.87ba3df643e9","1")</f>
        <v>1</v>
      </c>
      <c r="I278" s="105" t="str">
        <f>HYPERLINK("https://www.washingtonpost.com/local/crime/fbi-police-detail-shooting-navy-yard-shooting/2013/09/25/ee321abe-2600-11e3-b3e9-d97fb087acd6_story.html?utm_term=.87ba3df643e9","1")</f>
        <v>1</v>
      </c>
      <c r="J278" s="48" t="s">
        <v>100</v>
      </c>
      <c r="K278" s="105" t="str">
        <f t="shared" ref="K278:K279" si="39">HYPERLINK("https://www.washingtonpost.com/local/crime/fbi-police-detail-shooting-navy-yard-shooting/2013/09/25/ee321abe-2600-11e3-b3e9-d97fb087acd6_story.html?utm_term=.87ba3df643e9","0")</f>
        <v>0</v>
      </c>
      <c r="L278" s="105">
        <v>1</v>
      </c>
      <c r="M278" s="48">
        <v>0</v>
      </c>
      <c r="N278" s="48">
        <v>0</v>
      </c>
      <c r="O278" s="48">
        <v>0</v>
      </c>
      <c r="P278" s="48">
        <v>0</v>
      </c>
      <c r="Q278" s="48">
        <v>0</v>
      </c>
      <c r="R278" s="48"/>
      <c r="S278" s="48"/>
      <c r="T278" s="48"/>
      <c r="U278" s="48"/>
      <c r="V278" s="48"/>
      <c r="W278" s="48"/>
      <c r="X278" s="48"/>
      <c r="Y278" s="48"/>
      <c r="Z278" s="48"/>
      <c r="AA278" s="48"/>
      <c r="AB278" s="48"/>
      <c r="AC278" s="48"/>
    </row>
    <row r="279" spans="1:29" ht="15.75" customHeight="1">
      <c r="A279" s="307">
        <v>134</v>
      </c>
      <c r="B279" s="307" t="s">
        <v>612</v>
      </c>
      <c r="C279" s="307" t="s">
        <v>613</v>
      </c>
      <c r="D279" s="308">
        <v>41533</v>
      </c>
      <c r="E279" s="48" t="s">
        <v>1079</v>
      </c>
      <c r="F279" s="105">
        <v>0</v>
      </c>
      <c r="G279" s="49">
        <v>1</v>
      </c>
      <c r="H279" s="105">
        <v>1</v>
      </c>
      <c r="I279" s="48">
        <v>0</v>
      </c>
      <c r="J279" s="48">
        <v>0</v>
      </c>
      <c r="K279" s="105" t="str">
        <f t="shared" si="39"/>
        <v>0</v>
      </c>
      <c r="L279" s="48">
        <v>0</v>
      </c>
      <c r="M279" s="48">
        <v>0</v>
      </c>
      <c r="N279" s="48">
        <v>0</v>
      </c>
      <c r="O279" s="48">
        <v>0</v>
      </c>
      <c r="P279" s="105">
        <v>3</v>
      </c>
      <c r="Q279" s="48">
        <v>0</v>
      </c>
      <c r="R279" s="48"/>
      <c r="S279" s="48"/>
      <c r="T279" s="48"/>
      <c r="U279" s="48"/>
      <c r="V279" s="48"/>
      <c r="W279" s="48"/>
      <c r="X279" s="48"/>
      <c r="Y279" s="48"/>
      <c r="Z279" s="48"/>
      <c r="AA279" s="48"/>
      <c r="AB279" s="48"/>
      <c r="AC279" s="48"/>
    </row>
    <row r="280" spans="1:29" ht="15.75" customHeight="1">
      <c r="A280" s="309">
        <v>135</v>
      </c>
      <c r="B280" s="309" t="s">
        <v>615</v>
      </c>
      <c r="C280" s="309" t="s">
        <v>616</v>
      </c>
      <c r="D280" s="310">
        <v>41690</v>
      </c>
      <c r="E280" s="48" t="s">
        <v>947</v>
      </c>
      <c r="F280" s="105" t="str">
        <f t="shared" ref="F280:F281" si="40">HYPERLINK("https://www.latimes.com/local/la-xpm-2014-feb-21-la-me-tribal-slayings-20140222-story.html","0")</f>
        <v>0</v>
      </c>
      <c r="G280" s="49"/>
      <c r="H280" s="105">
        <v>1</v>
      </c>
      <c r="I280" s="48">
        <v>0</v>
      </c>
      <c r="J280" s="105">
        <v>0</v>
      </c>
      <c r="K280" s="48"/>
      <c r="L280" s="48"/>
      <c r="M280" s="48"/>
      <c r="N280" s="48"/>
      <c r="O280" s="48"/>
      <c r="P280" s="48"/>
      <c r="Q280" s="48">
        <v>1</v>
      </c>
      <c r="R280" s="48"/>
      <c r="S280" s="48"/>
      <c r="T280" s="48"/>
      <c r="U280" s="48"/>
      <c r="V280" s="48"/>
      <c r="W280" s="48"/>
      <c r="X280" s="48"/>
      <c r="Y280" s="48"/>
      <c r="Z280" s="48"/>
      <c r="AA280" s="48"/>
      <c r="AB280" s="48"/>
      <c r="AC280" s="48"/>
    </row>
    <row r="281" spans="1:29" ht="15.75" customHeight="1">
      <c r="A281" s="309">
        <v>135</v>
      </c>
      <c r="B281" s="309" t="s">
        <v>615</v>
      </c>
      <c r="C281" s="309" t="s">
        <v>616</v>
      </c>
      <c r="D281" s="310">
        <v>41690</v>
      </c>
      <c r="E281" s="48" t="s">
        <v>947</v>
      </c>
      <c r="F281" s="105" t="str">
        <f t="shared" si="40"/>
        <v>0</v>
      </c>
      <c r="G281" s="49"/>
      <c r="H281" s="105">
        <v>1</v>
      </c>
      <c r="I281" s="48">
        <v>0</v>
      </c>
      <c r="J281" s="105">
        <v>0</v>
      </c>
      <c r="K281" s="48"/>
      <c r="L281" s="48"/>
      <c r="M281" s="48"/>
      <c r="N281" s="48"/>
      <c r="O281" s="48"/>
      <c r="P281" s="48"/>
      <c r="Q281" s="48">
        <v>1</v>
      </c>
      <c r="R281" s="48"/>
      <c r="S281" s="48"/>
      <c r="T281" s="48"/>
      <c r="U281" s="48"/>
      <c r="V281" s="48"/>
      <c r="W281" s="48"/>
      <c r="X281" s="48"/>
      <c r="Y281" s="48"/>
      <c r="Z281" s="48"/>
      <c r="AA281" s="48"/>
      <c r="AB281" s="48"/>
      <c r="AC281" s="48"/>
    </row>
    <row r="282" spans="1:29" ht="15.75" customHeight="1">
      <c r="A282" s="311">
        <v>136</v>
      </c>
      <c r="B282" s="311" t="s">
        <v>619</v>
      </c>
      <c r="C282" s="311" t="s">
        <v>620</v>
      </c>
      <c r="D282" s="312">
        <v>41782</v>
      </c>
      <c r="E282" s="48" t="s">
        <v>1080</v>
      </c>
      <c r="F282" s="105" t="str">
        <f>HYPERLINK("https://www.theguardian.com/world/2014/may/25/elliot-rodger-suspect-california-mass-murder-shooting-stabbing","0")</f>
        <v>0</v>
      </c>
      <c r="G282" s="49">
        <v>1</v>
      </c>
      <c r="H282" s="105">
        <v>0</v>
      </c>
      <c r="I282" s="48">
        <v>0</v>
      </c>
      <c r="J282" s="105">
        <v>0</v>
      </c>
      <c r="K282" s="105">
        <v>1</v>
      </c>
      <c r="L282" s="105">
        <v>1</v>
      </c>
      <c r="M282" s="48">
        <v>0</v>
      </c>
      <c r="N282" s="48">
        <v>0</v>
      </c>
      <c r="O282" s="48">
        <v>0</v>
      </c>
      <c r="P282" s="48">
        <v>0</v>
      </c>
      <c r="Q282" s="48">
        <v>0</v>
      </c>
      <c r="R282" s="48"/>
      <c r="S282" s="48"/>
      <c r="T282" s="48"/>
      <c r="U282" s="48"/>
      <c r="V282" s="48"/>
      <c r="W282" s="48"/>
      <c r="X282" s="48"/>
      <c r="Y282" s="48"/>
      <c r="Z282" s="48"/>
      <c r="AA282" s="48"/>
      <c r="AB282" s="48"/>
      <c r="AC282" s="48"/>
    </row>
    <row r="283" spans="1:29" ht="15.75" customHeight="1">
      <c r="A283" s="311">
        <v>136</v>
      </c>
      <c r="B283" s="311" t="s">
        <v>619</v>
      </c>
      <c r="C283" s="311" t="s">
        <v>620</v>
      </c>
      <c r="D283" s="312">
        <v>41782</v>
      </c>
      <c r="E283" s="48" t="s">
        <v>1081</v>
      </c>
      <c r="F283" s="105">
        <v>0</v>
      </c>
      <c r="G283" s="49">
        <v>1</v>
      </c>
      <c r="H283" s="105">
        <v>1</v>
      </c>
      <c r="I283" s="48">
        <v>0</v>
      </c>
      <c r="J283" s="105">
        <v>0</v>
      </c>
      <c r="K283" s="105">
        <v>1</v>
      </c>
      <c r="L283" s="105">
        <v>1</v>
      </c>
      <c r="M283" s="48">
        <v>0</v>
      </c>
      <c r="N283" s="48">
        <v>0</v>
      </c>
      <c r="O283" s="48">
        <v>0</v>
      </c>
      <c r="P283" s="48">
        <v>0</v>
      </c>
      <c r="Q283" s="48">
        <v>0</v>
      </c>
      <c r="R283" s="48"/>
      <c r="S283" s="48"/>
      <c r="T283" s="48"/>
      <c r="U283" s="48"/>
      <c r="V283" s="48"/>
      <c r="W283" s="48"/>
      <c r="X283" s="48"/>
      <c r="Y283" s="48"/>
      <c r="Z283" s="48"/>
      <c r="AA283" s="48"/>
      <c r="AB283" s="48"/>
      <c r="AC283" s="48"/>
    </row>
    <row r="284" spans="1:29" ht="15.75" customHeight="1">
      <c r="A284" s="311">
        <v>136</v>
      </c>
      <c r="B284" s="311" t="s">
        <v>619</v>
      </c>
      <c r="C284" s="311" t="s">
        <v>620</v>
      </c>
      <c r="D284" s="312">
        <v>41782</v>
      </c>
      <c r="E284" s="48" t="s">
        <v>1081</v>
      </c>
      <c r="F284" s="105">
        <v>0</v>
      </c>
      <c r="G284" s="49">
        <v>1</v>
      </c>
      <c r="H284" s="105">
        <v>0</v>
      </c>
      <c r="I284" s="48">
        <v>0</v>
      </c>
      <c r="J284" s="105">
        <v>0</v>
      </c>
      <c r="K284" s="105">
        <v>1</v>
      </c>
      <c r="L284" s="105">
        <v>1</v>
      </c>
      <c r="M284" s="48">
        <v>0</v>
      </c>
      <c r="N284" s="48">
        <v>0</v>
      </c>
      <c r="O284" s="48">
        <v>0</v>
      </c>
      <c r="P284" s="48">
        <v>0</v>
      </c>
      <c r="Q284" s="48">
        <v>0</v>
      </c>
      <c r="R284" s="48"/>
      <c r="S284" s="48"/>
      <c r="T284" s="48"/>
      <c r="U284" s="48"/>
      <c r="V284" s="48"/>
      <c r="W284" s="48"/>
      <c r="X284" s="48"/>
      <c r="Y284" s="48"/>
      <c r="Z284" s="48"/>
      <c r="AA284" s="48"/>
      <c r="AB284" s="48"/>
      <c r="AC284" s="48"/>
    </row>
    <row r="285" spans="1:29" ht="15.75" customHeight="1">
      <c r="A285" s="313">
        <v>137</v>
      </c>
      <c r="B285" s="313" t="s">
        <v>623</v>
      </c>
      <c r="C285" s="313" t="s">
        <v>624</v>
      </c>
      <c r="D285" s="314">
        <v>41936</v>
      </c>
      <c r="E285" s="48" t="s">
        <v>881</v>
      </c>
      <c r="F285" s="105">
        <v>0</v>
      </c>
      <c r="G285" s="49">
        <v>2</v>
      </c>
      <c r="H285" s="101" t="str">
        <f>HYPERLINK("https://www.nbcnews.com/news/us-news/father-marysville-school-shooting-suspect-charged-gun-buy-n333416","1")</f>
        <v>1</v>
      </c>
      <c r="I285" s="48">
        <v>0</v>
      </c>
      <c r="J285" s="51">
        <v>0</v>
      </c>
      <c r="K285" s="101">
        <v>0</v>
      </c>
      <c r="L285" s="48">
        <v>0</v>
      </c>
      <c r="M285" s="48">
        <v>0</v>
      </c>
      <c r="N285" s="48">
        <v>0</v>
      </c>
      <c r="O285" s="48">
        <v>0</v>
      </c>
      <c r="P285" s="101">
        <v>1</v>
      </c>
      <c r="Q285" s="48">
        <v>0</v>
      </c>
      <c r="R285" s="48"/>
      <c r="S285" s="48"/>
      <c r="T285" s="48"/>
      <c r="U285" s="48"/>
      <c r="V285" s="48"/>
      <c r="W285" s="48"/>
      <c r="X285" s="48"/>
      <c r="Y285" s="48"/>
      <c r="Z285" s="48"/>
      <c r="AA285" s="48"/>
      <c r="AB285" s="48"/>
      <c r="AC285" s="48"/>
    </row>
    <row r="286" spans="1:29" ht="15.75" customHeight="1">
      <c r="A286" s="305">
        <v>138</v>
      </c>
      <c r="B286" s="305" t="s">
        <v>627</v>
      </c>
      <c r="C286" s="305" t="s">
        <v>628</v>
      </c>
      <c r="D286" s="306">
        <v>42172</v>
      </c>
      <c r="E286" s="48" t="s">
        <v>882</v>
      </c>
      <c r="F286" s="105">
        <v>0</v>
      </c>
      <c r="G286" s="49">
        <v>2</v>
      </c>
      <c r="H286" s="105" t="str">
        <f>HYPERLINK("https://www.cnn.com/2015/06/26/us/charleston-church-shooting-main/","1")</f>
        <v>1</v>
      </c>
      <c r="I286" s="48">
        <v>0</v>
      </c>
      <c r="J286" s="48">
        <v>0</v>
      </c>
      <c r="K286" s="105">
        <v>1</v>
      </c>
      <c r="L286" s="51">
        <v>0</v>
      </c>
      <c r="M286" s="101" t="str">
        <f>HYPERLINK("https://www.nytimes.com/2015/07/11/us/background-check-flaw-let-dylann-roof-buy-gun-fbi-says.html?module=inline","1")</f>
        <v>1</v>
      </c>
      <c r="N286" s="48">
        <v>0</v>
      </c>
      <c r="O286" s="48">
        <v>0</v>
      </c>
      <c r="P286" s="48">
        <v>0</v>
      </c>
      <c r="Q286" s="48">
        <v>0</v>
      </c>
      <c r="R286" s="48"/>
      <c r="S286" s="48"/>
      <c r="T286" s="48"/>
      <c r="U286" s="48"/>
      <c r="V286" s="48"/>
      <c r="W286" s="48"/>
      <c r="X286" s="48"/>
      <c r="Y286" s="48"/>
      <c r="Z286" s="48"/>
      <c r="AA286" s="48"/>
      <c r="AB286" s="48"/>
      <c r="AC286" s="48"/>
    </row>
    <row r="287" spans="1:29" ht="15.75" customHeight="1">
      <c r="A287" s="307">
        <v>139</v>
      </c>
      <c r="B287" s="307" t="s">
        <v>630</v>
      </c>
      <c r="C287" s="307" t="s">
        <v>631</v>
      </c>
      <c r="D287" s="308">
        <v>42201</v>
      </c>
      <c r="E287" s="48" t="s">
        <v>1082</v>
      </c>
      <c r="F287" s="105">
        <v>3</v>
      </c>
      <c r="G287" s="49">
        <v>2</v>
      </c>
      <c r="H287" s="105">
        <v>1</v>
      </c>
      <c r="I287" s="105">
        <v>0</v>
      </c>
      <c r="J287" s="105">
        <v>0</v>
      </c>
      <c r="K287" s="105">
        <v>1</v>
      </c>
      <c r="L287" s="105">
        <v>1</v>
      </c>
      <c r="M287" s="48">
        <v>0</v>
      </c>
      <c r="N287" s="48">
        <v>0</v>
      </c>
      <c r="O287" s="48">
        <v>0</v>
      </c>
      <c r="P287" s="48">
        <v>0</v>
      </c>
      <c r="Q287" s="48">
        <v>0</v>
      </c>
      <c r="R287" s="48"/>
      <c r="S287" s="48"/>
      <c r="T287" s="48"/>
      <c r="U287" s="48"/>
      <c r="V287" s="48"/>
      <c r="W287" s="48"/>
      <c r="X287" s="48"/>
      <c r="Y287" s="48"/>
      <c r="Z287" s="48"/>
      <c r="AA287" s="48"/>
      <c r="AB287" s="48"/>
      <c r="AC287" s="48"/>
    </row>
    <row r="288" spans="1:29" ht="15.75" customHeight="1">
      <c r="A288" s="307">
        <v>139</v>
      </c>
      <c r="B288" s="307" t="s">
        <v>630</v>
      </c>
      <c r="C288" s="307" t="s">
        <v>631</v>
      </c>
      <c r="D288" s="308">
        <v>42201</v>
      </c>
      <c r="E288" s="48" t="s">
        <v>1083</v>
      </c>
      <c r="F288" s="105">
        <v>1</v>
      </c>
      <c r="G288" s="49">
        <v>2</v>
      </c>
      <c r="H288" s="105">
        <v>0</v>
      </c>
      <c r="I288" s="105">
        <v>1</v>
      </c>
      <c r="J288" s="48" t="s">
        <v>100</v>
      </c>
      <c r="K288" s="105">
        <v>1</v>
      </c>
      <c r="L288" s="105">
        <v>1</v>
      </c>
      <c r="M288" s="48">
        <v>0</v>
      </c>
      <c r="N288" s="48">
        <v>0</v>
      </c>
      <c r="O288" s="48">
        <v>0</v>
      </c>
      <c r="P288" s="48">
        <v>0</v>
      </c>
      <c r="Q288" s="48">
        <v>0</v>
      </c>
      <c r="R288" s="48"/>
      <c r="S288" s="48"/>
      <c r="T288" s="48"/>
      <c r="U288" s="48"/>
      <c r="V288" s="48"/>
      <c r="W288" s="48"/>
      <c r="X288" s="48"/>
      <c r="Y288" s="48"/>
      <c r="Z288" s="48"/>
      <c r="AA288" s="48"/>
      <c r="AB288" s="48"/>
      <c r="AC288" s="48"/>
    </row>
    <row r="289" spans="1:29" ht="15.75" customHeight="1">
      <c r="A289" s="307">
        <v>139</v>
      </c>
      <c r="B289" s="307" t="s">
        <v>630</v>
      </c>
      <c r="C289" s="307" t="s">
        <v>631</v>
      </c>
      <c r="D289" s="308">
        <v>42201</v>
      </c>
      <c r="E289" s="48" t="s">
        <v>1084</v>
      </c>
      <c r="F289" s="105">
        <v>0</v>
      </c>
      <c r="G289" s="49">
        <v>1</v>
      </c>
      <c r="H289" s="105">
        <v>0</v>
      </c>
      <c r="I289" s="105">
        <v>0</v>
      </c>
      <c r="J289" s="105">
        <v>0</v>
      </c>
      <c r="K289" s="48">
        <v>1</v>
      </c>
      <c r="L289" s="105">
        <v>1</v>
      </c>
      <c r="M289" s="48">
        <v>0</v>
      </c>
      <c r="N289" s="48">
        <v>0</v>
      </c>
      <c r="O289" s="48">
        <v>0</v>
      </c>
      <c r="P289" s="48">
        <v>0</v>
      </c>
      <c r="Q289" s="48">
        <v>0</v>
      </c>
      <c r="R289" s="48"/>
      <c r="S289" s="48"/>
      <c r="T289" s="48"/>
      <c r="U289" s="48"/>
      <c r="V289" s="48"/>
      <c r="W289" s="48"/>
      <c r="X289" s="48"/>
      <c r="Y289" s="48"/>
      <c r="Z289" s="48"/>
      <c r="AA289" s="48"/>
      <c r="AB289" s="48"/>
      <c r="AC289" s="48"/>
    </row>
    <row r="290" spans="1:29" ht="15.75" customHeight="1">
      <c r="A290" s="309">
        <v>140</v>
      </c>
      <c r="B290" s="309" t="s">
        <v>635</v>
      </c>
      <c r="C290" s="309" t="s">
        <v>636</v>
      </c>
      <c r="D290" s="310">
        <v>42278</v>
      </c>
      <c r="E290" s="48" t="s">
        <v>875</v>
      </c>
      <c r="F290" s="105">
        <v>0</v>
      </c>
      <c r="G290" s="49">
        <v>1</v>
      </c>
      <c r="H290" s="105">
        <v>1</v>
      </c>
      <c r="I290" s="48">
        <v>0</v>
      </c>
      <c r="J290" s="48">
        <v>0</v>
      </c>
      <c r="K290" s="48">
        <v>1</v>
      </c>
      <c r="L290" s="105">
        <v>1</v>
      </c>
      <c r="M290" s="48">
        <v>0</v>
      </c>
      <c r="N290" s="48">
        <v>0</v>
      </c>
      <c r="O290" s="48">
        <v>0</v>
      </c>
      <c r="P290" s="48">
        <v>0</v>
      </c>
      <c r="Q290" s="48">
        <v>0</v>
      </c>
      <c r="R290" s="48"/>
      <c r="S290" s="48"/>
      <c r="T290" s="48"/>
      <c r="U290" s="48"/>
      <c r="V290" s="48"/>
      <c r="W290" s="48"/>
      <c r="X290" s="48"/>
      <c r="Y290" s="48"/>
      <c r="Z290" s="48"/>
      <c r="AA290" s="48"/>
      <c r="AB290" s="48"/>
      <c r="AC290" s="48"/>
    </row>
    <row r="291" spans="1:29" ht="15.75" customHeight="1">
      <c r="A291" s="309">
        <v>140</v>
      </c>
      <c r="B291" s="309" t="s">
        <v>635</v>
      </c>
      <c r="C291" s="309" t="s">
        <v>636</v>
      </c>
      <c r="D291" s="310">
        <v>42278</v>
      </c>
      <c r="E291" s="48" t="s">
        <v>1085</v>
      </c>
      <c r="F291" s="105">
        <v>0</v>
      </c>
      <c r="G291" s="49">
        <v>2</v>
      </c>
      <c r="H291" s="105">
        <v>0</v>
      </c>
      <c r="I291" s="48">
        <v>0</v>
      </c>
      <c r="J291" s="48">
        <v>0</v>
      </c>
      <c r="K291" s="48">
        <v>1</v>
      </c>
      <c r="L291" s="105">
        <v>1</v>
      </c>
      <c r="M291" s="48">
        <v>0</v>
      </c>
      <c r="N291" s="48">
        <v>0</v>
      </c>
      <c r="O291" s="48">
        <v>0</v>
      </c>
      <c r="P291" s="48">
        <v>0</v>
      </c>
      <c r="Q291" s="48">
        <v>0</v>
      </c>
      <c r="R291" s="48"/>
      <c r="S291" s="48"/>
      <c r="T291" s="48"/>
      <c r="U291" s="48"/>
      <c r="V291" s="48"/>
      <c r="W291" s="48"/>
      <c r="X291" s="48"/>
      <c r="Y291" s="48"/>
      <c r="Z291" s="48"/>
      <c r="AA291" s="48"/>
      <c r="AB291" s="48"/>
      <c r="AC291" s="48"/>
    </row>
    <row r="292" spans="1:29" ht="15.75" customHeight="1">
      <c r="A292" s="309">
        <v>140</v>
      </c>
      <c r="B292" s="309" t="s">
        <v>635</v>
      </c>
      <c r="C292" s="309" t="s">
        <v>636</v>
      </c>
      <c r="D292" s="310">
        <v>42278</v>
      </c>
      <c r="E292" s="48" t="s">
        <v>1086</v>
      </c>
      <c r="F292" s="105">
        <v>3</v>
      </c>
      <c r="G292" s="49">
        <v>2</v>
      </c>
      <c r="H292" s="105">
        <v>0</v>
      </c>
      <c r="I292" s="48">
        <v>0</v>
      </c>
      <c r="J292" s="48">
        <v>0</v>
      </c>
      <c r="K292" s="105">
        <v>0</v>
      </c>
      <c r="L292" s="105">
        <v>0</v>
      </c>
      <c r="M292" s="48">
        <v>0</v>
      </c>
      <c r="N292" s="48">
        <v>0</v>
      </c>
      <c r="O292" s="48">
        <v>0</v>
      </c>
      <c r="P292" s="105">
        <v>1</v>
      </c>
      <c r="Q292" s="48">
        <v>0</v>
      </c>
      <c r="R292" s="48"/>
      <c r="S292" s="48"/>
      <c r="T292" s="48"/>
      <c r="U292" s="48"/>
      <c r="V292" s="48"/>
      <c r="W292" s="48"/>
      <c r="X292" s="48"/>
      <c r="Y292" s="48"/>
      <c r="Z292" s="48"/>
      <c r="AA292" s="48"/>
      <c r="AB292" s="48"/>
      <c r="AC292" s="48"/>
    </row>
    <row r="293" spans="1:29" ht="15.75" customHeight="1">
      <c r="A293" s="309">
        <v>140</v>
      </c>
      <c r="B293" s="309" t="s">
        <v>635</v>
      </c>
      <c r="C293" s="309" t="s">
        <v>636</v>
      </c>
      <c r="D293" s="310">
        <v>42278</v>
      </c>
      <c r="E293" s="48" t="s">
        <v>1087</v>
      </c>
      <c r="F293" s="105">
        <v>0</v>
      </c>
      <c r="G293" s="49">
        <v>2</v>
      </c>
      <c r="H293" s="105">
        <v>1</v>
      </c>
      <c r="I293" s="48">
        <v>0</v>
      </c>
      <c r="J293" s="48">
        <v>0</v>
      </c>
      <c r="K293" s="48">
        <v>0</v>
      </c>
      <c r="L293" s="48">
        <v>0</v>
      </c>
      <c r="M293" s="48">
        <v>0</v>
      </c>
      <c r="N293" s="48">
        <v>0</v>
      </c>
      <c r="O293" s="48">
        <v>0</v>
      </c>
      <c r="P293" s="48">
        <v>1</v>
      </c>
      <c r="Q293" s="48">
        <v>0</v>
      </c>
      <c r="R293" s="48"/>
      <c r="S293" s="48"/>
      <c r="T293" s="48"/>
      <c r="U293" s="48"/>
      <c r="V293" s="48"/>
      <c r="W293" s="48"/>
      <c r="X293" s="48"/>
      <c r="Y293" s="48"/>
      <c r="Z293" s="48"/>
      <c r="AA293" s="48"/>
      <c r="AB293" s="48"/>
      <c r="AC293" s="48"/>
    </row>
    <row r="294" spans="1:29" ht="15.75" customHeight="1">
      <c r="A294" s="309">
        <v>140</v>
      </c>
      <c r="B294" s="309" t="s">
        <v>635</v>
      </c>
      <c r="C294" s="309" t="s">
        <v>636</v>
      </c>
      <c r="D294" s="310">
        <v>42278</v>
      </c>
      <c r="E294" s="48" t="s">
        <v>1088</v>
      </c>
      <c r="F294" s="105">
        <v>0</v>
      </c>
      <c r="G294" s="49">
        <v>1</v>
      </c>
      <c r="H294" s="105">
        <v>0</v>
      </c>
      <c r="I294" s="48">
        <v>0</v>
      </c>
      <c r="J294" s="48" t="s">
        <v>100</v>
      </c>
      <c r="K294" s="48">
        <v>1</v>
      </c>
      <c r="L294" s="105">
        <v>1</v>
      </c>
      <c r="M294" s="48">
        <v>0</v>
      </c>
      <c r="N294" s="48">
        <v>0</v>
      </c>
      <c r="O294" s="48">
        <v>0</v>
      </c>
      <c r="P294" s="48">
        <v>0</v>
      </c>
      <c r="Q294" s="48">
        <v>0</v>
      </c>
      <c r="R294" s="48"/>
      <c r="S294" s="48"/>
      <c r="T294" s="48"/>
      <c r="U294" s="48"/>
      <c r="V294" s="48"/>
      <c r="W294" s="48"/>
      <c r="X294" s="48"/>
      <c r="Y294" s="48"/>
      <c r="Z294" s="48"/>
      <c r="AA294" s="48"/>
      <c r="AB294" s="48"/>
      <c r="AC294" s="48"/>
    </row>
    <row r="295" spans="1:29" ht="15.75" customHeight="1">
      <c r="A295" s="309">
        <v>140</v>
      </c>
      <c r="B295" s="309" t="s">
        <v>635</v>
      </c>
      <c r="C295" s="309" t="s">
        <v>636</v>
      </c>
      <c r="D295" s="310">
        <v>42278</v>
      </c>
      <c r="E295" s="48" t="s">
        <v>1089</v>
      </c>
      <c r="F295" s="105">
        <v>0</v>
      </c>
      <c r="G295" s="49">
        <v>1</v>
      </c>
      <c r="H295" s="105">
        <v>0</v>
      </c>
      <c r="I295" s="48">
        <v>0</v>
      </c>
      <c r="J295" s="48">
        <v>0</v>
      </c>
      <c r="K295" s="105">
        <v>0</v>
      </c>
      <c r="L295" s="48">
        <v>1</v>
      </c>
      <c r="M295" s="48">
        <v>0</v>
      </c>
      <c r="N295" s="48">
        <v>0</v>
      </c>
      <c r="O295" s="48">
        <v>0</v>
      </c>
      <c r="P295" s="48">
        <v>0</v>
      </c>
      <c r="Q295" s="48">
        <v>0</v>
      </c>
      <c r="R295" s="48"/>
      <c r="S295" s="48"/>
      <c r="T295" s="48"/>
      <c r="U295" s="48"/>
      <c r="V295" s="48"/>
      <c r="W295" s="48"/>
      <c r="X295" s="48"/>
      <c r="Y295" s="48"/>
      <c r="Z295" s="48"/>
      <c r="AA295" s="48"/>
      <c r="AB295" s="48"/>
      <c r="AC295" s="48"/>
    </row>
    <row r="296" spans="1:29" ht="15.75" customHeight="1">
      <c r="A296" s="311">
        <v>141</v>
      </c>
      <c r="B296" s="311" t="s">
        <v>638</v>
      </c>
      <c r="C296" s="311" t="s">
        <v>182</v>
      </c>
      <c r="D296" s="312">
        <v>42322</v>
      </c>
      <c r="E296" s="48" t="s">
        <v>1090</v>
      </c>
      <c r="F296" s="105" t="str">
        <f>HYPERLINK("https://www.theeagle.com/news/local/crime-scene-photos-shown-in-second-day-of-hudson-capital/article_9868e9bf-1308-569a-b9ac-214e64797d53.html","2")</f>
        <v>2</v>
      </c>
      <c r="G296" s="49"/>
      <c r="H296" s="105">
        <v>1</v>
      </c>
      <c r="I296" s="48">
        <v>0</v>
      </c>
      <c r="J296" s="48">
        <v>0</v>
      </c>
      <c r="K296" s="48">
        <v>1</v>
      </c>
      <c r="L296" s="48"/>
      <c r="M296" s="48"/>
      <c r="N296" s="48"/>
      <c r="O296" s="48"/>
      <c r="P296" s="48"/>
      <c r="Q296" s="48">
        <v>1</v>
      </c>
      <c r="R296" s="48"/>
      <c r="S296" s="48"/>
      <c r="T296" s="48"/>
      <c r="U296" s="48"/>
      <c r="V296" s="48"/>
      <c r="W296" s="48"/>
      <c r="X296" s="48"/>
      <c r="Y296" s="48"/>
      <c r="Z296" s="48"/>
      <c r="AA296" s="48"/>
      <c r="AB296" s="48"/>
      <c r="AC296" s="48"/>
    </row>
    <row r="297" spans="1:29" ht="15.75" customHeight="1">
      <c r="A297" s="311">
        <v>141</v>
      </c>
      <c r="B297" s="311" t="s">
        <v>638</v>
      </c>
      <c r="C297" s="311" t="s">
        <v>182</v>
      </c>
      <c r="D297" s="312">
        <v>42322</v>
      </c>
      <c r="E297" s="48" t="s">
        <v>1091</v>
      </c>
      <c r="F297" s="105">
        <v>0</v>
      </c>
      <c r="G297" s="49">
        <v>2</v>
      </c>
      <c r="H297" s="48"/>
      <c r="I297" s="48">
        <v>0</v>
      </c>
      <c r="J297" s="48">
        <v>0</v>
      </c>
      <c r="K297" s="105">
        <v>1</v>
      </c>
      <c r="L297" s="105">
        <v>2</v>
      </c>
      <c r="M297" s="48">
        <v>0</v>
      </c>
      <c r="N297" s="48">
        <v>0</v>
      </c>
      <c r="O297" s="48">
        <v>0</v>
      </c>
      <c r="P297" s="48">
        <v>0</v>
      </c>
      <c r="Q297" s="48">
        <v>0</v>
      </c>
      <c r="R297" s="48"/>
      <c r="S297" s="48"/>
      <c r="T297" s="48"/>
      <c r="U297" s="48"/>
      <c r="V297" s="48"/>
      <c r="W297" s="48"/>
      <c r="X297" s="48"/>
      <c r="Y297" s="48"/>
      <c r="Z297" s="48"/>
      <c r="AA297" s="48"/>
      <c r="AB297" s="48"/>
      <c r="AC297" s="48"/>
    </row>
    <row r="298" spans="1:29" ht="15.75" customHeight="1">
      <c r="A298" s="311">
        <v>141</v>
      </c>
      <c r="B298" s="311" t="s">
        <v>638</v>
      </c>
      <c r="C298" s="311" t="s">
        <v>182</v>
      </c>
      <c r="D298" s="312">
        <v>42322</v>
      </c>
      <c r="E298" s="48" t="s">
        <v>982</v>
      </c>
      <c r="F298" s="105" t="str">
        <f>HYPERLINK("http://www.palestineherald.com/news/sole-survivor-recounts-night-of-terror/article_e263783c-c34e-11e7-867e-7703aa20f961.html","1")</f>
        <v>1</v>
      </c>
      <c r="G298" s="49"/>
      <c r="H298" s="105">
        <v>1</v>
      </c>
      <c r="I298" s="316">
        <v>0</v>
      </c>
      <c r="J298" s="105">
        <v>0</v>
      </c>
      <c r="K298" s="48">
        <v>1</v>
      </c>
      <c r="L298" s="48"/>
      <c r="M298" s="105"/>
      <c r="N298" s="48"/>
      <c r="O298" s="48"/>
      <c r="P298" s="48"/>
      <c r="Q298" s="48">
        <v>1</v>
      </c>
      <c r="R298" s="48"/>
      <c r="S298" s="48"/>
      <c r="T298" s="48"/>
      <c r="U298" s="48"/>
      <c r="V298" s="48"/>
      <c r="W298" s="48"/>
      <c r="X298" s="48"/>
      <c r="Y298" s="48"/>
      <c r="Z298" s="48"/>
      <c r="AA298" s="48"/>
      <c r="AB298" s="48"/>
      <c r="AC298" s="48"/>
    </row>
    <row r="299" spans="1:29" ht="15.75" customHeight="1">
      <c r="A299" s="313" t="s">
        <v>1092</v>
      </c>
      <c r="B299" s="313" t="s">
        <v>1093</v>
      </c>
      <c r="C299" s="313" t="s">
        <v>1094</v>
      </c>
      <c r="D299" s="314">
        <v>42340</v>
      </c>
      <c r="E299" s="48" t="s">
        <v>1095</v>
      </c>
      <c r="F299" s="105">
        <v>3</v>
      </c>
      <c r="G299" s="49">
        <v>2</v>
      </c>
      <c r="H299" s="105">
        <v>1</v>
      </c>
      <c r="I299" s="105">
        <v>1</v>
      </c>
      <c r="J299" s="105">
        <v>1</v>
      </c>
      <c r="K299" s="105">
        <v>1</v>
      </c>
      <c r="L299" s="48">
        <v>0</v>
      </c>
      <c r="M299" s="105">
        <v>2</v>
      </c>
      <c r="N299" s="48">
        <v>0</v>
      </c>
      <c r="O299" s="48">
        <v>0</v>
      </c>
      <c r="P299" s="48">
        <v>0</v>
      </c>
      <c r="Q299" s="48">
        <v>0</v>
      </c>
      <c r="R299" s="48"/>
      <c r="S299" s="48"/>
      <c r="T299" s="48"/>
      <c r="U299" s="48"/>
      <c r="V299" s="48"/>
      <c r="W299" s="48"/>
      <c r="X299" s="48"/>
      <c r="Y299" s="48"/>
      <c r="Z299" s="48"/>
      <c r="AA299" s="48"/>
      <c r="AB299" s="48"/>
      <c r="AC299" s="48"/>
    </row>
    <row r="300" spans="1:29" ht="15.75" customHeight="1">
      <c r="A300" s="313" t="s">
        <v>1092</v>
      </c>
      <c r="B300" s="313" t="s">
        <v>1093</v>
      </c>
      <c r="C300" s="313" t="s">
        <v>1094</v>
      </c>
      <c r="D300" s="314">
        <v>42340</v>
      </c>
      <c r="E300" s="48" t="s">
        <v>1096</v>
      </c>
      <c r="F300" s="105" t="str">
        <f>HYPERLINK("https://www.nytimes.com/2015/12/04/us/san-bernardino-shooting.html?module=inline","3")</f>
        <v>3</v>
      </c>
      <c r="G300" s="49">
        <v>2</v>
      </c>
      <c r="H300" s="105">
        <v>1</v>
      </c>
      <c r="I300" s="105">
        <v>1</v>
      </c>
      <c r="J300" s="105">
        <v>1</v>
      </c>
      <c r="K300" s="105">
        <v>1</v>
      </c>
      <c r="L300" s="48">
        <v>0</v>
      </c>
      <c r="M300" s="105">
        <v>2</v>
      </c>
      <c r="N300" s="48">
        <v>0</v>
      </c>
      <c r="O300" s="48">
        <v>0</v>
      </c>
      <c r="P300" s="48">
        <v>0</v>
      </c>
      <c r="Q300" s="48">
        <v>0</v>
      </c>
      <c r="R300" s="48"/>
      <c r="S300" s="48"/>
      <c r="T300" s="48"/>
      <c r="U300" s="48"/>
      <c r="V300" s="48"/>
      <c r="W300" s="48"/>
      <c r="X300" s="48"/>
      <c r="Y300" s="48"/>
      <c r="Z300" s="48"/>
      <c r="AA300" s="48"/>
      <c r="AB300" s="48"/>
      <c r="AC300" s="48"/>
    </row>
    <row r="301" spans="1:29" ht="15.75" customHeight="1">
      <c r="A301" s="313" t="s">
        <v>1092</v>
      </c>
      <c r="B301" s="313" t="s">
        <v>1093</v>
      </c>
      <c r="C301" s="313" t="s">
        <v>1094</v>
      </c>
      <c r="D301" s="314">
        <v>42340</v>
      </c>
      <c r="E301" s="48" t="s">
        <v>1097</v>
      </c>
      <c r="F301" s="105">
        <v>0</v>
      </c>
      <c r="G301" s="49">
        <v>1</v>
      </c>
      <c r="H301" s="105">
        <v>0</v>
      </c>
      <c r="I301" s="105">
        <v>0</v>
      </c>
      <c r="J301" s="48">
        <v>0</v>
      </c>
      <c r="K301" s="105">
        <v>1</v>
      </c>
      <c r="L301" s="105">
        <v>1</v>
      </c>
      <c r="M301" s="48">
        <v>0</v>
      </c>
      <c r="N301" s="48">
        <v>0</v>
      </c>
      <c r="O301" s="48">
        <v>0</v>
      </c>
      <c r="P301" s="48">
        <v>0</v>
      </c>
      <c r="Q301" s="48">
        <v>0</v>
      </c>
      <c r="R301" s="48"/>
      <c r="S301" s="48"/>
      <c r="T301" s="48"/>
      <c r="U301" s="48"/>
      <c r="V301" s="48"/>
      <c r="W301" s="48"/>
      <c r="X301" s="48"/>
      <c r="Y301" s="48"/>
      <c r="Z301" s="48"/>
      <c r="AA301" s="48"/>
      <c r="AB301" s="48"/>
      <c r="AC301" s="48"/>
    </row>
    <row r="302" spans="1:29" ht="15.75" customHeight="1">
      <c r="A302" s="313" t="s">
        <v>1092</v>
      </c>
      <c r="B302" s="313" t="s">
        <v>1093</v>
      </c>
      <c r="C302" s="313" t="s">
        <v>1094</v>
      </c>
      <c r="D302" s="314">
        <v>42340</v>
      </c>
      <c r="E302" s="48" t="s">
        <v>1040</v>
      </c>
      <c r="F302" s="105">
        <v>0</v>
      </c>
      <c r="G302" s="49">
        <v>1</v>
      </c>
      <c r="H302" s="105">
        <v>1</v>
      </c>
      <c r="I302" s="105">
        <v>0</v>
      </c>
      <c r="J302" s="105">
        <v>0</v>
      </c>
      <c r="K302" s="105">
        <v>1</v>
      </c>
      <c r="L302" s="105">
        <v>1</v>
      </c>
      <c r="M302" s="48">
        <v>0</v>
      </c>
      <c r="N302" s="48">
        <v>0</v>
      </c>
      <c r="O302" s="48">
        <v>0</v>
      </c>
      <c r="P302" s="48">
        <v>0</v>
      </c>
      <c r="Q302" s="48">
        <v>0</v>
      </c>
      <c r="R302" s="48"/>
      <c r="S302" s="48"/>
      <c r="T302" s="48"/>
      <c r="U302" s="48"/>
      <c r="V302" s="48"/>
      <c r="W302" s="48"/>
      <c r="X302" s="48"/>
      <c r="Y302" s="48"/>
      <c r="Z302" s="48"/>
      <c r="AA302" s="48"/>
      <c r="AB302" s="48"/>
      <c r="AC302" s="48"/>
    </row>
    <row r="303" spans="1:29" ht="15.75" customHeight="1">
      <c r="A303" s="305">
        <v>144</v>
      </c>
      <c r="B303" s="305" t="s">
        <v>647</v>
      </c>
      <c r="C303" s="305" t="s">
        <v>648</v>
      </c>
      <c r="D303" s="306">
        <v>42420</v>
      </c>
      <c r="E303" s="48" t="s">
        <v>1098</v>
      </c>
      <c r="F303" s="105" t="str">
        <f t="shared" ref="F303:F304" si="41">HYPERLINK("https://www.mlive.com/news/kalamazoo/2016/03/police_believe_jason_dalton_us.html","0")</f>
        <v>0</v>
      </c>
      <c r="G303" s="49">
        <v>1</v>
      </c>
      <c r="H303" s="105">
        <v>1</v>
      </c>
      <c r="I303" s="48">
        <v>0</v>
      </c>
      <c r="J303" s="105">
        <v>1</v>
      </c>
      <c r="K303" s="105">
        <v>1</v>
      </c>
      <c r="L303" s="105">
        <v>1</v>
      </c>
      <c r="M303" s="48">
        <v>0</v>
      </c>
      <c r="N303" s="48">
        <v>0</v>
      </c>
      <c r="O303" s="48">
        <v>0</v>
      </c>
      <c r="P303" s="48">
        <v>0</v>
      </c>
      <c r="Q303" s="48">
        <v>0</v>
      </c>
      <c r="R303" s="48"/>
      <c r="S303" s="48"/>
      <c r="T303" s="48"/>
      <c r="U303" s="48"/>
      <c r="V303" s="48"/>
      <c r="W303" s="48"/>
      <c r="X303" s="48"/>
      <c r="Y303" s="48"/>
      <c r="Z303" s="48"/>
      <c r="AA303" s="48"/>
      <c r="AB303" s="48"/>
      <c r="AC303" s="48"/>
    </row>
    <row r="304" spans="1:29" ht="17" customHeight="1">
      <c r="A304" s="305">
        <v>144</v>
      </c>
      <c r="B304" s="305" t="s">
        <v>647</v>
      </c>
      <c r="C304" s="305" t="s">
        <v>648</v>
      </c>
      <c r="D304" s="306">
        <v>42420</v>
      </c>
      <c r="E304" s="48" t="s">
        <v>875</v>
      </c>
      <c r="F304" s="105" t="str">
        <f t="shared" si="41"/>
        <v>0</v>
      </c>
      <c r="G304" s="49">
        <v>1</v>
      </c>
      <c r="H304" s="105">
        <v>1</v>
      </c>
      <c r="I304" s="48">
        <v>0</v>
      </c>
      <c r="J304" s="105">
        <v>0</v>
      </c>
      <c r="K304" s="105">
        <v>1</v>
      </c>
      <c r="L304" s="105">
        <v>1</v>
      </c>
      <c r="M304" s="48">
        <v>0</v>
      </c>
      <c r="N304" s="48">
        <v>0</v>
      </c>
      <c r="O304" s="48">
        <v>0</v>
      </c>
      <c r="P304" s="48">
        <v>0</v>
      </c>
      <c r="Q304" s="48">
        <v>0</v>
      </c>
      <c r="R304" s="48"/>
      <c r="S304" s="48"/>
      <c r="T304" s="48"/>
      <c r="U304" s="48"/>
      <c r="V304" s="48"/>
      <c r="W304" s="48"/>
      <c r="X304" s="48"/>
      <c r="Y304" s="48"/>
      <c r="Z304" s="48"/>
      <c r="AA304" s="48"/>
      <c r="AB304" s="48"/>
      <c r="AC304" s="48"/>
    </row>
    <row r="305" spans="1:29" s="320" customFormat="1" ht="15.75" customHeight="1">
      <c r="A305" s="169" t="s">
        <v>2149</v>
      </c>
      <c r="B305" s="169"/>
      <c r="C305" s="169"/>
      <c r="D305" s="319"/>
      <c r="E305" s="144"/>
      <c r="F305" s="179"/>
      <c r="G305" s="49">
        <v>1</v>
      </c>
      <c r="H305" s="179"/>
      <c r="I305" s="144"/>
      <c r="J305" s="179"/>
      <c r="K305" s="179"/>
      <c r="L305" s="179"/>
      <c r="M305" s="144"/>
      <c r="N305" s="144"/>
      <c r="O305" s="144"/>
      <c r="P305" s="144"/>
      <c r="Q305" s="144"/>
      <c r="R305" s="144"/>
      <c r="S305" s="144"/>
      <c r="T305" s="144"/>
      <c r="U305" s="144"/>
      <c r="V305" s="144"/>
      <c r="W305" s="144"/>
      <c r="X305" s="144"/>
      <c r="Y305" s="144"/>
      <c r="Z305" s="144"/>
      <c r="AA305" s="144"/>
      <c r="AB305" s="144"/>
      <c r="AC305" s="144"/>
    </row>
    <row r="306" spans="1:29" ht="15.75" customHeight="1">
      <c r="A306" s="307">
        <v>147</v>
      </c>
      <c r="B306" s="307" t="s">
        <v>653</v>
      </c>
      <c r="C306" s="307" t="s">
        <v>551</v>
      </c>
      <c r="D306" s="308">
        <v>42533</v>
      </c>
      <c r="E306" s="48" t="s">
        <v>859</v>
      </c>
      <c r="F306" s="105">
        <v>0</v>
      </c>
      <c r="G306" s="49">
        <v>2</v>
      </c>
      <c r="H306" s="105">
        <v>1</v>
      </c>
      <c r="I306" s="48">
        <v>0</v>
      </c>
      <c r="J306" s="48">
        <v>0</v>
      </c>
      <c r="K306" s="105">
        <v>0</v>
      </c>
      <c r="L306" s="105">
        <v>1</v>
      </c>
      <c r="M306" s="48">
        <v>0</v>
      </c>
      <c r="N306" s="48">
        <v>0</v>
      </c>
      <c r="O306" s="48">
        <v>0</v>
      </c>
      <c r="P306" s="48">
        <v>0</v>
      </c>
      <c r="Q306" s="48">
        <v>0</v>
      </c>
      <c r="R306" s="48"/>
      <c r="S306" s="48"/>
      <c r="T306" s="48"/>
      <c r="U306" s="48"/>
      <c r="V306" s="48"/>
      <c r="W306" s="48"/>
      <c r="X306" s="48"/>
      <c r="Y306" s="48"/>
      <c r="Z306" s="48"/>
      <c r="AA306" s="48"/>
      <c r="AB306" s="48"/>
      <c r="AC306" s="48"/>
    </row>
    <row r="307" spans="1:29" ht="15.75" customHeight="1">
      <c r="A307" s="307">
        <v>147</v>
      </c>
      <c r="B307" s="307" t="s">
        <v>653</v>
      </c>
      <c r="C307" s="307" t="s">
        <v>551</v>
      </c>
      <c r="D307" s="308">
        <v>42533</v>
      </c>
      <c r="E307" s="48" t="s">
        <v>1099</v>
      </c>
      <c r="F307" s="105">
        <v>3</v>
      </c>
      <c r="G307" s="49"/>
      <c r="H307" s="105">
        <v>1</v>
      </c>
      <c r="I307" s="105">
        <v>0</v>
      </c>
      <c r="J307" s="105">
        <v>1</v>
      </c>
      <c r="K307" s="105">
        <v>0</v>
      </c>
      <c r="L307" s="105">
        <v>1</v>
      </c>
      <c r="M307" s="48">
        <v>0</v>
      </c>
      <c r="N307" s="48">
        <v>0</v>
      </c>
      <c r="O307" s="48">
        <v>0</v>
      </c>
      <c r="P307" s="48">
        <v>0</v>
      </c>
      <c r="Q307" s="48">
        <v>0</v>
      </c>
      <c r="R307" s="48"/>
      <c r="S307" s="48"/>
      <c r="T307" s="48"/>
      <c r="U307" s="48"/>
      <c r="V307" s="48"/>
      <c r="W307" s="48"/>
      <c r="X307" s="48"/>
      <c r="Y307" s="48"/>
      <c r="Z307" s="48"/>
      <c r="AA307" s="48"/>
      <c r="AB307" s="48"/>
      <c r="AC307" s="48"/>
    </row>
    <row r="308" spans="1:29" ht="15.75" customHeight="1">
      <c r="A308" s="309">
        <v>148</v>
      </c>
      <c r="B308" s="309" t="s">
        <v>371</v>
      </c>
      <c r="C308" s="309" t="s">
        <v>655</v>
      </c>
      <c r="D308" s="310">
        <v>42558</v>
      </c>
      <c r="E308" s="48" t="s">
        <v>1100</v>
      </c>
      <c r="F308" s="105" t="str">
        <f>HYPERLINK("https://www.nbcnews.com/storyline/dallas-police-ambush/dallas-gunman-micah-johnson-used-saiga-ak-74-assault-style-n608311","3")</f>
        <v>3</v>
      </c>
      <c r="G308" s="49">
        <v>1</v>
      </c>
      <c r="H308" s="105">
        <v>1</v>
      </c>
      <c r="I308" s="105">
        <v>1</v>
      </c>
      <c r="J308" s="105">
        <v>1</v>
      </c>
      <c r="K308" s="105">
        <v>1</v>
      </c>
      <c r="L308" s="105">
        <v>3</v>
      </c>
      <c r="M308" s="48">
        <v>0</v>
      </c>
      <c r="N308" s="48">
        <v>0</v>
      </c>
      <c r="O308" s="48">
        <v>0</v>
      </c>
      <c r="P308" s="48">
        <v>0</v>
      </c>
      <c r="Q308" s="48">
        <v>0</v>
      </c>
      <c r="R308" s="48"/>
      <c r="S308" s="48"/>
      <c r="T308" s="48"/>
      <c r="U308" s="48"/>
      <c r="V308" s="48"/>
      <c r="W308" s="48"/>
      <c r="X308" s="48"/>
      <c r="Y308" s="48"/>
      <c r="Z308" s="48"/>
      <c r="AA308" s="48"/>
      <c r="AB308" s="48"/>
      <c r="AC308" s="48"/>
    </row>
    <row r="309" spans="1:29" ht="15.75" customHeight="1">
      <c r="A309" s="309">
        <v>148</v>
      </c>
      <c r="B309" s="309" t="s">
        <v>371</v>
      </c>
      <c r="C309" s="309" t="s">
        <v>655</v>
      </c>
      <c r="D309" s="310">
        <v>42558</v>
      </c>
      <c r="E309" s="48" t="s">
        <v>849</v>
      </c>
      <c r="F309" s="105" t="str">
        <f t="shared" ref="F309:F310" si="42">HYPERLINK("https://www.nbcnews.com/storyline/dallas-police-ambush/dallas-gunman-micah-johnson-used-saiga-ak-74-assault-style-n608311","0")</f>
        <v>0</v>
      </c>
      <c r="G309" s="49">
        <v>0</v>
      </c>
      <c r="H309" s="105">
        <v>0</v>
      </c>
      <c r="I309" s="48">
        <v>0</v>
      </c>
      <c r="J309" s="48">
        <v>0</v>
      </c>
      <c r="K309" s="105">
        <v>1</v>
      </c>
      <c r="L309" s="105">
        <v>3</v>
      </c>
      <c r="M309" s="48">
        <v>0</v>
      </c>
      <c r="N309" s="48">
        <v>0</v>
      </c>
      <c r="O309" s="48">
        <v>0</v>
      </c>
      <c r="P309" s="48">
        <v>0</v>
      </c>
      <c r="Q309" s="48">
        <v>0</v>
      </c>
      <c r="R309" s="48"/>
      <c r="S309" s="48"/>
      <c r="T309" s="48"/>
      <c r="U309" s="48"/>
      <c r="V309" s="48"/>
      <c r="W309" s="48"/>
      <c r="X309" s="48"/>
      <c r="Y309" s="48"/>
      <c r="Z309" s="48"/>
      <c r="AA309" s="48"/>
      <c r="AB309" s="48"/>
      <c r="AC309" s="48"/>
    </row>
    <row r="310" spans="1:29" ht="15.75" customHeight="1">
      <c r="A310" s="309">
        <v>148</v>
      </c>
      <c r="B310" s="309" t="s">
        <v>371</v>
      </c>
      <c r="C310" s="309" t="s">
        <v>655</v>
      </c>
      <c r="D310" s="310">
        <v>42558</v>
      </c>
      <c r="E310" s="48" t="s">
        <v>846</v>
      </c>
      <c r="F310" s="105" t="str">
        <f t="shared" si="42"/>
        <v>0</v>
      </c>
      <c r="G310" s="49">
        <v>0</v>
      </c>
      <c r="H310" s="105">
        <v>0</v>
      </c>
      <c r="I310" s="48">
        <v>0</v>
      </c>
      <c r="J310" s="48">
        <v>0</v>
      </c>
      <c r="K310" s="105">
        <v>1</v>
      </c>
      <c r="L310" s="105">
        <v>3</v>
      </c>
      <c r="M310" s="48">
        <v>0</v>
      </c>
      <c r="N310" s="48">
        <v>0</v>
      </c>
      <c r="O310" s="48">
        <v>0</v>
      </c>
      <c r="P310" s="48">
        <v>0</v>
      </c>
      <c r="Q310" s="48">
        <v>0</v>
      </c>
      <c r="R310" s="48"/>
      <c r="S310" s="48"/>
      <c r="T310" s="48"/>
      <c r="U310" s="48"/>
      <c r="V310" s="48"/>
      <c r="W310" s="48"/>
      <c r="X310" s="48"/>
      <c r="Y310" s="48"/>
      <c r="Z310" s="48"/>
      <c r="AA310" s="48"/>
      <c r="AB310" s="48"/>
      <c r="AC310" s="48"/>
    </row>
    <row r="311" spans="1:29" ht="15.75" customHeight="1">
      <c r="A311" s="311">
        <v>149</v>
      </c>
      <c r="B311" s="311" t="s">
        <v>658</v>
      </c>
      <c r="C311" s="311" t="s">
        <v>659</v>
      </c>
      <c r="D311" s="312">
        <v>42636</v>
      </c>
      <c r="E311" s="48" t="s">
        <v>1101</v>
      </c>
      <c r="F311" s="105">
        <v>2</v>
      </c>
      <c r="G311" s="49">
        <v>1</v>
      </c>
      <c r="H311" s="105" t="str">
        <f>HYPERLINK("https://www.washingtonpost.com/news/post-nation/wp/2016/09/25/after-day-long-manhunt-police-arrest-20-year-old-in-washington-state-mall-killings/?utm_term=.335996c4ae24","1")</f>
        <v>1</v>
      </c>
      <c r="I311" s="48">
        <v>0</v>
      </c>
      <c r="J311" s="105">
        <v>1</v>
      </c>
      <c r="K311" s="105" t="str">
        <f>HYPERLINK("https://www.king5.com/article/news/local/suspect-may-have-attempted-gun-purchase-hours-before-mall-shooting/327522805","0")</f>
        <v>0</v>
      </c>
      <c r="L311" s="48">
        <v>0</v>
      </c>
      <c r="M311" s="48">
        <v>0</v>
      </c>
      <c r="N311" s="48">
        <v>0</v>
      </c>
      <c r="O311" s="48">
        <v>0</v>
      </c>
      <c r="P311" s="101" t="str">
        <f>HYPERLINK("https://www.seattleweekly.com/news/the-bitter-life-and-sudden-death-of-arcan-cetin/","1")</f>
        <v>1</v>
      </c>
      <c r="Q311" s="48">
        <v>0</v>
      </c>
      <c r="R311" s="48"/>
      <c r="S311" s="48"/>
      <c r="T311" s="48"/>
      <c r="U311" s="48"/>
      <c r="V311" s="48"/>
      <c r="W311" s="48"/>
      <c r="X311" s="48"/>
      <c r="Y311" s="48"/>
      <c r="Z311" s="48"/>
      <c r="AA311" s="48"/>
      <c r="AB311" s="48"/>
      <c r="AC311" s="48"/>
    </row>
    <row r="312" spans="1:29" ht="15.75" customHeight="1">
      <c r="A312" s="313">
        <v>150</v>
      </c>
      <c r="B312" s="313" t="s">
        <v>663</v>
      </c>
      <c r="C312" s="313" t="s">
        <v>664</v>
      </c>
      <c r="D312" s="314">
        <v>42741</v>
      </c>
      <c r="E312" s="48" t="s">
        <v>1102</v>
      </c>
      <c r="F312" s="105" t="str">
        <f>HYPERLINK("https://www.miamiherald.com/news/nation-world/article126025249.html","0")</f>
        <v>0</v>
      </c>
      <c r="G312" s="49"/>
      <c r="H312" s="105">
        <v>1</v>
      </c>
      <c r="I312" s="48">
        <v>0</v>
      </c>
      <c r="J312" s="105">
        <v>0</v>
      </c>
      <c r="K312" s="105" t="str">
        <f>HYPERLINK("https://www.nbcnews.com/news/us-news/gun-used-airport-shooting-suspect-was-once-taken-away-him-n704501","1")</f>
        <v>1</v>
      </c>
      <c r="L312" s="48"/>
      <c r="M312" s="48"/>
      <c r="N312" s="48"/>
      <c r="O312" s="48"/>
      <c r="P312" s="48"/>
      <c r="Q312" s="48">
        <v>1</v>
      </c>
      <c r="R312" s="48"/>
      <c r="S312" s="48"/>
      <c r="T312" s="48"/>
      <c r="U312" s="48"/>
      <c r="V312" s="48"/>
      <c r="W312" s="48"/>
      <c r="X312" s="48"/>
      <c r="Y312" s="48"/>
      <c r="Z312" s="48"/>
      <c r="AA312" s="48"/>
      <c r="AB312" s="48"/>
      <c r="AC312" s="48"/>
    </row>
    <row r="313" spans="1:29" ht="15.75" customHeight="1">
      <c r="A313" s="305">
        <v>151</v>
      </c>
      <c r="B313" s="305" t="s">
        <v>667</v>
      </c>
      <c r="C313" s="305" t="s">
        <v>668</v>
      </c>
      <c r="D313" s="306">
        <v>42772</v>
      </c>
      <c r="E313" s="48" t="s">
        <v>80</v>
      </c>
      <c r="F313" s="48"/>
      <c r="G313" s="49">
        <v>2</v>
      </c>
      <c r="H313" s="48"/>
      <c r="I313" s="48"/>
      <c r="J313" s="48"/>
      <c r="K313" s="48"/>
      <c r="L313" s="48"/>
      <c r="M313" s="48"/>
      <c r="N313" s="48"/>
      <c r="O313" s="48"/>
      <c r="P313" s="48"/>
      <c r="Q313" s="48">
        <v>1</v>
      </c>
      <c r="R313" s="48"/>
      <c r="S313" s="48"/>
      <c r="T313" s="48"/>
      <c r="U313" s="48"/>
      <c r="V313" s="48"/>
      <c r="W313" s="48"/>
      <c r="X313" s="48"/>
      <c r="Y313" s="48"/>
      <c r="Z313" s="48"/>
      <c r="AA313" s="48"/>
      <c r="AB313" s="48"/>
      <c r="AC313" s="48"/>
    </row>
    <row r="314" spans="1:29" ht="15.75" customHeight="1">
      <c r="A314" s="307">
        <v>152</v>
      </c>
      <c r="B314" s="307" t="s">
        <v>450</v>
      </c>
      <c r="C314" s="307" t="s">
        <v>672</v>
      </c>
      <c r="D314" s="308">
        <v>42816</v>
      </c>
      <c r="E314" s="48" t="s">
        <v>1103</v>
      </c>
      <c r="F314" s="105" t="str">
        <f>HYPERLINK("https://www.doj.state.wi.us/sites/default/files/oid-reports/17-1860/AAG%20Decision%20Regarding%20Marathon%20Co%20OID%20-%20Nengmy%20Vang%281%29.pdf","2")</f>
        <v>2</v>
      </c>
      <c r="G314" s="49"/>
      <c r="H314" s="105">
        <v>1</v>
      </c>
      <c r="I314" s="48">
        <v>0</v>
      </c>
      <c r="J314" s="105">
        <v>0</v>
      </c>
      <c r="K314" s="105">
        <v>1</v>
      </c>
      <c r="L314" s="48"/>
      <c r="M314" s="48"/>
      <c r="N314" s="48"/>
      <c r="O314" s="48"/>
      <c r="P314" s="48"/>
      <c r="Q314" s="48">
        <v>1</v>
      </c>
      <c r="R314" s="48"/>
      <c r="S314" s="48"/>
      <c r="T314" s="48"/>
      <c r="U314" s="48"/>
      <c r="V314" s="48"/>
      <c r="W314" s="48"/>
      <c r="X314" s="48"/>
      <c r="Y314" s="48"/>
      <c r="Z314" s="48"/>
      <c r="AA314" s="48"/>
      <c r="AB314" s="48"/>
      <c r="AC314" s="48"/>
    </row>
    <row r="315" spans="1:29" ht="15.75" customHeight="1">
      <c r="A315" s="307">
        <v>152</v>
      </c>
      <c r="B315" s="307" t="s">
        <v>450</v>
      </c>
      <c r="C315" s="307" t="s">
        <v>672</v>
      </c>
      <c r="D315" s="308">
        <v>42816</v>
      </c>
      <c r="E315" s="48" t="s">
        <v>839</v>
      </c>
      <c r="F315" s="105" t="str">
        <f>HYPERLINK("https://www.wausaudailyherald.com/story/news/2017/05/08/wife-details-troubles-before-her-husband-gunned-down-4-people/100164526/","0")</f>
        <v>0</v>
      </c>
      <c r="G315" s="49"/>
      <c r="H315" s="105">
        <v>1</v>
      </c>
      <c r="I315" s="48">
        <v>0</v>
      </c>
      <c r="J315" s="105">
        <v>0</v>
      </c>
      <c r="K315" s="105">
        <v>1</v>
      </c>
      <c r="L315" s="48"/>
      <c r="M315" s="48"/>
      <c r="N315" s="48"/>
      <c r="O315" s="48"/>
      <c r="P315" s="48"/>
      <c r="Q315" s="48">
        <v>1</v>
      </c>
      <c r="R315" s="48"/>
      <c r="S315" s="48"/>
      <c r="T315" s="48"/>
      <c r="U315" s="48"/>
      <c r="V315" s="48"/>
      <c r="W315" s="48"/>
      <c r="X315" s="48"/>
      <c r="Y315" s="48"/>
      <c r="Z315" s="48"/>
      <c r="AA315" s="48"/>
      <c r="AB315" s="48"/>
      <c r="AC315" s="48"/>
    </row>
    <row r="316" spans="1:29" ht="15.75" customHeight="1">
      <c r="A316" s="309">
        <v>153</v>
      </c>
      <c r="B316" s="309" t="s">
        <v>675</v>
      </c>
      <c r="C316" s="309" t="s">
        <v>190</v>
      </c>
      <c r="D316" s="310">
        <v>42891</v>
      </c>
      <c r="E316" s="48" t="s">
        <v>947</v>
      </c>
      <c r="F316" s="105" t="str">
        <f>HYPERLINK("https://www.orlandosentinel.com/news/orlando-workplace-shooting/os-john-robert-neumann-shooting-suspect-20170605-story.html","0")</f>
        <v>0</v>
      </c>
      <c r="G316" s="49">
        <v>2</v>
      </c>
      <c r="H316" s="105" t="str">
        <f>HYPERLINK("https://www.orlandosentinel.com/news/orlando-workplace-shooting/os-john-robert-neumann-shooting-suspect-20170605-story.html","1")</f>
        <v>1</v>
      </c>
      <c r="I316" s="48">
        <v>0</v>
      </c>
      <c r="J316" s="48">
        <v>0</v>
      </c>
      <c r="K316" s="48"/>
      <c r="L316" s="48"/>
      <c r="M316" s="48"/>
      <c r="N316" s="48"/>
      <c r="O316" s="48"/>
      <c r="P316" s="48"/>
      <c r="Q316" s="51">
        <v>1</v>
      </c>
      <c r="R316" s="48"/>
      <c r="S316" s="48"/>
      <c r="T316" s="48"/>
      <c r="U316" s="48"/>
      <c r="V316" s="48"/>
      <c r="W316" s="48"/>
      <c r="X316" s="48"/>
      <c r="Y316" s="48"/>
      <c r="Z316" s="48"/>
      <c r="AA316" s="48"/>
      <c r="AB316" s="48"/>
      <c r="AC316" s="48"/>
    </row>
    <row r="317" spans="1:29" ht="15.75" customHeight="1">
      <c r="A317" s="311">
        <v>154</v>
      </c>
      <c r="B317" s="311" t="s">
        <v>677</v>
      </c>
      <c r="C317" s="311" t="s">
        <v>678</v>
      </c>
      <c r="D317" s="312">
        <v>43009</v>
      </c>
      <c r="E317" s="48" t="s">
        <v>1104</v>
      </c>
      <c r="F317" s="105">
        <v>3</v>
      </c>
      <c r="G317" s="49">
        <v>2</v>
      </c>
      <c r="H317" s="105">
        <v>1</v>
      </c>
      <c r="I317" s="105">
        <v>1</v>
      </c>
      <c r="J317" s="105">
        <v>1</v>
      </c>
      <c r="K317" s="105">
        <v>1</v>
      </c>
      <c r="L317" s="105">
        <v>1</v>
      </c>
      <c r="M317" s="48">
        <v>0</v>
      </c>
      <c r="N317" s="48">
        <v>0</v>
      </c>
      <c r="O317" s="48">
        <v>0</v>
      </c>
      <c r="P317" s="48">
        <v>0</v>
      </c>
      <c r="Q317" s="48">
        <v>0</v>
      </c>
      <c r="R317" s="48"/>
      <c r="S317" s="48"/>
      <c r="T317" s="48"/>
      <c r="U317" s="48"/>
      <c r="V317" s="48"/>
      <c r="W317" s="48"/>
      <c r="X317" s="48"/>
      <c r="Y317" s="48"/>
      <c r="Z317" s="48"/>
      <c r="AA317" s="48"/>
      <c r="AB317" s="48"/>
      <c r="AC317" s="48"/>
    </row>
    <row r="318" spans="1:29" ht="15.75" customHeight="1">
      <c r="A318" s="311">
        <v>154</v>
      </c>
      <c r="B318" s="311" t="s">
        <v>677</v>
      </c>
      <c r="C318" s="311" t="s">
        <v>678</v>
      </c>
      <c r="D318" s="312">
        <v>43009</v>
      </c>
      <c r="E318" s="48" t="s">
        <v>1105</v>
      </c>
      <c r="F318" s="105">
        <v>3</v>
      </c>
      <c r="G318" s="49">
        <v>2</v>
      </c>
      <c r="H318" s="105">
        <v>0</v>
      </c>
      <c r="I318" s="105">
        <v>1</v>
      </c>
      <c r="J318" s="105">
        <v>1</v>
      </c>
      <c r="K318" s="105">
        <v>1</v>
      </c>
      <c r="L318" s="105">
        <v>1</v>
      </c>
      <c r="M318" s="48">
        <v>0</v>
      </c>
      <c r="N318" s="48">
        <v>0</v>
      </c>
      <c r="O318" s="48">
        <v>0</v>
      </c>
      <c r="P318" s="48">
        <v>0</v>
      </c>
      <c r="Q318" s="48">
        <v>0</v>
      </c>
      <c r="R318" s="48"/>
      <c r="S318" s="48"/>
      <c r="T318" s="48"/>
      <c r="U318" s="48"/>
      <c r="V318" s="48"/>
      <c r="W318" s="48"/>
      <c r="X318" s="48"/>
      <c r="Y318" s="48"/>
      <c r="Z318" s="48"/>
      <c r="AA318" s="48"/>
      <c r="AB318" s="48"/>
      <c r="AC318" s="48"/>
    </row>
    <row r="319" spans="1:29" ht="15.75" customHeight="1">
      <c r="A319" s="311">
        <v>154</v>
      </c>
      <c r="B319" s="311" t="s">
        <v>677</v>
      </c>
      <c r="C319" s="311" t="s">
        <v>678</v>
      </c>
      <c r="D319" s="312">
        <v>43009</v>
      </c>
      <c r="E319" s="48" t="s">
        <v>1106</v>
      </c>
      <c r="F319" s="105">
        <v>3</v>
      </c>
      <c r="G319" s="49">
        <v>2</v>
      </c>
      <c r="H319" s="105">
        <v>1</v>
      </c>
      <c r="I319" s="105">
        <v>1</v>
      </c>
      <c r="J319" s="105">
        <v>1</v>
      </c>
      <c r="K319" s="105">
        <v>1</v>
      </c>
      <c r="L319" s="105">
        <v>1</v>
      </c>
      <c r="M319" s="48">
        <v>0</v>
      </c>
      <c r="N319" s="48">
        <v>0</v>
      </c>
      <c r="O319" s="48">
        <v>0</v>
      </c>
      <c r="P319" s="48">
        <v>0</v>
      </c>
      <c r="Q319" s="48">
        <v>0</v>
      </c>
      <c r="R319" s="48"/>
      <c r="S319" s="48"/>
      <c r="T319" s="48"/>
      <c r="U319" s="48"/>
      <c r="V319" s="48"/>
      <c r="W319" s="48"/>
      <c r="X319" s="48"/>
      <c r="Y319" s="48"/>
      <c r="Z319" s="48"/>
      <c r="AA319" s="48"/>
      <c r="AB319" s="48"/>
      <c r="AC319" s="48"/>
    </row>
    <row r="320" spans="1:29" ht="15.75" customHeight="1">
      <c r="A320" s="311">
        <v>154</v>
      </c>
      <c r="B320" s="311" t="s">
        <v>677</v>
      </c>
      <c r="C320" s="311" t="s">
        <v>678</v>
      </c>
      <c r="D320" s="312">
        <v>43009</v>
      </c>
      <c r="E320" s="48" t="s">
        <v>1107</v>
      </c>
      <c r="F320" s="105">
        <v>3</v>
      </c>
      <c r="G320" s="49">
        <v>2</v>
      </c>
      <c r="H320" s="105">
        <v>1</v>
      </c>
      <c r="I320" s="105">
        <v>1</v>
      </c>
      <c r="J320" s="105">
        <v>1</v>
      </c>
      <c r="K320" s="105">
        <v>1</v>
      </c>
      <c r="L320" s="105">
        <v>1</v>
      </c>
      <c r="M320" s="48">
        <v>0</v>
      </c>
      <c r="N320" s="48">
        <v>0</v>
      </c>
      <c r="O320" s="48">
        <v>0</v>
      </c>
      <c r="P320" s="48">
        <v>0</v>
      </c>
      <c r="Q320" s="48">
        <v>0</v>
      </c>
      <c r="R320" s="48"/>
      <c r="S320" s="48"/>
      <c r="T320" s="48"/>
      <c r="U320" s="48"/>
      <c r="V320" s="48"/>
      <c r="W320" s="48"/>
      <c r="X320" s="48"/>
      <c r="Y320" s="48"/>
      <c r="Z320" s="48"/>
      <c r="AA320" s="48"/>
      <c r="AB320" s="48"/>
      <c r="AC320" s="48"/>
    </row>
    <row r="321" spans="1:29" ht="15.75" customHeight="1">
      <c r="A321" s="311">
        <v>154</v>
      </c>
      <c r="B321" s="311" t="s">
        <v>677</v>
      </c>
      <c r="C321" s="311" t="s">
        <v>678</v>
      </c>
      <c r="D321" s="312">
        <v>43009</v>
      </c>
      <c r="E321" s="48" t="s">
        <v>1108</v>
      </c>
      <c r="F321" s="105">
        <v>3</v>
      </c>
      <c r="G321" s="49">
        <v>2</v>
      </c>
      <c r="H321" s="105">
        <v>1</v>
      </c>
      <c r="I321" s="105">
        <v>1</v>
      </c>
      <c r="J321" s="105">
        <v>1</v>
      </c>
      <c r="K321" s="105">
        <v>1</v>
      </c>
      <c r="L321" s="105">
        <v>1</v>
      </c>
      <c r="M321" s="48">
        <v>0</v>
      </c>
      <c r="N321" s="48">
        <v>0</v>
      </c>
      <c r="O321" s="48">
        <v>0</v>
      </c>
      <c r="P321" s="48">
        <v>0</v>
      </c>
      <c r="Q321" s="48">
        <v>0</v>
      </c>
      <c r="R321" s="48"/>
      <c r="S321" s="48"/>
      <c r="T321" s="48"/>
      <c r="U321" s="48"/>
      <c r="V321" s="48"/>
      <c r="W321" s="48"/>
      <c r="X321" s="48"/>
      <c r="Y321" s="48"/>
      <c r="Z321" s="48"/>
      <c r="AA321" s="48"/>
      <c r="AB321" s="48"/>
      <c r="AC321" s="48"/>
    </row>
    <row r="322" spans="1:29" ht="15.75" customHeight="1">
      <c r="A322" s="311">
        <v>154</v>
      </c>
      <c r="B322" s="311" t="s">
        <v>677</v>
      </c>
      <c r="C322" s="311" t="s">
        <v>678</v>
      </c>
      <c r="D322" s="312">
        <v>43009</v>
      </c>
      <c r="E322" s="48" t="s">
        <v>1109</v>
      </c>
      <c r="F322" s="105">
        <v>3</v>
      </c>
      <c r="G322" s="49">
        <v>2</v>
      </c>
      <c r="H322" s="105">
        <v>1</v>
      </c>
      <c r="I322" s="105">
        <v>1</v>
      </c>
      <c r="J322" s="105">
        <v>1</v>
      </c>
      <c r="K322" s="105">
        <v>1</v>
      </c>
      <c r="L322" s="105">
        <v>1</v>
      </c>
      <c r="M322" s="48">
        <v>0</v>
      </c>
      <c r="N322" s="48">
        <v>0</v>
      </c>
      <c r="O322" s="48">
        <v>0</v>
      </c>
      <c r="P322" s="48">
        <v>0</v>
      </c>
      <c r="Q322" s="48">
        <v>0</v>
      </c>
      <c r="R322" s="48"/>
      <c r="S322" s="48"/>
      <c r="T322" s="48"/>
      <c r="U322" s="48"/>
      <c r="V322" s="48"/>
      <c r="W322" s="48"/>
      <c r="X322" s="48"/>
      <c r="Y322" s="48"/>
      <c r="Z322" s="48"/>
      <c r="AA322" s="48"/>
      <c r="AB322" s="48"/>
      <c r="AC322" s="48"/>
    </row>
    <row r="323" spans="1:29" ht="15.75" customHeight="1">
      <c r="A323" s="311">
        <v>154</v>
      </c>
      <c r="B323" s="311" t="s">
        <v>677</v>
      </c>
      <c r="C323" s="311" t="s">
        <v>678</v>
      </c>
      <c r="D323" s="312">
        <v>43009</v>
      </c>
      <c r="E323" s="48" t="s">
        <v>1110</v>
      </c>
      <c r="F323" s="105">
        <v>3</v>
      </c>
      <c r="G323" s="49">
        <v>2</v>
      </c>
      <c r="H323" s="105">
        <v>0</v>
      </c>
      <c r="I323" s="105">
        <v>1</v>
      </c>
      <c r="J323" s="48">
        <v>0</v>
      </c>
      <c r="K323" s="105">
        <v>1</v>
      </c>
      <c r="L323" s="105">
        <v>1</v>
      </c>
      <c r="M323" s="48">
        <v>0</v>
      </c>
      <c r="N323" s="48">
        <v>0</v>
      </c>
      <c r="O323" s="48">
        <v>0</v>
      </c>
      <c r="P323" s="48">
        <v>0</v>
      </c>
      <c r="Q323" s="48">
        <v>0</v>
      </c>
      <c r="R323" s="48"/>
      <c r="S323" s="48"/>
      <c r="T323" s="48"/>
      <c r="U323" s="48"/>
      <c r="V323" s="48"/>
      <c r="W323" s="48"/>
      <c r="X323" s="48"/>
      <c r="Y323" s="48"/>
      <c r="Z323" s="48"/>
      <c r="AA323" s="48"/>
      <c r="AB323" s="48"/>
      <c r="AC323" s="48"/>
    </row>
    <row r="324" spans="1:29" ht="15.75" customHeight="1">
      <c r="A324" s="311">
        <v>154</v>
      </c>
      <c r="B324" s="311" t="s">
        <v>677</v>
      </c>
      <c r="C324" s="311" t="s">
        <v>678</v>
      </c>
      <c r="D324" s="312">
        <v>43009</v>
      </c>
      <c r="E324" s="48" t="s">
        <v>1110</v>
      </c>
      <c r="F324" s="105">
        <v>3</v>
      </c>
      <c r="G324" s="49">
        <v>2</v>
      </c>
      <c r="H324" s="105">
        <v>0</v>
      </c>
      <c r="I324" s="105">
        <v>1</v>
      </c>
      <c r="J324" s="48">
        <v>0</v>
      </c>
      <c r="K324" s="105">
        <v>1</v>
      </c>
      <c r="L324" s="105">
        <v>1</v>
      </c>
      <c r="M324" s="48">
        <v>0</v>
      </c>
      <c r="N324" s="48">
        <v>0</v>
      </c>
      <c r="O324" s="48">
        <v>0</v>
      </c>
      <c r="P324" s="48">
        <v>0</v>
      </c>
      <c r="Q324" s="48">
        <v>0</v>
      </c>
      <c r="R324" s="48"/>
      <c r="S324" s="48"/>
      <c r="T324" s="48"/>
      <c r="U324" s="48"/>
      <c r="V324" s="48"/>
      <c r="W324" s="48"/>
      <c r="X324" s="48"/>
      <c r="Y324" s="48"/>
      <c r="Z324" s="48"/>
      <c r="AA324" s="48"/>
      <c r="AB324" s="48"/>
      <c r="AC324" s="48"/>
    </row>
    <row r="325" spans="1:29" ht="15.75" customHeight="1">
      <c r="A325" s="311">
        <v>154</v>
      </c>
      <c r="B325" s="311" t="s">
        <v>677</v>
      </c>
      <c r="C325" s="311" t="s">
        <v>678</v>
      </c>
      <c r="D325" s="312">
        <v>43009</v>
      </c>
      <c r="E325" s="48" t="s">
        <v>1111</v>
      </c>
      <c r="F325" s="105">
        <v>3</v>
      </c>
      <c r="G325" s="49">
        <v>2</v>
      </c>
      <c r="H325" s="105">
        <v>1</v>
      </c>
      <c r="I325" s="105">
        <v>1</v>
      </c>
      <c r="J325" s="105">
        <v>1</v>
      </c>
      <c r="K325" s="105">
        <v>1</v>
      </c>
      <c r="L325" s="105">
        <v>1</v>
      </c>
      <c r="M325" s="48">
        <v>0</v>
      </c>
      <c r="N325" s="48">
        <v>0</v>
      </c>
      <c r="O325" s="48">
        <v>0</v>
      </c>
      <c r="P325" s="48">
        <v>0</v>
      </c>
      <c r="Q325" s="48">
        <v>0</v>
      </c>
      <c r="R325" s="48"/>
      <c r="S325" s="48"/>
      <c r="T325" s="48"/>
      <c r="U325" s="48"/>
      <c r="V325" s="48"/>
      <c r="W325" s="48"/>
      <c r="X325" s="48"/>
      <c r="Y325" s="48"/>
      <c r="Z325" s="48"/>
      <c r="AA325" s="48"/>
      <c r="AB325" s="48"/>
      <c r="AC325" s="48"/>
    </row>
    <row r="326" spans="1:29" ht="15.75" customHeight="1">
      <c r="A326" s="311">
        <v>154</v>
      </c>
      <c r="B326" s="311" t="s">
        <v>677</v>
      </c>
      <c r="C326" s="311" t="s">
        <v>678</v>
      </c>
      <c r="D326" s="312">
        <v>43009</v>
      </c>
      <c r="E326" s="48" t="s">
        <v>1112</v>
      </c>
      <c r="F326" s="105">
        <v>3</v>
      </c>
      <c r="G326" s="49">
        <v>2</v>
      </c>
      <c r="H326" s="105">
        <v>1</v>
      </c>
      <c r="I326" s="105">
        <v>1</v>
      </c>
      <c r="J326" s="105">
        <v>1</v>
      </c>
      <c r="K326" s="105">
        <v>1</v>
      </c>
      <c r="L326" s="105">
        <v>1</v>
      </c>
      <c r="M326" s="48">
        <v>0</v>
      </c>
      <c r="N326" s="48">
        <v>0</v>
      </c>
      <c r="O326" s="48">
        <v>0</v>
      </c>
      <c r="P326" s="48">
        <v>0</v>
      </c>
      <c r="Q326" s="48">
        <v>0</v>
      </c>
      <c r="R326" s="48"/>
      <c r="S326" s="48"/>
      <c r="T326" s="48"/>
      <c r="U326" s="48"/>
      <c r="V326" s="48"/>
      <c r="W326" s="48"/>
      <c r="X326" s="48"/>
      <c r="Y326" s="48"/>
      <c r="Z326" s="48"/>
      <c r="AA326" s="48"/>
      <c r="AB326" s="48"/>
      <c r="AC326" s="48"/>
    </row>
    <row r="327" spans="1:29" ht="15.75" customHeight="1">
      <c r="A327" s="311">
        <v>154</v>
      </c>
      <c r="B327" s="311" t="s">
        <v>677</v>
      </c>
      <c r="C327" s="311" t="s">
        <v>678</v>
      </c>
      <c r="D327" s="312">
        <v>43009</v>
      </c>
      <c r="E327" s="48" t="s">
        <v>1113</v>
      </c>
      <c r="F327" s="105">
        <v>3</v>
      </c>
      <c r="G327" s="49">
        <v>2</v>
      </c>
      <c r="H327" s="105">
        <v>0</v>
      </c>
      <c r="I327" s="105">
        <v>1</v>
      </c>
      <c r="J327" s="48">
        <v>0</v>
      </c>
      <c r="K327" s="105">
        <v>1</v>
      </c>
      <c r="L327" s="105">
        <v>1</v>
      </c>
      <c r="M327" s="48">
        <v>0</v>
      </c>
      <c r="N327" s="48">
        <v>0</v>
      </c>
      <c r="O327" s="48">
        <v>0</v>
      </c>
      <c r="P327" s="48">
        <v>0</v>
      </c>
      <c r="Q327" s="48">
        <v>0</v>
      </c>
      <c r="R327" s="48"/>
      <c r="S327" s="48"/>
      <c r="T327" s="48"/>
      <c r="U327" s="48"/>
      <c r="V327" s="48"/>
      <c r="W327" s="48"/>
      <c r="X327" s="48"/>
      <c r="Y327" s="48"/>
      <c r="Z327" s="48"/>
      <c r="AA327" s="48"/>
      <c r="AB327" s="48"/>
      <c r="AC327" s="48"/>
    </row>
    <row r="328" spans="1:29" ht="15.75" customHeight="1">
      <c r="A328" s="311">
        <v>154</v>
      </c>
      <c r="B328" s="311" t="s">
        <v>677</v>
      </c>
      <c r="C328" s="311" t="s">
        <v>678</v>
      </c>
      <c r="D328" s="312">
        <v>43009</v>
      </c>
      <c r="E328" s="48" t="s">
        <v>1114</v>
      </c>
      <c r="F328" s="105">
        <v>3</v>
      </c>
      <c r="G328" s="49">
        <v>2</v>
      </c>
      <c r="H328" s="105">
        <v>0</v>
      </c>
      <c r="I328" s="105">
        <v>1</v>
      </c>
      <c r="J328" s="48">
        <v>0</v>
      </c>
      <c r="K328" s="105">
        <v>1</v>
      </c>
      <c r="L328" s="105">
        <v>1</v>
      </c>
      <c r="M328" s="48">
        <v>0</v>
      </c>
      <c r="N328" s="48">
        <v>0</v>
      </c>
      <c r="O328" s="48">
        <v>0</v>
      </c>
      <c r="P328" s="48">
        <v>0</v>
      </c>
      <c r="Q328" s="48">
        <v>0</v>
      </c>
      <c r="R328" s="48"/>
      <c r="S328" s="48"/>
      <c r="T328" s="48"/>
      <c r="U328" s="48"/>
      <c r="V328" s="48"/>
      <c r="W328" s="48"/>
      <c r="X328" s="48"/>
      <c r="Y328" s="48"/>
      <c r="Z328" s="48"/>
      <c r="AA328" s="48"/>
      <c r="AB328" s="48"/>
      <c r="AC328" s="48"/>
    </row>
    <row r="329" spans="1:29" ht="15.75" customHeight="1">
      <c r="A329" s="311">
        <v>154</v>
      </c>
      <c r="B329" s="311" t="s">
        <v>677</v>
      </c>
      <c r="C329" s="311" t="s">
        <v>678</v>
      </c>
      <c r="D329" s="312">
        <v>43009</v>
      </c>
      <c r="E329" s="48" t="s">
        <v>1115</v>
      </c>
      <c r="F329" s="105">
        <v>3</v>
      </c>
      <c r="G329" s="49">
        <v>2</v>
      </c>
      <c r="H329" s="105">
        <v>1</v>
      </c>
      <c r="I329" s="105">
        <v>1</v>
      </c>
      <c r="J329" s="105">
        <v>1</v>
      </c>
      <c r="K329" s="105">
        <v>1</v>
      </c>
      <c r="L329" s="105">
        <v>1</v>
      </c>
      <c r="M329" s="48">
        <v>0</v>
      </c>
      <c r="N329" s="48">
        <v>0</v>
      </c>
      <c r="O329" s="48">
        <v>0</v>
      </c>
      <c r="P329" s="48">
        <v>0</v>
      </c>
      <c r="Q329" s="48">
        <v>0</v>
      </c>
      <c r="R329" s="48"/>
      <c r="S329" s="48"/>
      <c r="T329" s="48"/>
      <c r="U329" s="48"/>
      <c r="V329" s="48"/>
      <c r="W329" s="48"/>
      <c r="X329" s="48"/>
      <c r="Y329" s="48"/>
      <c r="Z329" s="48"/>
      <c r="AA329" s="48"/>
      <c r="AB329" s="48"/>
      <c r="AC329" s="48"/>
    </row>
    <row r="330" spans="1:29" ht="15.75" customHeight="1">
      <c r="A330" s="311">
        <v>154</v>
      </c>
      <c r="B330" s="311" t="s">
        <v>677</v>
      </c>
      <c r="C330" s="311" t="s">
        <v>678</v>
      </c>
      <c r="D330" s="312">
        <v>43009</v>
      </c>
      <c r="E330" s="48" t="s">
        <v>1116</v>
      </c>
      <c r="F330" s="105">
        <v>3</v>
      </c>
      <c r="G330" s="49">
        <v>2</v>
      </c>
      <c r="H330" s="105">
        <v>1</v>
      </c>
      <c r="I330" s="105">
        <v>1</v>
      </c>
      <c r="J330" s="48">
        <v>0</v>
      </c>
      <c r="K330" s="105">
        <v>0</v>
      </c>
      <c r="L330" s="105">
        <v>1</v>
      </c>
      <c r="M330" s="48">
        <v>0</v>
      </c>
      <c r="N330" s="48">
        <v>0</v>
      </c>
      <c r="O330" s="48">
        <v>0</v>
      </c>
      <c r="P330" s="48">
        <v>0</v>
      </c>
      <c r="Q330" s="48">
        <v>0</v>
      </c>
      <c r="R330" s="48"/>
      <c r="S330" s="48"/>
      <c r="T330" s="48"/>
      <c r="U330" s="48"/>
      <c r="V330" s="48"/>
      <c r="W330" s="48"/>
      <c r="X330" s="48"/>
      <c r="Y330" s="48"/>
      <c r="Z330" s="48"/>
      <c r="AA330" s="48"/>
      <c r="AB330" s="48"/>
      <c r="AC330" s="48"/>
    </row>
    <row r="331" spans="1:29" ht="15.75" customHeight="1">
      <c r="A331" s="311">
        <v>154</v>
      </c>
      <c r="B331" s="311" t="s">
        <v>677</v>
      </c>
      <c r="C331" s="311" t="s">
        <v>678</v>
      </c>
      <c r="D331" s="312">
        <v>43009</v>
      </c>
      <c r="E331" s="48" t="s">
        <v>1117</v>
      </c>
      <c r="F331" s="105">
        <v>3</v>
      </c>
      <c r="G331" s="49">
        <v>2</v>
      </c>
      <c r="H331" s="105">
        <v>0</v>
      </c>
      <c r="I331" s="105">
        <v>1</v>
      </c>
      <c r="J331" s="105">
        <v>1</v>
      </c>
      <c r="K331" s="105">
        <v>1</v>
      </c>
      <c r="L331" s="105">
        <v>1</v>
      </c>
      <c r="M331" s="48">
        <v>0</v>
      </c>
      <c r="N331" s="48">
        <v>0</v>
      </c>
      <c r="O331" s="48">
        <v>0</v>
      </c>
      <c r="P331" s="48">
        <v>0</v>
      </c>
      <c r="Q331" s="48">
        <v>0</v>
      </c>
      <c r="R331" s="48"/>
      <c r="S331" s="48"/>
      <c r="T331" s="48"/>
      <c r="U331" s="48"/>
      <c r="V331" s="48"/>
      <c r="W331" s="48"/>
      <c r="X331" s="48"/>
      <c r="Y331" s="48"/>
      <c r="Z331" s="48"/>
      <c r="AA331" s="48"/>
      <c r="AB331" s="48"/>
      <c r="AC331" s="48"/>
    </row>
    <row r="332" spans="1:29" ht="15.75" customHeight="1">
      <c r="A332" s="311">
        <v>154</v>
      </c>
      <c r="B332" s="311" t="s">
        <v>677</v>
      </c>
      <c r="C332" s="311" t="s">
        <v>678</v>
      </c>
      <c r="D332" s="312">
        <v>43009</v>
      </c>
      <c r="E332" s="48" t="s">
        <v>1118</v>
      </c>
      <c r="F332" s="105">
        <v>3</v>
      </c>
      <c r="G332" s="49">
        <v>2</v>
      </c>
      <c r="H332" s="105">
        <v>1</v>
      </c>
      <c r="I332" s="105">
        <v>1</v>
      </c>
      <c r="J332" s="105">
        <v>1</v>
      </c>
      <c r="K332" s="105">
        <v>1</v>
      </c>
      <c r="L332" s="105">
        <v>1</v>
      </c>
      <c r="M332" s="48">
        <v>0</v>
      </c>
      <c r="N332" s="48">
        <v>0</v>
      </c>
      <c r="O332" s="48">
        <v>0</v>
      </c>
      <c r="P332" s="48">
        <v>0</v>
      </c>
      <c r="Q332" s="48">
        <v>0</v>
      </c>
      <c r="R332" s="48"/>
      <c r="S332" s="48"/>
      <c r="T332" s="48"/>
      <c r="U332" s="48"/>
      <c r="V332" s="48"/>
      <c r="W332" s="48"/>
      <c r="X332" s="48"/>
      <c r="Y332" s="48"/>
      <c r="Z332" s="48"/>
      <c r="AA332" s="48"/>
      <c r="AB332" s="48"/>
      <c r="AC332" s="48"/>
    </row>
    <row r="333" spans="1:29" ht="15.75" customHeight="1">
      <c r="A333" s="311">
        <v>154</v>
      </c>
      <c r="B333" s="311" t="s">
        <v>677</v>
      </c>
      <c r="C333" s="311" t="s">
        <v>678</v>
      </c>
      <c r="D333" s="312">
        <v>43009</v>
      </c>
      <c r="E333" s="48" t="s">
        <v>1119</v>
      </c>
      <c r="F333" s="105">
        <v>3</v>
      </c>
      <c r="G333" s="49">
        <v>2</v>
      </c>
      <c r="H333" s="105">
        <v>1</v>
      </c>
      <c r="I333" s="105">
        <v>1</v>
      </c>
      <c r="J333" s="105">
        <v>1</v>
      </c>
      <c r="K333" s="105">
        <v>1</v>
      </c>
      <c r="L333" s="105">
        <v>1</v>
      </c>
      <c r="M333" s="48">
        <v>0</v>
      </c>
      <c r="N333" s="48">
        <v>0</v>
      </c>
      <c r="O333" s="48">
        <v>0</v>
      </c>
      <c r="P333" s="48">
        <v>0</v>
      </c>
      <c r="Q333" s="48">
        <v>0</v>
      </c>
      <c r="R333" s="48"/>
      <c r="S333" s="48"/>
      <c r="T333" s="48"/>
      <c r="U333" s="48"/>
      <c r="V333" s="48"/>
      <c r="W333" s="48"/>
      <c r="X333" s="48"/>
      <c r="Y333" s="48"/>
      <c r="Z333" s="48"/>
      <c r="AA333" s="48"/>
      <c r="AB333" s="48"/>
      <c r="AC333" s="48"/>
    </row>
    <row r="334" spans="1:29" ht="15.75" customHeight="1">
      <c r="A334" s="311">
        <v>154</v>
      </c>
      <c r="B334" s="311" t="s">
        <v>677</v>
      </c>
      <c r="C334" s="311" t="s">
        <v>678</v>
      </c>
      <c r="D334" s="312">
        <v>43009</v>
      </c>
      <c r="E334" s="48" t="s">
        <v>1120</v>
      </c>
      <c r="F334" s="105">
        <v>3</v>
      </c>
      <c r="G334" s="49">
        <v>2</v>
      </c>
      <c r="H334" s="105">
        <v>1</v>
      </c>
      <c r="I334" s="105">
        <v>1</v>
      </c>
      <c r="J334" s="105">
        <v>1</v>
      </c>
      <c r="K334" s="105">
        <v>1</v>
      </c>
      <c r="L334" s="105">
        <v>1</v>
      </c>
      <c r="M334" s="48">
        <v>0</v>
      </c>
      <c r="N334" s="48">
        <v>0</v>
      </c>
      <c r="O334" s="48">
        <v>0</v>
      </c>
      <c r="P334" s="48">
        <v>0</v>
      </c>
      <c r="Q334" s="48">
        <v>0</v>
      </c>
      <c r="R334" s="48"/>
      <c r="S334" s="48"/>
      <c r="T334" s="48"/>
      <c r="U334" s="48"/>
      <c r="V334" s="48"/>
      <c r="W334" s="48"/>
      <c r="X334" s="48"/>
      <c r="Y334" s="48"/>
      <c r="Z334" s="48"/>
      <c r="AA334" s="48"/>
      <c r="AB334" s="48"/>
      <c r="AC334" s="48"/>
    </row>
    <row r="335" spans="1:29" ht="15.75" customHeight="1">
      <c r="A335" s="311">
        <v>154</v>
      </c>
      <c r="B335" s="311" t="s">
        <v>677</v>
      </c>
      <c r="C335" s="311" t="s">
        <v>678</v>
      </c>
      <c r="D335" s="312">
        <v>43009</v>
      </c>
      <c r="E335" s="48" t="s">
        <v>1121</v>
      </c>
      <c r="F335" s="105">
        <v>3</v>
      </c>
      <c r="G335" s="49">
        <v>2</v>
      </c>
      <c r="H335" s="105">
        <v>1</v>
      </c>
      <c r="I335" s="105">
        <v>1</v>
      </c>
      <c r="J335" s="105">
        <v>1</v>
      </c>
      <c r="K335" s="105">
        <v>1</v>
      </c>
      <c r="L335" s="105">
        <v>1</v>
      </c>
      <c r="M335" s="48">
        <v>0</v>
      </c>
      <c r="N335" s="48">
        <v>0</v>
      </c>
      <c r="O335" s="48">
        <v>0</v>
      </c>
      <c r="P335" s="48">
        <v>0</v>
      </c>
      <c r="Q335" s="48">
        <v>0</v>
      </c>
      <c r="R335" s="48"/>
      <c r="S335" s="48"/>
      <c r="T335" s="48"/>
      <c r="U335" s="48"/>
      <c r="V335" s="48"/>
      <c r="W335" s="48"/>
      <c r="X335" s="48"/>
      <c r="Y335" s="48"/>
      <c r="Z335" s="48"/>
      <c r="AA335" s="48"/>
      <c r="AB335" s="48"/>
      <c r="AC335" s="48"/>
    </row>
    <row r="336" spans="1:29" ht="15.75" customHeight="1">
      <c r="A336" s="311">
        <v>154</v>
      </c>
      <c r="B336" s="311" t="s">
        <v>677</v>
      </c>
      <c r="C336" s="311" t="s">
        <v>678</v>
      </c>
      <c r="D336" s="312">
        <v>43009</v>
      </c>
      <c r="E336" s="48" t="s">
        <v>1122</v>
      </c>
      <c r="F336" s="105">
        <v>3</v>
      </c>
      <c r="G336" s="49">
        <v>2</v>
      </c>
      <c r="H336" s="105">
        <v>0</v>
      </c>
      <c r="I336" s="105">
        <v>1</v>
      </c>
      <c r="J336" s="105">
        <v>0</v>
      </c>
      <c r="K336" s="105">
        <v>1</v>
      </c>
      <c r="L336" s="105">
        <v>1</v>
      </c>
      <c r="M336" s="48">
        <v>0</v>
      </c>
      <c r="N336" s="48">
        <v>0</v>
      </c>
      <c r="O336" s="48">
        <v>0</v>
      </c>
      <c r="P336" s="48">
        <v>0</v>
      </c>
      <c r="Q336" s="48">
        <v>0</v>
      </c>
      <c r="R336" s="48"/>
      <c r="S336" s="48"/>
      <c r="T336" s="48"/>
      <c r="U336" s="48"/>
      <c r="V336" s="48"/>
      <c r="W336" s="48"/>
      <c r="X336" s="48"/>
      <c r="Y336" s="48"/>
      <c r="Z336" s="48"/>
      <c r="AA336" s="48"/>
      <c r="AB336" s="48"/>
      <c r="AC336" s="48"/>
    </row>
    <row r="337" spans="1:29" ht="15.75" customHeight="1">
      <c r="A337" s="311">
        <v>154</v>
      </c>
      <c r="B337" s="311" t="s">
        <v>677</v>
      </c>
      <c r="C337" s="311" t="s">
        <v>678</v>
      </c>
      <c r="D337" s="312">
        <v>43009</v>
      </c>
      <c r="E337" s="48" t="s">
        <v>1123</v>
      </c>
      <c r="F337" s="105">
        <v>2</v>
      </c>
      <c r="G337" s="49">
        <v>2</v>
      </c>
      <c r="H337" s="105">
        <v>0</v>
      </c>
      <c r="I337" s="105">
        <v>1</v>
      </c>
      <c r="J337" s="48">
        <v>0</v>
      </c>
      <c r="K337" s="105">
        <v>0</v>
      </c>
      <c r="L337" s="105">
        <v>1</v>
      </c>
      <c r="M337" s="48">
        <v>0</v>
      </c>
      <c r="N337" s="48">
        <v>0</v>
      </c>
      <c r="O337" s="48">
        <v>0</v>
      </c>
      <c r="P337" s="48">
        <v>0</v>
      </c>
      <c r="Q337" s="48">
        <v>0</v>
      </c>
      <c r="R337" s="48"/>
      <c r="S337" s="48"/>
      <c r="T337" s="48"/>
      <c r="U337" s="48"/>
      <c r="V337" s="48"/>
      <c r="W337" s="48"/>
      <c r="X337" s="48"/>
      <c r="Y337" s="48"/>
      <c r="Z337" s="48"/>
      <c r="AA337" s="48"/>
      <c r="AB337" s="48"/>
      <c r="AC337" s="48"/>
    </row>
    <row r="338" spans="1:29" ht="15.75" customHeight="1">
      <c r="A338" s="311">
        <v>154</v>
      </c>
      <c r="B338" s="311" t="s">
        <v>677</v>
      </c>
      <c r="C338" s="311" t="s">
        <v>678</v>
      </c>
      <c r="D338" s="312">
        <v>43009</v>
      </c>
      <c r="E338" s="48" t="s">
        <v>1124</v>
      </c>
      <c r="F338" s="105">
        <v>3</v>
      </c>
      <c r="G338" s="49">
        <v>2</v>
      </c>
      <c r="H338" s="105">
        <v>1</v>
      </c>
      <c r="I338" s="105">
        <v>1</v>
      </c>
      <c r="J338" s="105">
        <v>0</v>
      </c>
      <c r="K338" s="105">
        <v>0</v>
      </c>
      <c r="L338" s="105">
        <v>1</v>
      </c>
      <c r="M338" s="48">
        <v>0</v>
      </c>
      <c r="N338" s="48">
        <v>0</v>
      </c>
      <c r="O338" s="48">
        <v>0</v>
      </c>
      <c r="P338" s="48">
        <v>0</v>
      </c>
      <c r="Q338" s="48">
        <v>0</v>
      </c>
      <c r="R338" s="48"/>
      <c r="S338" s="48"/>
      <c r="T338" s="48"/>
      <c r="U338" s="48"/>
      <c r="V338" s="48"/>
      <c r="W338" s="48"/>
      <c r="X338" s="48"/>
      <c r="Y338" s="48"/>
      <c r="Z338" s="48"/>
      <c r="AA338" s="48"/>
      <c r="AB338" s="48"/>
      <c r="AC338" s="48"/>
    </row>
    <row r="339" spans="1:29" ht="15.75" customHeight="1">
      <c r="A339" s="311">
        <v>154</v>
      </c>
      <c r="B339" s="311" t="s">
        <v>677</v>
      </c>
      <c r="C339" s="311" t="s">
        <v>678</v>
      </c>
      <c r="D339" s="312">
        <v>43009</v>
      </c>
      <c r="E339" s="48" t="s">
        <v>1125</v>
      </c>
      <c r="F339" s="105">
        <v>3</v>
      </c>
      <c r="G339" s="49">
        <v>1</v>
      </c>
      <c r="H339" s="105">
        <v>0</v>
      </c>
      <c r="I339" s="105">
        <v>1</v>
      </c>
      <c r="J339" s="48">
        <v>0</v>
      </c>
      <c r="K339" s="105">
        <v>1</v>
      </c>
      <c r="L339" s="105">
        <v>1</v>
      </c>
      <c r="M339" s="48">
        <v>0</v>
      </c>
      <c r="N339" s="48">
        <v>0</v>
      </c>
      <c r="O339" s="48">
        <v>0</v>
      </c>
      <c r="P339" s="48">
        <v>0</v>
      </c>
      <c r="Q339" s="48">
        <v>0</v>
      </c>
      <c r="R339" s="48"/>
      <c r="S339" s="48"/>
      <c r="T339" s="48"/>
      <c r="U339" s="48"/>
      <c r="V339" s="48"/>
      <c r="W339" s="48"/>
      <c r="X339" s="48"/>
      <c r="Y339" s="48"/>
      <c r="Z339" s="48"/>
      <c r="AA339" s="48"/>
      <c r="AB339" s="48"/>
      <c r="AC339" s="48"/>
    </row>
    <row r="340" spans="1:29" ht="15.75" customHeight="1">
      <c r="A340" s="311">
        <v>154</v>
      </c>
      <c r="B340" s="311" t="s">
        <v>677</v>
      </c>
      <c r="C340" s="311" t="s">
        <v>678</v>
      </c>
      <c r="D340" s="312">
        <v>43009</v>
      </c>
      <c r="E340" s="48" t="s">
        <v>1126</v>
      </c>
      <c r="F340" s="105">
        <v>0</v>
      </c>
      <c r="G340" s="49">
        <v>1</v>
      </c>
      <c r="H340" s="105">
        <v>2</v>
      </c>
      <c r="I340" s="105">
        <v>0</v>
      </c>
      <c r="J340" s="48" t="s">
        <v>100</v>
      </c>
      <c r="K340" s="105">
        <v>1</v>
      </c>
      <c r="L340" s="105">
        <v>1</v>
      </c>
      <c r="M340" s="48">
        <v>0</v>
      </c>
      <c r="N340" s="48">
        <v>0</v>
      </c>
      <c r="O340" s="48">
        <v>0</v>
      </c>
      <c r="P340" s="48">
        <v>0</v>
      </c>
      <c r="Q340" s="48">
        <v>0</v>
      </c>
      <c r="R340" s="48"/>
      <c r="S340" s="48"/>
      <c r="T340" s="48"/>
      <c r="U340" s="48"/>
      <c r="V340" s="48"/>
      <c r="W340" s="48"/>
      <c r="X340" s="48"/>
      <c r="Y340" s="48"/>
      <c r="Z340" s="48"/>
      <c r="AA340" s="48"/>
      <c r="AB340" s="48"/>
      <c r="AC340" s="48"/>
    </row>
    <row r="341" spans="1:29" ht="15.75" customHeight="1">
      <c r="A341" s="313">
        <v>155</v>
      </c>
      <c r="B341" s="313" t="s">
        <v>682</v>
      </c>
      <c r="C341" s="313" t="s">
        <v>683</v>
      </c>
      <c r="D341" s="314">
        <v>43044</v>
      </c>
      <c r="E341" s="48" t="s">
        <v>875</v>
      </c>
      <c r="F341" s="105">
        <v>0</v>
      </c>
      <c r="G341" s="49">
        <v>2</v>
      </c>
      <c r="H341" s="105"/>
      <c r="I341" s="48">
        <v>0</v>
      </c>
      <c r="J341" s="48">
        <v>0</v>
      </c>
      <c r="K341" s="105">
        <v>1</v>
      </c>
      <c r="L341" s="48">
        <v>0</v>
      </c>
      <c r="M341" s="105">
        <v>1</v>
      </c>
      <c r="N341" s="48">
        <v>0</v>
      </c>
      <c r="O341" s="48">
        <v>0</v>
      </c>
      <c r="P341" s="48">
        <v>0</v>
      </c>
      <c r="Q341" s="48">
        <v>0</v>
      </c>
      <c r="R341" s="48"/>
      <c r="S341" s="48"/>
      <c r="T341" s="48"/>
      <c r="U341" s="48"/>
      <c r="V341" s="48"/>
      <c r="W341" s="48"/>
      <c r="X341" s="48"/>
      <c r="Y341" s="48"/>
      <c r="Z341" s="48"/>
      <c r="AA341" s="48"/>
      <c r="AB341" s="48"/>
      <c r="AC341" s="48"/>
    </row>
    <row r="342" spans="1:29" ht="15.75" customHeight="1">
      <c r="A342" s="313">
        <v>155</v>
      </c>
      <c r="B342" s="313" t="s">
        <v>682</v>
      </c>
      <c r="C342" s="313" t="s">
        <v>683</v>
      </c>
      <c r="D342" s="314">
        <v>43044</v>
      </c>
      <c r="E342" s="48" t="s">
        <v>1127</v>
      </c>
      <c r="F342" s="105">
        <v>3</v>
      </c>
      <c r="G342" s="49">
        <v>0</v>
      </c>
      <c r="H342" s="105">
        <v>1</v>
      </c>
      <c r="I342" s="48">
        <v>0</v>
      </c>
      <c r="J342" s="105">
        <v>1</v>
      </c>
      <c r="K342" s="105">
        <v>1</v>
      </c>
      <c r="L342" s="48">
        <v>0</v>
      </c>
      <c r="M342" s="105">
        <v>1</v>
      </c>
      <c r="N342" s="48">
        <v>0</v>
      </c>
      <c r="O342" s="48">
        <v>0</v>
      </c>
      <c r="P342" s="48">
        <v>0</v>
      </c>
      <c r="Q342" s="48">
        <v>0</v>
      </c>
      <c r="R342" s="48"/>
      <c r="S342" s="48"/>
      <c r="T342" s="48"/>
      <c r="U342" s="48"/>
      <c r="V342" s="48"/>
      <c r="W342" s="48"/>
      <c r="X342" s="48"/>
      <c r="Y342" s="48"/>
      <c r="Z342" s="48"/>
      <c r="AA342" s="48"/>
      <c r="AB342" s="48"/>
      <c r="AC342" s="48"/>
    </row>
    <row r="343" spans="1:29" ht="15.75" customHeight="1">
      <c r="A343" s="313">
        <v>155</v>
      </c>
      <c r="B343" s="313" t="s">
        <v>682</v>
      </c>
      <c r="C343" s="313" t="s">
        <v>683</v>
      </c>
      <c r="D343" s="314">
        <v>43044</v>
      </c>
      <c r="E343" s="48" t="s">
        <v>1128</v>
      </c>
      <c r="F343" s="105">
        <v>0</v>
      </c>
      <c r="G343" s="49">
        <v>2</v>
      </c>
      <c r="H343" s="105"/>
      <c r="I343" s="48">
        <v>0</v>
      </c>
      <c r="J343" s="48">
        <v>0</v>
      </c>
      <c r="K343" s="105">
        <v>0</v>
      </c>
      <c r="L343" s="48">
        <v>0</v>
      </c>
      <c r="M343" s="105">
        <v>1</v>
      </c>
      <c r="N343" s="48">
        <v>0</v>
      </c>
      <c r="O343" s="48">
        <v>0</v>
      </c>
      <c r="P343" s="48">
        <v>0</v>
      </c>
      <c r="Q343" s="48">
        <v>0</v>
      </c>
      <c r="R343" s="48"/>
      <c r="S343" s="48"/>
      <c r="T343" s="48"/>
      <c r="U343" s="48"/>
      <c r="V343" s="48"/>
      <c r="W343" s="48"/>
      <c r="X343" s="48"/>
      <c r="Y343" s="48"/>
      <c r="Z343" s="48"/>
      <c r="AA343" s="48"/>
      <c r="AB343" s="48"/>
      <c r="AC343" s="48"/>
    </row>
    <row r="344" spans="1:29" ht="15.75" customHeight="1">
      <c r="A344" s="305">
        <v>156</v>
      </c>
      <c r="B344" s="305" t="s">
        <v>687</v>
      </c>
      <c r="C344" s="305" t="s">
        <v>688</v>
      </c>
      <c r="D344" s="306">
        <v>43053</v>
      </c>
      <c r="E344" s="48" t="s">
        <v>1091</v>
      </c>
      <c r="F344" s="105">
        <v>0</v>
      </c>
      <c r="G344" s="49">
        <v>2</v>
      </c>
      <c r="H344" s="48"/>
      <c r="I344" s="48">
        <v>0</v>
      </c>
      <c r="J344" s="48">
        <v>0</v>
      </c>
      <c r="K344" s="105">
        <v>0</v>
      </c>
      <c r="L344" s="48">
        <v>0</v>
      </c>
      <c r="M344" s="105">
        <v>6</v>
      </c>
      <c r="N344" s="48">
        <v>0</v>
      </c>
      <c r="O344" s="48">
        <v>0</v>
      </c>
      <c r="P344" s="105">
        <v>1</v>
      </c>
      <c r="Q344" s="48">
        <v>0</v>
      </c>
      <c r="R344" s="48"/>
      <c r="S344" s="48"/>
      <c r="T344" s="48"/>
      <c r="U344" s="48"/>
      <c r="V344" s="48"/>
      <c r="W344" s="48"/>
      <c r="X344" s="48"/>
      <c r="Y344" s="48"/>
      <c r="Z344" s="48"/>
      <c r="AA344" s="48"/>
      <c r="AB344" s="48"/>
      <c r="AC344" s="48"/>
    </row>
    <row r="345" spans="1:29" ht="15.75" customHeight="1">
      <c r="A345" s="305">
        <v>156</v>
      </c>
      <c r="B345" s="305" t="s">
        <v>687</v>
      </c>
      <c r="C345" s="305" t="s">
        <v>688</v>
      </c>
      <c r="D345" s="306">
        <v>43053</v>
      </c>
      <c r="E345" s="48" t="s">
        <v>873</v>
      </c>
      <c r="F345" s="105">
        <v>0</v>
      </c>
      <c r="G345" s="49"/>
      <c r="H345" s="105">
        <v>2</v>
      </c>
      <c r="I345" s="48">
        <v>0</v>
      </c>
      <c r="J345" s="48">
        <v>0</v>
      </c>
      <c r="K345" s="105">
        <v>1</v>
      </c>
      <c r="L345" s="48">
        <v>0</v>
      </c>
      <c r="M345" s="105">
        <v>6</v>
      </c>
      <c r="N345" s="48">
        <v>0</v>
      </c>
      <c r="O345" s="48">
        <v>0</v>
      </c>
      <c r="P345" s="48">
        <v>0</v>
      </c>
      <c r="Q345" s="48">
        <v>0</v>
      </c>
      <c r="R345" s="48"/>
      <c r="S345" s="48"/>
      <c r="T345" s="48"/>
      <c r="U345" s="48"/>
      <c r="V345" s="48"/>
      <c r="W345" s="48"/>
      <c r="X345" s="48"/>
      <c r="Y345" s="48"/>
      <c r="Z345" s="48"/>
      <c r="AA345" s="48"/>
      <c r="AB345" s="48"/>
      <c r="AC345" s="48"/>
    </row>
    <row r="346" spans="1:29" ht="15.75" customHeight="1">
      <c r="A346" s="305">
        <v>156</v>
      </c>
      <c r="B346" s="305" t="s">
        <v>687</v>
      </c>
      <c r="C346" s="305" t="s">
        <v>688</v>
      </c>
      <c r="D346" s="306">
        <v>43053</v>
      </c>
      <c r="E346" s="48" t="s">
        <v>1129</v>
      </c>
      <c r="F346" s="105">
        <v>3</v>
      </c>
      <c r="G346" s="49"/>
      <c r="H346" s="105">
        <v>1</v>
      </c>
      <c r="I346" s="105">
        <v>1</v>
      </c>
      <c r="J346" s="105">
        <v>0</v>
      </c>
      <c r="K346" s="48"/>
      <c r="L346" s="48">
        <v>0</v>
      </c>
      <c r="M346" s="105">
        <v>6</v>
      </c>
      <c r="N346" s="105">
        <v>1</v>
      </c>
      <c r="O346" s="48">
        <v>0</v>
      </c>
      <c r="P346" s="48">
        <v>0</v>
      </c>
      <c r="Q346" s="48">
        <v>0</v>
      </c>
      <c r="R346" s="48"/>
      <c r="S346" s="48"/>
      <c r="T346" s="48"/>
      <c r="U346" s="48"/>
      <c r="V346" s="48"/>
      <c r="W346" s="48"/>
      <c r="X346" s="48"/>
      <c r="Y346" s="48"/>
      <c r="Z346" s="48"/>
      <c r="AA346" s="48"/>
      <c r="AB346" s="48"/>
      <c r="AC346" s="48"/>
    </row>
    <row r="347" spans="1:29" ht="15.75" customHeight="1">
      <c r="A347" s="305">
        <v>156</v>
      </c>
      <c r="B347" s="305" t="s">
        <v>687</v>
      </c>
      <c r="C347" s="305" t="s">
        <v>688</v>
      </c>
      <c r="D347" s="306">
        <v>43053</v>
      </c>
      <c r="E347" s="48" t="s">
        <v>1129</v>
      </c>
      <c r="F347" s="105">
        <v>3</v>
      </c>
      <c r="G347" s="49">
        <v>2</v>
      </c>
      <c r="H347" s="105">
        <v>1</v>
      </c>
      <c r="I347" s="105">
        <v>1</v>
      </c>
      <c r="J347" s="105">
        <v>0</v>
      </c>
      <c r="K347" s="48"/>
      <c r="L347" s="48">
        <v>0</v>
      </c>
      <c r="M347" s="105">
        <v>6</v>
      </c>
      <c r="N347" s="105">
        <v>1</v>
      </c>
      <c r="O347" s="48">
        <v>0</v>
      </c>
      <c r="P347" s="48">
        <v>0</v>
      </c>
      <c r="Q347" s="48">
        <v>0</v>
      </c>
      <c r="R347" s="48"/>
      <c r="S347" s="48"/>
      <c r="T347" s="48"/>
      <c r="U347" s="48"/>
      <c r="V347" s="48"/>
      <c r="W347" s="48"/>
      <c r="X347" s="48"/>
      <c r="Y347" s="48"/>
      <c r="Z347" s="48"/>
      <c r="AA347" s="48"/>
      <c r="AB347" s="48"/>
      <c r="AC347" s="48"/>
    </row>
    <row r="348" spans="1:29" ht="15.75" customHeight="1">
      <c r="A348" s="307">
        <v>157</v>
      </c>
      <c r="B348" s="307" t="s">
        <v>692</v>
      </c>
      <c r="C348" s="307" t="s">
        <v>693</v>
      </c>
      <c r="D348" s="308">
        <v>43128</v>
      </c>
      <c r="E348" s="48" t="s">
        <v>1130</v>
      </c>
      <c r="F348" s="105">
        <v>3</v>
      </c>
      <c r="G348" s="49">
        <v>1</v>
      </c>
      <c r="H348" s="105">
        <v>1</v>
      </c>
      <c r="I348" s="48">
        <v>0</v>
      </c>
      <c r="J348" s="105">
        <v>0</v>
      </c>
      <c r="K348" s="105">
        <v>1</v>
      </c>
      <c r="L348" s="48"/>
      <c r="M348" s="48"/>
      <c r="N348" s="48"/>
      <c r="O348" s="48"/>
      <c r="P348" s="48"/>
      <c r="Q348" s="48">
        <v>1</v>
      </c>
      <c r="R348" s="48"/>
      <c r="S348" s="48"/>
      <c r="T348" s="48"/>
      <c r="U348" s="48"/>
      <c r="V348" s="48"/>
      <c r="W348" s="48"/>
      <c r="X348" s="48"/>
      <c r="Y348" s="48"/>
      <c r="Z348" s="48"/>
      <c r="AA348" s="48"/>
      <c r="AB348" s="48"/>
      <c r="AC348" s="48"/>
    </row>
    <row r="349" spans="1:29" ht="15.75" customHeight="1">
      <c r="A349" s="307">
        <v>157</v>
      </c>
      <c r="B349" s="307" t="s">
        <v>692</v>
      </c>
      <c r="C349" s="307" t="s">
        <v>693</v>
      </c>
      <c r="D349" s="308">
        <v>43128</v>
      </c>
      <c r="E349" s="48" t="s">
        <v>848</v>
      </c>
      <c r="F349" s="105" t="str">
        <f>HYPERLINK("https://beta.washingtonpost.com/news/post-nation/wp/2018/01/29/jealousy-and-obsession-may-have-led-carwash-shooting-suspect-to-kill-four-relatives-say/","0")</f>
        <v>0</v>
      </c>
      <c r="G349" s="49">
        <v>2</v>
      </c>
      <c r="H349" s="105">
        <v>1</v>
      </c>
      <c r="I349" s="48">
        <v>0</v>
      </c>
      <c r="J349" s="105">
        <v>0</v>
      </c>
      <c r="K349" s="105">
        <v>1</v>
      </c>
      <c r="L349" s="48"/>
      <c r="M349" s="48"/>
      <c r="N349" s="48"/>
      <c r="O349" s="48"/>
      <c r="P349" s="48"/>
      <c r="Q349" s="48">
        <v>1</v>
      </c>
      <c r="R349" s="48"/>
      <c r="S349" s="48"/>
      <c r="T349" s="48"/>
      <c r="U349" s="48"/>
      <c r="V349" s="48"/>
      <c r="W349" s="48"/>
      <c r="X349" s="48"/>
      <c r="Y349" s="48"/>
      <c r="Z349" s="48"/>
      <c r="AA349" s="48"/>
      <c r="AB349" s="48"/>
      <c r="AC349" s="48"/>
    </row>
    <row r="350" spans="1:29" ht="15.75" customHeight="1">
      <c r="A350" s="307">
        <v>157</v>
      </c>
      <c r="B350" s="307" t="s">
        <v>692</v>
      </c>
      <c r="C350" s="307" t="s">
        <v>693</v>
      </c>
      <c r="D350" s="308">
        <v>43128</v>
      </c>
      <c r="E350" s="48" t="s">
        <v>1131</v>
      </c>
      <c r="F350" s="105">
        <v>2</v>
      </c>
      <c r="G350" s="49">
        <v>2</v>
      </c>
      <c r="H350" s="105">
        <v>0</v>
      </c>
      <c r="I350" s="48">
        <v>0</v>
      </c>
      <c r="J350" s="48">
        <v>0</v>
      </c>
      <c r="K350" s="105">
        <v>1</v>
      </c>
      <c r="L350" s="48"/>
      <c r="M350" s="48"/>
      <c r="N350" s="48"/>
      <c r="O350" s="48"/>
      <c r="P350" s="48"/>
      <c r="Q350" s="48">
        <v>1</v>
      </c>
      <c r="R350" s="48"/>
      <c r="S350" s="48"/>
      <c r="T350" s="48"/>
      <c r="U350" s="48"/>
      <c r="V350" s="48"/>
      <c r="W350" s="48"/>
      <c r="X350" s="48"/>
      <c r="Y350" s="48"/>
      <c r="Z350" s="48"/>
      <c r="AA350" s="48"/>
      <c r="AB350" s="48"/>
      <c r="AC350" s="48"/>
    </row>
    <row r="351" spans="1:29" ht="15.75" customHeight="1">
      <c r="A351" s="309">
        <v>158</v>
      </c>
      <c r="B351" s="309" t="s">
        <v>697</v>
      </c>
      <c r="C351" s="309" t="s">
        <v>698</v>
      </c>
      <c r="D351" s="310">
        <v>43145</v>
      </c>
      <c r="E351" s="48" t="s">
        <v>1096</v>
      </c>
      <c r="F351" s="105">
        <v>3</v>
      </c>
      <c r="G351" s="49"/>
      <c r="H351" s="105" t="str">
        <f>HYPERLINK("https://www.nbcnews.com/news/us-news/police-respond-shooting-parkland-florida-high-school-n848101","1")</f>
        <v>1</v>
      </c>
      <c r="I351" s="48">
        <v>0</v>
      </c>
      <c r="J351" s="105">
        <v>0</v>
      </c>
      <c r="K351" s="105">
        <v>1</v>
      </c>
      <c r="L351" s="105">
        <v>1</v>
      </c>
      <c r="M351" s="48">
        <v>0</v>
      </c>
      <c r="N351" s="48">
        <v>0</v>
      </c>
      <c r="O351" s="48">
        <v>0</v>
      </c>
      <c r="P351" s="48">
        <v>0</v>
      </c>
      <c r="Q351" s="48">
        <v>0</v>
      </c>
      <c r="R351" s="48"/>
      <c r="S351" s="48"/>
      <c r="T351" s="48"/>
      <c r="U351" s="48"/>
      <c r="V351" s="48"/>
      <c r="W351" s="48"/>
      <c r="X351" s="48"/>
      <c r="Y351" s="48"/>
      <c r="Z351" s="48"/>
      <c r="AA351" s="48"/>
      <c r="AB351" s="48"/>
      <c r="AC351" s="48"/>
    </row>
    <row r="352" spans="1:29" ht="15.75" customHeight="1">
      <c r="A352" s="311">
        <v>159</v>
      </c>
      <c r="B352" s="311" t="s">
        <v>700</v>
      </c>
      <c r="C352" s="311" t="s">
        <v>268</v>
      </c>
      <c r="D352" s="312">
        <v>43157</v>
      </c>
      <c r="E352" s="48" t="s">
        <v>839</v>
      </c>
      <c r="F352" s="105" t="str">
        <f>HYPERLINK("https://www.detroitnews.com/story/news/local/detroit-city/2018/02/26/gas-station-detroit-shooting/372730002/","0")</f>
        <v>0</v>
      </c>
      <c r="G352" s="49"/>
      <c r="H352" s="105" t="str">
        <f>HYPERLINK("https://www.detroitnews.com/story/news/local/detroit-city/2018/02/26/gas-station-detroit-shooting/372730002/","1")</f>
        <v>1</v>
      </c>
      <c r="I352" s="48">
        <v>0</v>
      </c>
      <c r="J352" s="48">
        <v>0</v>
      </c>
      <c r="K352" s="48"/>
      <c r="L352" s="48"/>
      <c r="M352" s="48"/>
      <c r="N352" s="48"/>
      <c r="O352" s="48"/>
      <c r="P352" s="48"/>
      <c r="Q352" s="48">
        <v>1</v>
      </c>
      <c r="R352" s="48"/>
      <c r="S352" s="48"/>
      <c r="T352" s="48"/>
      <c r="U352" s="48"/>
      <c r="V352" s="48"/>
      <c r="W352" s="48"/>
      <c r="X352" s="48"/>
      <c r="Y352" s="48"/>
      <c r="Z352" s="48"/>
      <c r="AA352" s="48"/>
      <c r="AB352" s="48"/>
      <c r="AC352" s="48"/>
    </row>
    <row r="353" spans="1:29" ht="15.75" customHeight="1">
      <c r="A353" s="313">
        <v>160</v>
      </c>
      <c r="B353" s="313" t="s">
        <v>703</v>
      </c>
      <c r="C353" s="313" t="s">
        <v>704</v>
      </c>
      <c r="D353" s="314">
        <v>43212</v>
      </c>
      <c r="E353" s="48" t="s">
        <v>885</v>
      </c>
      <c r="F353" s="105">
        <v>3</v>
      </c>
      <c r="G353" s="49"/>
      <c r="H353" s="105" t="str">
        <f t="shared" ref="H353:K353" si="43">HYPERLINK("https://www.tennessean.com/story/news/crime/2019/03/14/travis-reinking-father-jeffrey-waffle-house-shooting/3016158002/","1")</f>
        <v>1</v>
      </c>
      <c r="I353" s="48">
        <v>0</v>
      </c>
      <c r="J353" s="48">
        <v>0</v>
      </c>
      <c r="K353" s="105" t="str">
        <f t="shared" si="43"/>
        <v>1</v>
      </c>
      <c r="L353" s="48">
        <v>0</v>
      </c>
      <c r="M353" s="105">
        <v>6</v>
      </c>
      <c r="N353" s="48">
        <v>0</v>
      </c>
      <c r="O353" s="48">
        <v>0</v>
      </c>
      <c r="P353" s="48">
        <v>0</v>
      </c>
      <c r="Q353" s="48">
        <v>0</v>
      </c>
      <c r="R353" s="48"/>
      <c r="S353" s="48"/>
      <c r="T353" s="48"/>
      <c r="U353" s="48"/>
      <c r="V353" s="48"/>
      <c r="W353" s="48"/>
      <c r="X353" s="48"/>
      <c r="Y353" s="48"/>
      <c r="Z353" s="48"/>
      <c r="AA353" s="48"/>
      <c r="AB353" s="48"/>
      <c r="AC353" s="48"/>
    </row>
    <row r="354" spans="1:29" ht="15.75" customHeight="1">
      <c r="A354" s="313">
        <v>160</v>
      </c>
      <c r="B354" s="313" t="s">
        <v>703</v>
      </c>
      <c r="C354" s="313" t="s">
        <v>704</v>
      </c>
      <c r="D354" s="314">
        <v>43212</v>
      </c>
      <c r="E354" s="48" t="s">
        <v>947</v>
      </c>
      <c r="F354" s="105">
        <v>0</v>
      </c>
      <c r="G354" s="49">
        <v>2</v>
      </c>
      <c r="H354" s="105">
        <v>0</v>
      </c>
      <c r="I354" s="48">
        <v>0</v>
      </c>
      <c r="J354" s="48">
        <v>0</v>
      </c>
      <c r="K354" s="105">
        <v>1</v>
      </c>
      <c r="L354" s="48">
        <v>0</v>
      </c>
      <c r="M354" s="105">
        <v>6</v>
      </c>
      <c r="N354" s="48">
        <v>0</v>
      </c>
      <c r="O354" s="48">
        <v>0</v>
      </c>
      <c r="P354" s="105">
        <v>0</v>
      </c>
      <c r="Q354" s="48">
        <v>0</v>
      </c>
      <c r="R354" s="48"/>
      <c r="S354" s="48"/>
      <c r="T354" s="48"/>
      <c r="U354" s="48"/>
      <c r="V354" s="48"/>
      <c r="W354" s="48"/>
      <c r="X354" s="48"/>
      <c r="Y354" s="48"/>
      <c r="Z354" s="48"/>
      <c r="AA354" s="48"/>
      <c r="AB354" s="48"/>
      <c r="AC354" s="48"/>
    </row>
    <row r="355" spans="1:29" ht="15.75" customHeight="1">
      <c r="A355" s="305">
        <v>161</v>
      </c>
      <c r="B355" s="305" t="s">
        <v>706</v>
      </c>
      <c r="C355" s="305" t="s">
        <v>707</v>
      </c>
      <c r="D355" s="306">
        <v>43238</v>
      </c>
      <c r="E355" s="48" t="s">
        <v>1132</v>
      </c>
      <c r="F355" s="105">
        <v>1</v>
      </c>
      <c r="G355" s="49">
        <v>1</v>
      </c>
      <c r="H355" s="105">
        <v>1</v>
      </c>
      <c r="I355" s="48">
        <v>0</v>
      </c>
      <c r="J355" s="48" t="s">
        <v>100</v>
      </c>
      <c r="K355" s="105">
        <v>0</v>
      </c>
      <c r="L355" s="48">
        <v>0</v>
      </c>
      <c r="M355" s="48">
        <v>0</v>
      </c>
      <c r="N355" s="48">
        <v>0</v>
      </c>
      <c r="O355" s="48">
        <v>0</v>
      </c>
      <c r="P355" s="105">
        <v>1</v>
      </c>
      <c r="Q355" s="48">
        <v>0</v>
      </c>
      <c r="R355" s="48"/>
      <c r="S355" s="48"/>
      <c r="T355" s="48"/>
      <c r="U355" s="48"/>
      <c r="V355" s="48"/>
      <c r="W355" s="48"/>
      <c r="X355" s="48"/>
      <c r="Y355" s="48"/>
      <c r="Z355" s="48"/>
      <c r="AA355" s="48"/>
      <c r="AB355" s="48"/>
      <c r="AC355" s="48"/>
    </row>
    <row r="356" spans="1:29" ht="15.75" customHeight="1">
      <c r="A356" s="305">
        <v>161</v>
      </c>
      <c r="B356" s="305" t="s">
        <v>706</v>
      </c>
      <c r="C356" s="305" t="s">
        <v>707</v>
      </c>
      <c r="D356" s="306">
        <v>43238</v>
      </c>
      <c r="E356" s="48" t="s">
        <v>1133</v>
      </c>
      <c r="F356" s="105">
        <v>0</v>
      </c>
      <c r="G356" s="49">
        <v>2</v>
      </c>
      <c r="H356" s="105">
        <v>1</v>
      </c>
      <c r="I356" s="48">
        <v>0</v>
      </c>
      <c r="J356" s="48" t="s">
        <v>100</v>
      </c>
      <c r="K356" s="105">
        <v>0</v>
      </c>
      <c r="L356" s="48">
        <v>0</v>
      </c>
      <c r="M356" s="48">
        <v>0</v>
      </c>
      <c r="N356" s="48">
        <v>0</v>
      </c>
      <c r="O356" s="48">
        <v>0</v>
      </c>
      <c r="P356" s="105">
        <v>1</v>
      </c>
      <c r="Q356" s="48">
        <v>0</v>
      </c>
      <c r="R356" s="48"/>
      <c r="S356" s="48"/>
      <c r="T356" s="48"/>
      <c r="U356" s="48"/>
      <c r="V356" s="48"/>
      <c r="W356" s="48"/>
      <c r="X356" s="48"/>
      <c r="Y356" s="48"/>
      <c r="Z356" s="48"/>
      <c r="AA356" s="48"/>
      <c r="AB356" s="48"/>
      <c r="AC356" s="48"/>
    </row>
    <row r="357" spans="1:29" ht="15.75" customHeight="1">
      <c r="A357" s="307">
        <v>162</v>
      </c>
      <c r="B357" s="307" t="s">
        <v>710</v>
      </c>
      <c r="C357" s="307" t="s">
        <v>711</v>
      </c>
      <c r="D357" s="308">
        <v>43279</v>
      </c>
      <c r="E357" s="48" t="s">
        <v>886</v>
      </c>
      <c r="F357" s="105">
        <v>1</v>
      </c>
      <c r="G357" s="49">
        <v>2</v>
      </c>
      <c r="H357" s="105" t="str">
        <f t="shared" ref="H357:K357" si="44">HYPERLINK("https://time.com/5326056/capital-gazette-shooter-jarrod-w-ramos/","1")</f>
        <v>1</v>
      </c>
      <c r="I357" s="48">
        <v>0</v>
      </c>
      <c r="J357" s="48" t="s">
        <v>100</v>
      </c>
      <c r="K357" s="105" t="str">
        <f t="shared" si="44"/>
        <v>1</v>
      </c>
      <c r="L357" s="105">
        <v>3</v>
      </c>
      <c r="M357" s="48">
        <v>0</v>
      </c>
      <c r="N357" s="48">
        <v>0</v>
      </c>
      <c r="O357" s="48">
        <v>0</v>
      </c>
      <c r="P357" s="48">
        <v>0</v>
      </c>
      <c r="Q357" s="48">
        <v>0</v>
      </c>
      <c r="R357" s="48"/>
      <c r="S357" s="48"/>
      <c r="T357" s="48"/>
      <c r="U357" s="48"/>
      <c r="V357" s="48"/>
      <c r="W357" s="48"/>
      <c r="X357" s="48"/>
      <c r="Y357" s="48"/>
      <c r="Z357" s="48"/>
      <c r="AA357" s="48"/>
      <c r="AB357" s="48"/>
      <c r="AC357" s="48"/>
    </row>
    <row r="358" spans="1:29" ht="15.75" customHeight="1">
      <c r="A358" s="309">
        <v>163</v>
      </c>
      <c r="B358" s="309" t="s">
        <v>714</v>
      </c>
      <c r="C358" s="309" t="s">
        <v>715</v>
      </c>
      <c r="D358" s="310">
        <v>43355</v>
      </c>
      <c r="E358" s="48" t="s">
        <v>887</v>
      </c>
      <c r="F358" s="105" t="str">
        <f>HYPERLINK("https://www.bakersfield.com/ex-wife-in-mass-shooting-had-just-filed-for-child/article_8d7510c2-bc38-11e8-bc73-c3793e2ec681.html","0")</f>
        <v>0</v>
      </c>
      <c r="G358" s="49"/>
      <c r="H358" s="101" t="str">
        <f t="shared" ref="H358:K358" si="45">HYPERLINK("https://www.bakersfield.com/ex-wife-in-mass-shooting-had-just-filed-for-child/article_8d7510c2-bc38-11e8-bc73-c3793e2ec681.html","1")</f>
        <v>1</v>
      </c>
      <c r="I358" s="48">
        <v>0</v>
      </c>
      <c r="J358" s="48" t="s">
        <v>100</v>
      </c>
      <c r="K358" s="101" t="str">
        <f t="shared" si="45"/>
        <v>1</v>
      </c>
      <c r="L358" s="101">
        <v>3</v>
      </c>
      <c r="M358" s="48">
        <v>0</v>
      </c>
      <c r="N358" s="48">
        <v>0</v>
      </c>
      <c r="O358" s="48">
        <v>0</v>
      </c>
      <c r="P358" s="48">
        <v>0</v>
      </c>
      <c r="Q358" s="48">
        <v>0</v>
      </c>
      <c r="R358" s="48"/>
      <c r="S358" s="48"/>
      <c r="T358" s="48"/>
      <c r="U358" s="48"/>
      <c r="V358" s="48"/>
      <c r="W358" s="48"/>
      <c r="X358" s="48"/>
      <c r="Y358" s="48"/>
      <c r="Z358" s="48"/>
      <c r="AA358" s="48"/>
      <c r="AB358" s="48"/>
      <c r="AC358" s="48"/>
    </row>
    <row r="359" spans="1:29" ht="15.75" customHeight="1">
      <c r="A359" s="311">
        <v>164</v>
      </c>
      <c r="B359" s="311" t="s">
        <v>718</v>
      </c>
      <c r="C359" s="311" t="s">
        <v>102</v>
      </c>
      <c r="D359" s="312">
        <v>43400</v>
      </c>
      <c r="E359" s="48" t="s">
        <v>1134</v>
      </c>
      <c r="F359" s="105" t="str">
        <f>HYPERLINK("https://www.post-gazette.com/news/crime-courts/2018/10/28/TIMELINE-20-minutes-of-terror-gripped-Squirrel-Hill-during-Saturday-synagogue-attack/stories/201810280197","3")</f>
        <v>3</v>
      </c>
      <c r="G359" s="49">
        <v>1</v>
      </c>
      <c r="H359" s="105">
        <v>1</v>
      </c>
      <c r="I359" s="48">
        <v>0</v>
      </c>
      <c r="J359" s="105">
        <v>0</v>
      </c>
      <c r="K359" s="105">
        <v>1</v>
      </c>
      <c r="L359" s="105"/>
      <c r="M359" s="48"/>
      <c r="N359" s="48"/>
      <c r="O359" s="48"/>
      <c r="P359" s="48"/>
      <c r="Q359" s="105">
        <v>1</v>
      </c>
      <c r="R359" s="48"/>
      <c r="S359" s="48"/>
      <c r="T359" s="48"/>
      <c r="U359" s="48"/>
      <c r="V359" s="48"/>
      <c r="W359" s="48"/>
      <c r="X359" s="48"/>
      <c r="Y359" s="48"/>
      <c r="Z359" s="48"/>
      <c r="AA359" s="48"/>
      <c r="AB359" s="48"/>
      <c r="AC359" s="48"/>
    </row>
    <row r="360" spans="1:29" ht="15.75" customHeight="1">
      <c r="A360" s="311">
        <v>164</v>
      </c>
      <c r="B360" s="311" t="s">
        <v>718</v>
      </c>
      <c r="C360" s="311" t="s">
        <v>102</v>
      </c>
      <c r="D360" s="312">
        <v>43400</v>
      </c>
      <c r="E360" s="48" t="s">
        <v>1135</v>
      </c>
      <c r="F360" s="105" t="str">
        <f t="shared" ref="F360:F362" si="46">HYPERLINK("https://www.post-gazette.com/news/crime-courts/2018/10/28/TIMELINE-20-minutes-of-terror-gripped-Squirrel-Hill-during-Saturday-synagogue-attack/stories/201810280197","0")</f>
        <v>0</v>
      </c>
      <c r="G360" s="49">
        <v>1</v>
      </c>
      <c r="H360" s="48"/>
      <c r="I360" s="48">
        <v>0</v>
      </c>
      <c r="J360" s="48">
        <v>0</v>
      </c>
      <c r="K360" s="105">
        <v>1</v>
      </c>
      <c r="L360" s="105"/>
      <c r="M360" s="48"/>
      <c r="N360" s="48"/>
      <c r="O360" s="48"/>
      <c r="P360" s="48"/>
      <c r="Q360" s="105">
        <v>1</v>
      </c>
      <c r="R360" s="48"/>
      <c r="S360" s="48"/>
      <c r="T360" s="48"/>
      <c r="U360" s="48"/>
      <c r="V360" s="48"/>
      <c r="W360" s="48"/>
      <c r="X360" s="48"/>
      <c r="Y360" s="48"/>
      <c r="Z360" s="48"/>
      <c r="AA360" s="48"/>
      <c r="AB360" s="48"/>
      <c r="AC360" s="48"/>
    </row>
    <row r="361" spans="1:29" ht="15.75" customHeight="1">
      <c r="A361" s="311">
        <v>164</v>
      </c>
      <c r="B361" s="311" t="s">
        <v>718</v>
      </c>
      <c r="C361" s="311" t="s">
        <v>102</v>
      </c>
      <c r="D361" s="312">
        <v>43400</v>
      </c>
      <c r="E361" s="48" t="s">
        <v>1135</v>
      </c>
      <c r="F361" s="105" t="str">
        <f t="shared" si="46"/>
        <v>0</v>
      </c>
      <c r="G361" s="49">
        <v>1</v>
      </c>
      <c r="H361" s="48"/>
      <c r="I361" s="48">
        <v>0</v>
      </c>
      <c r="J361" s="48">
        <v>0</v>
      </c>
      <c r="K361" s="105">
        <v>1</v>
      </c>
      <c r="L361" s="105"/>
      <c r="M361" s="48"/>
      <c r="N361" s="48"/>
      <c r="O361" s="48"/>
      <c r="P361" s="48"/>
      <c r="Q361" s="105">
        <v>1</v>
      </c>
      <c r="R361" s="48"/>
      <c r="S361" s="48"/>
      <c r="T361" s="48"/>
      <c r="U361" s="48"/>
      <c r="V361" s="48"/>
      <c r="W361" s="48"/>
      <c r="X361" s="48"/>
      <c r="Y361" s="48"/>
      <c r="Z361" s="48"/>
      <c r="AA361" s="48"/>
      <c r="AB361" s="48"/>
      <c r="AC361" s="48"/>
    </row>
    <row r="362" spans="1:29" ht="15.75" customHeight="1">
      <c r="A362" s="311">
        <v>164</v>
      </c>
      <c r="B362" s="311" t="s">
        <v>718</v>
      </c>
      <c r="C362" s="311" t="s">
        <v>102</v>
      </c>
      <c r="D362" s="312">
        <v>43400</v>
      </c>
      <c r="E362" s="48" t="s">
        <v>1135</v>
      </c>
      <c r="F362" s="105" t="str">
        <f t="shared" si="46"/>
        <v>0</v>
      </c>
      <c r="G362" s="49"/>
      <c r="H362" s="48"/>
      <c r="I362" s="48">
        <v>0</v>
      </c>
      <c r="J362" s="48">
        <v>0</v>
      </c>
      <c r="K362" s="105">
        <v>1</v>
      </c>
      <c r="L362" s="105"/>
      <c r="M362" s="48"/>
      <c r="N362" s="48"/>
      <c r="O362" s="48"/>
      <c r="P362" s="48"/>
      <c r="Q362" s="105">
        <v>1</v>
      </c>
      <c r="R362" s="48"/>
      <c r="S362" s="48"/>
      <c r="T362" s="48"/>
      <c r="U362" s="48"/>
      <c r="V362" s="48"/>
      <c r="W362" s="48"/>
      <c r="X362" s="48"/>
      <c r="Y362" s="48"/>
      <c r="Z362" s="48"/>
      <c r="AA362" s="48"/>
      <c r="AB362" s="48"/>
      <c r="AC362" s="48"/>
    </row>
    <row r="363" spans="1:29" ht="15.75" customHeight="1">
      <c r="A363" s="311">
        <v>164</v>
      </c>
      <c r="B363" s="311" t="s">
        <v>718</v>
      </c>
      <c r="C363" s="311" t="s">
        <v>102</v>
      </c>
      <c r="D363" s="312">
        <v>43400</v>
      </c>
      <c r="E363" s="48" t="s">
        <v>982</v>
      </c>
      <c r="F363" s="105">
        <v>1</v>
      </c>
      <c r="G363" s="49">
        <v>2</v>
      </c>
      <c r="H363" s="105">
        <v>0</v>
      </c>
      <c r="I363" s="48">
        <v>0</v>
      </c>
      <c r="J363" s="48" t="s">
        <v>100</v>
      </c>
      <c r="K363" s="105">
        <v>1</v>
      </c>
      <c r="L363" s="105"/>
      <c r="M363" s="48"/>
      <c r="N363" s="48"/>
      <c r="O363" s="48"/>
      <c r="P363" s="48"/>
      <c r="Q363" s="105">
        <v>1</v>
      </c>
      <c r="R363" s="48"/>
      <c r="S363" s="48"/>
      <c r="T363" s="48"/>
      <c r="U363" s="48"/>
      <c r="V363" s="48"/>
      <c r="W363" s="48"/>
      <c r="X363" s="48"/>
      <c r="Y363" s="48"/>
      <c r="Z363" s="48"/>
      <c r="AA363" s="48"/>
      <c r="AB363" s="48"/>
      <c r="AC363" s="48"/>
    </row>
    <row r="364" spans="1:29" ht="15.75" customHeight="1">
      <c r="A364" s="313">
        <v>165</v>
      </c>
      <c r="B364" s="313" t="s">
        <v>721</v>
      </c>
      <c r="C364" s="313" t="s">
        <v>722</v>
      </c>
      <c r="D364" s="314">
        <v>43411</v>
      </c>
      <c r="E364" s="48" t="s">
        <v>1136</v>
      </c>
      <c r="F364" s="105" t="str">
        <f>HYPERLINK("https://www.cnn.com/2018/11/08/us/thousands-oaks-california-bar-shooting/index.html","0")</f>
        <v>0</v>
      </c>
      <c r="G364" s="49">
        <v>1</v>
      </c>
      <c r="H364" s="105" t="str">
        <f t="shared" ref="H364:K364" si="47">HYPERLINK("https://www.washingtonpost.com/nation/2018/11/27/investigators-still-seeking-motive-thousand-oaks-shooting/?noredirect=on&amp;utm_term=.889384b0c0b7","1")</f>
        <v>1</v>
      </c>
      <c r="I364" s="48">
        <v>0</v>
      </c>
      <c r="J364" s="105">
        <v>1</v>
      </c>
      <c r="K364" s="105" t="str">
        <f t="shared" si="47"/>
        <v>1</v>
      </c>
      <c r="L364" s="105">
        <v>3</v>
      </c>
      <c r="M364" s="48">
        <v>0</v>
      </c>
      <c r="N364" s="48">
        <v>0</v>
      </c>
      <c r="O364" s="48">
        <v>0</v>
      </c>
      <c r="P364" s="48">
        <v>0</v>
      </c>
      <c r="Q364" s="48">
        <v>0</v>
      </c>
      <c r="R364" s="48"/>
      <c r="S364" s="48"/>
      <c r="T364" s="48"/>
      <c r="U364" s="48"/>
      <c r="V364" s="48"/>
      <c r="W364" s="48"/>
      <c r="X364" s="48"/>
      <c r="Y364" s="48"/>
      <c r="Z364" s="48"/>
      <c r="AA364" s="48"/>
      <c r="AB364" s="48"/>
      <c r="AC364" s="48"/>
    </row>
    <row r="365" spans="1:29" ht="15.75" customHeight="1">
      <c r="A365" s="305">
        <v>166</v>
      </c>
      <c r="B365" s="305" t="s">
        <v>725</v>
      </c>
      <c r="C365" s="305" t="s">
        <v>726</v>
      </c>
      <c r="D365" s="306">
        <v>43488</v>
      </c>
      <c r="E365" s="48" t="s">
        <v>848</v>
      </c>
      <c r="F365" s="105" t="str">
        <f>HYPERLINK("https://www.cnn.com/2019/01/24/us/sebring-florida-bank-shooting/index.html","0")</f>
        <v>0</v>
      </c>
      <c r="G365" s="49">
        <v>2</v>
      </c>
      <c r="H365" s="105" t="str">
        <f>HYPERLINK("https://www.cnn.com/2019/01/24/us/sebring-florida-bank-shooting/index.html","1")</f>
        <v>1</v>
      </c>
      <c r="I365" s="48">
        <v>0</v>
      </c>
      <c r="J365" s="48">
        <v>0</v>
      </c>
      <c r="K365" s="105" t="str">
        <f>HYPERLINK("https://apnews.com/0444326988b240e8a1da5a09476102a8","0")</f>
        <v>0</v>
      </c>
      <c r="L365" s="105">
        <v>3</v>
      </c>
      <c r="M365" s="48">
        <v>0</v>
      </c>
      <c r="N365" s="48">
        <v>0</v>
      </c>
      <c r="O365" s="48">
        <v>0</v>
      </c>
      <c r="P365" s="48">
        <v>0</v>
      </c>
      <c r="Q365" s="48">
        <v>0</v>
      </c>
      <c r="R365" s="48"/>
      <c r="S365" s="48"/>
      <c r="T365" s="48"/>
      <c r="U365" s="48"/>
      <c r="V365" s="48"/>
      <c r="W365" s="48"/>
      <c r="X365" s="48"/>
      <c r="Y365" s="48"/>
      <c r="Z365" s="48"/>
      <c r="AA365" s="48"/>
      <c r="AB365" s="48"/>
      <c r="AC365" s="48"/>
    </row>
    <row r="366" spans="1:29" ht="15.75" customHeight="1">
      <c r="A366" s="307">
        <v>167</v>
      </c>
      <c r="B366" s="307" t="s">
        <v>728</v>
      </c>
      <c r="C366" s="307" t="s">
        <v>729</v>
      </c>
      <c r="D366" s="308">
        <v>43511</v>
      </c>
      <c r="E366" s="48" t="s">
        <v>1042</v>
      </c>
      <c r="F366" s="105" t="str">
        <f>HYPERLINK("https://chicago.cbslocal.com/2019/04/29/gary-martin-henry-pratt-shooting-report-police-justified/","0")</f>
        <v>0</v>
      </c>
      <c r="G366" s="49">
        <v>2</v>
      </c>
      <c r="H366" s="105">
        <v>1</v>
      </c>
      <c r="I366" s="48">
        <v>0</v>
      </c>
      <c r="J366" s="105">
        <v>0</v>
      </c>
      <c r="K366" s="105" t="str">
        <f>HYPERLINK("https://www.washingtonpost.com/nation/2019/02/16/man-kills-five-warehouse-shooting-spree-shortly-after-being-fired-illinois-police-say/","1")</f>
        <v>1</v>
      </c>
      <c r="L366" s="48">
        <v>0</v>
      </c>
      <c r="M366" s="105">
        <v>1</v>
      </c>
      <c r="N366" s="48">
        <v>0</v>
      </c>
      <c r="O366" s="48">
        <v>0</v>
      </c>
      <c r="P366" s="48">
        <v>0</v>
      </c>
      <c r="Q366" s="48">
        <v>0</v>
      </c>
      <c r="R366" s="48"/>
      <c r="S366" s="48"/>
      <c r="T366" s="48"/>
      <c r="U366" s="48"/>
      <c r="V366" s="48"/>
      <c r="W366" s="48"/>
      <c r="X366" s="48"/>
      <c r="Y366" s="48"/>
      <c r="Z366" s="48"/>
      <c r="AA366" s="48"/>
      <c r="AB366" s="48"/>
      <c r="AC366" s="48"/>
    </row>
    <row r="367" spans="1:29" ht="15.75" customHeight="1">
      <c r="A367" s="309">
        <v>168</v>
      </c>
      <c r="B367" s="309" t="s">
        <v>731</v>
      </c>
      <c r="C367" s="309" t="s">
        <v>732</v>
      </c>
      <c r="D367" s="310">
        <v>43616</v>
      </c>
      <c r="E367" s="48" t="s">
        <v>1136</v>
      </c>
      <c r="F367" s="105">
        <v>0</v>
      </c>
      <c r="G367" s="49">
        <v>2</v>
      </c>
      <c r="H367" s="105">
        <v>1</v>
      </c>
      <c r="I367" s="48">
        <v>0</v>
      </c>
      <c r="J367" s="105">
        <v>1</v>
      </c>
      <c r="K367" s="105">
        <v>1</v>
      </c>
      <c r="L367" s="105">
        <v>3</v>
      </c>
      <c r="M367" s="48">
        <v>0</v>
      </c>
      <c r="N367" s="48">
        <v>0</v>
      </c>
      <c r="O367" s="48">
        <v>0</v>
      </c>
      <c r="P367" s="48">
        <v>0</v>
      </c>
      <c r="Q367" s="48">
        <v>0</v>
      </c>
      <c r="R367" s="48"/>
      <c r="S367" s="48"/>
      <c r="T367" s="48"/>
      <c r="U367" s="48"/>
      <c r="V367" s="48"/>
      <c r="W367" s="48"/>
      <c r="X367" s="48"/>
      <c r="Y367" s="48"/>
      <c r="Z367" s="48"/>
      <c r="AA367" s="48"/>
      <c r="AB367" s="48"/>
      <c r="AC367" s="48"/>
    </row>
    <row r="368" spans="1:29" ht="15.75" customHeight="1">
      <c r="A368" s="309">
        <v>168</v>
      </c>
      <c r="B368" s="309" t="s">
        <v>731</v>
      </c>
      <c r="C368" s="309" t="s">
        <v>732</v>
      </c>
      <c r="D368" s="310">
        <v>43616</v>
      </c>
      <c r="E368" s="48" t="s">
        <v>1137</v>
      </c>
      <c r="F368" s="105">
        <v>0</v>
      </c>
      <c r="G368" s="49">
        <v>2</v>
      </c>
      <c r="H368" s="105">
        <v>1</v>
      </c>
      <c r="I368" s="105" t="str">
        <f>HYPERLINK("https://www.washingtonpost.com/local/public-safety/dewayne-craddock-a-longtime-virginia-beach-employee-identified-as-shooter-who-killed-12-in-city-building/2019/06/01/0fe20766-840e-11e9-95a9-e2c830afe24f_story.html","1")</f>
        <v>1</v>
      </c>
      <c r="J368" s="105">
        <v>1</v>
      </c>
      <c r="K368" s="105">
        <v>1</v>
      </c>
      <c r="L368" s="105">
        <v>3</v>
      </c>
      <c r="M368" s="48">
        <v>0</v>
      </c>
      <c r="N368" s="48">
        <v>0</v>
      </c>
      <c r="O368" s="48">
        <v>0</v>
      </c>
      <c r="P368" s="48">
        <v>0</v>
      </c>
      <c r="Q368" s="48">
        <v>0</v>
      </c>
      <c r="R368" s="48"/>
      <c r="S368" s="48"/>
      <c r="T368" s="48"/>
      <c r="U368" s="48"/>
      <c r="V368" s="48"/>
      <c r="W368" s="48"/>
      <c r="X368" s="48"/>
      <c r="Y368" s="48"/>
      <c r="Z368" s="48"/>
      <c r="AA368" s="48"/>
      <c r="AB368" s="48"/>
      <c r="AC368" s="48"/>
    </row>
    <row r="369" spans="1:29" ht="15.75" customHeight="1">
      <c r="A369" s="311">
        <v>169</v>
      </c>
      <c r="B369" s="311" t="s">
        <v>736</v>
      </c>
      <c r="C369" s="311" t="s">
        <v>234</v>
      </c>
      <c r="D369" s="312">
        <v>43680</v>
      </c>
      <c r="E369" s="48" t="s">
        <v>1138</v>
      </c>
      <c r="F369" s="105">
        <v>3</v>
      </c>
      <c r="G369" s="49">
        <v>2</v>
      </c>
      <c r="H369" s="105">
        <v>1</v>
      </c>
      <c r="I369" s="48">
        <v>0</v>
      </c>
      <c r="J369" s="105">
        <v>1</v>
      </c>
      <c r="K369" s="105" t="str">
        <f>HYPERLINK("https://abcnews.go.com/US/mother-el-paso-shooter-patrick-crusius-called-police/story?id=64846894","1")</f>
        <v>1</v>
      </c>
      <c r="L369" s="105">
        <v>1</v>
      </c>
      <c r="M369" s="48">
        <v>0</v>
      </c>
      <c r="N369" s="48">
        <v>0</v>
      </c>
      <c r="O369" s="48">
        <v>0</v>
      </c>
      <c r="P369" s="48">
        <v>0</v>
      </c>
      <c r="Q369" s="48">
        <v>0</v>
      </c>
      <c r="R369" s="48"/>
      <c r="S369" s="48"/>
      <c r="T369" s="48"/>
      <c r="U369" s="48"/>
      <c r="V369" s="48"/>
      <c r="W369" s="48"/>
      <c r="X369" s="48"/>
      <c r="Y369" s="48"/>
      <c r="Z369" s="48"/>
      <c r="AA369" s="48"/>
      <c r="AB369" s="48"/>
      <c r="AC369" s="48"/>
    </row>
    <row r="370" spans="1:29" ht="15.75" customHeight="1">
      <c r="A370" s="313">
        <v>170</v>
      </c>
      <c r="B370" s="313" t="s">
        <v>738</v>
      </c>
      <c r="C370" s="313" t="s">
        <v>739</v>
      </c>
      <c r="D370" s="314">
        <v>43681</v>
      </c>
      <c r="E370" s="48" t="s">
        <v>1139</v>
      </c>
      <c r="F370" s="105">
        <v>3</v>
      </c>
      <c r="G370" s="49"/>
      <c r="H370" s="105" t="str">
        <f>HYPERLINK("https://www.nytimes.com/2019/08/04/us/dayton-ohio-shooting.html","1")</f>
        <v>1</v>
      </c>
      <c r="I370" s="105">
        <v>1</v>
      </c>
      <c r="J370" s="105">
        <v>1</v>
      </c>
      <c r="K370" s="48"/>
      <c r="L370" s="105">
        <v>1</v>
      </c>
      <c r="M370" s="48">
        <v>0</v>
      </c>
      <c r="N370" s="48">
        <v>0</v>
      </c>
      <c r="O370" s="48">
        <v>0</v>
      </c>
      <c r="P370" s="48">
        <v>0</v>
      </c>
      <c r="Q370" s="48">
        <v>0</v>
      </c>
      <c r="R370" s="48"/>
      <c r="S370" s="48"/>
      <c r="T370" s="48"/>
      <c r="U370" s="48"/>
      <c r="V370" s="48"/>
      <c r="W370" s="48"/>
      <c r="X370" s="48"/>
      <c r="Y370" s="48"/>
      <c r="Z370" s="48"/>
      <c r="AA370" s="48"/>
      <c r="AB370" s="48"/>
      <c r="AC370" s="48"/>
    </row>
    <row r="371" spans="1:29" ht="15.75" customHeight="1">
      <c r="A371" s="313">
        <v>170</v>
      </c>
      <c r="B371" s="313" t="s">
        <v>738</v>
      </c>
      <c r="C371" s="313" t="s">
        <v>739</v>
      </c>
      <c r="D371" s="314">
        <v>43681</v>
      </c>
      <c r="E371" s="48" t="s">
        <v>982</v>
      </c>
      <c r="F371" s="105" t="str">
        <f>HYPERLINK("https://www.nytimes.com/2019/08/04/us/dayton-ohio-shooting.html","1")</f>
        <v>1</v>
      </c>
      <c r="G371" s="49">
        <v>2</v>
      </c>
      <c r="H371" s="105" t="str">
        <f>HYPERLINK("https://www.nytimes.com/2019/08/04/us/dayton-ohio-shooting.html","0")</f>
        <v>0</v>
      </c>
      <c r="I371" s="48">
        <v>0</v>
      </c>
      <c r="J371" s="48" t="s">
        <v>100</v>
      </c>
      <c r="K371" s="48"/>
      <c r="L371" s="105">
        <v>1</v>
      </c>
      <c r="M371" s="48">
        <v>0</v>
      </c>
      <c r="N371" s="48">
        <v>0</v>
      </c>
      <c r="O371" s="48">
        <v>0</v>
      </c>
      <c r="P371" s="48">
        <v>0</v>
      </c>
      <c r="Q371" s="48">
        <v>0</v>
      </c>
      <c r="R371" s="48"/>
      <c r="S371" s="48"/>
      <c r="T371" s="48"/>
      <c r="U371" s="48"/>
      <c r="V371" s="48"/>
      <c r="W371" s="48"/>
      <c r="X371" s="48"/>
      <c r="Y371" s="48"/>
      <c r="Z371" s="48"/>
      <c r="AA371" s="48"/>
      <c r="AB371" s="48"/>
      <c r="AC371" s="48"/>
    </row>
    <row r="372" spans="1:29" ht="15.75" customHeight="1">
      <c r="A372" s="305">
        <v>171</v>
      </c>
      <c r="B372" s="305" t="s">
        <v>744</v>
      </c>
      <c r="C372" s="305" t="s">
        <v>745</v>
      </c>
      <c r="D372" s="306">
        <v>43708</v>
      </c>
      <c r="E372" s="48" t="s">
        <v>888</v>
      </c>
      <c r="F372" s="105">
        <v>3</v>
      </c>
      <c r="G372" s="49"/>
      <c r="H372" s="105">
        <v>1</v>
      </c>
      <c r="I372" s="48">
        <v>0</v>
      </c>
      <c r="J372" s="105">
        <v>0</v>
      </c>
      <c r="K372" s="48"/>
      <c r="L372" s="105" t="str">
        <f>HYPERLINK("https://www.cnn.com/2019/09/02/us/west-texas-shooting-monday/index.html","2")</f>
        <v>2</v>
      </c>
      <c r="M372" s="48">
        <v>0</v>
      </c>
      <c r="N372" s="48">
        <v>0</v>
      </c>
      <c r="O372" s="48">
        <v>0</v>
      </c>
      <c r="P372" s="48">
        <v>0</v>
      </c>
      <c r="Q372" s="48">
        <v>0</v>
      </c>
      <c r="R372" s="48"/>
      <c r="S372" s="48"/>
      <c r="T372" s="48"/>
      <c r="U372" s="48"/>
      <c r="V372" s="48"/>
      <c r="W372" s="48"/>
      <c r="X372" s="48"/>
      <c r="Y372" s="48"/>
      <c r="Z372" s="48"/>
      <c r="AA372" s="48"/>
      <c r="AB372" s="48"/>
      <c r="AC372" s="48"/>
    </row>
    <row r="373" spans="1:29" ht="15.75" customHeight="1">
      <c r="A373" s="307" t="s">
        <v>1140</v>
      </c>
      <c r="B373" s="307" t="s">
        <v>1141</v>
      </c>
      <c r="C373" s="307" t="s">
        <v>1142</v>
      </c>
      <c r="D373" s="308">
        <v>43809</v>
      </c>
      <c r="E373" s="48" t="s">
        <v>1143</v>
      </c>
      <c r="F373" s="105">
        <v>3</v>
      </c>
      <c r="G373" s="49">
        <v>2</v>
      </c>
      <c r="H373" s="105">
        <v>1</v>
      </c>
      <c r="I373" s="48">
        <v>0</v>
      </c>
      <c r="J373" s="105">
        <v>0</v>
      </c>
      <c r="K373" s="48"/>
      <c r="L373" s="48"/>
      <c r="M373" s="48"/>
      <c r="N373" s="48"/>
      <c r="O373" s="48"/>
      <c r="P373" s="48"/>
      <c r="Q373" s="48">
        <v>1</v>
      </c>
      <c r="R373" s="48"/>
      <c r="S373" s="48"/>
      <c r="T373" s="48"/>
      <c r="U373" s="48"/>
      <c r="V373" s="48"/>
      <c r="W373" s="48"/>
      <c r="X373" s="48"/>
      <c r="Y373" s="48"/>
      <c r="Z373" s="48"/>
      <c r="AA373" s="48"/>
      <c r="AB373" s="48"/>
      <c r="AC373" s="48"/>
    </row>
    <row r="374" spans="1:29" ht="15.75" customHeight="1">
      <c r="A374" s="307" t="s">
        <v>1140</v>
      </c>
      <c r="B374" s="307" t="s">
        <v>1141</v>
      </c>
      <c r="C374" s="307" t="s">
        <v>1142</v>
      </c>
      <c r="D374" s="308">
        <v>43809</v>
      </c>
      <c r="E374" s="48" t="s">
        <v>1144</v>
      </c>
      <c r="F374" s="105" t="str">
        <f>HYPERLINK("http://newjersey.news12.com/story/41444962/nj-attorney-general-jersey-city-shooters-had-tremendous-amount-of-firepower-could-have-continued-rampage","1")</f>
        <v>1</v>
      </c>
      <c r="G374" s="49">
        <v>1</v>
      </c>
      <c r="H374" s="105">
        <v>1</v>
      </c>
      <c r="I374" s="48">
        <v>0</v>
      </c>
      <c r="J374" s="48" t="s">
        <v>100</v>
      </c>
      <c r="K374" s="105">
        <v>1</v>
      </c>
      <c r="L374" s="105">
        <v>1</v>
      </c>
      <c r="M374" s="48">
        <v>0</v>
      </c>
      <c r="N374" s="48">
        <v>0</v>
      </c>
      <c r="O374" s="48">
        <v>0</v>
      </c>
      <c r="P374" s="48">
        <v>0</v>
      </c>
      <c r="Q374" s="48">
        <v>0</v>
      </c>
      <c r="R374" s="48"/>
      <c r="S374" s="48"/>
      <c r="T374" s="48"/>
      <c r="U374" s="48"/>
      <c r="V374" s="48"/>
      <c r="W374" s="48"/>
      <c r="X374" s="48"/>
      <c r="Y374" s="48"/>
      <c r="Z374" s="48"/>
      <c r="AA374" s="48"/>
      <c r="AB374" s="48"/>
      <c r="AC374" s="48"/>
    </row>
    <row r="375" spans="1:29" ht="15.75" customHeight="1">
      <c r="A375" s="307" t="s">
        <v>1140</v>
      </c>
      <c r="B375" s="307" t="s">
        <v>1141</v>
      </c>
      <c r="C375" s="307" t="s">
        <v>1142</v>
      </c>
      <c r="D375" s="308">
        <v>43809</v>
      </c>
      <c r="E375" s="48" t="s">
        <v>1145</v>
      </c>
      <c r="F375" s="105" t="str">
        <f t="shared" ref="F375:F377" si="48">HYPERLINK("http://newjersey.news12.com/story/41444962/nj-attorney-general-jersey-city-shooters-had-tremendous-amount-of-firepower-could-have-continued-rampage","0")</f>
        <v>0</v>
      </c>
      <c r="G375" s="49">
        <v>1</v>
      </c>
      <c r="H375" s="48"/>
      <c r="I375" s="48">
        <v>0</v>
      </c>
      <c r="J375" s="48">
        <v>0</v>
      </c>
      <c r="K375" s="48"/>
      <c r="L375" s="48"/>
      <c r="M375" s="48"/>
      <c r="N375" s="48"/>
      <c r="O375" s="48"/>
      <c r="P375" s="48"/>
      <c r="Q375" s="48">
        <v>1</v>
      </c>
      <c r="R375" s="48"/>
      <c r="S375" s="48"/>
      <c r="T375" s="48"/>
      <c r="U375" s="48"/>
      <c r="V375" s="48"/>
      <c r="W375" s="48"/>
      <c r="X375" s="48"/>
      <c r="Y375" s="48"/>
      <c r="Z375" s="48"/>
      <c r="AA375" s="48"/>
      <c r="AB375" s="48"/>
      <c r="AC375" s="48"/>
    </row>
    <row r="376" spans="1:29" ht="15.75" customHeight="1">
      <c r="A376" s="307" t="s">
        <v>1140</v>
      </c>
      <c r="B376" s="307" t="s">
        <v>1141</v>
      </c>
      <c r="C376" s="307" t="s">
        <v>1142</v>
      </c>
      <c r="D376" s="308">
        <v>43809</v>
      </c>
      <c r="E376" s="48" t="s">
        <v>859</v>
      </c>
      <c r="F376" s="105" t="str">
        <f t="shared" si="48"/>
        <v>0</v>
      </c>
      <c r="G376" s="49">
        <v>0</v>
      </c>
      <c r="H376" s="48"/>
      <c r="I376" s="48">
        <v>0</v>
      </c>
      <c r="J376" s="48">
        <v>0</v>
      </c>
      <c r="K376" s="48"/>
      <c r="L376" s="48"/>
      <c r="M376" s="48"/>
      <c r="N376" s="48"/>
      <c r="O376" s="48"/>
      <c r="P376" s="48"/>
      <c r="Q376" s="48">
        <v>1</v>
      </c>
      <c r="R376" s="48"/>
      <c r="S376" s="48"/>
      <c r="T376" s="48"/>
      <c r="U376" s="48"/>
      <c r="V376" s="48"/>
      <c r="W376" s="48"/>
      <c r="X376" s="48"/>
      <c r="Y376" s="48"/>
      <c r="Z376" s="48"/>
      <c r="AA376" s="48"/>
      <c r="AB376" s="48"/>
      <c r="AC376" s="48"/>
    </row>
    <row r="377" spans="1:29" ht="15.75" customHeight="1">
      <c r="A377" s="307" t="s">
        <v>1140</v>
      </c>
      <c r="B377" s="307" t="s">
        <v>1141</v>
      </c>
      <c r="C377" s="307" t="s">
        <v>1142</v>
      </c>
      <c r="D377" s="308">
        <v>43809</v>
      </c>
      <c r="E377" s="48" t="s">
        <v>1146</v>
      </c>
      <c r="F377" s="105" t="str">
        <f t="shared" si="48"/>
        <v>0</v>
      </c>
      <c r="G377" s="49"/>
      <c r="H377" s="105">
        <v>0</v>
      </c>
      <c r="I377" s="105">
        <v>1</v>
      </c>
      <c r="J377" s="105">
        <v>0</v>
      </c>
      <c r="K377" s="105">
        <v>1</v>
      </c>
      <c r="L377" s="105">
        <v>1</v>
      </c>
      <c r="M377" s="48">
        <v>0</v>
      </c>
      <c r="N377" s="48">
        <v>0</v>
      </c>
      <c r="O377" s="48">
        <v>0</v>
      </c>
      <c r="P377" s="48">
        <v>0</v>
      </c>
      <c r="Q377" s="48">
        <v>0</v>
      </c>
      <c r="R377" s="48"/>
      <c r="S377" s="48"/>
      <c r="T377" s="48"/>
      <c r="U377" s="48"/>
      <c r="V377" s="48"/>
      <c r="W377" s="48"/>
      <c r="X377" s="48"/>
      <c r="Y377" s="48"/>
      <c r="Z377" s="48"/>
      <c r="AA377" s="48"/>
      <c r="AB377" s="48"/>
      <c r="AC377" s="48"/>
    </row>
    <row r="378" spans="1:29" ht="15.75" customHeight="1">
      <c r="A378" s="309">
        <v>174</v>
      </c>
      <c r="B378" s="309" t="s">
        <v>895</v>
      </c>
      <c r="C378" s="309" t="s">
        <v>481</v>
      </c>
      <c r="D378" s="310">
        <v>43887</v>
      </c>
      <c r="E378" s="48" t="s">
        <v>1147</v>
      </c>
      <c r="F378" s="105" t="str">
        <f t="shared" ref="F378:F379" si="49">HYPERLINK("https://www.usatoday.com/story/news/nation/2020/03/02/milwaukee-molson-coors-shooting-miller-brewery-anthony-ferrill/4928061002/","0")</f>
        <v>0</v>
      </c>
      <c r="G378" s="49"/>
      <c r="H378" s="48"/>
      <c r="I378" s="105">
        <v>1</v>
      </c>
      <c r="J378" s="48">
        <v>0</v>
      </c>
      <c r="K378" s="105">
        <v>1</v>
      </c>
      <c r="L378" s="105">
        <v>3</v>
      </c>
      <c r="M378" s="48">
        <v>0</v>
      </c>
      <c r="N378" s="48"/>
      <c r="O378" s="48">
        <v>0</v>
      </c>
      <c r="P378" s="48">
        <v>0</v>
      </c>
      <c r="Q378" s="48">
        <v>0</v>
      </c>
      <c r="R378" s="48"/>
      <c r="S378" s="48"/>
      <c r="T378" s="48"/>
      <c r="U378" s="48"/>
      <c r="V378" s="48"/>
      <c r="W378" s="48"/>
      <c r="X378" s="48"/>
      <c r="Y378" s="48"/>
      <c r="Z378" s="48"/>
      <c r="AA378" s="48"/>
      <c r="AB378" s="48"/>
      <c r="AC378" s="48"/>
    </row>
    <row r="379" spans="1:29" ht="15.75" customHeight="1">
      <c r="A379" s="309">
        <v>174</v>
      </c>
      <c r="B379" s="309" t="s">
        <v>895</v>
      </c>
      <c r="C379" s="309" t="s">
        <v>481</v>
      </c>
      <c r="D379" s="310">
        <v>43887</v>
      </c>
      <c r="E379" s="48" t="s">
        <v>839</v>
      </c>
      <c r="F379" s="105" t="str">
        <f t="shared" si="49"/>
        <v>0</v>
      </c>
      <c r="G379" s="49"/>
      <c r="H379" s="48"/>
      <c r="I379" s="48">
        <v>0</v>
      </c>
      <c r="J379" s="48">
        <v>0</v>
      </c>
      <c r="K379" s="105">
        <v>1</v>
      </c>
      <c r="L379" s="105">
        <v>3</v>
      </c>
      <c r="M379" s="48">
        <v>0</v>
      </c>
      <c r="N379" s="48"/>
      <c r="O379" s="48">
        <v>0</v>
      </c>
      <c r="P379" s="48">
        <v>0</v>
      </c>
      <c r="Q379" s="48">
        <v>0</v>
      </c>
      <c r="R379" s="48"/>
      <c r="S379" s="48"/>
      <c r="T379" s="48"/>
      <c r="U379" s="48"/>
      <c r="V379" s="48"/>
      <c r="W379" s="48"/>
      <c r="X379" s="48"/>
      <c r="Y379" s="48"/>
      <c r="Z379" s="48"/>
      <c r="AA379" s="48"/>
      <c r="AB379" s="48"/>
      <c r="AC379" s="48"/>
    </row>
    <row r="380" spans="1:29" ht="15.75" customHeight="1">
      <c r="A380" s="48"/>
      <c r="B380" s="48"/>
      <c r="C380" s="48"/>
      <c r="D380" s="98"/>
      <c r="E380" s="48"/>
      <c r="F380" s="48"/>
      <c r="G380" s="49"/>
      <c r="H380" s="48"/>
      <c r="I380" s="48"/>
      <c r="J380" s="48"/>
      <c r="K380" s="48"/>
      <c r="L380" s="48"/>
      <c r="M380" s="48"/>
      <c r="N380" s="48"/>
      <c r="O380" s="48"/>
      <c r="P380" s="48"/>
      <c r="Q380" s="48"/>
      <c r="R380" s="48"/>
      <c r="S380" s="48"/>
      <c r="T380" s="48"/>
      <c r="U380" s="48"/>
      <c r="V380" s="48"/>
      <c r="W380" s="48"/>
      <c r="X380" s="48"/>
      <c r="Y380" s="48"/>
      <c r="Z380" s="48"/>
      <c r="AA380" s="48"/>
      <c r="AB380" s="48"/>
      <c r="AC380" s="48"/>
    </row>
    <row r="381" spans="1:29" ht="15.75" customHeight="1">
      <c r="A381" s="48"/>
      <c r="B381" s="48"/>
      <c r="C381" s="48"/>
      <c r="D381" s="98"/>
      <c r="E381" s="48"/>
      <c r="F381" s="48"/>
      <c r="G381" s="49"/>
      <c r="H381" s="48"/>
      <c r="I381" s="48"/>
      <c r="J381" s="48"/>
      <c r="K381" s="48"/>
      <c r="L381" s="48"/>
      <c r="M381" s="48"/>
      <c r="N381" s="48"/>
      <c r="O381" s="48"/>
      <c r="P381" s="48"/>
      <c r="Q381" s="48"/>
      <c r="R381" s="48"/>
      <c r="S381" s="48"/>
      <c r="T381" s="48"/>
      <c r="U381" s="48"/>
      <c r="V381" s="48"/>
      <c r="W381" s="48"/>
      <c r="X381" s="48"/>
      <c r="Y381" s="48"/>
      <c r="Z381" s="48"/>
      <c r="AA381" s="48"/>
      <c r="AB381" s="48"/>
      <c r="AC381" s="48"/>
    </row>
    <row r="382" spans="1:29" ht="15.75" customHeight="1">
      <c r="A382" s="48"/>
      <c r="B382" s="48"/>
      <c r="C382" s="48"/>
      <c r="D382" s="98"/>
      <c r="E382" s="48"/>
      <c r="F382" s="48"/>
      <c r="G382" s="49"/>
      <c r="H382" s="48"/>
      <c r="I382" s="48"/>
      <c r="J382" s="48"/>
      <c r="K382" s="48"/>
      <c r="L382" s="48"/>
      <c r="M382" s="48"/>
      <c r="N382" s="48"/>
      <c r="O382" s="48"/>
      <c r="P382" s="48"/>
      <c r="Q382" s="48"/>
      <c r="R382" s="48"/>
      <c r="S382" s="48"/>
      <c r="T382" s="48"/>
      <c r="U382" s="48"/>
      <c r="V382" s="48"/>
      <c r="W382" s="48"/>
      <c r="X382" s="48"/>
      <c r="Y382" s="48"/>
      <c r="Z382" s="48"/>
      <c r="AA382" s="48"/>
      <c r="AB382" s="48"/>
      <c r="AC382" s="48"/>
    </row>
    <row r="383" spans="1:29" ht="15.75" customHeight="1">
      <c r="A383" s="48"/>
      <c r="B383" s="48"/>
      <c r="C383" s="48"/>
      <c r="D383" s="98"/>
      <c r="E383" s="48"/>
      <c r="F383" s="48"/>
      <c r="G383" s="49"/>
      <c r="H383" s="48"/>
      <c r="I383" s="48"/>
      <c r="J383" s="48"/>
      <c r="K383" s="48"/>
      <c r="L383" s="48"/>
      <c r="M383" s="48"/>
      <c r="N383" s="48"/>
      <c r="O383" s="48"/>
      <c r="P383" s="48"/>
      <c r="Q383" s="48"/>
      <c r="R383" s="48"/>
      <c r="S383" s="48"/>
      <c r="T383" s="48"/>
      <c r="U383" s="48"/>
      <c r="V383" s="48"/>
      <c r="W383" s="48"/>
      <c r="X383" s="48"/>
      <c r="Y383" s="48"/>
      <c r="Z383" s="48"/>
      <c r="AA383" s="48"/>
      <c r="AB383" s="48"/>
      <c r="AC383" s="48"/>
    </row>
    <row r="384" spans="1:29" ht="15.75" customHeight="1">
      <c r="A384" s="48"/>
      <c r="B384" s="48"/>
      <c r="C384" s="48"/>
      <c r="D384" s="98"/>
      <c r="E384" s="48"/>
      <c r="F384" s="48"/>
      <c r="G384" s="49"/>
      <c r="H384" s="48"/>
      <c r="I384" s="48"/>
      <c r="J384" s="48"/>
      <c r="K384" s="48"/>
      <c r="L384" s="48"/>
      <c r="M384" s="48"/>
      <c r="N384" s="48"/>
      <c r="O384" s="48"/>
      <c r="P384" s="48"/>
      <c r="Q384" s="48"/>
      <c r="R384" s="48"/>
      <c r="S384" s="48"/>
      <c r="T384" s="48"/>
      <c r="U384" s="48"/>
      <c r="V384" s="48"/>
      <c r="W384" s="48"/>
      <c r="X384" s="48"/>
      <c r="Y384" s="48"/>
      <c r="Z384" s="48"/>
      <c r="AA384" s="48"/>
      <c r="AB384" s="48"/>
      <c r="AC384" s="48"/>
    </row>
    <row r="385" spans="1:29" ht="15.75" customHeight="1">
      <c r="A385" s="48"/>
      <c r="B385" s="48"/>
      <c r="C385" s="48"/>
      <c r="D385" s="98"/>
      <c r="E385" s="48"/>
      <c r="F385" s="48"/>
      <c r="G385" s="49"/>
      <c r="H385" s="48"/>
      <c r="I385" s="48"/>
      <c r="J385" s="48"/>
      <c r="K385" s="48"/>
      <c r="L385" s="48"/>
      <c r="M385" s="48"/>
      <c r="N385" s="48"/>
      <c r="O385" s="48"/>
      <c r="P385" s="48"/>
      <c r="Q385" s="48"/>
      <c r="R385" s="48"/>
      <c r="S385" s="48"/>
      <c r="T385" s="48"/>
      <c r="U385" s="48"/>
      <c r="V385" s="48"/>
      <c r="W385" s="48"/>
      <c r="X385" s="48"/>
      <c r="Y385" s="48"/>
      <c r="Z385" s="48"/>
      <c r="AA385" s="48"/>
      <c r="AB385" s="48"/>
      <c r="AC385" s="48"/>
    </row>
    <row r="386" spans="1:29" ht="15.75" customHeight="1">
      <c r="A386" s="48"/>
      <c r="B386" s="48"/>
      <c r="C386" s="48"/>
      <c r="D386" s="98"/>
      <c r="E386" s="48"/>
      <c r="F386" s="48"/>
      <c r="G386" s="49"/>
      <c r="H386" s="48"/>
      <c r="I386" s="48"/>
      <c r="J386" s="48"/>
      <c r="K386" s="48"/>
      <c r="L386" s="48"/>
      <c r="M386" s="48"/>
      <c r="N386" s="48"/>
      <c r="O386" s="48"/>
      <c r="P386" s="48"/>
      <c r="Q386" s="48"/>
      <c r="R386" s="48"/>
      <c r="S386" s="48"/>
      <c r="T386" s="48"/>
      <c r="U386" s="48"/>
      <c r="V386" s="48"/>
      <c r="W386" s="48"/>
      <c r="X386" s="48"/>
      <c r="Y386" s="48"/>
      <c r="Z386" s="48"/>
      <c r="AA386" s="48"/>
      <c r="AB386" s="48"/>
      <c r="AC386" s="48"/>
    </row>
    <row r="387" spans="1:29" ht="15.75" customHeight="1">
      <c r="A387" s="48"/>
      <c r="B387" s="48"/>
      <c r="C387" s="48"/>
      <c r="D387" s="98"/>
      <c r="E387" s="48"/>
      <c r="F387" s="48"/>
      <c r="G387" s="49"/>
      <c r="H387" s="48"/>
      <c r="I387" s="48"/>
      <c r="J387" s="48"/>
      <c r="K387" s="48"/>
      <c r="L387" s="48"/>
      <c r="M387" s="48"/>
      <c r="N387" s="48"/>
      <c r="O387" s="48"/>
      <c r="P387" s="48"/>
      <c r="Q387" s="48"/>
      <c r="R387" s="48"/>
      <c r="S387" s="48"/>
      <c r="T387" s="48"/>
      <c r="U387" s="48"/>
      <c r="V387" s="48"/>
      <c r="W387" s="48"/>
      <c r="X387" s="48"/>
      <c r="Y387" s="48"/>
      <c r="Z387" s="48"/>
      <c r="AA387" s="48"/>
      <c r="AB387" s="48"/>
      <c r="AC387" s="48"/>
    </row>
    <row r="388" spans="1:29" ht="15.75" customHeight="1">
      <c r="A388" s="48"/>
      <c r="B388" s="48"/>
      <c r="C388" s="48"/>
      <c r="D388" s="98"/>
      <c r="E388" s="48"/>
      <c r="F388" s="48"/>
      <c r="G388" s="49"/>
      <c r="H388" s="48"/>
      <c r="I388" s="48"/>
      <c r="J388" s="48"/>
      <c r="K388" s="48"/>
      <c r="L388" s="48"/>
      <c r="M388" s="48"/>
      <c r="N388" s="48"/>
      <c r="O388" s="48"/>
      <c r="P388" s="48"/>
      <c r="Q388" s="48"/>
      <c r="R388" s="48"/>
      <c r="S388" s="48"/>
      <c r="T388" s="48"/>
      <c r="U388" s="48"/>
      <c r="V388" s="48"/>
      <c r="W388" s="48"/>
      <c r="X388" s="48"/>
      <c r="Y388" s="48"/>
      <c r="Z388" s="48"/>
      <c r="AA388" s="48"/>
      <c r="AB388" s="48"/>
      <c r="AC388" s="48"/>
    </row>
    <row r="389" spans="1:29" ht="15.75" customHeight="1">
      <c r="A389" s="48"/>
      <c r="B389" s="48"/>
      <c r="C389" s="48"/>
      <c r="D389" s="98"/>
      <c r="E389" s="48"/>
      <c r="F389" s="48"/>
      <c r="G389" s="49"/>
      <c r="H389" s="48"/>
      <c r="I389" s="48"/>
      <c r="J389" s="48"/>
      <c r="K389" s="48"/>
      <c r="L389" s="48"/>
      <c r="M389" s="48"/>
      <c r="N389" s="48"/>
      <c r="O389" s="48"/>
      <c r="P389" s="48"/>
      <c r="Q389" s="48"/>
      <c r="R389" s="48"/>
      <c r="S389" s="48"/>
      <c r="T389" s="48"/>
      <c r="U389" s="48"/>
      <c r="V389" s="48"/>
      <c r="W389" s="48"/>
      <c r="X389" s="48"/>
      <c r="Y389" s="48"/>
      <c r="Z389" s="48"/>
      <c r="AA389" s="48"/>
      <c r="AB389" s="48"/>
      <c r="AC389" s="48"/>
    </row>
    <row r="390" spans="1:29" ht="15.75" customHeight="1">
      <c r="A390" s="48"/>
      <c r="B390" s="48"/>
      <c r="C390" s="48"/>
      <c r="D390" s="98"/>
      <c r="E390" s="48"/>
      <c r="F390" s="48"/>
      <c r="G390" s="49"/>
      <c r="H390" s="48"/>
      <c r="I390" s="48"/>
      <c r="J390" s="48"/>
      <c r="K390" s="48"/>
      <c r="L390" s="48"/>
      <c r="M390" s="48"/>
      <c r="N390" s="48"/>
      <c r="O390" s="48"/>
      <c r="P390" s="48"/>
      <c r="Q390" s="48"/>
      <c r="R390" s="48"/>
      <c r="S390" s="48"/>
      <c r="T390" s="48"/>
      <c r="U390" s="48"/>
      <c r="V390" s="48"/>
      <c r="W390" s="48"/>
      <c r="X390" s="48"/>
      <c r="Y390" s="48"/>
      <c r="Z390" s="48"/>
      <c r="AA390" s="48"/>
      <c r="AB390" s="48"/>
      <c r="AC390" s="48"/>
    </row>
    <row r="391" spans="1:29" ht="15.75" customHeight="1">
      <c r="A391" s="48"/>
      <c r="B391" s="48"/>
      <c r="C391" s="48"/>
      <c r="D391" s="98"/>
      <c r="E391" s="48"/>
      <c r="F391" s="48"/>
      <c r="G391" s="49"/>
      <c r="H391" s="48"/>
      <c r="I391" s="48"/>
      <c r="J391" s="48"/>
      <c r="K391" s="48"/>
      <c r="L391" s="48"/>
      <c r="M391" s="48"/>
      <c r="N391" s="48"/>
      <c r="O391" s="48"/>
      <c r="P391" s="48"/>
      <c r="Q391" s="48"/>
      <c r="R391" s="48"/>
      <c r="S391" s="48"/>
      <c r="T391" s="48"/>
      <c r="U391" s="48"/>
      <c r="V391" s="48"/>
      <c r="W391" s="48"/>
      <c r="X391" s="48"/>
      <c r="Y391" s="48"/>
      <c r="Z391" s="48"/>
      <c r="AA391" s="48"/>
      <c r="AB391" s="48"/>
      <c r="AC391" s="48"/>
    </row>
    <row r="392" spans="1:29" ht="15.75" customHeight="1">
      <c r="A392" s="48"/>
      <c r="B392" s="48"/>
      <c r="C392" s="48"/>
      <c r="D392" s="98"/>
      <c r="E392" s="48"/>
      <c r="F392" s="48"/>
      <c r="G392" s="49"/>
      <c r="H392" s="48"/>
      <c r="I392" s="48"/>
      <c r="J392" s="48"/>
      <c r="K392" s="48"/>
      <c r="L392" s="48"/>
      <c r="M392" s="48"/>
      <c r="N392" s="48"/>
      <c r="O392" s="48"/>
      <c r="P392" s="48"/>
      <c r="Q392" s="48"/>
      <c r="R392" s="48"/>
      <c r="S392" s="48"/>
      <c r="T392" s="48"/>
      <c r="U392" s="48"/>
      <c r="V392" s="48"/>
      <c r="W392" s="48"/>
      <c r="X392" s="48"/>
      <c r="Y392" s="48"/>
      <c r="Z392" s="48"/>
      <c r="AA392" s="48"/>
      <c r="AB392" s="48"/>
      <c r="AC392" s="48"/>
    </row>
    <row r="393" spans="1:29" ht="15.75" customHeight="1">
      <c r="A393" s="48"/>
      <c r="B393" s="48"/>
      <c r="C393" s="48"/>
      <c r="D393" s="98"/>
      <c r="E393" s="48"/>
      <c r="F393" s="48"/>
      <c r="G393" s="49"/>
      <c r="H393" s="48"/>
      <c r="I393" s="48"/>
      <c r="J393" s="48"/>
      <c r="K393" s="48"/>
      <c r="L393" s="48"/>
      <c r="M393" s="48"/>
      <c r="N393" s="48"/>
      <c r="O393" s="48"/>
      <c r="P393" s="48"/>
      <c r="Q393" s="48"/>
      <c r="R393" s="48"/>
      <c r="S393" s="48"/>
      <c r="T393" s="48"/>
      <c r="U393" s="48"/>
      <c r="V393" s="48"/>
      <c r="W393" s="48"/>
      <c r="X393" s="48"/>
      <c r="Y393" s="48"/>
      <c r="Z393" s="48"/>
      <c r="AA393" s="48"/>
      <c r="AB393" s="48"/>
      <c r="AC393" s="48"/>
    </row>
    <row r="394" spans="1:29" ht="15.75" customHeight="1">
      <c r="A394" s="48"/>
      <c r="B394" s="48"/>
      <c r="C394" s="48"/>
      <c r="D394" s="98"/>
      <c r="E394" s="48"/>
      <c r="F394" s="48"/>
      <c r="G394" s="49"/>
      <c r="H394" s="48"/>
      <c r="I394" s="48"/>
      <c r="J394" s="48"/>
      <c r="K394" s="48"/>
      <c r="L394" s="48"/>
      <c r="M394" s="48"/>
      <c r="N394" s="48"/>
      <c r="O394" s="48"/>
      <c r="P394" s="48"/>
      <c r="Q394" s="48"/>
      <c r="R394" s="48"/>
      <c r="S394" s="48"/>
      <c r="T394" s="48"/>
      <c r="U394" s="48"/>
      <c r="V394" s="48"/>
      <c r="W394" s="48"/>
      <c r="X394" s="48"/>
      <c r="Y394" s="48"/>
      <c r="Z394" s="48"/>
      <c r="AA394" s="48"/>
      <c r="AB394" s="48"/>
      <c r="AC394" s="48"/>
    </row>
    <row r="395" spans="1:29" ht="15.75" customHeight="1">
      <c r="A395" s="48"/>
      <c r="B395" s="48"/>
      <c r="C395" s="48"/>
      <c r="D395" s="98"/>
      <c r="E395" s="48"/>
      <c r="F395" s="48"/>
      <c r="G395" s="49"/>
      <c r="H395" s="48"/>
      <c r="I395" s="48"/>
      <c r="J395" s="48"/>
      <c r="K395" s="48"/>
      <c r="L395" s="48"/>
      <c r="M395" s="48"/>
      <c r="N395" s="48"/>
      <c r="O395" s="48"/>
      <c r="P395" s="48"/>
      <c r="Q395" s="48"/>
      <c r="R395" s="48"/>
      <c r="S395" s="48"/>
      <c r="T395" s="48"/>
      <c r="U395" s="48"/>
      <c r="V395" s="48"/>
      <c r="W395" s="48"/>
      <c r="X395" s="48"/>
      <c r="Y395" s="48"/>
      <c r="Z395" s="48"/>
      <c r="AA395" s="48"/>
      <c r="AB395" s="48"/>
      <c r="AC395" s="48"/>
    </row>
    <row r="396" spans="1:29" ht="15.75" customHeight="1">
      <c r="A396" s="48"/>
      <c r="B396" s="48"/>
      <c r="C396" s="48"/>
      <c r="D396" s="98"/>
      <c r="E396" s="48"/>
      <c r="F396" s="48"/>
      <c r="G396" s="49"/>
      <c r="H396" s="48"/>
      <c r="I396" s="48"/>
      <c r="J396" s="48"/>
      <c r="K396" s="48"/>
      <c r="L396" s="48"/>
      <c r="M396" s="48"/>
      <c r="N396" s="48"/>
      <c r="O396" s="48"/>
      <c r="P396" s="48"/>
      <c r="Q396" s="48"/>
      <c r="R396" s="48"/>
      <c r="S396" s="48"/>
      <c r="T396" s="48"/>
      <c r="U396" s="48"/>
      <c r="V396" s="48"/>
      <c r="W396" s="48"/>
      <c r="X396" s="48"/>
      <c r="Y396" s="48"/>
      <c r="Z396" s="48"/>
      <c r="AA396" s="48"/>
      <c r="AB396" s="48"/>
      <c r="AC396" s="48"/>
    </row>
    <row r="397" spans="1:29" ht="15.75" customHeight="1">
      <c r="A397" s="48"/>
      <c r="B397" s="48"/>
      <c r="C397" s="48"/>
      <c r="D397" s="98"/>
      <c r="E397" s="48"/>
      <c r="F397" s="48"/>
      <c r="G397" s="49"/>
      <c r="H397" s="48"/>
      <c r="I397" s="48"/>
      <c r="J397" s="48"/>
      <c r="K397" s="48"/>
      <c r="L397" s="48"/>
      <c r="M397" s="48"/>
      <c r="N397" s="48"/>
      <c r="O397" s="48"/>
      <c r="P397" s="48"/>
      <c r="Q397" s="48"/>
      <c r="R397" s="48"/>
      <c r="S397" s="48"/>
      <c r="T397" s="48"/>
      <c r="U397" s="48"/>
      <c r="V397" s="48"/>
      <c r="W397" s="48"/>
      <c r="X397" s="48"/>
      <c r="Y397" s="48"/>
      <c r="Z397" s="48"/>
      <c r="AA397" s="48"/>
      <c r="AB397" s="48"/>
      <c r="AC397" s="48"/>
    </row>
    <row r="398" spans="1:29" ht="15.75" customHeight="1">
      <c r="A398" s="48"/>
      <c r="B398" s="48"/>
      <c r="C398" s="48"/>
      <c r="D398" s="98"/>
      <c r="E398" s="48"/>
      <c r="F398" s="48"/>
      <c r="G398" s="49"/>
      <c r="H398" s="48"/>
      <c r="I398" s="48"/>
      <c r="J398" s="48"/>
      <c r="K398" s="48"/>
      <c r="L398" s="48"/>
      <c r="M398" s="48"/>
      <c r="N398" s="48"/>
      <c r="O398" s="48"/>
      <c r="P398" s="48"/>
      <c r="Q398" s="48"/>
      <c r="R398" s="48"/>
      <c r="S398" s="48"/>
      <c r="T398" s="48"/>
      <c r="U398" s="48"/>
      <c r="V398" s="48"/>
      <c r="W398" s="48"/>
      <c r="X398" s="48"/>
      <c r="Y398" s="48"/>
      <c r="Z398" s="48"/>
      <c r="AA398" s="48"/>
      <c r="AB398" s="48"/>
      <c r="AC398" s="48"/>
    </row>
    <row r="399" spans="1:29" ht="15.75" customHeight="1">
      <c r="A399" s="48"/>
      <c r="B399" s="48"/>
      <c r="C399" s="48"/>
      <c r="D399" s="98"/>
      <c r="E399" s="48"/>
      <c r="F399" s="48"/>
      <c r="G399" s="49"/>
      <c r="H399" s="48"/>
      <c r="I399" s="48"/>
      <c r="J399" s="48"/>
      <c r="K399" s="48"/>
      <c r="L399" s="48"/>
      <c r="M399" s="48"/>
      <c r="N399" s="48"/>
      <c r="O399" s="48"/>
      <c r="P399" s="48"/>
      <c r="Q399" s="48"/>
      <c r="R399" s="48"/>
      <c r="S399" s="48"/>
      <c r="T399" s="48"/>
      <c r="U399" s="48"/>
      <c r="V399" s="48"/>
      <c r="W399" s="48"/>
      <c r="X399" s="48"/>
      <c r="Y399" s="48"/>
      <c r="Z399" s="48"/>
      <c r="AA399" s="48"/>
      <c r="AB399" s="48"/>
      <c r="AC399" s="48"/>
    </row>
    <row r="400" spans="1:29" ht="15.75" customHeight="1">
      <c r="A400" s="48"/>
      <c r="B400" s="48"/>
      <c r="C400" s="48"/>
      <c r="D400" s="98"/>
      <c r="E400" s="48"/>
      <c r="F400" s="48"/>
      <c r="G400" s="49"/>
      <c r="H400" s="48"/>
      <c r="I400" s="48"/>
      <c r="J400" s="48"/>
      <c r="K400" s="48"/>
      <c r="L400" s="48"/>
      <c r="M400" s="48"/>
      <c r="N400" s="48"/>
      <c r="O400" s="48"/>
      <c r="P400" s="48"/>
      <c r="Q400" s="48"/>
      <c r="R400" s="48"/>
      <c r="S400" s="48"/>
      <c r="T400" s="48"/>
      <c r="U400" s="48"/>
      <c r="V400" s="48"/>
      <c r="W400" s="48"/>
      <c r="X400" s="48"/>
      <c r="Y400" s="48"/>
      <c r="Z400" s="48"/>
      <c r="AA400" s="48"/>
      <c r="AB400" s="48"/>
      <c r="AC400" s="48"/>
    </row>
    <row r="401" spans="1:29" ht="15.75" customHeight="1">
      <c r="A401" s="48"/>
      <c r="B401" s="48"/>
      <c r="C401" s="48"/>
      <c r="D401" s="98"/>
      <c r="E401" s="48"/>
      <c r="F401" s="48"/>
      <c r="G401" s="49"/>
      <c r="H401" s="48"/>
      <c r="I401" s="48"/>
      <c r="J401" s="48"/>
      <c r="K401" s="48"/>
      <c r="L401" s="48"/>
      <c r="M401" s="48"/>
      <c r="N401" s="48"/>
      <c r="O401" s="48"/>
      <c r="P401" s="48"/>
      <c r="Q401" s="48"/>
      <c r="R401" s="48"/>
      <c r="S401" s="48"/>
      <c r="T401" s="48"/>
      <c r="U401" s="48"/>
      <c r="V401" s="48"/>
      <c r="W401" s="48"/>
      <c r="X401" s="48"/>
      <c r="Y401" s="48"/>
      <c r="Z401" s="48"/>
      <c r="AA401" s="48"/>
      <c r="AB401" s="48"/>
      <c r="AC401" s="48"/>
    </row>
    <row r="402" spans="1:29" ht="15.75" customHeight="1">
      <c r="A402" s="48"/>
      <c r="B402" s="48"/>
      <c r="C402" s="48"/>
      <c r="D402" s="98"/>
      <c r="E402" s="48"/>
      <c r="F402" s="48"/>
      <c r="G402" s="49"/>
      <c r="H402" s="48"/>
      <c r="I402" s="48"/>
      <c r="J402" s="48"/>
      <c r="K402" s="48"/>
      <c r="L402" s="48"/>
      <c r="M402" s="48"/>
      <c r="N402" s="48"/>
      <c r="O402" s="48"/>
      <c r="P402" s="48"/>
      <c r="Q402" s="48"/>
      <c r="R402" s="48"/>
      <c r="S402" s="48"/>
      <c r="T402" s="48"/>
      <c r="U402" s="48"/>
      <c r="V402" s="48"/>
      <c r="W402" s="48"/>
      <c r="X402" s="48"/>
      <c r="Y402" s="48"/>
      <c r="Z402" s="48"/>
      <c r="AA402" s="48"/>
      <c r="AB402" s="48"/>
      <c r="AC402" s="48"/>
    </row>
    <row r="403" spans="1:29" ht="15.75" customHeight="1">
      <c r="A403" s="48"/>
      <c r="B403" s="48"/>
      <c r="C403" s="48"/>
      <c r="D403" s="98"/>
      <c r="E403" s="48"/>
      <c r="F403" s="48"/>
      <c r="G403" s="49"/>
      <c r="H403" s="48"/>
      <c r="I403" s="48"/>
      <c r="J403" s="48"/>
      <c r="K403" s="48"/>
      <c r="L403" s="48"/>
      <c r="M403" s="48"/>
      <c r="N403" s="48"/>
      <c r="O403" s="48"/>
      <c r="P403" s="48"/>
      <c r="Q403" s="48"/>
      <c r="R403" s="48"/>
      <c r="S403" s="48"/>
      <c r="T403" s="48"/>
      <c r="U403" s="48"/>
      <c r="V403" s="48"/>
      <c r="W403" s="48"/>
      <c r="X403" s="48"/>
      <c r="Y403" s="48"/>
      <c r="Z403" s="48"/>
      <c r="AA403" s="48"/>
      <c r="AB403" s="48"/>
      <c r="AC403" s="48"/>
    </row>
    <row r="404" spans="1:29" ht="15.75" customHeight="1">
      <c r="A404" s="48"/>
      <c r="B404" s="48"/>
      <c r="C404" s="48"/>
      <c r="D404" s="98"/>
      <c r="E404" s="48"/>
      <c r="F404" s="48"/>
      <c r="G404" s="49"/>
      <c r="H404" s="48"/>
      <c r="I404" s="48"/>
      <c r="J404" s="48"/>
      <c r="K404" s="48"/>
      <c r="L404" s="48"/>
      <c r="M404" s="48"/>
      <c r="N404" s="48"/>
      <c r="O404" s="48"/>
      <c r="P404" s="48"/>
      <c r="Q404" s="48"/>
      <c r="R404" s="48"/>
      <c r="S404" s="48"/>
      <c r="T404" s="48"/>
      <c r="U404" s="48"/>
      <c r="V404" s="48"/>
      <c r="W404" s="48"/>
      <c r="X404" s="48"/>
      <c r="Y404" s="48"/>
      <c r="Z404" s="48"/>
      <c r="AA404" s="48"/>
      <c r="AB404" s="48"/>
      <c r="AC404" s="48"/>
    </row>
    <row r="405" spans="1:29" ht="15.75" customHeight="1">
      <c r="A405" s="48"/>
      <c r="B405" s="48"/>
      <c r="C405" s="48"/>
      <c r="D405" s="98"/>
      <c r="E405" s="48"/>
      <c r="F405" s="48"/>
      <c r="G405" s="49"/>
      <c r="H405" s="48"/>
      <c r="I405" s="48"/>
      <c r="J405" s="48"/>
      <c r="K405" s="48"/>
      <c r="L405" s="48"/>
      <c r="M405" s="48"/>
      <c r="N405" s="48"/>
      <c r="O405" s="48"/>
      <c r="P405" s="48"/>
      <c r="Q405" s="48"/>
      <c r="R405" s="48"/>
      <c r="S405" s="48"/>
      <c r="T405" s="48"/>
      <c r="U405" s="48"/>
      <c r="V405" s="48"/>
      <c r="W405" s="48"/>
      <c r="X405" s="48"/>
      <c r="Y405" s="48"/>
      <c r="Z405" s="48"/>
      <c r="AA405" s="48"/>
      <c r="AB405" s="48"/>
      <c r="AC405" s="48"/>
    </row>
    <row r="406" spans="1:29" ht="15.75" customHeight="1">
      <c r="A406" s="48"/>
      <c r="B406" s="48"/>
      <c r="C406" s="48"/>
      <c r="D406" s="98"/>
      <c r="E406" s="48"/>
      <c r="F406" s="48"/>
      <c r="G406" s="49"/>
      <c r="H406" s="48"/>
      <c r="I406" s="48"/>
      <c r="J406" s="48"/>
      <c r="K406" s="48"/>
      <c r="L406" s="48"/>
      <c r="M406" s="48"/>
      <c r="N406" s="48"/>
      <c r="O406" s="48"/>
      <c r="P406" s="48"/>
      <c r="Q406" s="48"/>
      <c r="R406" s="48"/>
      <c r="S406" s="48"/>
      <c r="T406" s="48"/>
      <c r="U406" s="48"/>
      <c r="V406" s="48"/>
      <c r="W406" s="48"/>
      <c r="X406" s="48"/>
      <c r="Y406" s="48"/>
      <c r="Z406" s="48"/>
      <c r="AA406" s="48"/>
      <c r="AB406" s="48"/>
      <c r="AC406" s="48"/>
    </row>
    <row r="407" spans="1:29" ht="15.75" customHeight="1">
      <c r="A407" s="48"/>
      <c r="B407" s="48"/>
      <c r="C407" s="48"/>
      <c r="D407" s="98"/>
      <c r="E407" s="48"/>
      <c r="F407" s="48"/>
      <c r="G407" s="49"/>
      <c r="H407" s="48"/>
      <c r="I407" s="48"/>
      <c r="J407" s="48"/>
      <c r="K407" s="48"/>
      <c r="L407" s="48"/>
      <c r="M407" s="48"/>
      <c r="N407" s="48"/>
      <c r="O407" s="48"/>
      <c r="P407" s="48"/>
      <c r="Q407" s="48"/>
      <c r="R407" s="48"/>
      <c r="S407" s="48"/>
      <c r="T407" s="48"/>
      <c r="U407" s="48"/>
      <c r="V407" s="48"/>
      <c r="W407" s="48"/>
      <c r="X407" s="48"/>
      <c r="Y407" s="48"/>
      <c r="Z407" s="48"/>
      <c r="AA407" s="48"/>
      <c r="AB407" s="48"/>
      <c r="AC407" s="48"/>
    </row>
    <row r="408" spans="1:29" ht="15.75" customHeight="1">
      <c r="A408" s="48"/>
      <c r="B408" s="48"/>
      <c r="C408" s="48"/>
      <c r="D408" s="98"/>
      <c r="E408" s="48"/>
      <c r="F408" s="48"/>
      <c r="G408" s="49"/>
      <c r="H408" s="48"/>
      <c r="I408" s="48"/>
      <c r="J408" s="48"/>
      <c r="K408" s="48"/>
      <c r="L408" s="48"/>
      <c r="M408" s="48"/>
      <c r="N408" s="48"/>
      <c r="O408" s="48"/>
      <c r="P408" s="48"/>
      <c r="Q408" s="48"/>
      <c r="R408" s="48"/>
      <c r="S408" s="48"/>
      <c r="T408" s="48"/>
      <c r="U408" s="48"/>
      <c r="V408" s="48"/>
      <c r="W408" s="48"/>
      <c r="X408" s="48"/>
      <c r="Y408" s="48"/>
      <c r="Z408" s="48"/>
      <c r="AA408" s="48"/>
      <c r="AB408" s="48"/>
      <c r="AC408" s="48"/>
    </row>
    <row r="409" spans="1:29" ht="15.75" customHeight="1">
      <c r="A409" s="48"/>
      <c r="B409" s="48"/>
      <c r="C409" s="48"/>
      <c r="D409" s="98"/>
      <c r="E409" s="48"/>
      <c r="F409" s="48"/>
      <c r="G409" s="49"/>
      <c r="H409" s="48"/>
      <c r="I409" s="48"/>
      <c r="J409" s="48"/>
      <c r="K409" s="48"/>
      <c r="L409" s="48"/>
      <c r="M409" s="48"/>
      <c r="N409" s="48"/>
      <c r="O409" s="48"/>
      <c r="P409" s="48"/>
      <c r="Q409" s="48"/>
      <c r="R409" s="48"/>
      <c r="S409" s="48"/>
      <c r="T409" s="48"/>
      <c r="U409" s="48"/>
      <c r="V409" s="48"/>
      <c r="W409" s="48"/>
      <c r="X409" s="48"/>
      <c r="Y409" s="48"/>
      <c r="Z409" s="48"/>
      <c r="AA409" s="48"/>
      <c r="AB409" s="48"/>
      <c r="AC409" s="48"/>
    </row>
    <row r="410" spans="1:29" ht="15.75" customHeight="1">
      <c r="A410" s="48"/>
      <c r="B410" s="48"/>
      <c r="C410" s="48"/>
      <c r="D410" s="98"/>
      <c r="E410" s="48"/>
      <c r="F410" s="48"/>
      <c r="G410" s="49"/>
      <c r="H410" s="48"/>
      <c r="I410" s="48"/>
      <c r="J410" s="48"/>
      <c r="K410" s="48"/>
      <c r="L410" s="48"/>
      <c r="M410" s="48"/>
      <c r="N410" s="48"/>
      <c r="O410" s="48"/>
      <c r="P410" s="48"/>
      <c r="Q410" s="48"/>
      <c r="R410" s="48"/>
      <c r="S410" s="48"/>
      <c r="T410" s="48"/>
      <c r="U410" s="48"/>
      <c r="V410" s="48"/>
      <c r="W410" s="48"/>
      <c r="X410" s="48"/>
      <c r="Y410" s="48"/>
      <c r="Z410" s="48"/>
      <c r="AA410" s="48"/>
      <c r="AB410" s="48"/>
      <c r="AC410" s="48"/>
    </row>
    <row r="411" spans="1:29" ht="15.75" customHeight="1">
      <c r="A411" s="48"/>
      <c r="B411" s="48"/>
      <c r="C411" s="48"/>
      <c r="D411" s="98"/>
      <c r="E411" s="48"/>
      <c r="F411" s="48"/>
      <c r="G411" s="49"/>
      <c r="H411" s="48"/>
      <c r="I411" s="48"/>
      <c r="J411" s="48"/>
      <c r="K411" s="48"/>
      <c r="L411" s="48"/>
      <c r="M411" s="48"/>
      <c r="N411" s="48"/>
      <c r="O411" s="48"/>
      <c r="P411" s="48"/>
      <c r="Q411" s="48"/>
      <c r="R411" s="48"/>
      <c r="S411" s="48"/>
      <c r="T411" s="48"/>
      <c r="U411" s="48"/>
      <c r="V411" s="48"/>
      <c r="W411" s="48"/>
      <c r="X411" s="48"/>
      <c r="Y411" s="48"/>
      <c r="Z411" s="48"/>
      <c r="AA411" s="48"/>
      <c r="AB411" s="48"/>
      <c r="AC411" s="48"/>
    </row>
    <row r="412" spans="1:29" ht="15.75" customHeight="1">
      <c r="A412" s="48"/>
      <c r="B412" s="48"/>
      <c r="C412" s="48"/>
      <c r="D412" s="98"/>
      <c r="E412" s="48"/>
      <c r="F412" s="48"/>
      <c r="G412" s="49"/>
      <c r="H412" s="48"/>
      <c r="I412" s="48"/>
      <c r="J412" s="48"/>
      <c r="K412" s="48"/>
      <c r="L412" s="48"/>
      <c r="M412" s="48"/>
      <c r="N412" s="48"/>
      <c r="O412" s="48"/>
      <c r="P412" s="48"/>
      <c r="Q412" s="48"/>
      <c r="R412" s="48"/>
      <c r="S412" s="48"/>
      <c r="T412" s="48"/>
      <c r="U412" s="48"/>
      <c r="V412" s="48"/>
      <c r="W412" s="48"/>
      <c r="X412" s="48"/>
      <c r="Y412" s="48"/>
      <c r="Z412" s="48"/>
      <c r="AA412" s="48"/>
      <c r="AB412" s="48"/>
      <c r="AC412" s="48"/>
    </row>
    <row r="413" spans="1:29" ht="15.75" customHeight="1">
      <c r="A413" s="48"/>
      <c r="B413" s="48"/>
      <c r="C413" s="48"/>
      <c r="D413" s="98"/>
      <c r="E413" s="48"/>
      <c r="F413" s="48"/>
      <c r="G413" s="49"/>
      <c r="H413" s="48"/>
      <c r="I413" s="48"/>
      <c r="J413" s="48"/>
      <c r="K413" s="48"/>
      <c r="L413" s="48"/>
      <c r="M413" s="48"/>
      <c r="N413" s="48"/>
      <c r="O413" s="48"/>
      <c r="P413" s="48"/>
      <c r="Q413" s="48"/>
      <c r="R413" s="48"/>
      <c r="S413" s="48"/>
      <c r="T413" s="48"/>
      <c r="U413" s="48"/>
      <c r="V413" s="48"/>
      <c r="W413" s="48"/>
      <c r="X413" s="48"/>
      <c r="Y413" s="48"/>
      <c r="Z413" s="48"/>
      <c r="AA413" s="48"/>
      <c r="AB413" s="48"/>
      <c r="AC413" s="48"/>
    </row>
    <row r="414" spans="1:29" ht="15.75" customHeight="1">
      <c r="A414" s="48"/>
      <c r="B414" s="48"/>
      <c r="C414" s="48"/>
      <c r="D414" s="98"/>
      <c r="E414" s="48"/>
      <c r="F414" s="48"/>
      <c r="G414" s="49"/>
      <c r="H414" s="48"/>
      <c r="I414" s="48"/>
      <c r="J414" s="48"/>
      <c r="K414" s="48"/>
      <c r="L414" s="48"/>
      <c r="M414" s="48"/>
      <c r="N414" s="48"/>
      <c r="O414" s="48"/>
      <c r="P414" s="48"/>
      <c r="Q414" s="48"/>
      <c r="R414" s="48"/>
      <c r="S414" s="48"/>
      <c r="T414" s="48"/>
      <c r="U414" s="48"/>
      <c r="V414" s="48"/>
      <c r="W414" s="48"/>
      <c r="X414" s="48"/>
      <c r="Y414" s="48"/>
      <c r="Z414" s="48"/>
      <c r="AA414" s="48"/>
      <c r="AB414" s="48"/>
      <c r="AC414" s="48"/>
    </row>
    <row r="415" spans="1:29" ht="15.75" customHeight="1">
      <c r="A415" s="48"/>
      <c r="B415" s="48"/>
      <c r="C415" s="48"/>
      <c r="D415" s="98"/>
      <c r="E415" s="48"/>
      <c r="F415" s="48"/>
      <c r="G415" s="49"/>
      <c r="H415" s="48"/>
      <c r="I415" s="48"/>
      <c r="J415" s="48"/>
      <c r="K415" s="48"/>
      <c r="L415" s="48"/>
      <c r="M415" s="48"/>
      <c r="N415" s="48"/>
      <c r="O415" s="48"/>
      <c r="P415" s="48"/>
      <c r="Q415" s="48"/>
      <c r="R415" s="48"/>
      <c r="S415" s="48"/>
      <c r="T415" s="48"/>
      <c r="U415" s="48"/>
      <c r="V415" s="48"/>
      <c r="W415" s="48"/>
      <c r="X415" s="48"/>
      <c r="Y415" s="48"/>
      <c r="Z415" s="48"/>
      <c r="AA415" s="48"/>
      <c r="AB415" s="48"/>
      <c r="AC415" s="48"/>
    </row>
    <row r="416" spans="1:29" ht="15.75" customHeight="1">
      <c r="A416" s="48"/>
      <c r="B416" s="48"/>
      <c r="C416" s="48"/>
      <c r="D416" s="98"/>
      <c r="E416" s="48"/>
      <c r="F416" s="48"/>
      <c r="G416" s="49"/>
      <c r="H416" s="48"/>
      <c r="I416" s="48"/>
      <c r="J416" s="48"/>
      <c r="K416" s="48"/>
      <c r="L416" s="48"/>
      <c r="M416" s="48"/>
      <c r="N416" s="48"/>
      <c r="O416" s="48"/>
      <c r="P416" s="48"/>
      <c r="Q416" s="48"/>
      <c r="R416" s="48"/>
      <c r="S416" s="48"/>
      <c r="T416" s="48"/>
      <c r="U416" s="48"/>
      <c r="V416" s="48"/>
      <c r="W416" s="48"/>
      <c r="X416" s="48"/>
      <c r="Y416" s="48"/>
      <c r="Z416" s="48"/>
      <c r="AA416" s="48"/>
      <c r="AB416" s="48"/>
      <c r="AC416" s="48"/>
    </row>
    <row r="417" spans="1:29" ht="15.75" customHeight="1">
      <c r="A417" s="48"/>
      <c r="B417" s="48"/>
      <c r="C417" s="48"/>
      <c r="D417" s="98"/>
      <c r="E417" s="48"/>
      <c r="F417" s="48"/>
      <c r="G417" s="49"/>
      <c r="H417" s="48"/>
      <c r="I417" s="48"/>
      <c r="J417" s="48"/>
      <c r="K417" s="48"/>
      <c r="L417" s="48"/>
      <c r="M417" s="48"/>
      <c r="N417" s="48"/>
      <c r="O417" s="48"/>
      <c r="P417" s="48"/>
      <c r="Q417" s="48"/>
      <c r="R417" s="48"/>
      <c r="S417" s="48"/>
      <c r="T417" s="48"/>
      <c r="U417" s="48"/>
      <c r="V417" s="48"/>
      <c r="W417" s="48"/>
      <c r="X417" s="48"/>
      <c r="Y417" s="48"/>
      <c r="Z417" s="48"/>
      <c r="AA417" s="48"/>
      <c r="AB417" s="48"/>
      <c r="AC417" s="48"/>
    </row>
    <row r="418" spans="1:29" ht="15.75" customHeight="1">
      <c r="A418" s="48"/>
      <c r="B418" s="48"/>
      <c r="C418" s="48"/>
      <c r="D418" s="98"/>
      <c r="E418" s="48"/>
      <c r="F418" s="48"/>
      <c r="G418" s="49"/>
      <c r="H418" s="48"/>
      <c r="I418" s="48"/>
      <c r="J418" s="48"/>
      <c r="K418" s="48"/>
      <c r="L418" s="48"/>
      <c r="M418" s="48"/>
      <c r="N418" s="48"/>
      <c r="O418" s="48"/>
      <c r="P418" s="48"/>
      <c r="Q418" s="48"/>
      <c r="R418" s="48"/>
      <c r="S418" s="48"/>
      <c r="T418" s="48"/>
      <c r="U418" s="48"/>
      <c r="V418" s="48"/>
      <c r="W418" s="48"/>
      <c r="X418" s="48"/>
      <c r="Y418" s="48"/>
      <c r="Z418" s="48"/>
      <c r="AA418" s="48"/>
      <c r="AB418" s="48"/>
      <c r="AC418" s="48"/>
    </row>
    <row r="419" spans="1:29" ht="15.75" customHeight="1">
      <c r="A419" s="48"/>
      <c r="B419" s="48"/>
      <c r="C419" s="48"/>
      <c r="D419" s="98"/>
      <c r="E419" s="48"/>
      <c r="F419" s="48"/>
      <c r="G419" s="49"/>
      <c r="H419" s="48"/>
      <c r="I419" s="48"/>
      <c r="J419" s="48"/>
      <c r="K419" s="48"/>
      <c r="L419" s="48"/>
      <c r="M419" s="48"/>
      <c r="N419" s="48"/>
      <c r="O419" s="48"/>
      <c r="P419" s="48"/>
      <c r="Q419" s="48"/>
      <c r="R419" s="48"/>
      <c r="S419" s="48"/>
      <c r="T419" s="48"/>
      <c r="U419" s="48"/>
      <c r="V419" s="48"/>
      <c r="W419" s="48"/>
      <c r="X419" s="48"/>
      <c r="Y419" s="48"/>
      <c r="Z419" s="48"/>
      <c r="AA419" s="48"/>
      <c r="AB419" s="48"/>
      <c r="AC419" s="48"/>
    </row>
    <row r="420" spans="1:29" ht="15.75" customHeight="1">
      <c r="A420" s="48"/>
      <c r="B420" s="48"/>
      <c r="C420" s="48"/>
      <c r="D420" s="98"/>
      <c r="E420" s="48"/>
      <c r="F420" s="48"/>
      <c r="G420" s="49"/>
      <c r="H420" s="48"/>
      <c r="I420" s="48"/>
      <c r="J420" s="48"/>
      <c r="K420" s="48"/>
      <c r="L420" s="48"/>
      <c r="M420" s="48"/>
      <c r="N420" s="48"/>
      <c r="O420" s="48"/>
      <c r="P420" s="48"/>
      <c r="Q420" s="48"/>
      <c r="R420" s="48"/>
      <c r="S420" s="48"/>
      <c r="T420" s="48"/>
      <c r="U420" s="48"/>
      <c r="V420" s="48"/>
      <c r="W420" s="48"/>
      <c r="X420" s="48"/>
      <c r="Y420" s="48"/>
      <c r="Z420" s="48"/>
      <c r="AA420" s="48"/>
      <c r="AB420" s="48"/>
      <c r="AC420" s="48"/>
    </row>
    <row r="421" spans="1:29" ht="15.75" customHeight="1">
      <c r="A421" s="48"/>
      <c r="B421" s="48"/>
      <c r="C421" s="48"/>
      <c r="D421" s="98"/>
      <c r="E421" s="48"/>
      <c r="F421" s="48"/>
      <c r="G421" s="49"/>
      <c r="H421" s="48"/>
      <c r="I421" s="48"/>
      <c r="J421" s="48"/>
      <c r="K421" s="48"/>
      <c r="L421" s="48"/>
      <c r="M421" s="48"/>
      <c r="N421" s="48"/>
      <c r="O421" s="48"/>
      <c r="P421" s="48"/>
      <c r="Q421" s="48"/>
      <c r="R421" s="48"/>
      <c r="S421" s="48"/>
      <c r="T421" s="48"/>
      <c r="U421" s="48"/>
      <c r="V421" s="48"/>
      <c r="W421" s="48"/>
      <c r="X421" s="48"/>
      <c r="Y421" s="48"/>
      <c r="Z421" s="48"/>
      <c r="AA421" s="48"/>
      <c r="AB421" s="48"/>
      <c r="AC421" s="48"/>
    </row>
    <row r="422" spans="1:29" ht="15.75" customHeight="1">
      <c r="A422" s="48"/>
      <c r="B422" s="48"/>
      <c r="C422" s="48"/>
      <c r="D422" s="98"/>
      <c r="E422" s="48"/>
      <c r="F422" s="48"/>
      <c r="G422" s="49"/>
      <c r="H422" s="48"/>
      <c r="I422" s="48"/>
      <c r="J422" s="48"/>
      <c r="K422" s="48"/>
      <c r="L422" s="48"/>
      <c r="M422" s="48"/>
      <c r="N422" s="48"/>
      <c r="O422" s="48"/>
      <c r="P422" s="48"/>
      <c r="Q422" s="48"/>
      <c r="R422" s="48"/>
      <c r="S422" s="48"/>
      <c r="T422" s="48"/>
      <c r="U422" s="48"/>
      <c r="V422" s="48"/>
      <c r="W422" s="48"/>
      <c r="X422" s="48"/>
      <c r="Y422" s="48"/>
      <c r="Z422" s="48"/>
      <c r="AA422" s="48"/>
      <c r="AB422" s="48"/>
      <c r="AC422" s="48"/>
    </row>
    <row r="423" spans="1:29" ht="15.75" customHeight="1">
      <c r="A423" s="48"/>
      <c r="B423" s="48"/>
      <c r="C423" s="48"/>
      <c r="D423" s="98"/>
      <c r="E423" s="48"/>
      <c r="F423" s="48"/>
      <c r="G423" s="49"/>
      <c r="H423" s="48"/>
      <c r="I423" s="48"/>
      <c r="J423" s="48"/>
      <c r="K423" s="48"/>
      <c r="L423" s="48"/>
      <c r="M423" s="48"/>
      <c r="N423" s="48"/>
      <c r="O423" s="48"/>
      <c r="P423" s="48"/>
      <c r="Q423" s="48"/>
      <c r="R423" s="48"/>
      <c r="S423" s="48"/>
      <c r="T423" s="48"/>
      <c r="U423" s="48"/>
      <c r="V423" s="48"/>
      <c r="W423" s="48"/>
      <c r="X423" s="48"/>
      <c r="Y423" s="48"/>
      <c r="Z423" s="48"/>
      <c r="AA423" s="48"/>
      <c r="AB423" s="48"/>
      <c r="AC423" s="48"/>
    </row>
    <row r="424" spans="1:29" ht="15.75" customHeight="1">
      <c r="A424" s="48"/>
      <c r="B424" s="48"/>
      <c r="C424" s="48"/>
      <c r="D424" s="98"/>
      <c r="E424" s="48"/>
      <c r="F424" s="48"/>
      <c r="G424" s="49"/>
      <c r="H424" s="48"/>
      <c r="I424" s="48"/>
      <c r="J424" s="48"/>
      <c r="K424" s="48"/>
      <c r="L424" s="48"/>
      <c r="M424" s="48"/>
      <c r="N424" s="48"/>
      <c r="O424" s="48"/>
      <c r="P424" s="48"/>
      <c r="Q424" s="48"/>
      <c r="R424" s="48"/>
      <c r="S424" s="48"/>
      <c r="T424" s="48"/>
      <c r="U424" s="48"/>
      <c r="V424" s="48"/>
      <c r="W424" s="48"/>
      <c r="X424" s="48"/>
      <c r="Y424" s="48"/>
      <c r="Z424" s="48"/>
      <c r="AA424" s="48"/>
      <c r="AB424" s="48"/>
      <c r="AC424" s="48"/>
    </row>
    <row r="425" spans="1:29" ht="15.75" customHeight="1">
      <c r="A425" s="48"/>
      <c r="B425" s="48"/>
      <c r="C425" s="48"/>
      <c r="D425" s="98"/>
      <c r="E425" s="48"/>
      <c r="F425" s="48"/>
      <c r="G425" s="49"/>
      <c r="H425" s="48"/>
      <c r="I425" s="48"/>
      <c r="J425" s="48"/>
      <c r="K425" s="48"/>
      <c r="L425" s="48"/>
      <c r="M425" s="48"/>
      <c r="N425" s="48"/>
      <c r="O425" s="48"/>
      <c r="P425" s="48"/>
      <c r="Q425" s="48"/>
      <c r="R425" s="48"/>
      <c r="S425" s="48"/>
      <c r="T425" s="48"/>
      <c r="U425" s="48"/>
      <c r="V425" s="48"/>
      <c r="W425" s="48"/>
      <c r="X425" s="48"/>
      <c r="Y425" s="48"/>
      <c r="Z425" s="48"/>
      <c r="AA425" s="48"/>
      <c r="AB425" s="48"/>
      <c r="AC425" s="48"/>
    </row>
    <row r="426" spans="1:29" ht="15.75" customHeight="1">
      <c r="A426" s="48"/>
      <c r="B426" s="48"/>
      <c r="C426" s="48"/>
      <c r="D426" s="98"/>
      <c r="E426" s="48"/>
      <c r="F426" s="48"/>
      <c r="G426" s="49"/>
      <c r="H426" s="48"/>
      <c r="I426" s="48"/>
      <c r="J426" s="48"/>
      <c r="K426" s="48"/>
      <c r="L426" s="48"/>
      <c r="M426" s="48"/>
      <c r="N426" s="48"/>
      <c r="O426" s="48"/>
      <c r="P426" s="48"/>
      <c r="Q426" s="48"/>
      <c r="R426" s="48"/>
      <c r="S426" s="48"/>
      <c r="T426" s="48"/>
      <c r="U426" s="48"/>
      <c r="V426" s="48"/>
      <c r="W426" s="48"/>
      <c r="X426" s="48"/>
      <c r="Y426" s="48"/>
      <c r="Z426" s="48"/>
      <c r="AA426" s="48"/>
      <c r="AB426" s="48"/>
      <c r="AC426" s="48"/>
    </row>
    <row r="427" spans="1:29" ht="15.75" customHeight="1">
      <c r="A427" s="48"/>
      <c r="B427" s="48"/>
      <c r="C427" s="48"/>
      <c r="D427" s="98"/>
      <c r="E427" s="48"/>
      <c r="F427" s="48"/>
      <c r="G427" s="49"/>
      <c r="H427" s="48"/>
      <c r="I427" s="48"/>
      <c r="J427" s="48"/>
      <c r="K427" s="48"/>
      <c r="L427" s="48"/>
      <c r="M427" s="48"/>
      <c r="N427" s="48"/>
      <c r="O427" s="48"/>
      <c r="P427" s="48"/>
      <c r="Q427" s="48"/>
      <c r="R427" s="48"/>
      <c r="S427" s="48"/>
      <c r="T427" s="48"/>
      <c r="U427" s="48"/>
      <c r="V427" s="48"/>
      <c r="W427" s="48"/>
      <c r="X427" s="48"/>
      <c r="Y427" s="48"/>
      <c r="Z427" s="48"/>
      <c r="AA427" s="48"/>
      <c r="AB427" s="48"/>
      <c r="AC427" s="48"/>
    </row>
    <row r="428" spans="1:29" ht="15.75" customHeight="1">
      <c r="A428" s="48"/>
      <c r="B428" s="48"/>
      <c r="C428" s="48"/>
      <c r="D428" s="98"/>
      <c r="E428" s="48"/>
      <c r="F428" s="48"/>
      <c r="G428" s="49"/>
      <c r="H428" s="48"/>
      <c r="I428" s="48"/>
      <c r="J428" s="48"/>
      <c r="K428" s="48"/>
      <c r="L428" s="48"/>
      <c r="M428" s="48"/>
      <c r="N428" s="48"/>
      <c r="O428" s="48"/>
      <c r="P428" s="48"/>
      <c r="Q428" s="48"/>
      <c r="R428" s="48"/>
      <c r="S428" s="48"/>
      <c r="T428" s="48"/>
      <c r="U428" s="48"/>
      <c r="V428" s="48"/>
      <c r="W428" s="48"/>
      <c r="X428" s="48"/>
      <c r="Y428" s="48"/>
      <c r="Z428" s="48"/>
      <c r="AA428" s="48"/>
      <c r="AB428" s="48"/>
      <c r="AC428" s="48"/>
    </row>
    <row r="429" spans="1:29" ht="15.75" customHeight="1">
      <c r="A429" s="48"/>
      <c r="B429" s="48"/>
      <c r="C429" s="48"/>
      <c r="D429" s="98"/>
      <c r="E429" s="48"/>
      <c r="F429" s="48"/>
      <c r="G429" s="49"/>
      <c r="H429" s="48"/>
      <c r="I429" s="48"/>
      <c r="J429" s="48"/>
      <c r="K429" s="48"/>
      <c r="L429" s="48"/>
      <c r="M429" s="48"/>
      <c r="N429" s="48"/>
      <c r="O429" s="48"/>
      <c r="P429" s="48"/>
      <c r="Q429" s="48"/>
      <c r="R429" s="48"/>
      <c r="S429" s="48"/>
      <c r="T429" s="48"/>
      <c r="U429" s="48"/>
      <c r="V429" s="48"/>
      <c r="W429" s="48"/>
      <c r="X429" s="48"/>
      <c r="Y429" s="48"/>
      <c r="Z429" s="48"/>
      <c r="AA429" s="48"/>
      <c r="AB429" s="48"/>
      <c r="AC429" s="48"/>
    </row>
    <row r="430" spans="1:29" ht="15.75" customHeight="1">
      <c r="A430" s="48"/>
      <c r="B430" s="48"/>
      <c r="C430" s="48"/>
      <c r="D430" s="98"/>
      <c r="E430" s="48"/>
      <c r="F430" s="48"/>
      <c r="G430" s="49"/>
      <c r="H430" s="48"/>
      <c r="I430" s="48"/>
      <c r="J430" s="48"/>
      <c r="K430" s="48"/>
      <c r="L430" s="48"/>
      <c r="M430" s="48"/>
      <c r="N430" s="48"/>
      <c r="O430" s="48"/>
      <c r="P430" s="48"/>
      <c r="Q430" s="48"/>
      <c r="R430" s="48"/>
      <c r="S430" s="48"/>
      <c r="T430" s="48"/>
      <c r="U430" s="48"/>
      <c r="V430" s="48"/>
      <c r="W430" s="48"/>
      <c r="X430" s="48"/>
      <c r="Y430" s="48"/>
      <c r="Z430" s="48"/>
      <c r="AA430" s="48"/>
      <c r="AB430" s="48"/>
      <c r="AC430" s="48"/>
    </row>
    <row r="431" spans="1:29" ht="15.75" customHeight="1">
      <c r="A431" s="48"/>
      <c r="B431" s="48"/>
      <c r="C431" s="48"/>
      <c r="D431" s="98"/>
      <c r="E431" s="48"/>
      <c r="F431" s="48"/>
      <c r="G431" s="49"/>
      <c r="H431" s="48"/>
      <c r="I431" s="48"/>
      <c r="J431" s="48"/>
      <c r="K431" s="48"/>
      <c r="L431" s="48"/>
      <c r="M431" s="48"/>
      <c r="N431" s="48"/>
      <c r="O431" s="48"/>
      <c r="P431" s="48"/>
      <c r="Q431" s="48"/>
      <c r="R431" s="48"/>
      <c r="S431" s="48"/>
      <c r="T431" s="48"/>
      <c r="U431" s="48"/>
      <c r="V431" s="48"/>
      <c r="W431" s="48"/>
      <c r="X431" s="48"/>
      <c r="Y431" s="48"/>
      <c r="Z431" s="48"/>
      <c r="AA431" s="48"/>
      <c r="AB431" s="48"/>
      <c r="AC431" s="48"/>
    </row>
    <row r="432" spans="1:29" ht="15.75" customHeight="1">
      <c r="A432" s="48"/>
      <c r="B432" s="48"/>
      <c r="C432" s="48"/>
      <c r="D432" s="98"/>
      <c r="E432" s="48"/>
      <c r="F432" s="48"/>
      <c r="G432" s="49"/>
      <c r="H432" s="48"/>
      <c r="I432" s="48"/>
      <c r="J432" s="48"/>
      <c r="K432" s="48"/>
      <c r="L432" s="48"/>
      <c r="M432" s="48"/>
      <c r="N432" s="48"/>
      <c r="O432" s="48"/>
      <c r="P432" s="48"/>
      <c r="Q432" s="48"/>
      <c r="R432" s="48"/>
      <c r="S432" s="48"/>
      <c r="T432" s="48"/>
      <c r="U432" s="48"/>
      <c r="V432" s="48"/>
      <c r="W432" s="48"/>
      <c r="X432" s="48"/>
      <c r="Y432" s="48"/>
      <c r="Z432" s="48"/>
      <c r="AA432" s="48"/>
      <c r="AB432" s="48"/>
      <c r="AC432" s="48"/>
    </row>
    <row r="433" spans="1:29" ht="15.75" customHeight="1">
      <c r="A433" s="48"/>
      <c r="B433" s="48"/>
      <c r="C433" s="48"/>
      <c r="D433" s="98"/>
      <c r="E433" s="48"/>
      <c r="F433" s="48"/>
      <c r="G433" s="49"/>
      <c r="H433" s="48"/>
      <c r="I433" s="48"/>
      <c r="J433" s="48"/>
      <c r="K433" s="48"/>
      <c r="L433" s="48"/>
      <c r="M433" s="48"/>
      <c r="N433" s="48"/>
      <c r="O433" s="48"/>
      <c r="P433" s="48"/>
      <c r="Q433" s="48"/>
      <c r="R433" s="48"/>
      <c r="S433" s="48"/>
      <c r="T433" s="48"/>
      <c r="U433" s="48"/>
      <c r="V433" s="48"/>
      <c r="W433" s="48"/>
      <c r="X433" s="48"/>
      <c r="Y433" s="48"/>
      <c r="Z433" s="48"/>
      <c r="AA433" s="48"/>
      <c r="AB433" s="48"/>
      <c r="AC433" s="48"/>
    </row>
    <row r="434" spans="1:29" ht="15.75" customHeight="1">
      <c r="A434" s="48"/>
      <c r="B434" s="48"/>
      <c r="C434" s="48"/>
      <c r="D434" s="98"/>
      <c r="E434" s="48"/>
      <c r="F434" s="48"/>
      <c r="G434" s="49"/>
      <c r="H434" s="48"/>
      <c r="I434" s="48"/>
      <c r="J434" s="48"/>
      <c r="K434" s="48"/>
      <c r="L434" s="48"/>
      <c r="M434" s="48"/>
      <c r="N434" s="48"/>
      <c r="O434" s="48"/>
      <c r="P434" s="48"/>
      <c r="Q434" s="48"/>
      <c r="R434" s="48"/>
      <c r="S434" s="48"/>
      <c r="T434" s="48"/>
      <c r="U434" s="48"/>
      <c r="V434" s="48"/>
      <c r="W434" s="48"/>
      <c r="X434" s="48"/>
      <c r="Y434" s="48"/>
      <c r="Z434" s="48"/>
      <c r="AA434" s="48"/>
      <c r="AB434" s="48"/>
      <c r="AC434" s="48"/>
    </row>
    <row r="435" spans="1:29" ht="15.75" customHeight="1">
      <c r="A435" s="48"/>
      <c r="B435" s="48"/>
      <c r="C435" s="48"/>
      <c r="D435" s="98"/>
      <c r="E435" s="48"/>
      <c r="F435" s="48"/>
      <c r="G435" s="49"/>
      <c r="H435" s="48"/>
      <c r="I435" s="48"/>
      <c r="J435" s="48"/>
      <c r="K435" s="48"/>
      <c r="L435" s="48"/>
      <c r="M435" s="48"/>
      <c r="N435" s="48"/>
      <c r="O435" s="48"/>
      <c r="P435" s="48"/>
      <c r="Q435" s="48"/>
      <c r="R435" s="48"/>
      <c r="S435" s="48"/>
      <c r="T435" s="48"/>
      <c r="U435" s="48"/>
      <c r="V435" s="48"/>
      <c r="W435" s="48"/>
      <c r="X435" s="48"/>
      <c r="Y435" s="48"/>
      <c r="Z435" s="48"/>
      <c r="AA435" s="48"/>
      <c r="AB435" s="48"/>
      <c r="AC435" s="48"/>
    </row>
    <row r="436" spans="1:29" ht="15.75" customHeight="1">
      <c r="A436" s="48"/>
      <c r="B436" s="48"/>
      <c r="C436" s="48"/>
      <c r="D436" s="98"/>
      <c r="E436" s="48"/>
      <c r="F436" s="48"/>
      <c r="G436" s="49"/>
      <c r="H436" s="48"/>
      <c r="I436" s="48"/>
      <c r="J436" s="48"/>
      <c r="K436" s="48"/>
      <c r="L436" s="48"/>
      <c r="M436" s="48"/>
      <c r="N436" s="48"/>
      <c r="O436" s="48"/>
      <c r="P436" s="48"/>
      <c r="Q436" s="48"/>
      <c r="R436" s="48"/>
      <c r="S436" s="48"/>
      <c r="T436" s="48"/>
      <c r="U436" s="48"/>
      <c r="V436" s="48"/>
      <c r="W436" s="48"/>
      <c r="X436" s="48"/>
      <c r="Y436" s="48"/>
      <c r="Z436" s="48"/>
      <c r="AA436" s="48"/>
      <c r="AB436" s="48"/>
      <c r="AC436" s="48"/>
    </row>
    <row r="437" spans="1:29" ht="15.75" customHeight="1">
      <c r="A437" s="48"/>
      <c r="B437" s="48"/>
      <c r="C437" s="48"/>
      <c r="D437" s="98"/>
      <c r="E437" s="48"/>
      <c r="F437" s="48"/>
      <c r="G437" s="49"/>
      <c r="H437" s="48"/>
      <c r="I437" s="48"/>
      <c r="J437" s="48"/>
      <c r="K437" s="48"/>
      <c r="L437" s="48"/>
      <c r="M437" s="48"/>
      <c r="N437" s="48"/>
      <c r="O437" s="48"/>
      <c r="P437" s="48"/>
      <c r="Q437" s="48"/>
      <c r="R437" s="48"/>
      <c r="S437" s="48"/>
      <c r="T437" s="48"/>
      <c r="U437" s="48"/>
      <c r="V437" s="48"/>
      <c r="W437" s="48"/>
      <c r="X437" s="48"/>
      <c r="Y437" s="48"/>
      <c r="Z437" s="48"/>
      <c r="AA437" s="48"/>
      <c r="AB437" s="48"/>
      <c r="AC437" s="48"/>
    </row>
    <row r="438" spans="1:29" ht="15.75" customHeight="1">
      <c r="A438" s="48"/>
      <c r="B438" s="48"/>
      <c r="C438" s="48"/>
      <c r="D438" s="98"/>
      <c r="E438" s="48"/>
      <c r="F438" s="48"/>
      <c r="G438" s="49"/>
      <c r="H438" s="48"/>
      <c r="I438" s="48"/>
      <c r="J438" s="48"/>
      <c r="K438" s="48"/>
      <c r="L438" s="48"/>
      <c r="M438" s="48"/>
      <c r="N438" s="48"/>
      <c r="O438" s="48"/>
      <c r="P438" s="48"/>
      <c r="Q438" s="48"/>
      <c r="R438" s="48"/>
      <c r="S438" s="48"/>
      <c r="T438" s="48"/>
      <c r="U438" s="48"/>
      <c r="V438" s="48"/>
      <c r="W438" s="48"/>
      <c r="X438" s="48"/>
      <c r="Y438" s="48"/>
      <c r="Z438" s="48"/>
      <c r="AA438" s="48"/>
      <c r="AB438" s="48"/>
      <c r="AC438" s="48"/>
    </row>
    <row r="439" spans="1:29" ht="15.75" customHeight="1">
      <c r="A439" s="48"/>
      <c r="B439" s="48"/>
      <c r="C439" s="48"/>
      <c r="D439" s="98"/>
      <c r="E439" s="48"/>
      <c r="F439" s="48"/>
      <c r="G439" s="49"/>
      <c r="H439" s="48"/>
      <c r="I439" s="48"/>
      <c r="J439" s="48"/>
      <c r="K439" s="48"/>
      <c r="L439" s="48"/>
      <c r="M439" s="48"/>
      <c r="N439" s="48"/>
      <c r="O439" s="48"/>
      <c r="P439" s="48"/>
      <c r="Q439" s="48"/>
      <c r="R439" s="48"/>
      <c r="S439" s="48"/>
      <c r="T439" s="48"/>
      <c r="U439" s="48"/>
      <c r="V439" s="48"/>
      <c r="W439" s="48"/>
      <c r="X439" s="48"/>
      <c r="Y439" s="48"/>
      <c r="Z439" s="48"/>
      <c r="AA439" s="48"/>
      <c r="AB439" s="48"/>
      <c r="AC439" s="48"/>
    </row>
    <row r="440" spans="1:29" ht="15.75" customHeight="1">
      <c r="A440" s="48"/>
      <c r="B440" s="48"/>
      <c r="C440" s="48"/>
      <c r="D440" s="98"/>
      <c r="E440" s="48"/>
      <c r="F440" s="48"/>
      <c r="G440" s="49"/>
      <c r="H440" s="48"/>
      <c r="I440" s="48"/>
      <c r="J440" s="48"/>
      <c r="K440" s="48"/>
      <c r="L440" s="48"/>
      <c r="M440" s="48"/>
      <c r="N440" s="48"/>
      <c r="O440" s="48"/>
      <c r="P440" s="48"/>
      <c r="Q440" s="48"/>
      <c r="R440" s="48"/>
      <c r="S440" s="48"/>
      <c r="T440" s="48"/>
      <c r="U440" s="48"/>
      <c r="V440" s="48"/>
      <c r="W440" s="48"/>
      <c r="X440" s="48"/>
      <c r="Y440" s="48"/>
      <c r="Z440" s="48"/>
      <c r="AA440" s="48"/>
      <c r="AB440" s="48"/>
      <c r="AC440" s="48"/>
    </row>
    <row r="441" spans="1:29" ht="15.75" customHeight="1">
      <c r="A441" s="48"/>
      <c r="B441" s="48"/>
      <c r="C441" s="48"/>
      <c r="D441" s="98"/>
      <c r="E441" s="48"/>
      <c r="F441" s="48"/>
      <c r="G441" s="49"/>
      <c r="H441" s="48"/>
      <c r="I441" s="48"/>
      <c r="J441" s="48"/>
      <c r="K441" s="48"/>
      <c r="L441" s="48"/>
      <c r="M441" s="48"/>
      <c r="N441" s="48"/>
      <c r="O441" s="48"/>
      <c r="P441" s="48"/>
      <c r="Q441" s="48"/>
      <c r="R441" s="48"/>
      <c r="S441" s="48"/>
      <c r="T441" s="48"/>
      <c r="U441" s="48"/>
      <c r="V441" s="48"/>
      <c r="W441" s="48"/>
      <c r="X441" s="48"/>
      <c r="Y441" s="48"/>
      <c r="Z441" s="48"/>
      <c r="AA441" s="48"/>
      <c r="AB441" s="48"/>
      <c r="AC441" s="48"/>
    </row>
    <row r="442" spans="1:29" ht="15.75" customHeight="1">
      <c r="A442" s="48"/>
      <c r="B442" s="48"/>
      <c r="C442" s="48"/>
      <c r="D442" s="98"/>
      <c r="E442" s="48"/>
      <c r="F442" s="48"/>
      <c r="G442" s="49"/>
      <c r="H442" s="48"/>
      <c r="I442" s="48"/>
      <c r="J442" s="48"/>
      <c r="K442" s="48"/>
      <c r="L442" s="48"/>
      <c r="M442" s="48"/>
      <c r="N442" s="48"/>
      <c r="O442" s="48"/>
      <c r="P442" s="48"/>
      <c r="Q442" s="48"/>
      <c r="R442" s="48"/>
      <c r="S442" s="48"/>
      <c r="T442" s="48"/>
      <c r="U442" s="48"/>
      <c r="V442" s="48"/>
      <c r="W442" s="48"/>
      <c r="X442" s="48"/>
      <c r="Y442" s="48"/>
      <c r="Z442" s="48"/>
      <c r="AA442" s="48"/>
      <c r="AB442" s="48"/>
      <c r="AC442" s="48"/>
    </row>
    <row r="443" spans="1:29" ht="15.75" customHeight="1">
      <c r="A443" s="48"/>
      <c r="B443" s="48"/>
      <c r="C443" s="48"/>
      <c r="D443" s="98"/>
      <c r="E443" s="48"/>
      <c r="F443" s="48"/>
      <c r="G443" s="49"/>
      <c r="H443" s="48"/>
      <c r="I443" s="48"/>
      <c r="J443" s="48"/>
      <c r="K443" s="48"/>
      <c r="L443" s="48"/>
      <c r="M443" s="48"/>
      <c r="N443" s="48"/>
      <c r="O443" s="48"/>
      <c r="P443" s="48"/>
      <c r="Q443" s="48"/>
      <c r="R443" s="48"/>
      <c r="S443" s="48"/>
      <c r="T443" s="48"/>
      <c r="U443" s="48"/>
      <c r="V443" s="48"/>
      <c r="W443" s="48"/>
      <c r="X443" s="48"/>
      <c r="Y443" s="48"/>
      <c r="Z443" s="48"/>
      <c r="AA443" s="48"/>
      <c r="AB443" s="48"/>
      <c r="AC443" s="48"/>
    </row>
    <row r="444" spans="1:29" ht="15.75" customHeight="1">
      <c r="A444" s="48"/>
      <c r="B444" s="48"/>
      <c r="C444" s="48"/>
      <c r="D444" s="98"/>
      <c r="E444" s="48"/>
      <c r="F444" s="48"/>
      <c r="G444" s="49"/>
      <c r="H444" s="48"/>
      <c r="I444" s="48"/>
      <c r="J444" s="48"/>
      <c r="K444" s="48"/>
      <c r="L444" s="48"/>
      <c r="M444" s="48"/>
      <c r="N444" s="48"/>
      <c r="O444" s="48"/>
      <c r="P444" s="48"/>
      <c r="Q444" s="48"/>
      <c r="R444" s="48"/>
      <c r="S444" s="48"/>
      <c r="T444" s="48"/>
      <c r="U444" s="48"/>
      <c r="V444" s="48"/>
      <c r="W444" s="48"/>
      <c r="X444" s="48"/>
      <c r="Y444" s="48"/>
      <c r="Z444" s="48"/>
      <c r="AA444" s="48"/>
      <c r="AB444" s="48"/>
      <c r="AC444" s="48"/>
    </row>
    <row r="445" spans="1:29" ht="15.75" customHeight="1">
      <c r="A445" s="48"/>
      <c r="B445" s="48"/>
      <c r="C445" s="48"/>
      <c r="D445" s="98"/>
      <c r="E445" s="48"/>
      <c r="F445" s="48"/>
      <c r="G445" s="49"/>
      <c r="H445" s="48"/>
      <c r="I445" s="48"/>
      <c r="J445" s="48"/>
      <c r="K445" s="48"/>
      <c r="L445" s="48"/>
      <c r="M445" s="48"/>
      <c r="N445" s="48"/>
      <c r="O445" s="48"/>
      <c r="P445" s="48"/>
      <c r="Q445" s="48"/>
      <c r="R445" s="48"/>
      <c r="S445" s="48"/>
      <c r="T445" s="48"/>
      <c r="U445" s="48"/>
      <c r="V445" s="48"/>
      <c r="W445" s="48"/>
      <c r="X445" s="48"/>
      <c r="Y445" s="48"/>
      <c r="Z445" s="48"/>
      <c r="AA445" s="48"/>
      <c r="AB445" s="48"/>
      <c r="AC445" s="48"/>
    </row>
    <row r="446" spans="1:29" ht="15.75" customHeight="1">
      <c r="A446" s="48"/>
      <c r="B446" s="48"/>
      <c r="C446" s="48"/>
      <c r="D446" s="98"/>
      <c r="E446" s="48"/>
      <c r="F446" s="48"/>
      <c r="G446" s="49"/>
      <c r="H446" s="48"/>
      <c r="I446" s="48"/>
      <c r="J446" s="48"/>
      <c r="K446" s="48"/>
      <c r="L446" s="48"/>
      <c r="M446" s="48"/>
      <c r="N446" s="48"/>
      <c r="O446" s="48"/>
      <c r="P446" s="48"/>
      <c r="Q446" s="48"/>
      <c r="R446" s="48"/>
      <c r="S446" s="48"/>
      <c r="T446" s="48"/>
      <c r="U446" s="48"/>
      <c r="V446" s="48"/>
      <c r="W446" s="48"/>
      <c r="X446" s="48"/>
      <c r="Y446" s="48"/>
      <c r="Z446" s="48"/>
      <c r="AA446" s="48"/>
      <c r="AB446" s="48"/>
      <c r="AC446" s="48"/>
    </row>
    <row r="447" spans="1:29" ht="15.75" customHeight="1">
      <c r="A447" s="48"/>
      <c r="B447" s="48"/>
      <c r="C447" s="48"/>
      <c r="D447" s="98"/>
      <c r="E447" s="48"/>
      <c r="F447" s="48"/>
      <c r="G447" s="49"/>
      <c r="H447" s="48"/>
      <c r="I447" s="48"/>
      <c r="J447" s="48"/>
      <c r="K447" s="48"/>
      <c r="L447" s="48"/>
      <c r="M447" s="48"/>
      <c r="N447" s="48"/>
      <c r="O447" s="48"/>
      <c r="P447" s="48"/>
      <c r="Q447" s="48"/>
      <c r="R447" s="48"/>
      <c r="S447" s="48"/>
      <c r="T447" s="48"/>
      <c r="U447" s="48"/>
      <c r="V447" s="48"/>
      <c r="W447" s="48"/>
      <c r="X447" s="48"/>
      <c r="Y447" s="48"/>
      <c r="Z447" s="48"/>
      <c r="AA447" s="48"/>
      <c r="AB447" s="48"/>
      <c r="AC447" s="48"/>
    </row>
    <row r="448" spans="1:29" ht="15.75" customHeight="1">
      <c r="A448" s="48"/>
      <c r="B448" s="48"/>
      <c r="C448" s="48"/>
      <c r="D448" s="98"/>
      <c r="E448" s="48"/>
      <c r="F448" s="48"/>
      <c r="G448" s="49"/>
      <c r="H448" s="48"/>
      <c r="I448" s="48"/>
      <c r="J448" s="48"/>
      <c r="K448" s="48"/>
      <c r="L448" s="48"/>
      <c r="M448" s="48"/>
      <c r="N448" s="48"/>
      <c r="O448" s="48"/>
      <c r="P448" s="48"/>
      <c r="Q448" s="48"/>
      <c r="R448" s="48"/>
      <c r="S448" s="48"/>
      <c r="T448" s="48"/>
      <c r="U448" s="48"/>
      <c r="V448" s="48"/>
      <c r="W448" s="48"/>
      <c r="X448" s="48"/>
      <c r="Y448" s="48"/>
      <c r="Z448" s="48"/>
      <c r="AA448" s="48"/>
      <c r="AB448" s="48"/>
      <c r="AC448" s="48"/>
    </row>
    <row r="449" spans="1:29" ht="15.75" customHeight="1">
      <c r="A449" s="48"/>
      <c r="B449" s="48"/>
      <c r="C449" s="48"/>
      <c r="D449" s="98"/>
      <c r="E449" s="48"/>
      <c r="F449" s="48"/>
      <c r="G449" s="49"/>
      <c r="H449" s="48"/>
      <c r="I449" s="48"/>
      <c r="J449" s="48"/>
      <c r="K449" s="48"/>
      <c r="L449" s="48"/>
      <c r="M449" s="48"/>
      <c r="N449" s="48"/>
      <c r="O449" s="48"/>
      <c r="P449" s="48"/>
      <c r="Q449" s="48"/>
      <c r="R449" s="48"/>
      <c r="S449" s="48"/>
      <c r="T449" s="48"/>
      <c r="U449" s="48"/>
      <c r="V449" s="48"/>
      <c r="W449" s="48"/>
      <c r="X449" s="48"/>
      <c r="Y449" s="48"/>
      <c r="Z449" s="48"/>
      <c r="AA449" s="48"/>
      <c r="AB449" s="48"/>
      <c r="AC449" s="48"/>
    </row>
    <row r="450" spans="1:29" ht="15.75" customHeight="1">
      <c r="A450" s="48"/>
      <c r="B450" s="48"/>
      <c r="C450" s="48"/>
      <c r="D450" s="98"/>
      <c r="E450" s="48"/>
      <c r="F450" s="48"/>
      <c r="G450" s="49"/>
      <c r="H450" s="48"/>
      <c r="I450" s="48"/>
      <c r="J450" s="48"/>
      <c r="K450" s="48"/>
      <c r="L450" s="48"/>
      <c r="M450" s="48"/>
      <c r="N450" s="48"/>
      <c r="O450" s="48"/>
      <c r="P450" s="48"/>
      <c r="Q450" s="48"/>
      <c r="R450" s="48"/>
      <c r="S450" s="48"/>
      <c r="T450" s="48"/>
      <c r="U450" s="48"/>
      <c r="V450" s="48"/>
      <c r="W450" s="48"/>
      <c r="X450" s="48"/>
      <c r="Y450" s="48"/>
      <c r="Z450" s="48"/>
      <c r="AA450" s="48"/>
      <c r="AB450" s="48"/>
      <c r="AC450" s="48"/>
    </row>
    <row r="451" spans="1:29" ht="15.75" customHeight="1">
      <c r="A451" s="48"/>
      <c r="B451" s="48"/>
      <c r="C451" s="48"/>
      <c r="D451" s="98"/>
      <c r="E451" s="48"/>
      <c r="F451" s="48"/>
      <c r="G451" s="49"/>
      <c r="H451" s="48"/>
      <c r="I451" s="48"/>
      <c r="J451" s="48"/>
      <c r="K451" s="48"/>
      <c r="L451" s="48"/>
      <c r="M451" s="48"/>
      <c r="N451" s="48"/>
      <c r="O451" s="48"/>
      <c r="P451" s="48"/>
      <c r="Q451" s="48"/>
      <c r="R451" s="48"/>
      <c r="S451" s="48"/>
      <c r="T451" s="48"/>
      <c r="U451" s="48"/>
      <c r="V451" s="48"/>
      <c r="W451" s="48"/>
      <c r="X451" s="48"/>
      <c r="Y451" s="48"/>
      <c r="Z451" s="48"/>
      <c r="AA451" s="48"/>
      <c r="AB451" s="48"/>
      <c r="AC451" s="48"/>
    </row>
    <row r="452" spans="1:29" ht="15.75" customHeight="1">
      <c r="A452" s="48"/>
      <c r="B452" s="48"/>
      <c r="C452" s="48"/>
      <c r="D452" s="98"/>
      <c r="E452" s="48"/>
      <c r="F452" s="48"/>
      <c r="G452" s="49"/>
      <c r="H452" s="48"/>
      <c r="I452" s="48"/>
      <c r="J452" s="48"/>
      <c r="K452" s="48"/>
      <c r="L452" s="48"/>
      <c r="M452" s="48"/>
      <c r="N452" s="48"/>
      <c r="O452" s="48"/>
      <c r="P452" s="48"/>
      <c r="Q452" s="48"/>
      <c r="R452" s="48"/>
      <c r="S452" s="48"/>
      <c r="T452" s="48"/>
      <c r="U452" s="48"/>
      <c r="V452" s="48"/>
      <c r="W452" s="48"/>
      <c r="X452" s="48"/>
      <c r="Y452" s="48"/>
      <c r="Z452" s="48"/>
      <c r="AA452" s="48"/>
      <c r="AB452" s="48"/>
      <c r="AC452" s="48"/>
    </row>
    <row r="453" spans="1:29" ht="15.75" customHeight="1">
      <c r="A453" s="48"/>
      <c r="B453" s="48"/>
      <c r="C453" s="48"/>
      <c r="D453" s="98"/>
      <c r="E453" s="48"/>
      <c r="F453" s="48"/>
      <c r="G453" s="49"/>
      <c r="H453" s="48"/>
      <c r="I453" s="48"/>
      <c r="J453" s="48"/>
      <c r="K453" s="48"/>
      <c r="L453" s="48"/>
      <c r="M453" s="48"/>
      <c r="N453" s="48"/>
      <c r="O453" s="48"/>
      <c r="P453" s="48"/>
      <c r="Q453" s="48"/>
      <c r="R453" s="48"/>
      <c r="S453" s="48"/>
      <c r="T453" s="48"/>
      <c r="U453" s="48"/>
      <c r="V453" s="48"/>
      <c r="W453" s="48"/>
      <c r="X453" s="48"/>
      <c r="Y453" s="48"/>
      <c r="Z453" s="48"/>
      <c r="AA453" s="48"/>
      <c r="AB453" s="48"/>
      <c r="AC453" s="48"/>
    </row>
    <row r="454" spans="1:29" ht="15.75" customHeight="1">
      <c r="A454" s="48"/>
      <c r="B454" s="48"/>
      <c r="C454" s="48"/>
      <c r="D454" s="98"/>
      <c r="E454" s="48"/>
      <c r="F454" s="48"/>
      <c r="G454" s="49"/>
      <c r="H454" s="48"/>
      <c r="I454" s="48"/>
      <c r="J454" s="48"/>
      <c r="K454" s="48"/>
      <c r="L454" s="48"/>
      <c r="M454" s="48"/>
      <c r="N454" s="48"/>
      <c r="O454" s="48"/>
      <c r="P454" s="48"/>
      <c r="Q454" s="48"/>
      <c r="R454" s="48"/>
      <c r="S454" s="48"/>
      <c r="T454" s="48"/>
      <c r="U454" s="48"/>
      <c r="V454" s="48"/>
      <c r="W454" s="48"/>
      <c r="X454" s="48"/>
      <c r="Y454" s="48"/>
      <c r="Z454" s="48"/>
      <c r="AA454" s="48"/>
      <c r="AB454" s="48"/>
      <c r="AC454" s="48"/>
    </row>
    <row r="455" spans="1:29" ht="15.75" customHeight="1">
      <c r="A455" s="48"/>
      <c r="B455" s="48"/>
      <c r="C455" s="48"/>
      <c r="D455" s="98"/>
      <c r="E455" s="48"/>
      <c r="F455" s="48"/>
      <c r="G455" s="49"/>
      <c r="H455" s="48"/>
      <c r="I455" s="48"/>
      <c r="J455" s="48"/>
      <c r="K455" s="48"/>
      <c r="L455" s="48"/>
      <c r="M455" s="48"/>
      <c r="N455" s="48"/>
      <c r="O455" s="48"/>
      <c r="P455" s="48"/>
      <c r="Q455" s="48"/>
      <c r="R455" s="48"/>
      <c r="S455" s="48"/>
      <c r="T455" s="48"/>
      <c r="U455" s="48"/>
      <c r="V455" s="48"/>
      <c r="W455" s="48"/>
      <c r="X455" s="48"/>
      <c r="Y455" s="48"/>
      <c r="Z455" s="48"/>
      <c r="AA455" s="48"/>
      <c r="AB455" s="48"/>
      <c r="AC455" s="48"/>
    </row>
    <row r="456" spans="1:29" ht="15.75" customHeight="1">
      <c r="A456" s="48"/>
      <c r="B456" s="48"/>
      <c r="C456" s="48"/>
      <c r="D456" s="98"/>
      <c r="E456" s="48"/>
      <c r="F456" s="48"/>
      <c r="G456" s="49"/>
      <c r="H456" s="48"/>
      <c r="I456" s="48"/>
      <c r="J456" s="48"/>
      <c r="K456" s="48"/>
      <c r="L456" s="48"/>
      <c r="M456" s="48"/>
      <c r="N456" s="48"/>
      <c r="O456" s="48"/>
      <c r="P456" s="48"/>
      <c r="Q456" s="48"/>
      <c r="R456" s="48"/>
      <c r="S456" s="48"/>
      <c r="T456" s="48"/>
      <c r="U456" s="48"/>
      <c r="V456" s="48"/>
      <c r="W456" s="48"/>
      <c r="X456" s="48"/>
      <c r="Y456" s="48"/>
      <c r="Z456" s="48"/>
      <c r="AA456" s="48"/>
      <c r="AB456" s="48"/>
      <c r="AC456" s="48"/>
    </row>
    <row r="457" spans="1:29" ht="15.75" customHeight="1">
      <c r="A457" s="48"/>
      <c r="B457" s="48"/>
      <c r="C457" s="48"/>
      <c r="D457" s="98"/>
      <c r="E457" s="48"/>
      <c r="F457" s="48"/>
      <c r="G457" s="49"/>
      <c r="H457" s="48"/>
      <c r="I457" s="48"/>
      <c r="J457" s="48"/>
      <c r="K457" s="48"/>
      <c r="L457" s="48"/>
      <c r="M457" s="48"/>
      <c r="N457" s="48"/>
      <c r="O457" s="48"/>
      <c r="P457" s="48"/>
      <c r="Q457" s="48"/>
      <c r="R457" s="48"/>
      <c r="S457" s="48"/>
      <c r="T457" s="48"/>
      <c r="U457" s="48"/>
      <c r="V457" s="48"/>
      <c r="W457" s="48"/>
      <c r="X457" s="48"/>
      <c r="Y457" s="48"/>
      <c r="Z457" s="48"/>
      <c r="AA457" s="48"/>
      <c r="AB457" s="48"/>
      <c r="AC457" s="48"/>
    </row>
    <row r="458" spans="1:29" ht="15.75" customHeight="1">
      <c r="A458" s="48"/>
      <c r="B458" s="48"/>
      <c r="C458" s="48"/>
      <c r="D458" s="98"/>
      <c r="E458" s="48"/>
      <c r="F458" s="48"/>
      <c r="G458" s="49"/>
      <c r="H458" s="48"/>
      <c r="I458" s="48"/>
      <c r="J458" s="48"/>
      <c r="K458" s="48"/>
      <c r="L458" s="48"/>
      <c r="M458" s="48"/>
      <c r="N458" s="48"/>
      <c r="O458" s="48"/>
      <c r="P458" s="48"/>
      <c r="Q458" s="48"/>
      <c r="R458" s="48"/>
      <c r="S458" s="48"/>
      <c r="T458" s="48"/>
      <c r="U458" s="48"/>
      <c r="V458" s="48"/>
      <c r="W458" s="48"/>
      <c r="X458" s="48"/>
      <c r="Y458" s="48"/>
      <c r="Z458" s="48"/>
      <c r="AA458" s="48"/>
      <c r="AB458" s="48"/>
      <c r="AC458" s="48"/>
    </row>
    <row r="459" spans="1:29" ht="15.75" customHeight="1">
      <c r="A459" s="48"/>
      <c r="B459" s="48"/>
      <c r="C459" s="48"/>
      <c r="D459" s="98"/>
      <c r="E459" s="48"/>
      <c r="F459" s="48"/>
      <c r="G459" s="49"/>
      <c r="H459" s="48"/>
      <c r="I459" s="48"/>
      <c r="J459" s="48"/>
      <c r="K459" s="48"/>
      <c r="L459" s="48"/>
      <c r="M459" s="48"/>
      <c r="N459" s="48"/>
      <c r="O459" s="48"/>
      <c r="P459" s="48"/>
      <c r="Q459" s="48"/>
      <c r="R459" s="48"/>
      <c r="S459" s="48"/>
      <c r="T459" s="48"/>
      <c r="U459" s="48"/>
      <c r="V459" s="48"/>
      <c r="W459" s="48"/>
      <c r="X459" s="48"/>
      <c r="Y459" s="48"/>
      <c r="Z459" s="48"/>
      <c r="AA459" s="48"/>
      <c r="AB459" s="48"/>
      <c r="AC459" s="48"/>
    </row>
    <row r="460" spans="1:29" ht="15.75" customHeight="1">
      <c r="A460" s="48"/>
      <c r="B460" s="48"/>
      <c r="C460" s="48"/>
      <c r="D460" s="98"/>
      <c r="E460" s="48"/>
      <c r="F460" s="48"/>
      <c r="G460" s="49"/>
      <c r="H460" s="48"/>
      <c r="I460" s="48"/>
      <c r="J460" s="48"/>
      <c r="K460" s="48"/>
      <c r="L460" s="48"/>
      <c r="M460" s="48"/>
      <c r="N460" s="48"/>
      <c r="O460" s="48"/>
      <c r="P460" s="48"/>
      <c r="Q460" s="48"/>
      <c r="R460" s="48"/>
      <c r="S460" s="48"/>
      <c r="T460" s="48"/>
      <c r="U460" s="48"/>
      <c r="V460" s="48"/>
      <c r="W460" s="48"/>
      <c r="X460" s="48"/>
      <c r="Y460" s="48"/>
      <c r="Z460" s="48"/>
      <c r="AA460" s="48"/>
      <c r="AB460" s="48"/>
      <c r="AC460" s="48"/>
    </row>
    <row r="461" spans="1:29" ht="15.75" customHeight="1">
      <c r="A461" s="48"/>
      <c r="B461" s="48"/>
      <c r="C461" s="48"/>
      <c r="D461" s="48"/>
      <c r="E461" s="48"/>
      <c r="F461" s="48"/>
      <c r="G461" s="49"/>
      <c r="H461" s="48"/>
      <c r="I461" s="48"/>
      <c r="J461" s="48"/>
      <c r="K461" s="48"/>
      <c r="L461" s="48"/>
      <c r="M461" s="48"/>
      <c r="N461" s="48"/>
      <c r="O461" s="48"/>
      <c r="P461" s="48"/>
      <c r="Q461" s="48"/>
      <c r="R461" s="48"/>
      <c r="S461" s="48"/>
      <c r="T461" s="48"/>
      <c r="U461" s="48"/>
      <c r="V461" s="48"/>
      <c r="W461" s="48"/>
      <c r="X461" s="48"/>
      <c r="Y461" s="48"/>
      <c r="Z461" s="48"/>
      <c r="AA461" s="48"/>
      <c r="AB461" s="48"/>
      <c r="AC461" s="48"/>
    </row>
    <row r="462" spans="1:29" ht="15.75" customHeight="1">
      <c r="A462" s="48"/>
      <c r="B462" s="48"/>
      <c r="C462" s="48"/>
      <c r="D462" s="48"/>
      <c r="E462" s="48"/>
      <c r="F462" s="48"/>
      <c r="G462" s="49"/>
      <c r="H462" s="48"/>
      <c r="I462" s="48"/>
      <c r="J462" s="48"/>
      <c r="K462" s="48"/>
      <c r="L462" s="48"/>
      <c r="M462" s="48"/>
      <c r="N462" s="48"/>
      <c r="O462" s="48"/>
      <c r="P462" s="48"/>
      <c r="Q462" s="48"/>
      <c r="R462" s="48"/>
      <c r="S462" s="48"/>
      <c r="T462" s="48"/>
      <c r="U462" s="48"/>
      <c r="V462" s="48"/>
      <c r="W462" s="48"/>
      <c r="X462" s="48"/>
      <c r="Y462" s="48"/>
      <c r="Z462" s="48"/>
      <c r="AA462" s="48"/>
      <c r="AB462" s="48"/>
      <c r="AC462" s="48"/>
    </row>
    <row r="463" spans="1:29" ht="15.75" customHeight="1">
      <c r="A463" s="48"/>
      <c r="B463" s="48"/>
      <c r="C463" s="48"/>
      <c r="D463" s="48"/>
      <c r="E463" s="48"/>
      <c r="F463" s="48"/>
      <c r="G463" s="49"/>
      <c r="H463" s="48"/>
      <c r="I463" s="48"/>
      <c r="J463" s="48"/>
      <c r="K463" s="48"/>
      <c r="L463" s="48"/>
      <c r="M463" s="48"/>
      <c r="N463" s="48"/>
      <c r="O463" s="48"/>
      <c r="P463" s="48"/>
      <c r="Q463" s="48"/>
      <c r="R463" s="48"/>
      <c r="S463" s="48"/>
      <c r="T463" s="48"/>
      <c r="U463" s="48"/>
      <c r="V463" s="48"/>
      <c r="W463" s="48"/>
      <c r="X463" s="48"/>
      <c r="Y463" s="48"/>
      <c r="Z463" s="48"/>
      <c r="AA463" s="48"/>
      <c r="AB463" s="48"/>
      <c r="AC463" s="48"/>
    </row>
    <row r="464" spans="1:29" ht="15.75" customHeight="1">
      <c r="A464" s="48"/>
      <c r="B464" s="48"/>
      <c r="C464" s="48"/>
      <c r="D464" s="48"/>
      <c r="E464" s="48"/>
      <c r="F464" s="48"/>
      <c r="G464" s="49"/>
      <c r="H464" s="48"/>
      <c r="I464" s="48"/>
      <c r="J464" s="48"/>
      <c r="K464" s="48"/>
      <c r="L464" s="48"/>
      <c r="M464" s="48"/>
      <c r="N464" s="48"/>
      <c r="O464" s="48"/>
      <c r="P464" s="48"/>
      <c r="Q464" s="48"/>
      <c r="R464" s="48"/>
      <c r="S464" s="48"/>
      <c r="T464" s="48"/>
      <c r="U464" s="48"/>
      <c r="V464" s="48"/>
      <c r="W464" s="48"/>
      <c r="X464" s="48"/>
      <c r="Y464" s="48"/>
      <c r="Z464" s="48"/>
      <c r="AA464" s="48"/>
      <c r="AB464" s="48"/>
      <c r="AC464" s="48"/>
    </row>
    <row r="465" spans="1:29" ht="15.75" customHeight="1">
      <c r="A465" s="48"/>
      <c r="B465" s="48"/>
      <c r="C465" s="48"/>
      <c r="D465" s="48"/>
      <c r="E465" s="48"/>
      <c r="F465" s="48"/>
      <c r="G465" s="49"/>
      <c r="H465" s="48"/>
      <c r="I465" s="48"/>
      <c r="J465" s="48"/>
      <c r="K465" s="48"/>
      <c r="L465" s="48"/>
      <c r="M465" s="48"/>
      <c r="N465" s="48"/>
      <c r="O465" s="48"/>
      <c r="P465" s="48"/>
      <c r="Q465" s="48"/>
      <c r="R465" s="48"/>
      <c r="S465" s="48"/>
      <c r="T465" s="48"/>
      <c r="U465" s="48"/>
      <c r="V465" s="48"/>
      <c r="W465" s="48"/>
      <c r="X465" s="48"/>
      <c r="Y465" s="48"/>
      <c r="Z465" s="48"/>
      <c r="AA465" s="48"/>
      <c r="AB465" s="48"/>
      <c r="AC465" s="48"/>
    </row>
    <row r="466" spans="1:29" ht="15.75" customHeight="1">
      <c r="A466" s="48"/>
      <c r="B466" s="48"/>
      <c r="C466" s="48"/>
      <c r="D466" s="48"/>
      <c r="E466" s="48"/>
      <c r="F466" s="48"/>
      <c r="G466" s="49"/>
      <c r="H466" s="48"/>
      <c r="I466" s="48"/>
      <c r="J466" s="48"/>
      <c r="K466" s="48"/>
      <c r="L466" s="48"/>
      <c r="M466" s="48"/>
      <c r="N466" s="48"/>
      <c r="O466" s="48"/>
      <c r="P466" s="48"/>
      <c r="Q466" s="48"/>
      <c r="R466" s="48"/>
      <c r="S466" s="48"/>
      <c r="T466" s="48"/>
      <c r="U466" s="48"/>
      <c r="V466" s="48"/>
      <c r="W466" s="48"/>
      <c r="X466" s="48"/>
      <c r="Y466" s="48"/>
      <c r="Z466" s="48"/>
      <c r="AA466" s="48"/>
      <c r="AB466" s="48"/>
      <c r="AC466" s="48"/>
    </row>
    <row r="467" spans="1:29" ht="15.75" customHeight="1">
      <c r="A467" s="48"/>
      <c r="B467" s="48"/>
      <c r="C467" s="48"/>
      <c r="D467" s="48"/>
      <c r="E467" s="48"/>
      <c r="F467" s="48"/>
      <c r="G467" s="49"/>
      <c r="H467" s="48"/>
      <c r="I467" s="48"/>
      <c r="J467" s="48"/>
      <c r="K467" s="48"/>
      <c r="L467" s="48"/>
      <c r="M467" s="48"/>
      <c r="N467" s="48"/>
      <c r="O467" s="48"/>
      <c r="P467" s="48"/>
      <c r="Q467" s="48"/>
      <c r="R467" s="48"/>
      <c r="S467" s="48"/>
      <c r="T467" s="48"/>
      <c r="U467" s="48"/>
      <c r="V467" s="48"/>
      <c r="W467" s="48"/>
      <c r="X467" s="48"/>
      <c r="Y467" s="48"/>
      <c r="Z467" s="48"/>
      <c r="AA467" s="48"/>
      <c r="AB467" s="48"/>
      <c r="AC467" s="48"/>
    </row>
    <row r="468" spans="1:29" ht="15.75" customHeight="1">
      <c r="A468" s="48"/>
      <c r="B468" s="48"/>
      <c r="C468" s="48"/>
      <c r="D468" s="48"/>
      <c r="E468" s="48"/>
      <c r="F468" s="48"/>
      <c r="G468" s="49"/>
      <c r="H468" s="48"/>
      <c r="I468" s="48"/>
      <c r="J468" s="48"/>
      <c r="K468" s="48"/>
      <c r="L468" s="48"/>
      <c r="M468" s="48"/>
      <c r="N468" s="48"/>
      <c r="O468" s="48"/>
      <c r="P468" s="48"/>
      <c r="Q468" s="48"/>
      <c r="R468" s="48"/>
      <c r="S468" s="48"/>
      <c r="T468" s="48"/>
      <c r="U468" s="48"/>
      <c r="V468" s="48"/>
      <c r="W468" s="48"/>
      <c r="X468" s="48"/>
      <c r="Y468" s="48"/>
      <c r="Z468" s="48"/>
      <c r="AA468" s="48"/>
      <c r="AB468" s="48"/>
      <c r="AC468" s="48"/>
    </row>
    <row r="469" spans="1:29" ht="15.75" customHeight="1">
      <c r="A469" s="48"/>
      <c r="B469" s="48"/>
      <c r="C469" s="48"/>
      <c r="D469" s="48"/>
      <c r="E469" s="48"/>
      <c r="F469" s="48"/>
      <c r="G469" s="49"/>
      <c r="H469" s="48"/>
      <c r="I469" s="48"/>
      <c r="J469" s="48"/>
      <c r="K469" s="48"/>
      <c r="L469" s="48"/>
      <c r="M469" s="48"/>
      <c r="N469" s="48"/>
      <c r="O469" s="48"/>
      <c r="P469" s="48"/>
      <c r="Q469" s="48"/>
      <c r="R469" s="48"/>
      <c r="S469" s="48"/>
      <c r="T469" s="48"/>
      <c r="U469" s="48"/>
      <c r="V469" s="48"/>
      <c r="W469" s="48"/>
      <c r="X469" s="48"/>
      <c r="Y469" s="48"/>
      <c r="Z469" s="48"/>
      <c r="AA469" s="48"/>
      <c r="AB469" s="48"/>
      <c r="AC469" s="48"/>
    </row>
    <row r="470" spans="1:29" ht="15.75" customHeight="1">
      <c r="A470" s="48"/>
      <c r="B470" s="48"/>
      <c r="C470" s="48"/>
      <c r="D470" s="48"/>
      <c r="E470" s="48"/>
      <c r="F470" s="48"/>
      <c r="G470" s="49"/>
      <c r="H470" s="48"/>
      <c r="I470" s="48"/>
      <c r="J470" s="48"/>
      <c r="K470" s="48"/>
      <c r="L470" s="48"/>
      <c r="M470" s="48"/>
      <c r="N470" s="48"/>
      <c r="O470" s="48"/>
      <c r="P470" s="48"/>
      <c r="Q470" s="48"/>
      <c r="R470" s="48"/>
      <c r="S470" s="48"/>
      <c r="T470" s="48"/>
      <c r="U470" s="48"/>
      <c r="V470" s="48"/>
      <c r="W470" s="48"/>
      <c r="X470" s="48"/>
      <c r="Y470" s="48"/>
      <c r="Z470" s="48"/>
      <c r="AA470" s="48"/>
      <c r="AB470" s="48"/>
      <c r="AC470" s="48"/>
    </row>
    <row r="471" spans="1:29" ht="15.75" customHeight="1">
      <c r="A471" s="48"/>
      <c r="B471" s="48"/>
      <c r="C471" s="48"/>
      <c r="D471" s="48"/>
      <c r="E471" s="48"/>
      <c r="F471" s="48"/>
      <c r="G471" s="49"/>
      <c r="H471" s="48"/>
      <c r="I471" s="48"/>
      <c r="J471" s="48"/>
      <c r="K471" s="48"/>
      <c r="L471" s="48"/>
      <c r="M471" s="48"/>
      <c r="N471" s="48"/>
      <c r="O471" s="48"/>
      <c r="P471" s="48"/>
      <c r="Q471" s="48"/>
      <c r="R471" s="48"/>
      <c r="S471" s="48"/>
      <c r="T471" s="48"/>
      <c r="U471" s="48"/>
      <c r="V471" s="48"/>
      <c r="W471" s="48"/>
      <c r="X471" s="48"/>
      <c r="Y471" s="48"/>
      <c r="Z471" s="48"/>
      <c r="AA471" s="48"/>
      <c r="AB471" s="48"/>
      <c r="AC471" s="48"/>
    </row>
    <row r="472" spans="1:29" ht="15.75" customHeight="1">
      <c r="A472" s="48"/>
      <c r="B472" s="48"/>
      <c r="C472" s="48"/>
      <c r="D472" s="48"/>
      <c r="E472" s="48"/>
      <c r="F472" s="48"/>
      <c r="G472" s="49"/>
      <c r="H472" s="48"/>
      <c r="I472" s="48"/>
      <c r="J472" s="48"/>
      <c r="K472" s="48"/>
      <c r="L472" s="48"/>
      <c r="M472" s="48"/>
      <c r="N472" s="48"/>
      <c r="O472" s="48"/>
      <c r="P472" s="48"/>
      <c r="Q472" s="48"/>
      <c r="R472" s="48"/>
      <c r="S472" s="48"/>
      <c r="T472" s="48"/>
      <c r="U472" s="48"/>
      <c r="V472" s="48"/>
      <c r="W472" s="48"/>
      <c r="X472" s="48"/>
      <c r="Y472" s="48"/>
      <c r="Z472" s="48"/>
      <c r="AA472" s="48"/>
      <c r="AB472" s="48"/>
      <c r="AC472" s="48"/>
    </row>
    <row r="473" spans="1:29" ht="15.75" customHeight="1">
      <c r="A473" s="48"/>
      <c r="B473" s="48"/>
      <c r="C473" s="48"/>
      <c r="D473" s="48"/>
      <c r="E473" s="48"/>
      <c r="F473" s="48"/>
      <c r="G473" s="49"/>
      <c r="H473" s="48"/>
      <c r="I473" s="48"/>
      <c r="J473" s="48"/>
      <c r="K473" s="48"/>
      <c r="L473" s="48"/>
      <c r="M473" s="48"/>
      <c r="N473" s="48"/>
      <c r="O473" s="48"/>
      <c r="P473" s="48"/>
      <c r="Q473" s="48"/>
      <c r="R473" s="48"/>
      <c r="S473" s="48"/>
      <c r="T473" s="48"/>
      <c r="U473" s="48"/>
      <c r="V473" s="48"/>
      <c r="W473" s="48"/>
      <c r="X473" s="48"/>
      <c r="Y473" s="48"/>
      <c r="Z473" s="48"/>
      <c r="AA473" s="48"/>
      <c r="AB473" s="48"/>
      <c r="AC473" s="48"/>
    </row>
    <row r="474" spans="1:29" ht="15.75" customHeight="1">
      <c r="A474" s="48"/>
      <c r="B474" s="48"/>
      <c r="C474" s="48"/>
      <c r="D474" s="48"/>
      <c r="E474" s="48"/>
      <c r="F474" s="48"/>
      <c r="G474" s="49"/>
      <c r="H474" s="48"/>
      <c r="I474" s="48"/>
      <c r="J474" s="48"/>
      <c r="K474" s="48"/>
      <c r="L474" s="48"/>
      <c r="M474" s="48"/>
      <c r="N474" s="48"/>
      <c r="O474" s="48"/>
      <c r="P474" s="48"/>
      <c r="Q474" s="48"/>
      <c r="R474" s="48"/>
      <c r="S474" s="48"/>
      <c r="T474" s="48"/>
      <c r="U474" s="48"/>
      <c r="V474" s="48"/>
      <c r="W474" s="48"/>
      <c r="X474" s="48"/>
      <c r="Y474" s="48"/>
      <c r="Z474" s="48"/>
      <c r="AA474" s="48"/>
      <c r="AB474" s="48"/>
      <c r="AC474" s="48"/>
    </row>
    <row r="475" spans="1:29" ht="15.75" customHeight="1">
      <c r="A475" s="48"/>
      <c r="B475" s="48"/>
      <c r="C475" s="48"/>
      <c r="D475" s="48"/>
      <c r="E475" s="48"/>
      <c r="F475" s="48"/>
      <c r="G475" s="49"/>
      <c r="H475" s="48"/>
      <c r="I475" s="48"/>
      <c r="J475" s="48"/>
      <c r="K475" s="48"/>
      <c r="L475" s="48"/>
      <c r="M475" s="48"/>
      <c r="N475" s="48"/>
      <c r="O475" s="48"/>
      <c r="P475" s="48"/>
      <c r="Q475" s="48"/>
      <c r="R475" s="48"/>
      <c r="S475" s="48"/>
      <c r="T475" s="48"/>
      <c r="U475" s="48"/>
      <c r="V475" s="48"/>
      <c r="W475" s="48"/>
      <c r="X475" s="48"/>
      <c r="Y475" s="48"/>
      <c r="Z475" s="48"/>
      <c r="AA475" s="48"/>
      <c r="AB475" s="48"/>
      <c r="AC475" s="48"/>
    </row>
    <row r="476" spans="1:29" ht="15.75" customHeight="1">
      <c r="A476" s="48"/>
      <c r="B476" s="48"/>
      <c r="C476" s="48"/>
      <c r="D476" s="48"/>
      <c r="E476" s="48"/>
      <c r="F476" s="48"/>
      <c r="G476" s="49"/>
      <c r="H476" s="48"/>
      <c r="I476" s="48"/>
      <c r="J476" s="48"/>
      <c r="K476" s="48"/>
      <c r="L476" s="48"/>
      <c r="M476" s="48"/>
      <c r="N476" s="48"/>
      <c r="O476" s="48"/>
      <c r="P476" s="48"/>
      <c r="Q476" s="48"/>
      <c r="R476" s="48"/>
      <c r="S476" s="48"/>
      <c r="T476" s="48"/>
      <c r="U476" s="48"/>
      <c r="V476" s="48"/>
      <c r="W476" s="48"/>
      <c r="X476" s="48"/>
      <c r="Y476" s="48"/>
      <c r="Z476" s="48"/>
      <c r="AA476" s="48"/>
      <c r="AB476" s="48"/>
      <c r="AC476" s="48"/>
    </row>
    <row r="477" spans="1:29" ht="15.75" customHeight="1">
      <c r="A477" s="48"/>
      <c r="B477" s="48"/>
      <c r="C477" s="48"/>
      <c r="D477" s="48"/>
      <c r="E477" s="48"/>
      <c r="F477" s="48"/>
      <c r="G477" s="49"/>
      <c r="H477" s="48"/>
      <c r="I477" s="48"/>
      <c r="J477" s="48"/>
      <c r="K477" s="48"/>
      <c r="L477" s="48"/>
      <c r="M477" s="48"/>
      <c r="N477" s="48"/>
      <c r="O477" s="48"/>
      <c r="P477" s="48"/>
      <c r="Q477" s="48"/>
      <c r="R477" s="48"/>
      <c r="S477" s="48"/>
      <c r="T477" s="48"/>
      <c r="U477" s="48"/>
      <c r="V477" s="48"/>
      <c r="W477" s="48"/>
      <c r="X477" s="48"/>
      <c r="Y477" s="48"/>
      <c r="Z477" s="48"/>
      <c r="AA477" s="48"/>
      <c r="AB477" s="48"/>
      <c r="AC477" s="48"/>
    </row>
    <row r="478" spans="1:29" ht="15.75" customHeight="1">
      <c r="A478" s="48"/>
      <c r="B478" s="48"/>
      <c r="C478" s="48"/>
      <c r="D478" s="48"/>
      <c r="E478" s="48"/>
      <c r="F478" s="48"/>
      <c r="G478" s="49"/>
      <c r="H478" s="48"/>
      <c r="I478" s="48"/>
      <c r="J478" s="48"/>
      <c r="K478" s="48"/>
      <c r="L478" s="48"/>
      <c r="M478" s="48"/>
      <c r="N478" s="48"/>
      <c r="O478" s="48"/>
      <c r="P478" s="48"/>
      <c r="Q478" s="48"/>
      <c r="R478" s="48"/>
      <c r="S478" s="48"/>
      <c r="T478" s="48"/>
      <c r="U478" s="48"/>
      <c r="V478" s="48"/>
      <c r="W478" s="48"/>
      <c r="X478" s="48"/>
      <c r="Y478" s="48"/>
      <c r="Z478" s="48"/>
      <c r="AA478" s="48"/>
      <c r="AB478" s="48"/>
      <c r="AC478" s="48"/>
    </row>
    <row r="479" spans="1:29" ht="15.75" customHeight="1">
      <c r="A479" s="48"/>
      <c r="B479" s="48"/>
      <c r="C479" s="48"/>
      <c r="D479" s="48"/>
      <c r="E479" s="48"/>
      <c r="F479" s="48"/>
      <c r="G479" s="49"/>
      <c r="H479" s="48"/>
      <c r="I479" s="48"/>
      <c r="J479" s="48"/>
      <c r="K479" s="48"/>
      <c r="L479" s="48"/>
      <c r="M479" s="48"/>
      <c r="N479" s="48"/>
      <c r="O479" s="48"/>
      <c r="P479" s="48"/>
      <c r="Q479" s="48"/>
      <c r="R479" s="48"/>
      <c r="S479" s="48"/>
      <c r="T479" s="48"/>
      <c r="U479" s="48"/>
      <c r="V479" s="48"/>
      <c r="W479" s="48"/>
      <c r="X479" s="48"/>
      <c r="Y479" s="48"/>
      <c r="Z479" s="48"/>
      <c r="AA479" s="48"/>
      <c r="AB479" s="48"/>
      <c r="AC479" s="48"/>
    </row>
    <row r="480" spans="1:29" ht="15.75" customHeight="1">
      <c r="A480" s="48"/>
      <c r="B480" s="48"/>
      <c r="C480" s="48"/>
      <c r="D480" s="48"/>
      <c r="E480" s="48"/>
      <c r="F480" s="48"/>
      <c r="G480" s="49"/>
      <c r="H480" s="48"/>
      <c r="I480" s="48"/>
      <c r="J480" s="48"/>
      <c r="K480" s="48"/>
      <c r="L480" s="48"/>
      <c r="M480" s="48"/>
      <c r="N480" s="48"/>
      <c r="O480" s="48"/>
      <c r="P480" s="48"/>
      <c r="Q480" s="48"/>
      <c r="R480" s="48"/>
      <c r="S480" s="48"/>
      <c r="T480" s="48"/>
      <c r="U480" s="48"/>
      <c r="V480" s="48"/>
      <c r="W480" s="48"/>
      <c r="X480" s="48"/>
      <c r="Y480" s="48"/>
      <c r="Z480" s="48"/>
      <c r="AA480" s="48"/>
      <c r="AB480" s="48"/>
      <c r="AC480" s="48"/>
    </row>
    <row r="481" spans="1:29" ht="15.75" customHeight="1">
      <c r="A481" s="48"/>
      <c r="B481" s="48"/>
      <c r="C481" s="48"/>
      <c r="D481" s="48"/>
      <c r="E481" s="48"/>
      <c r="F481" s="48"/>
      <c r="G481" s="49"/>
      <c r="H481" s="48"/>
      <c r="I481" s="48"/>
      <c r="J481" s="48"/>
      <c r="K481" s="48"/>
      <c r="L481" s="48"/>
      <c r="M481" s="48"/>
      <c r="N481" s="48"/>
      <c r="O481" s="48"/>
      <c r="P481" s="48"/>
      <c r="Q481" s="48"/>
      <c r="R481" s="48"/>
      <c r="S481" s="48"/>
      <c r="T481" s="48"/>
      <c r="U481" s="48"/>
      <c r="V481" s="48"/>
      <c r="W481" s="48"/>
      <c r="X481" s="48"/>
      <c r="Y481" s="48"/>
      <c r="Z481" s="48"/>
      <c r="AA481" s="48"/>
      <c r="AB481" s="48"/>
      <c r="AC481" s="48"/>
    </row>
    <row r="482" spans="1:29" ht="15.75" customHeight="1">
      <c r="A482" s="48"/>
      <c r="B482" s="48"/>
      <c r="C482" s="48"/>
      <c r="D482" s="48"/>
      <c r="E482" s="48"/>
      <c r="F482" s="48"/>
      <c r="G482" s="49"/>
      <c r="H482" s="48"/>
      <c r="I482" s="48"/>
      <c r="J482" s="48"/>
      <c r="K482" s="48"/>
      <c r="L482" s="48"/>
      <c r="M482" s="48"/>
      <c r="N482" s="48"/>
      <c r="O482" s="48"/>
      <c r="P482" s="48"/>
      <c r="Q482" s="48"/>
      <c r="R482" s="48"/>
      <c r="S482" s="48"/>
      <c r="T482" s="48"/>
      <c r="U482" s="48"/>
      <c r="V482" s="48"/>
      <c r="W482" s="48"/>
      <c r="X482" s="48"/>
      <c r="Y482" s="48"/>
      <c r="Z482" s="48"/>
      <c r="AA482" s="48"/>
      <c r="AB482" s="48"/>
      <c r="AC482" s="48"/>
    </row>
    <row r="483" spans="1:29" ht="15.75" customHeight="1">
      <c r="A483" s="48"/>
      <c r="B483" s="48"/>
      <c r="C483" s="48"/>
      <c r="D483" s="48"/>
      <c r="E483" s="48"/>
      <c r="F483" s="48"/>
      <c r="G483" s="49"/>
      <c r="H483" s="48"/>
      <c r="I483" s="48"/>
      <c r="J483" s="48"/>
      <c r="K483" s="48"/>
      <c r="L483" s="48"/>
      <c r="M483" s="48"/>
      <c r="N483" s="48"/>
      <c r="O483" s="48"/>
      <c r="P483" s="48"/>
      <c r="Q483" s="48"/>
      <c r="R483" s="48"/>
      <c r="S483" s="48"/>
      <c r="T483" s="48"/>
      <c r="U483" s="48"/>
      <c r="V483" s="48"/>
      <c r="W483" s="48"/>
      <c r="X483" s="48"/>
      <c r="Y483" s="48"/>
      <c r="Z483" s="48"/>
      <c r="AA483" s="48"/>
      <c r="AB483" s="48"/>
      <c r="AC483" s="48"/>
    </row>
    <row r="484" spans="1:29" ht="15.75" customHeight="1">
      <c r="A484" s="48"/>
      <c r="B484" s="48"/>
      <c r="C484" s="48"/>
      <c r="D484" s="48"/>
      <c r="E484" s="48"/>
      <c r="F484" s="48"/>
      <c r="G484" s="49"/>
      <c r="H484" s="48"/>
      <c r="I484" s="48"/>
      <c r="J484" s="48"/>
      <c r="K484" s="48"/>
      <c r="L484" s="48"/>
      <c r="M484" s="48"/>
      <c r="N484" s="48"/>
      <c r="O484" s="48"/>
      <c r="P484" s="48"/>
      <c r="Q484" s="48"/>
      <c r="R484" s="48"/>
      <c r="S484" s="48"/>
      <c r="T484" s="48"/>
      <c r="U484" s="48"/>
      <c r="V484" s="48"/>
      <c r="W484" s="48"/>
      <c r="X484" s="48"/>
      <c r="Y484" s="48"/>
      <c r="Z484" s="48"/>
      <c r="AA484" s="48"/>
      <c r="AB484" s="48"/>
      <c r="AC484" s="48"/>
    </row>
    <row r="485" spans="1:29" ht="15.75" customHeight="1">
      <c r="A485" s="48"/>
      <c r="B485" s="48"/>
      <c r="C485" s="48"/>
      <c r="D485" s="48"/>
      <c r="E485" s="48"/>
      <c r="F485" s="48"/>
      <c r="G485" s="49"/>
      <c r="H485" s="48"/>
      <c r="I485" s="48"/>
      <c r="J485" s="48"/>
      <c r="K485" s="48"/>
      <c r="L485" s="48"/>
      <c r="M485" s="48"/>
      <c r="N485" s="48"/>
      <c r="O485" s="48"/>
      <c r="P485" s="48"/>
      <c r="Q485" s="48"/>
      <c r="R485" s="48"/>
      <c r="S485" s="48"/>
      <c r="T485" s="48"/>
      <c r="U485" s="48"/>
      <c r="V485" s="48"/>
      <c r="W485" s="48"/>
      <c r="X485" s="48"/>
      <c r="Y485" s="48"/>
      <c r="Z485" s="48"/>
      <c r="AA485" s="48"/>
      <c r="AB485" s="48"/>
      <c r="AC485" s="48"/>
    </row>
    <row r="486" spans="1:29" ht="15.75" customHeight="1">
      <c r="A486" s="48"/>
      <c r="B486" s="48"/>
      <c r="C486" s="48"/>
      <c r="D486" s="48"/>
      <c r="E486" s="48"/>
      <c r="F486" s="48"/>
      <c r="G486" s="49"/>
      <c r="H486" s="48"/>
      <c r="I486" s="48"/>
      <c r="J486" s="48"/>
      <c r="K486" s="48"/>
      <c r="L486" s="48"/>
      <c r="M486" s="48"/>
      <c r="N486" s="48"/>
      <c r="O486" s="48"/>
      <c r="P486" s="48"/>
      <c r="Q486" s="48"/>
      <c r="R486" s="48"/>
      <c r="S486" s="48"/>
      <c r="T486" s="48"/>
      <c r="U486" s="48"/>
      <c r="V486" s="48"/>
      <c r="W486" s="48"/>
      <c r="X486" s="48"/>
      <c r="Y486" s="48"/>
      <c r="Z486" s="48"/>
      <c r="AA486" s="48"/>
      <c r="AB486" s="48"/>
      <c r="AC486" s="48"/>
    </row>
    <row r="487" spans="1:29" ht="15.75" customHeight="1">
      <c r="A487" s="48"/>
      <c r="B487" s="48"/>
      <c r="C487" s="48"/>
      <c r="D487" s="48"/>
      <c r="E487" s="48"/>
      <c r="F487" s="48"/>
      <c r="G487" s="49"/>
      <c r="H487" s="48"/>
      <c r="I487" s="48"/>
      <c r="J487" s="48"/>
      <c r="K487" s="48"/>
      <c r="L487" s="48"/>
      <c r="M487" s="48"/>
      <c r="N487" s="48"/>
      <c r="O487" s="48"/>
      <c r="P487" s="48"/>
      <c r="Q487" s="48"/>
      <c r="R487" s="48"/>
      <c r="S487" s="48"/>
      <c r="T487" s="48"/>
      <c r="U487" s="48"/>
      <c r="V487" s="48"/>
      <c r="W487" s="48"/>
      <c r="X487" s="48"/>
      <c r="Y487" s="48"/>
      <c r="Z487" s="48"/>
      <c r="AA487" s="48"/>
      <c r="AB487" s="48"/>
      <c r="AC487" s="48"/>
    </row>
    <row r="488" spans="1:29" ht="15.75" customHeight="1">
      <c r="A488" s="48"/>
      <c r="B488" s="48"/>
      <c r="C488" s="48"/>
      <c r="D488" s="48"/>
      <c r="E488" s="48"/>
      <c r="F488" s="48"/>
      <c r="G488" s="49"/>
      <c r="H488" s="48"/>
      <c r="I488" s="48"/>
      <c r="J488" s="48"/>
      <c r="K488" s="48"/>
      <c r="L488" s="48"/>
      <c r="M488" s="48"/>
      <c r="N488" s="48"/>
      <c r="O488" s="48"/>
      <c r="P488" s="48"/>
      <c r="Q488" s="48"/>
      <c r="R488" s="48"/>
      <c r="S488" s="48"/>
      <c r="T488" s="48"/>
      <c r="U488" s="48"/>
      <c r="V488" s="48"/>
      <c r="W488" s="48"/>
      <c r="X488" s="48"/>
      <c r="Y488" s="48"/>
      <c r="Z488" s="48"/>
      <c r="AA488" s="48"/>
      <c r="AB488" s="48"/>
      <c r="AC488" s="48"/>
    </row>
    <row r="489" spans="1:29" ht="15.75" customHeight="1">
      <c r="A489" s="48"/>
      <c r="B489" s="48"/>
      <c r="C489" s="48"/>
      <c r="D489" s="48"/>
      <c r="E489" s="48"/>
      <c r="F489" s="48"/>
      <c r="G489" s="49"/>
      <c r="H489" s="48"/>
      <c r="I489" s="48"/>
      <c r="J489" s="48"/>
      <c r="K489" s="48"/>
      <c r="L489" s="48"/>
      <c r="M489" s="48"/>
      <c r="N489" s="48"/>
      <c r="O489" s="48"/>
      <c r="P489" s="48"/>
      <c r="Q489" s="48"/>
      <c r="R489" s="48"/>
      <c r="S489" s="48"/>
      <c r="T489" s="48"/>
      <c r="U489" s="48"/>
      <c r="V489" s="48"/>
      <c r="W489" s="48"/>
      <c r="X489" s="48"/>
      <c r="Y489" s="48"/>
      <c r="Z489" s="48"/>
      <c r="AA489" s="48"/>
      <c r="AB489" s="48"/>
      <c r="AC489" s="48"/>
    </row>
    <row r="490" spans="1:29" ht="15.75" customHeight="1">
      <c r="A490" s="48"/>
      <c r="B490" s="48"/>
      <c r="C490" s="48"/>
      <c r="D490" s="48"/>
      <c r="E490" s="48"/>
      <c r="F490" s="48"/>
      <c r="G490" s="49"/>
      <c r="H490" s="48"/>
      <c r="I490" s="48"/>
      <c r="J490" s="48"/>
      <c r="K490" s="48"/>
      <c r="L490" s="48"/>
      <c r="M490" s="48"/>
      <c r="N490" s="48"/>
      <c r="O490" s="48"/>
      <c r="P490" s="48"/>
      <c r="Q490" s="48"/>
      <c r="R490" s="48"/>
      <c r="S490" s="48"/>
      <c r="T490" s="48"/>
      <c r="U490" s="48"/>
      <c r="V490" s="48"/>
      <c r="W490" s="48"/>
      <c r="X490" s="48"/>
      <c r="Y490" s="48"/>
      <c r="Z490" s="48"/>
      <c r="AA490" s="48"/>
      <c r="AB490" s="48"/>
      <c r="AC490" s="48"/>
    </row>
    <row r="491" spans="1:29" ht="15.75" customHeight="1">
      <c r="A491" s="48"/>
      <c r="B491" s="48"/>
      <c r="C491" s="48"/>
      <c r="D491" s="48"/>
      <c r="E491" s="48"/>
      <c r="F491" s="48"/>
      <c r="G491" s="49"/>
      <c r="H491" s="48"/>
      <c r="I491" s="48"/>
      <c r="J491" s="48"/>
      <c r="K491" s="48"/>
      <c r="L491" s="48"/>
      <c r="M491" s="48"/>
      <c r="N491" s="48"/>
      <c r="O491" s="48"/>
      <c r="P491" s="48"/>
      <c r="Q491" s="48"/>
      <c r="R491" s="48"/>
      <c r="S491" s="48"/>
      <c r="T491" s="48"/>
      <c r="U491" s="48"/>
      <c r="V491" s="48"/>
      <c r="W491" s="48"/>
      <c r="X491" s="48"/>
      <c r="Y491" s="48"/>
      <c r="Z491" s="48"/>
      <c r="AA491" s="48"/>
      <c r="AB491" s="48"/>
      <c r="AC491" s="48"/>
    </row>
    <row r="492" spans="1:29" ht="15.75" customHeight="1">
      <c r="A492" s="48"/>
      <c r="B492" s="48"/>
      <c r="C492" s="48"/>
      <c r="D492" s="48"/>
      <c r="E492" s="48"/>
      <c r="F492" s="48"/>
      <c r="G492" s="49"/>
      <c r="H492" s="48"/>
      <c r="I492" s="48"/>
      <c r="J492" s="48"/>
      <c r="K492" s="48"/>
      <c r="L492" s="48"/>
      <c r="M492" s="48"/>
      <c r="N492" s="48"/>
      <c r="O492" s="48"/>
      <c r="P492" s="48"/>
      <c r="Q492" s="48"/>
      <c r="R492" s="48"/>
      <c r="S492" s="48"/>
      <c r="T492" s="48"/>
      <c r="U492" s="48"/>
      <c r="V492" s="48"/>
      <c r="W492" s="48"/>
      <c r="X492" s="48"/>
      <c r="Y492" s="48"/>
      <c r="Z492" s="48"/>
      <c r="AA492" s="48"/>
      <c r="AB492" s="48"/>
      <c r="AC492" s="48"/>
    </row>
    <row r="493" spans="1:29" ht="15.75" customHeight="1">
      <c r="A493" s="48"/>
      <c r="B493" s="48"/>
      <c r="C493" s="48"/>
      <c r="D493" s="48"/>
      <c r="E493" s="48"/>
      <c r="F493" s="48"/>
      <c r="G493" s="49"/>
      <c r="H493" s="48"/>
      <c r="I493" s="48"/>
      <c r="J493" s="48"/>
      <c r="K493" s="48"/>
      <c r="L493" s="48"/>
      <c r="M493" s="48"/>
      <c r="N493" s="48"/>
      <c r="O493" s="48"/>
      <c r="P493" s="48"/>
      <c r="Q493" s="48"/>
      <c r="R493" s="48"/>
      <c r="S493" s="48"/>
      <c r="T493" s="48"/>
      <c r="U493" s="48"/>
      <c r="V493" s="48"/>
      <c r="W493" s="48"/>
      <c r="X493" s="48"/>
      <c r="Y493" s="48"/>
      <c r="Z493" s="48"/>
      <c r="AA493" s="48"/>
      <c r="AB493" s="48"/>
      <c r="AC493" s="48"/>
    </row>
    <row r="494" spans="1:29" ht="15.75" customHeight="1">
      <c r="A494" s="48"/>
      <c r="B494" s="48"/>
      <c r="C494" s="48"/>
      <c r="D494" s="48"/>
      <c r="E494" s="48"/>
      <c r="F494" s="48"/>
      <c r="G494" s="49"/>
      <c r="H494" s="48"/>
      <c r="I494" s="48"/>
      <c r="J494" s="48"/>
      <c r="K494" s="48"/>
      <c r="L494" s="48"/>
      <c r="M494" s="48"/>
      <c r="N494" s="48"/>
      <c r="O494" s="48"/>
      <c r="P494" s="48"/>
      <c r="Q494" s="48"/>
      <c r="R494" s="48"/>
      <c r="S494" s="48"/>
      <c r="T494" s="48"/>
      <c r="U494" s="48"/>
      <c r="V494" s="48"/>
      <c r="W494" s="48"/>
      <c r="X494" s="48"/>
      <c r="Y494" s="48"/>
      <c r="Z494" s="48"/>
      <c r="AA494" s="48"/>
      <c r="AB494" s="48"/>
      <c r="AC494" s="48"/>
    </row>
    <row r="495" spans="1:29" ht="15.75" customHeight="1">
      <c r="A495" s="48"/>
      <c r="B495" s="48"/>
      <c r="C495" s="48"/>
      <c r="D495" s="48"/>
      <c r="E495" s="48"/>
      <c r="F495" s="48"/>
      <c r="G495" s="49"/>
      <c r="H495" s="48"/>
      <c r="I495" s="48"/>
      <c r="J495" s="48"/>
      <c r="K495" s="48"/>
      <c r="L495" s="48"/>
      <c r="M495" s="48"/>
      <c r="N495" s="48"/>
      <c r="O495" s="48"/>
      <c r="P495" s="48"/>
      <c r="Q495" s="48"/>
      <c r="R495" s="48"/>
      <c r="S495" s="48"/>
      <c r="T495" s="48"/>
      <c r="U495" s="48"/>
      <c r="V495" s="48"/>
      <c r="W495" s="48"/>
      <c r="X495" s="48"/>
      <c r="Y495" s="48"/>
      <c r="Z495" s="48"/>
      <c r="AA495" s="48"/>
      <c r="AB495" s="48"/>
      <c r="AC495" s="48"/>
    </row>
    <row r="496" spans="1:29" ht="15.75" customHeight="1">
      <c r="A496" s="48"/>
      <c r="B496" s="48"/>
      <c r="C496" s="48"/>
      <c r="D496" s="48"/>
      <c r="E496" s="48"/>
      <c r="F496" s="48"/>
      <c r="G496" s="49"/>
      <c r="H496" s="48"/>
      <c r="I496" s="48"/>
      <c r="J496" s="48"/>
      <c r="K496" s="48"/>
      <c r="L496" s="48"/>
      <c r="M496" s="48"/>
      <c r="N496" s="48"/>
      <c r="O496" s="48"/>
      <c r="P496" s="48"/>
      <c r="Q496" s="48"/>
      <c r="R496" s="48"/>
      <c r="S496" s="48"/>
      <c r="T496" s="48"/>
      <c r="U496" s="48"/>
      <c r="V496" s="48"/>
      <c r="W496" s="48"/>
      <c r="X496" s="48"/>
      <c r="Y496" s="48"/>
      <c r="Z496" s="48"/>
      <c r="AA496" s="48"/>
      <c r="AB496" s="48"/>
      <c r="AC496" s="48"/>
    </row>
    <row r="497" spans="1:29" ht="15.75" customHeight="1">
      <c r="A497" s="48"/>
      <c r="B497" s="48"/>
      <c r="C497" s="48"/>
      <c r="D497" s="48"/>
      <c r="E497" s="48"/>
      <c r="F497" s="48"/>
      <c r="G497" s="49"/>
      <c r="H497" s="48"/>
      <c r="I497" s="48"/>
      <c r="J497" s="48"/>
      <c r="K497" s="48"/>
      <c r="L497" s="48"/>
      <c r="M497" s="48"/>
      <c r="N497" s="48"/>
      <c r="O497" s="48"/>
      <c r="P497" s="48"/>
      <c r="Q497" s="48"/>
      <c r="R497" s="48"/>
      <c r="S497" s="48"/>
      <c r="T497" s="48"/>
      <c r="U497" s="48"/>
      <c r="V497" s="48"/>
      <c r="W497" s="48"/>
      <c r="X497" s="48"/>
      <c r="Y497" s="48"/>
      <c r="Z497" s="48"/>
      <c r="AA497" s="48"/>
      <c r="AB497" s="48"/>
      <c r="AC497" s="48"/>
    </row>
    <row r="498" spans="1:29" ht="15.75" customHeight="1">
      <c r="A498" s="48"/>
      <c r="B498" s="48"/>
      <c r="C498" s="48"/>
      <c r="D498" s="48"/>
      <c r="E498" s="48"/>
      <c r="F498" s="48"/>
      <c r="G498" s="49"/>
      <c r="H498" s="48"/>
      <c r="I498" s="48"/>
      <c r="J498" s="48"/>
      <c r="K498" s="48"/>
      <c r="L498" s="48"/>
      <c r="M498" s="48"/>
      <c r="N498" s="48"/>
      <c r="O498" s="48"/>
      <c r="P498" s="48"/>
      <c r="Q498" s="48"/>
      <c r="R498" s="48"/>
      <c r="S498" s="48"/>
      <c r="T498" s="48"/>
      <c r="U498" s="48"/>
      <c r="V498" s="48"/>
      <c r="W498" s="48"/>
      <c r="X498" s="48"/>
      <c r="Y498" s="48"/>
      <c r="Z498" s="48"/>
      <c r="AA498" s="48"/>
      <c r="AB498" s="48"/>
      <c r="AC498" s="48"/>
    </row>
    <row r="499" spans="1:29" ht="15.75" customHeight="1">
      <c r="A499" s="48"/>
      <c r="B499" s="48"/>
      <c r="C499" s="48"/>
      <c r="D499" s="48"/>
      <c r="E499" s="48"/>
      <c r="F499" s="48"/>
      <c r="G499" s="49"/>
      <c r="H499" s="48"/>
      <c r="I499" s="48"/>
      <c r="J499" s="48"/>
      <c r="K499" s="48"/>
      <c r="L499" s="48"/>
      <c r="M499" s="48"/>
      <c r="N499" s="48"/>
      <c r="O499" s="48"/>
      <c r="P499" s="48"/>
      <c r="Q499" s="48"/>
      <c r="R499" s="48"/>
      <c r="S499" s="48"/>
      <c r="T499" s="48"/>
      <c r="U499" s="48"/>
      <c r="V499" s="48"/>
      <c r="W499" s="48"/>
      <c r="X499" s="48"/>
      <c r="Y499" s="48"/>
      <c r="Z499" s="48"/>
      <c r="AA499" s="48"/>
      <c r="AB499" s="48"/>
      <c r="AC499" s="48"/>
    </row>
    <row r="500" spans="1:29" ht="15.75" customHeight="1">
      <c r="A500" s="48"/>
      <c r="B500" s="48"/>
      <c r="C500" s="48"/>
      <c r="D500" s="48"/>
      <c r="E500" s="48"/>
      <c r="F500" s="48"/>
      <c r="G500" s="49"/>
      <c r="H500" s="48"/>
      <c r="I500" s="48"/>
      <c r="J500" s="48"/>
      <c r="K500" s="48"/>
      <c r="L500" s="48"/>
      <c r="M500" s="48"/>
      <c r="N500" s="48"/>
      <c r="O500" s="48"/>
      <c r="P500" s="48"/>
      <c r="Q500" s="48"/>
      <c r="R500" s="48"/>
      <c r="S500" s="48"/>
      <c r="T500" s="48"/>
      <c r="U500" s="48"/>
      <c r="V500" s="48"/>
      <c r="W500" s="48"/>
      <c r="X500" s="48"/>
      <c r="Y500" s="48"/>
      <c r="Z500" s="48"/>
      <c r="AA500" s="48"/>
      <c r="AB500" s="48"/>
      <c r="AC500" s="48"/>
    </row>
    <row r="501" spans="1:29" ht="15.75" customHeight="1">
      <c r="A501" s="48"/>
      <c r="B501" s="48"/>
      <c r="C501" s="48"/>
      <c r="D501" s="48"/>
      <c r="E501" s="48"/>
      <c r="F501" s="48"/>
      <c r="G501" s="49"/>
      <c r="H501" s="48"/>
      <c r="I501" s="48"/>
      <c r="J501" s="48"/>
      <c r="K501" s="48"/>
      <c r="L501" s="48"/>
      <c r="M501" s="48"/>
      <c r="N501" s="48"/>
      <c r="O501" s="48"/>
      <c r="P501" s="48"/>
      <c r="Q501" s="48"/>
      <c r="R501" s="48"/>
      <c r="S501" s="48"/>
      <c r="T501" s="48"/>
      <c r="U501" s="48"/>
      <c r="V501" s="48"/>
      <c r="W501" s="48"/>
      <c r="X501" s="48"/>
      <c r="Y501" s="48"/>
      <c r="Z501" s="48"/>
      <c r="AA501" s="48"/>
      <c r="AB501" s="48"/>
      <c r="AC501" s="48"/>
    </row>
    <row r="502" spans="1:29" ht="15.75" customHeight="1">
      <c r="A502" s="48"/>
      <c r="B502" s="48"/>
      <c r="C502" s="48"/>
      <c r="D502" s="48"/>
      <c r="E502" s="48"/>
      <c r="F502" s="48"/>
      <c r="G502" s="49"/>
      <c r="H502" s="48"/>
      <c r="I502" s="48"/>
      <c r="J502" s="48"/>
      <c r="K502" s="48"/>
      <c r="L502" s="48"/>
      <c r="M502" s="48"/>
      <c r="N502" s="48"/>
      <c r="O502" s="48"/>
      <c r="P502" s="48"/>
      <c r="Q502" s="48"/>
      <c r="R502" s="48"/>
      <c r="S502" s="48"/>
      <c r="T502" s="48"/>
      <c r="U502" s="48"/>
      <c r="V502" s="48"/>
      <c r="W502" s="48"/>
      <c r="X502" s="48"/>
      <c r="Y502" s="48"/>
      <c r="Z502" s="48"/>
      <c r="AA502" s="48"/>
      <c r="AB502" s="48"/>
      <c r="AC502" s="48"/>
    </row>
    <row r="503" spans="1:29" ht="15.75" customHeight="1">
      <c r="A503" s="48"/>
      <c r="B503" s="48"/>
      <c r="C503" s="48"/>
      <c r="D503" s="48"/>
      <c r="E503" s="48"/>
      <c r="F503" s="48"/>
      <c r="G503" s="49"/>
      <c r="H503" s="48"/>
      <c r="I503" s="48"/>
      <c r="J503" s="48"/>
      <c r="K503" s="48"/>
      <c r="L503" s="48"/>
      <c r="M503" s="48"/>
      <c r="N503" s="48"/>
      <c r="O503" s="48"/>
      <c r="P503" s="48"/>
      <c r="Q503" s="48"/>
      <c r="R503" s="48"/>
      <c r="S503" s="48"/>
      <c r="T503" s="48"/>
      <c r="U503" s="48"/>
      <c r="V503" s="48"/>
      <c r="W503" s="48"/>
      <c r="X503" s="48"/>
      <c r="Y503" s="48"/>
      <c r="Z503" s="48"/>
      <c r="AA503" s="48"/>
      <c r="AB503" s="48"/>
      <c r="AC503" s="48"/>
    </row>
    <row r="504" spans="1:29" ht="15.75" customHeight="1">
      <c r="A504" s="48"/>
      <c r="B504" s="48"/>
      <c r="C504" s="48"/>
      <c r="D504" s="48"/>
      <c r="E504" s="48"/>
      <c r="F504" s="48"/>
      <c r="G504" s="49"/>
      <c r="H504" s="48"/>
      <c r="I504" s="48"/>
      <c r="J504" s="48"/>
      <c r="K504" s="48"/>
      <c r="L504" s="48"/>
      <c r="M504" s="48"/>
      <c r="N504" s="48"/>
      <c r="O504" s="48"/>
      <c r="P504" s="48"/>
      <c r="Q504" s="48"/>
      <c r="R504" s="48"/>
      <c r="S504" s="48"/>
      <c r="T504" s="48"/>
      <c r="U504" s="48"/>
      <c r="V504" s="48"/>
      <c r="W504" s="48"/>
      <c r="X504" s="48"/>
      <c r="Y504" s="48"/>
      <c r="Z504" s="48"/>
      <c r="AA504" s="48"/>
      <c r="AB504" s="48"/>
      <c r="AC504" s="48"/>
    </row>
    <row r="505" spans="1:29" ht="15.75" customHeight="1">
      <c r="A505" s="48"/>
      <c r="B505" s="48"/>
      <c r="C505" s="48"/>
      <c r="D505" s="48"/>
      <c r="E505" s="48"/>
      <c r="F505" s="48"/>
      <c r="G505" s="49"/>
      <c r="H505" s="48"/>
      <c r="I505" s="48"/>
      <c r="J505" s="48"/>
      <c r="K505" s="48"/>
      <c r="L505" s="48"/>
      <c r="M505" s="48"/>
      <c r="N505" s="48"/>
      <c r="O505" s="48"/>
      <c r="P505" s="48"/>
      <c r="Q505" s="48"/>
      <c r="R505" s="48"/>
      <c r="S505" s="48"/>
      <c r="T505" s="48"/>
      <c r="U505" s="48"/>
      <c r="V505" s="48"/>
      <c r="W505" s="48"/>
      <c r="X505" s="48"/>
      <c r="Y505" s="48"/>
      <c r="Z505" s="48"/>
      <c r="AA505" s="48"/>
      <c r="AB505" s="48"/>
      <c r="AC505" s="48"/>
    </row>
    <row r="506" spans="1:29" ht="15.75" customHeight="1">
      <c r="A506" s="48"/>
      <c r="B506" s="48"/>
      <c r="C506" s="48"/>
      <c r="D506" s="48"/>
      <c r="E506" s="48"/>
      <c r="F506" s="48"/>
      <c r="G506" s="49"/>
      <c r="H506" s="48"/>
      <c r="I506" s="48"/>
      <c r="J506" s="48"/>
      <c r="K506" s="48"/>
      <c r="L506" s="48"/>
      <c r="M506" s="48"/>
      <c r="N506" s="48"/>
      <c r="O506" s="48"/>
      <c r="P506" s="48"/>
      <c r="Q506" s="48"/>
      <c r="R506" s="48"/>
      <c r="S506" s="48"/>
      <c r="T506" s="48"/>
      <c r="U506" s="48"/>
      <c r="V506" s="48"/>
      <c r="W506" s="48"/>
      <c r="X506" s="48"/>
      <c r="Y506" s="48"/>
      <c r="Z506" s="48"/>
      <c r="AA506" s="48"/>
      <c r="AB506" s="48"/>
      <c r="AC506" s="48"/>
    </row>
    <row r="507" spans="1:29" ht="15.75" customHeight="1">
      <c r="A507" s="48"/>
      <c r="B507" s="48"/>
      <c r="C507" s="48"/>
      <c r="D507" s="48"/>
      <c r="E507" s="48"/>
      <c r="F507" s="48"/>
      <c r="G507" s="49"/>
      <c r="H507" s="48"/>
      <c r="I507" s="48"/>
      <c r="J507" s="48"/>
      <c r="K507" s="48"/>
      <c r="L507" s="48"/>
      <c r="M507" s="48"/>
      <c r="N507" s="48"/>
      <c r="O507" s="48"/>
      <c r="P507" s="48"/>
      <c r="Q507" s="48"/>
      <c r="R507" s="48"/>
      <c r="S507" s="48"/>
      <c r="T507" s="48"/>
      <c r="U507" s="48"/>
      <c r="V507" s="48"/>
      <c r="W507" s="48"/>
      <c r="X507" s="48"/>
      <c r="Y507" s="48"/>
      <c r="Z507" s="48"/>
      <c r="AA507" s="48"/>
      <c r="AB507" s="48"/>
      <c r="AC507" s="48"/>
    </row>
    <row r="508" spans="1:29" ht="15.75" customHeight="1">
      <c r="A508" s="48"/>
      <c r="B508" s="48"/>
      <c r="C508" s="48"/>
      <c r="D508" s="48"/>
      <c r="E508" s="48"/>
      <c r="F508" s="48"/>
      <c r="G508" s="49"/>
      <c r="H508" s="48"/>
      <c r="I508" s="48"/>
      <c r="J508" s="48"/>
      <c r="K508" s="48"/>
      <c r="L508" s="48"/>
      <c r="M508" s="48"/>
      <c r="N508" s="48"/>
      <c r="O508" s="48"/>
      <c r="P508" s="48"/>
      <c r="Q508" s="48"/>
      <c r="R508" s="48"/>
      <c r="S508" s="48"/>
      <c r="T508" s="48"/>
      <c r="U508" s="48"/>
      <c r="V508" s="48"/>
      <c r="W508" s="48"/>
      <c r="X508" s="48"/>
      <c r="Y508" s="48"/>
      <c r="Z508" s="48"/>
      <c r="AA508" s="48"/>
      <c r="AB508" s="48"/>
      <c r="AC508" s="48"/>
    </row>
    <row r="509" spans="1:29" ht="15.75" customHeight="1">
      <c r="A509" s="48"/>
      <c r="B509" s="48"/>
      <c r="C509" s="48"/>
      <c r="D509" s="48"/>
      <c r="E509" s="48"/>
      <c r="F509" s="48"/>
      <c r="G509" s="49"/>
      <c r="H509" s="48"/>
      <c r="I509" s="48"/>
      <c r="J509" s="48"/>
      <c r="K509" s="48"/>
      <c r="L509" s="48"/>
      <c r="M509" s="48"/>
      <c r="N509" s="48"/>
      <c r="O509" s="48"/>
      <c r="P509" s="48"/>
      <c r="Q509" s="48"/>
      <c r="R509" s="48"/>
      <c r="S509" s="48"/>
      <c r="T509" s="48"/>
      <c r="U509" s="48"/>
      <c r="V509" s="48"/>
      <c r="W509" s="48"/>
      <c r="X509" s="48"/>
      <c r="Y509" s="48"/>
      <c r="Z509" s="48"/>
      <c r="AA509" s="48"/>
      <c r="AB509" s="48"/>
      <c r="AC509" s="48"/>
    </row>
    <row r="510" spans="1:29" ht="15.75" customHeight="1">
      <c r="A510" s="48"/>
      <c r="B510" s="48"/>
      <c r="C510" s="48"/>
      <c r="D510" s="48"/>
      <c r="E510" s="48"/>
      <c r="F510" s="48"/>
      <c r="G510" s="49"/>
      <c r="H510" s="48"/>
      <c r="I510" s="48"/>
      <c r="J510" s="48"/>
      <c r="K510" s="48"/>
      <c r="L510" s="48"/>
      <c r="M510" s="48"/>
      <c r="N510" s="48"/>
      <c r="O510" s="48"/>
      <c r="P510" s="48"/>
      <c r="Q510" s="48"/>
      <c r="R510" s="48"/>
      <c r="S510" s="48"/>
      <c r="T510" s="48"/>
      <c r="U510" s="48"/>
      <c r="V510" s="48"/>
      <c r="W510" s="48"/>
      <c r="X510" s="48"/>
      <c r="Y510" s="48"/>
      <c r="Z510" s="48"/>
      <c r="AA510" s="48"/>
      <c r="AB510" s="48"/>
      <c r="AC510" s="48"/>
    </row>
    <row r="511" spans="1:29" ht="15.75" customHeight="1">
      <c r="A511" s="48"/>
      <c r="B511" s="48"/>
      <c r="C511" s="48"/>
      <c r="D511" s="48"/>
      <c r="E511" s="48"/>
      <c r="F511" s="48"/>
      <c r="G511" s="49"/>
      <c r="H511" s="48"/>
      <c r="I511" s="48"/>
      <c r="J511" s="48"/>
      <c r="K511" s="48"/>
      <c r="L511" s="48"/>
      <c r="M511" s="48"/>
      <c r="N511" s="48"/>
      <c r="O511" s="48"/>
      <c r="P511" s="48"/>
      <c r="Q511" s="48"/>
      <c r="R511" s="48"/>
      <c r="S511" s="48"/>
      <c r="T511" s="48"/>
      <c r="U511" s="48"/>
      <c r="V511" s="48"/>
      <c r="W511" s="48"/>
      <c r="X511" s="48"/>
      <c r="Y511" s="48"/>
      <c r="Z511" s="48"/>
      <c r="AA511" s="48"/>
      <c r="AB511" s="48"/>
      <c r="AC511" s="48"/>
    </row>
    <row r="512" spans="1:29" ht="15.75" customHeight="1">
      <c r="A512" s="48"/>
      <c r="B512" s="48"/>
      <c r="C512" s="48"/>
      <c r="D512" s="48"/>
      <c r="E512" s="48"/>
      <c r="F512" s="48"/>
      <c r="G512" s="49"/>
      <c r="H512" s="48"/>
      <c r="I512" s="48"/>
      <c r="J512" s="48"/>
      <c r="K512" s="48"/>
      <c r="L512" s="48"/>
      <c r="M512" s="48"/>
      <c r="N512" s="48"/>
      <c r="O512" s="48"/>
      <c r="P512" s="48"/>
      <c r="Q512" s="48"/>
      <c r="R512" s="48"/>
      <c r="S512" s="48"/>
      <c r="T512" s="48"/>
      <c r="U512" s="48"/>
      <c r="V512" s="48"/>
      <c r="W512" s="48"/>
      <c r="X512" s="48"/>
      <c r="Y512" s="48"/>
      <c r="Z512" s="48"/>
      <c r="AA512" s="48"/>
      <c r="AB512" s="48"/>
      <c r="AC512" s="48"/>
    </row>
    <row r="513" spans="1:29" ht="15.75" customHeight="1">
      <c r="A513" s="48"/>
      <c r="B513" s="48"/>
      <c r="C513" s="48"/>
      <c r="D513" s="48"/>
      <c r="E513" s="48"/>
      <c r="F513" s="48"/>
      <c r="G513" s="49"/>
      <c r="H513" s="48"/>
      <c r="I513" s="48"/>
      <c r="J513" s="48"/>
      <c r="K513" s="48"/>
      <c r="L513" s="48"/>
      <c r="M513" s="48"/>
      <c r="N513" s="48"/>
      <c r="O513" s="48"/>
      <c r="P513" s="48"/>
      <c r="Q513" s="48"/>
      <c r="R513" s="48"/>
      <c r="S513" s="48"/>
      <c r="T513" s="48"/>
      <c r="U513" s="48"/>
      <c r="V513" s="48"/>
      <c r="W513" s="48"/>
      <c r="X513" s="48"/>
      <c r="Y513" s="48"/>
      <c r="Z513" s="48"/>
      <c r="AA513" s="48"/>
      <c r="AB513" s="48"/>
      <c r="AC513" s="48"/>
    </row>
    <row r="514" spans="1:29" ht="15.75" customHeight="1">
      <c r="A514" s="48"/>
      <c r="B514" s="48"/>
      <c r="C514" s="48"/>
      <c r="D514" s="48"/>
      <c r="E514" s="48"/>
      <c r="F514" s="48"/>
      <c r="G514" s="49"/>
      <c r="H514" s="48"/>
      <c r="I514" s="48"/>
      <c r="J514" s="48"/>
      <c r="K514" s="48"/>
      <c r="L514" s="48"/>
      <c r="M514" s="48"/>
      <c r="N514" s="48"/>
      <c r="O514" s="48"/>
      <c r="P514" s="48"/>
      <c r="Q514" s="48"/>
      <c r="R514" s="48"/>
      <c r="S514" s="48"/>
      <c r="T514" s="48"/>
      <c r="U514" s="48"/>
      <c r="V514" s="48"/>
      <c r="W514" s="48"/>
      <c r="X514" s="48"/>
      <c r="Y514" s="48"/>
      <c r="Z514" s="48"/>
      <c r="AA514" s="48"/>
      <c r="AB514" s="48"/>
      <c r="AC514" s="48"/>
    </row>
    <row r="515" spans="1:29" ht="15.75" customHeight="1">
      <c r="A515" s="48"/>
      <c r="B515" s="48"/>
      <c r="C515" s="48"/>
      <c r="D515" s="48"/>
      <c r="E515" s="48"/>
      <c r="F515" s="48"/>
      <c r="G515" s="49"/>
      <c r="H515" s="48"/>
      <c r="I515" s="48"/>
      <c r="J515" s="48"/>
      <c r="K515" s="48"/>
      <c r="L515" s="48"/>
      <c r="M515" s="48"/>
      <c r="N515" s="48"/>
      <c r="O515" s="48"/>
      <c r="P515" s="48"/>
      <c r="Q515" s="48"/>
      <c r="R515" s="48"/>
      <c r="S515" s="48"/>
      <c r="T515" s="48"/>
      <c r="U515" s="48"/>
      <c r="V515" s="48"/>
      <c r="W515" s="48"/>
      <c r="X515" s="48"/>
      <c r="Y515" s="48"/>
      <c r="Z515" s="48"/>
      <c r="AA515" s="48"/>
      <c r="AB515" s="48"/>
      <c r="AC515" s="48"/>
    </row>
    <row r="516" spans="1:29" ht="15.75" customHeight="1">
      <c r="A516" s="48"/>
      <c r="B516" s="48"/>
      <c r="C516" s="48"/>
      <c r="D516" s="48"/>
      <c r="E516" s="48"/>
      <c r="F516" s="48"/>
      <c r="G516" s="49"/>
      <c r="H516" s="48"/>
      <c r="I516" s="48"/>
      <c r="J516" s="48"/>
      <c r="K516" s="48"/>
      <c r="L516" s="48"/>
      <c r="M516" s="48"/>
      <c r="N516" s="48"/>
      <c r="O516" s="48"/>
      <c r="P516" s="48"/>
      <c r="Q516" s="48"/>
      <c r="R516" s="48"/>
      <c r="S516" s="48"/>
      <c r="T516" s="48"/>
      <c r="U516" s="48"/>
      <c r="V516" s="48"/>
      <c r="W516" s="48"/>
      <c r="X516" s="48"/>
      <c r="Y516" s="48"/>
      <c r="Z516" s="48"/>
      <c r="AA516" s="48"/>
      <c r="AB516" s="48"/>
      <c r="AC516" s="48"/>
    </row>
    <row r="517" spans="1:29" ht="15.75" customHeight="1">
      <c r="A517" s="48"/>
      <c r="B517" s="48"/>
      <c r="C517" s="48"/>
      <c r="D517" s="48"/>
      <c r="E517" s="48"/>
      <c r="F517" s="48"/>
      <c r="G517" s="49"/>
      <c r="H517" s="48"/>
      <c r="I517" s="48"/>
      <c r="J517" s="48"/>
      <c r="K517" s="48"/>
      <c r="L517" s="48"/>
      <c r="M517" s="48"/>
      <c r="N517" s="48"/>
      <c r="O517" s="48"/>
      <c r="P517" s="48"/>
      <c r="Q517" s="48"/>
      <c r="R517" s="48"/>
      <c r="S517" s="48"/>
      <c r="T517" s="48"/>
      <c r="U517" s="48"/>
      <c r="V517" s="48"/>
      <c r="W517" s="48"/>
      <c r="X517" s="48"/>
      <c r="Y517" s="48"/>
      <c r="Z517" s="48"/>
      <c r="AA517" s="48"/>
      <c r="AB517" s="48"/>
      <c r="AC517" s="48"/>
    </row>
    <row r="518" spans="1:29" ht="15.75" customHeight="1">
      <c r="A518" s="48"/>
      <c r="B518" s="48"/>
      <c r="C518" s="48"/>
      <c r="D518" s="48"/>
      <c r="E518" s="48"/>
      <c r="F518" s="48"/>
      <c r="G518" s="49"/>
      <c r="H518" s="48"/>
      <c r="I518" s="48"/>
      <c r="J518" s="48"/>
      <c r="K518" s="48"/>
      <c r="L518" s="48"/>
      <c r="M518" s="48"/>
      <c r="N518" s="48"/>
      <c r="O518" s="48"/>
      <c r="P518" s="48"/>
      <c r="Q518" s="48"/>
      <c r="R518" s="48"/>
      <c r="S518" s="48"/>
      <c r="T518" s="48"/>
      <c r="U518" s="48"/>
      <c r="V518" s="48"/>
      <c r="W518" s="48"/>
      <c r="X518" s="48"/>
      <c r="Y518" s="48"/>
      <c r="Z518" s="48"/>
      <c r="AA518" s="48"/>
      <c r="AB518" s="48"/>
      <c r="AC518" s="48"/>
    </row>
    <row r="519" spans="1:29" ht="15.75" customHeight="1">
      <c r="A519" s="48"/>
      <c r="B519" s="48"/>
      <c r="C519" s="48"/>
      <c r="D519" s="48"/>
      <c r="E519" s="48"/>
      <c r="F519" s="48"/>
      <c r="G519" s="49"/>
      <c r="H519" s="48"/>
      <c r="I519" s="48"/>
      <c r="J519" s="48"/>
      <c r="K519" s="48"/>
      <c r="L519" s="48"/>
      <c r="M519" s="48"/>
      <c r="N519" s="48"/>
      <c r="O519" s="48"/>
      <c r="P519" s="48"/>
      <c r="Q519" s="48"/>
      <c r="R519" s="48"/>
      <c r="S519" s="48"/>
      <c r="T519" s="48"/>
      <c r="U519" s="48"/>
      <c r="V519" s="48"/>
      <c r="W519" s="48"/>
      <c r="X519" s="48"/>
      <c r="Y519" s="48"/>
      <c r="Z519" s="48"/>
      <c r="AA519" s="48"/>
      <c r="AB519" s="48"/>
      <c r="AC519" s="48"/>
    </row>
    <row r="520" spans="1:29" ht="15.75" customHeight="1">
      <c r="A520" s="48"/>
      <c r="B520" s="48"/>
      <c r="C520" s="48"/>
      <c r="D520" s="48"/>
      <c r="E520" s="48"/>
      <c r="F520" s="48"/>
      <c r="G520" s="49"/>
      <c r="H520" s="48"/>
      <c r="I520" s="48"/>
      <c r="J520" s="48"/>
      <c r="K520" s="48"/>
      <c r="L520" s="48"/>
      <c r="M520" s="48"/>
      <c r="N520" s="48"/>
      <c r="O520" s="48"/>
      <c r="P520" s="48"/>
      <c r="Q520" s="48"/>
      <c r="R520" s="48"/>
      <c r="S520" s="48"/>
      <c r="T520" s="48"/>
      <c r="U520" s="48"/>
      <c r="V520" s="48"/>
      <c r="W520" s="48"/>
      <c r="X520" s="48"/>
      <c r="Y520" s="48"/>
      <c r="Z520" s="48"/>
      <c r="AA520" s="48"/>
      <c r="AB520" s="48"/>
      <c r="AC520" s="48"/>
    </row>
    <row r="521" spans="1:29" ht="15.75" customHeight="1">
      <c r="A521" s="48"/>
      <c r="B521" s="48"/>
      <c r="C521" s="48"/>
      <c r="D521" s="48"/>
      <c r="E521" s="48"/>
      <c r="F521" s="48"/>
      <c r="G521" s="49"/>
      <c r="H521" s="48"/>
      <c r="I521" s="48"/>
      <c r="J521" s="48"/>
      <c r="K521" s="48"/>
      <c r="L521" s="48"/>
      <c r="M521" s="48"/>
      <c r="N521" s="48"/>
      <c r="O521" s="48"/>
      <c r="P521" s="48"/>
      <c r="Q521" s="48"/>
      <c r="R521" s="48"/>
      <c r="S521" s="48"/>
      <c r="T521" s="48"/>
      <c r="U521" s="48"/>
      <c r="V521" s="48"/>
      <c r="W521" s="48"/>
      <c r="X521" s="48"/>
      <c r="Y521" s="48"/>
      <c r="Z521" s="48"/>
      <c r="AA521" s="48"/>
      <c r="AB521" s="48"/>
      <c r="AC521" s="48"/>
    </row>
    <row r="522" spans="1:29" ht="15.75" customHeight="1">
      <c r="A522" s="48"/>
      <c r="B522" s="48"/>
      <c r="C522" s="48"/>
      <c r="D522" s="48"/>
      <c r="E522" s="48"/>
      <c r="F522" s="48"/>
      <c r="G522" s="49"/>
      <c r="H522" s="48"/>
      <c r="I522" s="48"/>
      <c r="J522" s="48"/>
      <c r="K522" s="48"/>
      <c r="L522" s="48"/>
      <c r="M522" s="48"/>
      <c r="N522" s="48"/>
      <c r="O522" s="48"/>
      <c r="P522" s="48"/>
      <c r="Q522" s="48"/>
      <c r="R522" s="48"/>
      <c r="S522" s="48"/>
      <c r="T522" s="48"/>
      <c r="U522" s="48"/>
      <c r="V522" s="48"/>
      <c r="W522" s="48"/>
      <c r="X522" s="48"/>
      <c r="Y522" s="48"/>
      <c r="Z522" s="48"/>
      <c r="AA522" s="48"/>
      <c r="AB522" s="48"/>
      <c r="AC522" s="48"/>
    </row>
    <row r="523" spans="1:29" ht="15.75" customHeight="1">
      <c r="A523" s="48"/>
      <c r="B523" s="48"/>
      <c r="C523" s="48"/>
      <c r="D523" s="48"/>
      <c r="E523" s="48"/>
      <c r="F523" s="48"/>
      <c r="G523" s="49"/>
      <c r="H523" s="48"/>
      <c r="I523" s="48"/>
      <c r="J523" s="48"/>
      <c r="K523" s="48"/>
      <c r="L523" s="48"/>
      <c r="M523" s="48"/>
      <c r="N523" s="48"/>
      <c r="O523" s="48"/>
      <c r="P523" s="48"/>
      <c r="Q523" s="48"/>
      <c r="R523" s="48"/>
      <c r="S523" s="48"/>
      <c r="T523" s="48"/>
      <c r="U523" s="48"/>
      <c r="V523" s="48"/>
      <c r="W523" s="48"/>
      <c r="X523" s="48"/>
      <c r="Y523" s="48"/>
      <c r="Z523" s="48"/>
      <c r="AA523" s="48"/>
      <c r="AB523" s="48"/>
      <c r="AC523" s="48"/>
    </row>
    <row r="524" spans="1:29" ht="15.75" customHeight="1">
      <c r="A524" s="48"/>
      <c r="B524" s="48"/>
      <c r="C524" s="48"/>
      <c r="D524" s="48"/>
      <c r="E524" s="48"/>
      <c r="F524" s="48"/>
      <c r="G524" s="49"/>
      <c r="H524" s="48"/>
      <c r="I524" s="48"/>
      <c r="J524" s="48"/>
      <c r="K524" s="48"/>
      <c r="L524" s="48"/>
      <c r="M524" s="48"/>
      <c r="N524" s="48"/>
      <c r="O524" s="48"/>
      <c r="P524" s="48"/>
      <c r="Q524" s="48"/>
      <c r="R524" s="48"/>
      <c r="S524" s="48"/>
      <c r="T524" s="48"/>
      <c r="U524" s="48"/>
      <c r="V524" s="48"/>
      <c r="W524" s="48"/>
      <c r="X524" s="48"/>
      <c r="Y524" s="48"/>
      <c r="Z524" s="48"/>
      <c r="AA524" s="48"/>
      <c r="AB524" s="48"/>
      <c r="AC524" s="48"/>
    </row>
    <row r="525" spans="1:29" ht="15.75" customHeight="1">
      <c r="A525" s="48"/>
      <c r="B525" s="48"/>
      <c r="C525" s="48"/>
      <c r="D525" s="48"/>
      <c r="E525" s="48"/>
      <c r="F525" s="48"/>
      <c r="G525" s="49"/>
      <c r="H525" s="48"/>
      <c r="I525" s="48"/>
      <c r="J525" s="48"/>
      <c r="K525" s="48"/>
      <c r="L525" s="48"/>
      <c r="M525" s="48"/>
      <c r="N525" s="48"/>
      <c r="O525" s="48"/>
      <c r="P525" s="48"/>
      <c r="Q525" s="48"/>
      <c r="R525" s="48"/>
      <c r="S525" s="48"/>
      <c r="T525" s="48"/>
      <c r="U525" s="48"/>
      <c r="V525" s="48"/>
      <c r="W525" s="48"/>
      <c r="X525" s="48"/>
      <c r="Y525" s="48"/>
      <c r="Z525" s="48"/>
      <c r="AA525" s="48"/>
      <c r="AB525" s="48"/>
      <c r="AC525" s="48"/>
    </row>
    <row r="526" spans="1:29" ht="15.75" customHeight="1">
      <c r="A526" s="48"/>
      <c r="B526" s="48"/>
      <c r="C526" s="48"/>
      <c r="D526" s="48"/>
      <c r="E526" s="48"/>
      <c r="F526" s="48"/>
      <c r="G526" s="49"/>
      <c r="H526" s="48"/>
      <c r="I526" s="48"/>
      <c r="J526" s="48"/>
      <c r="K526" s="48"/>
      <c r="L526" s="48"/>
      <c r="M526" s="48"/>
      <c r="N526" s="48"/>
      <c r="O526" s="48"/>
      <c r="P526" s="48"/>
      <c r="Q526" s="48"/>
      <c r="R526" s="48"/>
      <c r="S526" s="48"/>
      <c r="T526" s="48"/>
      <c r="U526" s="48"/>
      <c r="V526" s="48"/>
      <c r="W526" s="48"/>
      <c r="X526" s="48"/>
      <c r="Y526" s="48"/>
      <c r="Z526" s="48"/>
      <c r="AA526" s="48"/>
      <c r="AB526" s="48"/>
      <c r="AC526" s="48"/>
    </row>
    <row r="527" spans="1:29" ht="15.75" customHeight="1">
      <c r="A527" s="48"/>
      <c r="B527" s="48"/>
      <c r="C527" s="48"/>
      <c r="D527" s="48"/>
      <c r="E527" s="48"/>
      <c r="F527" s="48"/>
      <c r="G527" s="49"/>
      <c r="H527" s="48"/>
      <c r="I527" s="48"/>
      <c r="J527" s="48"/>
      <c r="K527" s="48"/>
      <c r="L527" s="48"/>
      <c r="M527" s="48"/>
      <c r="N527" s="48"/>
      <c r="O527" s="48"/>
      <c r="P527" s="48"/>
      <c r="Q527" s="48"/>
      <c r="R527" s="48"/>
      <c r="S527" s="48"/>
      <c r="T527" s="48"/>
      <c r="U527" s="48"/>
      <c r="V527" s="48"/>
      <c r="W527" s="48"/>
      <c r="X527" s="48"/>
      <c r="Y527" s="48"/>
      <c r="Z527" s="48"/>
      <c r="AA527" s="48"/>
      <c r="AB527" s="48"/>
      <c r="AC527" s="48"/>
    </row>
    <row r="528" spans="1:29" ht="15.75" customHeight="1">
      <c r="A528" s="48"/>
      <c r="B528" s="48"/>
      <c r="C528" s="48"/>
      <c r="D528" s="48"/>
      <c r="E528" s="48"/>
      <c r="F528" s="48"/>
      <c r="G528" s="49"/>
      <c r="H528" s="48"/>
      <c r="I528" s="48"/>
      <c r="J528" s="48"/>
      <c r="K528" s="48"/>
      <c r="L528" s="48"/>
      <c r="M528" s="48"/>
      <c r="N528" s="48"/>
      <c r="O528" s="48"/>
      <c r="P528" s="48"/>
      <c r="Q528" s="48"/>
      <c r="R528" s="48"/>
      <c r="S528" s="48"/>
      <c r="T528" s="48"/>
      <c r="U528" s="48"/>
      <c r="V528" s="48"/>
      <c r="W528" s="48"/>
      <c r="X528" s="48"/>
      <c r="Y528" s="48"/>
      <c r="Z528" s="48"/>
      <c r="AA528" s="48"/>
      <c r="AB528" s="48"/>
      <c r="AC528" s="48"/>
    </row>
    <row r="529" spans="1:29" ht="15.75" customHeight="1">
      <c r="A529" s="48"/>
      <c r="B529" s="48"/>
      <c r="C529" s="48"/>
      <c r="D529" s="48"/>
      <c r="E529" s="48"/>
      <c r="F529" s="48"/>
      <c r="G529" s="49"/>
      <c r="H529" s="48"/>
      <c r="I529" s="48"/>
      <c r="J529" s="48"/>
      <c r="K529" s="48"/>
      <c r="L529" s="48"/>
      <c r="M529" s="48"/>
      <c r="N529" s="48"/>
      <c r="O529" s="48"/>
      <c r="P529" s="48"/>
      <c r="Q529" s="48"/>
      <c r="R529" s="48"/>
      <c r="S529" s="48"/>
      <c r="T529" s="48"/>
      <c r="U529" s="48"/>
      <c r="V529" s="48"/>
      <c r="W529" s="48"/>
      <c r="X529" s="48"/>
      <c r="Y529" s="48"/>
      <c r="Z529" s="48"/>
      <c r="AA529" s="48"/>
      <c r="AB529" s="48"/>
      <c r="AC529" s="48"/>
    </row>
    <row r="530" spans="1:29" ht="15.75" customHeight="1">
      <c r="A530" s="48"/>
      <c r="B530" s="48"/>
      <c r="C530" s="48"/>
      <c r="D530" s="48"/>
      <c r="E530" s="48"/>
      <c r="F530" s="48"/>
      <c r="G530" s="49"/>
      <c r="H530" s="48"/>
      <c r="I530" s="48"/>
      <c r="J530" s="48"/>
      <c r="K530" s="48"/>
      <c r="L530" s="48"/>
      <c r="M530" s="48"/>
      <c r="N530" s="48"/>
      <c r="O530" s="48"/>
      <c r="P530" s="48"/>
      <c r="Q530" s="48"/>
      <c r="R530" s="48"/>
      <c r="S530" s="48"/>
      <c r="T530" s="48"/>
      <c r="U530" s="48"/>
      <c r="V530" s="48"/>
      <c r="W530" s="48"/>
      <c r="X530" s="48"/>
      <c r="Y530" s="48"/>
      <c r="Z530" s="48"/>
      <c r="AA530" s="48"/>
      <c r="AB530" s="48"/>
      <c r="AC530" s="48"/>
    </row>
    <row r="531" spans="1:29" ht="15.75" customHeight="1">
      <c r="A531" s="48"/>
      <c r="B531" s="48"/>
      <c r="C531" s="48"/>
      <c r="D531" s="48"/>
      <c r="E531" s="48"/>
      <c r="F531" s="48"/>
      <c r="G531" s="49"/>
      <c r="H531" s="48"/>
      <c r="I531" s="48"/>
      <c r="J531" s="48"/>
      <c r="K531" s="48"/>
      <c r="L531" s="48"/>
      <c r="M531" s="48"/>
      <c r="N531" s="48"/>
      <c r="O531" s="48"/>
      <c r="P531" s="48"/>
      <c r="Q531" s="48"/>
      <c r="R531" s="48"/>
      <c r="S531" s="48"/>
      <c r="T531" s="48"/>
      <c r="U531" s="48"/>
      <c r="V531" s="48"/>
      <c r="W531" s="48"/>
      <c r="X531" s="48"/>
      <c r="Y531" s="48"/>
      <c r="Z531" s="48"/>
      <c r="AA531" s="48"/>
      <c r="AB531" s="48"/>
      <c r="AC531" s="48"/>
    </row>
    <row r="532" spans="1:29" ht="15.75" customHeight="1">
      <c r="A532" s="48"/>
      <c r="B532" s="48"/>
      <c r="C532" s="48"/>
      <c r="D532" s="48"/>
      <c r="E532" s="48"/>
      <c r="F532" s="48"/>
      <c r="G532" s="49"/>
      <c r="H532" s="48"/>
      <c r="I532" s="48"/>
      <c r="J532" s="48"/>
      <c r="K532" s="48"/>
      <c r="L532" s="48"/>
      <c r="M532" s="48"/>
      <c r="N532" s="48"/>
      <c r="O532" s="48"/>
      <c r="P532" s="48"/>
      <c r="Q532" s="48"/>
      <c r="R532" s="48"/>
      <c r="S532" s="48"/>
      <c r="T532" s="48"/>
      <c r="U532" s="48"/>
      <c r="V532" s="48"/>
      <c r="W532" s="48"/>
      <c r="X532" s="48"/>
      <c r="Y532" s="48"/>
      <c r="Z532" s="48"/>
      <c r="AA532" s="48"/>
      <c r="AB532" s="48"/>
      <c r="AC532" s="48"/>
    </row>
    <row r="533" spans="1:29" ht="15.75" customHeight="1">
      <c r="A533" s="48"/>
      <c r="B533" s="48"/>
      <c r="C533" s="48"/>
      <c r="D533" s="48"/>
      <c r="E533" s="48"/>
      <c r="F533" s="48"/>
      <c r="G533" s="49"/>
      <c r="H533" s="48"/>
      <c r="I533" s="48"/>
      <c r="J533" s="48"/>
      <c r="K533" s="48"/>
      <c r="L533" s="48"/>
      <c r="M533" s="48"/>
      <c r="N533" s="48"/>
      <c r="O533" s="48"/>
      <c r="P533" s="48"/>
      <c r="Q533" s="48"/>
      <c r="R533" s="48"/>
      <c r="S533" s="48"/>
      <c r="T533" s="48"/>
      <c r="U533" s="48"/>
      <c r="V533" s="48"/>
      <c r="W533" s="48"/>
      <c r="X533" s="48"/>
      <c r="Y533" s="48"/>
      <c r="Z533" s="48"/>
      <c r="AA533" s="48"/>
      <c r="AB533" s="48"/>
      <c r="AC533" s="48"/>
    </row>
    <row r="534" spans="1:29" ht="15.75" customHeight="1">
      <c r="A534" s="48"/>
      <c r="B534" s="48"/>
      <c r="C534" s="48"/>
      <c r="D534" s="48"/>
      <c r="E534" s="48"/>
      <c r="F534" s="48"/>
      <c r="G534" s="49"/>
      <c r="H534" s="48"/>
      <c r="I534" s="48"/>
      <c r="J534" s="48"/>
      <c r="K534" s="48"/>
      <c r="L534" s="48"/>
      <c r="M534" s="48"/>
      <c r="N534" s="48"/>
      <c r="O534" s="48"/>
      <c r="P534" s="48"/>
      <c r="Q534" s="48"/>
      <c r="R534" s="48"/>
      <c r="S534" s="48"/>
      <c r="T534" s="48"/>
      <c r="U534" s="48"/>
      <c r="V534" s="48"/>
      <c r="W534" s="48"/>
      <c r="X534" s="48"/>
      <c r="Y534" s="48"/>
      <c r="Z534" s="48"/>
      <c r="AA534" s="48"/>
      <c r="AB534" s="48"/>
      <c r="AC534" s="48"/>
    </row>
    <row r="535" spans="1:29" ht="15.75" customHeight="1">
      <c r="A535" s="48"/>
      <c r="B535" s="48"/>
      <c r="C535" s="48"/>
      <c r="D535" s="48"/>
      <c r="E535" s="48"/>
      <c r="F535" s="48"/>
      <c r="G535" s="49"/>
      <c r="H535" s="48"/>
      <c r="I535" s="48"/>
      <c r="J535" s="48"/>
      <c r="K535" s="48"/>
      <c r="L535" s="48"/>
      <c r="M535" s="48"/>
      <c r="N535" s="48"/>
      <c r="O535" s="48"/>
      <c r="P535" s="48"/>
      <c r="Q535" s="48"/>
      <c r="R535" s="48"/>
      <c r="S535" s="48"/>
      <c r="T535" s="48"/>
      <c r="U535" s="48"/>
      <c r="V535" s="48"/>
      <c r="W535" s="48"/>
      <c r="X535" s="48"/>
      <c r="Y535" s="48"/>
      <c r="Z535" s="48"/>
      <c r="AA535" s="48"/>
      <c r="AB535" s="48"/>
      <c r="AC535" s="48"/>
    </row>
    <row r="536" spans="1:29" ht="15.75" customHeight="1">
      <c r="A536" s="48"/>
      <c r="B536" s="48"/>
      <c r="C536" s="48"/>
      <c r="D536" s="48"/>
      <c r="E536" s="48"/>
      <c r="F536" s="48"/>
      <c r="G536" s="49"/>
      <c r="H536" s="48"/>
      <c r="I536" s="48"/>
      <c r="J536" s="48"/>
      <c r="K536" s="48"/>
      <c r="L536" s="48"/>
      <c r="M536" s="48"/>
      <c r="N536" s="48"/>
      <c r="O536" s="48"/>
      <c r="P536" s="48"/>
      <c r="Q536" s="48"/>
      <c r="R536" s="48"/>
      <c r="S536" s="48"/>
      <c r="T536" s="48"/>
      <c r="U536" s="48"/>
      <c r="V536" s="48"/>
      <c r="W536" s="48"/>
      <c r="X536" s="48"/>
      <c r="Y536" s="48"/>
      <c r="Z536" s="48"/>
      <c r="AA536" s="48"/>
      <c r="AB536" s="48"/>
      <c r="AC536" s="48"/>
    </row>
    <row r="537" spans="1:29" ht="15.75" customHeight="1">
      <c r="A537" s="48"/>
      <c r="B537" s="48"/>
      <c r="C537" s="48"/>
      <c r="D537" s="48"/>
      <c r="E537" s="48"/>
      <c r="F537" s="48"/>
      <c r="G537" s="49"/>
      <c r="H537" s="48"/>
      <c r="I537" s="48"/>
      <c r="J537" s="48"/>
      <c r="K537" s="48"/>
      <c r="L537" s="48"/>
      <c r="M537" s="48"/>
      <c r="N537" s="48"/>
      <c r="O537" s="48"/>
      <c r="P537" s="48"/>
      <c r="Q537" s="48"/>
      <c r="R537" s="48"/>
      <c r="S537" s="48"/>
      <c r="T537" s="48"/>
      <c r="U537" s="48"/>
      <c r="V537" s="48"/>
      <c r="W537" s="48"/>
      <c r="X537" s="48"/>
      <c r="Y537" s="48"/>
      <c r="Z537" s="48"/>
      <c r="AA537" s="48"/>
      <c r="AB537" s="48"/>
      <c r="AC537" s="48"/>
    </row>
    <row r="538" spans="1:29" ht="15.75" customHeight="1">
      <c r="A538" s="48"/>
      <c r="B538" s="48"/>
      <c r="C538" s="48"/>
      <c r="D538" s="48"/>
      <c r="E538" s="48"/>
      <c r="F538" s="48"/>
      <c r="G538" s="49"/>
      <c r="H538" s="48"/>
      <c r="I538" s="48"/>
      <c r="J538" s="48"/>
      <c r="K538" s="48"/>
      <c r="L538" s="48"/>
      <c r="M538" s="48"/>
      <c r="N538" s="48"/>
      <c r="O538" s="48"/>
      <c r="P538" s="48"/>
      <c r="Q538" s="48"/>
      <c r="R538" s="48"/>
      <c r="S538" s="48"/>
      <c r="T538" s="48"/>
      <c r="U538" s="48"/>
      <c r="V538" s="48"/>
      <c r="W538" s="48"/>
      <c r="X538" s="48"/>
      <c r="Y538" s="48"/>
      <c r="Z538" s="48"/>
      <c r="AA538" s="48"/>
      <c r="AB538" s="48"/>
      <c r="AC538" s="48"/>
    </row>
    <row r="539" spans="1:29" ht="15.75" customHeight="1">
      <c r="A539" s="48"/>
      <c r="B539" s="48"/>
      <c r="C539" s="48"/>
      <c r="D539" s="48"/>
      <c r="E539" s="48"/>
      <c r="F539" s="48"/>
      <c r="G539" s="49"/>
      <c r="H539" s="48"/>
      <c r="I539" s="48"/>
      <c r="J539" s="48"/>
      <c r="K539" s="48"/>
      <c r="L539" s="48"/>
      <c r="M539" s="48"/>
      <c r="N539" s="48"/>
      <c r="O539" s="48"/>
      <c r="P539" s="48"/>
      <c r="Q539" s="48"/>
      <c r="R539" s="48"/>
      <c r="S539" s="48"/>
      <c r="T539" s="48"/>
      <c r="U539" s="48"/>
      <c r="V539" s="48"/>
      <c r="W539" s="48"/>
      <c r="X539" s="48"/>
      <c r="Y539" s="48"/>
      <c r="Z539" s="48"/>
      <c r="AA539" s="48"/>
      <c r="AB539" s="48"/>
      <c r="AC539" s="48"/>
    </row>
    <row r="540" spans="1:29" ht="15.75" customHeight="1">
      <c r="A540" s="48"/>
      <c r="B540" s="48"/>
      <c r="C540" s="48"/>
      <c r="D540" s="48"/>
      <c r="E540" s="48"/>
      <c r="F540" s="48"/>
      <c r="G540" s="49"/>
      <c r="H540" s="48"/>
      <c r="I540" s="48"/>
      <c r="J540" s="48"/>
      <c r="K540" s="48"/>
      <c r="L540" s="48"/>
      <c r="M540" s="48"/>
      <c r="N540" s="48"/>
      <c r="O540" s="48"/>
      <c r="P540" s="48"/>
      <c r="Q540" s="48"/>
      <c r="R540" s="48"/>
      <c r="S540" s="48"/>
      <c r="T540" s="48"/>
      <c r="U540" s="48"/>
      <c r="V540" s="48"/>
      <c r="W540" s="48"/>
      <c r="X540" s="48"/>
      <c r="Y540" s="48"/>
      <c r="Z540" s="48"/>
      <c r="AA540" s="48"/>
      <c r="AB540" s="48"/>
      <c r="AC540" s="48"/>
    </row>
    <row r="541" spans="1:29" ht="15.75" customHeight="1">
      <c r="A541" s="48"/>
      <c r="B541" s="48"/>
      <c r="C541" s="48"/>
      <c r="D541" s="48"/>
      <c r="E541" s="48"/>
      <c r="F541" s="48"/>
      <c r="G541" s="49"/>
      <c r="H541" s="48"/>
      <c r="I541" s="48"/>
      <c r="J541" s="48"/>
      <c r="K541" s="48"/>
      <c r="L541" s="48"/>
      <c r="M541" s="48"/>
      <c r="N541" s="48"/>
      <c r="O541" s="48"/>
      <c r="P541" s="48"/>
      <c r="Q541" s="48"/>
      <c r="R541" s="48"/>
      <c r="S541" s="48"/>
      <c r="T541" s="48"/>
      <c r="U541" s="48"/>
      <c r="V541" s="48"/>
      <c r="W541" s="48"/>
      <c r="X541" s="48"/>
      <c r="Y541" s="48"/>
      <c r="Z541" s="48"/>
      <c r="AA541" s="48"/>
      <c r="AB541" s="48"/>
      <c r="AC541" s="48"/>
    </row>
    <row r="542" spans="1:29" ht="15.75" customHeight="1">
      <c r="A542" s="48"/>
      <c r="B542" s="48"/>
      <c r="C542" s="48"/>
      <c r="D542" s="48"/>
      <c r="E542" s="48"/>
      <c r="F542" s="48"/>
      <c r="G542" s="49"/>
      <c r="H542" s="48"/>
      <c r="I542" s="48"/>
      <c r="J542" s="48"/>
      <c r="K542" s="48"/>
      <c r="L542" s="48"/>
      <c r="M542" s="48"/>
      <c r="N542" s="48"/>
      <c r="O542" s="48"/>
      <c r="P542" s="48"/>
      <c r="Q542" s="48"/>
      <c r="R542" s="48"/>
      <c r="S542" s="48"/>
      <c r="T542" s="48"/>
      <c r="U542" s="48"/>
      <c r="V542" s="48"/>
      <c r="W542" s="48"/>
      <c r="X542" s="48"/>
      <c r="Y542" s="48"/>
      <c r="Z542" s="48"/>
      <c r="AA542" s="48"/>
      <c r="AB542" s="48"/>
      <c r="AC542" s="48"/>
    </row>
    <row r="543" spans="1:29" ht="15.75" customHeight="1">
      <c r="A543" s="48"/>
      <c r="B543" s="48"/>
      <c r="C543" s="48"/>
      <c r="D543" s="48"/>
      <c r="E543" s="48"/>
      <c r="F543" s="48"/>
      <c r="G543" s="49"/>
      <c r="H543" s="48"/>
      <c r="I543" s="48"/>
      <c r="J543" s="48"/>
      <c r="K543" s="48"/>
      <c r="L543" s="48"/>
      <c r="M543" s="48"/>
      <c r="N543" s="48"/>
      <c r="O543" s="48"/>
      <c r="P543" s="48"/>
      <c r="Q543" s="48"/>
      <c r="R543" s="48"/>
      <c r="S543" s="48"/>
      <c r="T543" s="48"/>
      <c r="U543" s="48"/>
      <c r="V543" s="48"/>
      <c r="W543" s="48"/>
      <c r="X543" s="48"/>
      <c r="Y543" s="48"/>
      <c r="Z543" s="48"/>
      <c r="AA543" s="48"/>
      <c r="AB543" s="48"/>
      <c r="AC543" s="48"/>
    </row>
    <row r="544" spans="1:29" ht="15.75" customHeight="1">
      <c r="A544" s="48"/>
      <c r="B544" s="48"/>
      <c r="C544" s="48"/>
      <c r="D544" s="48"/>
      <c r="E544" s="48"/>
      <c r="F544" s="48"/>
      <c r="G544" s="49"/>
      <c r="H544" s="48"/>
      <c r="I544" s="48"/>
      <c r="J544" s="48"/>
      <c r="K544" s="48"/>
      <c r="L544" s="48"/>
      <c r="M544" s="48"/>
      <c r="N544" s="48"/>
      <c r="O544" s="48"/>
      <c r="P544" s="48"/>
      <c r="Q544" s="48"/>
      <c r="R544" s="48"/>
      <c r="S544" s="48"/>
      <c r="T544" s="48"/>
      <c r="U544" s="48"/>
      <c r="V544" s="48"/>
      <c r="W544" s="48"/>
      <c r="X544" s="48"/>
      <c r="Y544" s="48"/>
      <c r="Z544" s="48"/>
      <c r="AA544" s="48"/>
      <c r="AB544" s="48"/>
      <c r="AC544" s="48"/>
    </row>
    <row r="545" spans="1:29" ht="15.75" customHeight="1">
      <c r="A545" s="48"/>
      <c r="B545" s="48"/>
      <c r="C545" s="48"/>
      <c r="D545" s="48"/>
      <c r="E545" s="48"/>
      <c r="F545" s="48"/>
      <c r="G545" s="49"/>
      <c r="H545" s="48"/>
      <c r="I545" s="48"/>
      <c r="J545" s="48"/>
      <c r="K545" s="48"/>
      <c r="L545" s="48"/>
      <c r="M545" s="48"/>
      <c r="N545" s="48"/>
      <c r="O545" s="48"/>
      <c r="P545" s="48"/>
      <c r="Q545" s="48"/>
      <c r="R545" s="48"/>
      <c r="S545" s="48"/>
      <c r="T545" s="48"/>
      <c r="U545" s="48"/>
      <c r="V545" s="48"/>
      <c r="W545" s="48"/>
      <c r="X545" s="48"/>
      <c r="Y545" s="48"/>
      <c r="Z545" s="48"/>
      <c r="AA545" s="48"/>
      <c r="AB545" s="48"/>
      <c r="AC545" s="48"/>
    </row>
    <row r="546" spans="1:29" ht="15.75" customHeight="1">
      <c r="A546" s="48"/>
      <c r="B546" s="48"/>
      <c r="C546" s="48"/>
      <c r="D546" s="48"/>
      <c r="E546" s="48"/>
      <c r="F546" s="48"/>
      <c r="G546" s="49"/>
      <c r="H546" s="48"/>
      <c r="I546" s="48"/>
      <c r="J546" s="48"/>
      <c r="K546" s="48"/>
      <c r="L546" s="48"/>
      <c r="M546" s="48"/>
      <c r="N546" s="48"/>
      <c r="O546" s="48"/>
      <c r="P546" s="48"/>
      <c r="Q546" s="48"/>
      <c r="R546" s="48"/>
      <c r="S546" s="48"/>
      <c r="T546" s="48"/>
      <c r="U546" s="48"/>
      <c r="V546" s="48"/>
      <c r="W546" s="48"/>
      <c r="X546" s="48"/>
      <c r="Y546" s="48"/>
      <c r="Z546" s="48"/>
      <c r="AA546" s="48"/>
      <c r="AB546" s="48"/>
      <c r="AC546" s="48"/>
    </row>
    <row r="547" spans="1:29" ht="15.75" customHeight="1">
      <c r="A547" s="48"/>
      <c r="B547" s="48"/>
      <c r="C547" s="48"/>
      <c r="D547" s="48"/>
      <c r="E547" s="48"/>
      <c r="F547" s="48"/>
      <c r="G547" s="49"/>
      <c r="H547" s="48"/>
      <c r="I547" s="48"/>
      <c r="J547" s="48"/>
      <c r="K547" s="48"/>
      <c r="L547" s="48"/>
      <c r="M547" s="48"/>
      <c r="N547" s="48"/>
      <c r="O547" s="48"/>
      <c r="P547" s="48"/>
      <c r="Q547" s="48"/>
      <c r="R547" s="48"/>
      <c r="S547" s="48"/>
      <c r="T547" s="48"/>
      <c r="U547" s="48"/>
      <c r="V547" s="48"/>
      <c r="W547" s="48"/>
      <c r="X547" s="48"/>
      <c r="Y547" s="48"/>
      <c r="Z547" s="48"/>
      <c r="AA547" s="48"/>
      <c r="AB547" s="48"/>
      <c r="AC547" s="48"/>
    </row>
    <row r="548" spans="1:29" ht="15.75" customHeight="1">
      <c r="A548" s="48"/>
      <c r="B548" s="48"/>
      <c r="C548" s="48"/>
      <c r="D548" s="48"/>
      <c r="E548" s="48"/>
      <c r="F548" s="48"/>
      <c r="G548" s="49"/>
      <c r="H548" s="48"/>
      <c r="I548" s="48"/>
      <c r="J548" s="48"/>
      <c r="K548" s="48"/>
      <c r="L548" s="48"/>
      <c r="M548" s="48"/>
      <c r="N548" s="48"/>
      <c r="O548" s="48"/>
      <c r="P548" s="48"/>
      <c r="Q548" s="48"/>
      <c r="R548" s="48"/>
      <c r="S548" s="48"/>
      <c r="T548" s="48"/>
      <c r="U548" s="48"/>
      <c r="V548" s="48"/>
      <c r="W548" s="48"/>
      <c r="X548" s="48"/>
      <c r="Y548" s="48"/>
      <c r="Z548" s="48"/>
      <c r="AA548" s="48"/>
      <c r="AB548" s="48"/>
      <c r="AC548" s="48"/>
    </row>
    <row r="549" spans="1:29" ht="15.75" customHeight="1">
      <c r="A549" s="48"/>
      <c r="B549" s="48"/>
      <c r="C549" s="48"/>
      <c r="D549" s="48"/>
      <c r="E549" s="48"/>
      <c r="F549" s="48"/>
      <c r="G549" s="49"/>
      <c r="H549" s="48"/>
      <c r="I549" s="48"/>
      <c r="J549" s="48"/>
      <c r="K549" s="48"/>
      <c r="L549" s="48"/>
      <c r="M549" s="48"/>
      <c r="N549" s="48"/>
      <c r="O549" s="48"/>
      <c r="P549" s="48"/>
      <c r="Q549" s="48"/>
      <c r="R549" s="48"/>
      <c r="S549" s="48"/>
      <c r="T549" s="48"/>
      <c r="U549" s="48"/>
      <c r="V549" s="48"/>
      <c r="W549" s="48"/>
      <c r="X549" s="48"/>
      <c r="Y549" s="48"/>
      <c r="Z549" s="48"/>
      <c r="AA549" s="48"/>
      <c r="AB549" s="48"/>
      <c r="AC549" s="48"/>
    </row>
    <row r="550" spans="1:29" ht="15.75" customHeight="1">
      <c r="A550" s="48"/>
      <c r="B550" s="48"/>
      <c r="C550" s="48"/>
      <c r="D550" s="48"/>
      <c r="E550" s="48"/>
      <c r="F550" s="48"/>
      <c r="G550" s="49"/>
      <c r="H550" s="48"/>
      <c r="I550" s="48"/>
      <c r="J550" s="48"/>
      <c r="K550" s="48"/>
      <c r="L550" s="48"/>
      <c r="M550" s="48"/>
      <c r="N550" s="48"/>
      <c r="O550" s="48"/>
      <c r="P550" s="48"/>
      <c r="Q550" s="48"/>
      <c r="R550" s="48"/>
      <c r="S550" s="48"/>
      <c r="T550" s="48"/>
      <c r="U550" s="48"/>
      <c r="V550" s="48"/>
      <c r="W550" s="48"/>
      <c r="X550" s="48"/>
      <c r="Y550" s="48"/>
      <c r="Z550" s="48"/>
      <c r="AA550" s="48"/>
      <c r="AB550" s="48"/>
      <c r="AC550" s="48"/>
    </row>
    <row r="551" spans="1:29" ht="15.75" customHeight="1">
      <c r="A551" s="48"/>
      <c r="B551" s="48"/>
      <c r="C551" s="48"/>
      <c r="D551" s="48"/>
      <c r="E551" s="48"/>
      <c r="F551" s="48"/>
      <c r="G551" s="49"/>
      <c r="H551" s="48"/>
      <c r="I551" s="48"/>
      <c r="J551" s="48"/>
      <c r="K551" s="48"/>
      <c r="L551" s="48"/>
      <c r="M551" s="48"/>
      <c r="N551" s="48"/>
      <c r="O551" s="48"/>
      <c r="P551" s="48"/>
      <c r="Q551" s="48"/>
      <c r="R551" s="48"/>
      <c r="S551" s="48"/>
      <c r="T551" s="48"/>
      <c r="U551" s="48"/>
      <c r="V551" s="48"/>
      <c r="W551" s="48"/>
      <c r="X551" s="48"/>
      <c r="Y551" s="48"/>
      <c r="Z551" s="48"/>
      <c r="AA551" s="48"/>
      <c r="AB551" s="48"/>
      <c r="AC551" s="48"/>
    </row>
    <row r="552" spans="1:29" ht="15.75" customHeight="1">
      <c r="A552" s="48"/>
      <c r="B552" s="48"/>
      <c r="C552" s="48"/>
      <c r="D552" s="48"/>
      <c r="E552" s="48"/>
      <c r="F552" s="48"/>
      <c r="G552" s="49"/>
      <c r="H552" s="48"/>
      <c r="I552" s="48"/>
      <c r="J552" s="48"/>
      <c r="K552" s="48"/>
      <c r="L552" s="48"/>
      <c r="M552" s="48"/>
      <c r="N552" s="48"/>
      <c r="O552" s="48"/>
      <c r="P552" s="48"/>
      <c r="Q552" s="48"/>
      <c r="R552" s="48"/>
      <c r="S552" s="48"/>
      <c r="T552" s="48"/>
      <c r="U552" s="48"/>
      <c r="V552" s="48"/>
      <c r="W552" s="48"/>
      <c r="X552" s="48"/>
      <c r="Y552" s="48"/>
      <c r="Z552" s="48"/>
      <c r="AA552" s="48"/>
      <c r="AB552" s="48"/>
      <c r="AC552" s="48"/>
    </row>
    <row r="553" spans="1:29" ht="15.75" customHeight="1">
      <c r="A553" s="48"/>
      <c r="B553" s="48"/>
      <c r="C553" s="48"/>
      <c r="D553" s="48"/>
      <c r="E553" s="48"/>
      <c r="F553" s="48"/>
      <c r="G553" s="49"/>
      <c r="H553" s="48"/>
      <c r="I553" s="48"/>
      <c r="J553" s="48"/>
      <c r="K553" s="48"/>
      <c r="L553" s="48"/>
      <c r="M553" s="48"/>
      <c r="N553" s="48"/>
      <c r="O553" s="48"/>
      <c r="P553" s="48"/>
      <c r="Q553" s="48"/>
      <c r="R553" s="48"/>
      <c r="S553" s="48"/>
      <c r="T553" s="48"/>
      <c r="U553" s="48"/>
      <c r="V553" s="48"/>
      <c r="W553" s="48"/>
      <c r="X553" s="48"/>
      <c r="Y553" s="48"/>
      <c r="Z553" s="48"/>
      <c r="AA553" s="48"/>
      <c r="AB553" s="48"/>
      <c r="AC553" s="48"/>
    </row>
    <row r="554" spans="1:29" ht="15.75" customHeight="1">
      <c r="A554" s="48"/>
      <c r="B554" s="48"/>
      <c r="C554" s="48"/>
      <c r="D554" s="48"/>
      <c r="E554" s="48"/>
      <c r="F554" s="48"/>
      <c r="G554" s="49"/>
      <c r="H554" s="48"/>
      <c r="I554" s="48"/>
      <c r="J554" s="48"/>
      <c r="K554" s="48"/>
      <c r="L554" s="48"/>
      <c r="M554" s="48"/>
      <c r="N554" s="48"/>
      <c r="O554" s="48"/>
      <c r="P554" s="48"/>
      <c r="Q554" s="48"/>
      <c r="R554" s="48"/>
      <c r="S554" s="48"/>
      <c r="T554" s="48"/>
      <c r="U554" s="48"/>
      <c r="V554" s="48"/>
      <c r="W554" s="48"/>
      <c r="X554" s="48"/>
      <c r="Y554" s="48"/>
      <c r="Z554" s="48"/>
      <c r="AA554" s="48"/>
      <c r="AB554" s="48"/>
      <c r="AC554" s="48"/>
    </row>
    <row r="555" spans="1:29" ht="15.75" customHeight="1">
      <c r="A555" s="48"/>
      <c r="B555" s="48"/>
      <c r="C555" s="48"/>
      <c r="D555" s="48"/>
      <c r="E555" s="48"/>
      <c r="F555" s="48"/>
      <c r="G555" s="49"/>
      <c r="H555" s="48"/>
      <c r="I555" s="48"/>
      <c r="J555" s="48"/>
      <c r="K555" s="48"/>
      <c r="L555" s="48"/>
      <c r="M555" s="48"/>
      <c r="N555" s="48"/>
      <c r="O555" s="48"/>
      <c r="P555" s="48"/>
      <c r="Q555" s="48"/>
      <c r="R555" s="48"/>
      <c r="S555" s="48"/>
      <c r="T555" s="48"/>
      <c r="U555" s="48"/>
      <c r="V555" s="48"/>
      <c r="W555" s="48"/>
      <c r="X555" s="48"/>
      <c r="Y555" s="48"/>
      <c r="Z555" s="48"/>
      <c r="AA555" s="48"/>
      <c r="AB555" s="48"/>
      <c r="AC555" s="48"/>
    </row>
    <row r="556" spans="1:29" ht="15.75" customHeight="1">
      <c r="A556" s="48"/>
      <c r="B556" s="48"/>
      <c r="C556" s="48"/>
      <c r="D556" s="48"/>
      <c r="E556" s="48"/>
      <c r="F556" s="48"/>
      <c r="G556" s="49"/>
      <c r="H556" s="48"/>
      <c r="I556" s="48"/>
      <c r="J556" s="48"/>
      <c r="K556" s="48"/>
      <c r="L556" s="48"/>
      <c r="M556" s="48"/>
      <c r="N556" s="48"/>
      <c r="O556" s="48"/>
      <c r="P556" s="48"/>
      <c r="Q556" s="48"/>
      <c r="R556" s="48"/>
      <c r="S556" s="48"/>
      <c r="T556" s="48"/>
      <c r="U556" s="48"/>
      <c r="V556" s="48"/>
      <c r="W556" s="48"/>
      <c r="X556" s="48"/>
      <c r="Y556" s="48"/>
      <c r="Z556" s="48"/>
      <c r="AA556" s="48"/>
      <c r="AB556" s="48"/>
      <c r="AC556" s="48"/>
    </row>
    <row r="557" spans="1:29" ht="15.75" customHeight="1">
      <c r="A557" s="48"/>
      <c r="B557" s="48"/>
      <c r="C557" s="48"/>
      <c r="D557" s="48"/>
      <c r="E557" s="48"/>
      <c r="F557" s="48"/>
      <c r="G557" s="49"/>
      <c r="H557" s="48"/>
      <c r="I557" s="48"/>
      <c r="J557" s="48"/>
      <c r="K557" s="48"/>
      <c r="L557" s="48"/>
      <c r="M557" s="48"/>
      <c r="N557" s="48"/>
      <c r="O557" s="48"/>
      <c r="P557" s="48"/>
      <c r="Q557" s="48"/>
      <c r="R557" s="48"/>
      <c r="S557" s="48"/>
      <c r="T557" s="48"/>
      <c r="U557" s="48"/>
      <c r="V557" s="48"/>
      <c r="W557" s="48"/>
      <c r="X557" s="48"/>
      <c r="Y557" s="48"/>
      <c r="Z557" s="48"/>
      <c r="AA557" s="48"/>
      <c r="AB557" s="48"/>
      <c r="AC557" s="48"/>
    </row>
    <row r="558" spans="1:29" ht="15.75" customHeight="1">
      <c r="A558" s="48"/>
      <c r="B558" s="48"/>
      <c r="C558" s="48"/>
      <c r="D558" s="48"/>
      <c r="E558" s="48"/>
      <c r="F558" s="48"/>
      <c r="G558" s="49"/>
      <c r="H558" s="48"/>
      <c r="I558" s="48"/>
      <c r="J558" s="48"/>
      <c r="K558" s="48"/>
      <c r="L558" s="48"/>
      <c r="M558" s="48"/>
      <c r="N558" s="48"/>
      <c r="O558" s="48"/>
      <c r="P558" s="48"/>
      <c r="Q558" s="48"/>
      <c r="R558" s="48"/>
      <c r="S558" s="48"/>
      <c r="T558" s="48"/>
      <c r="U558" s="48"/>
      <c r="V558" s="48"/>
      <c r="W558" s="48"/>
      <c r="X558" s="48"/>
      <c r="Y558" s="48"/>
      <c r="Z558" s="48"/>
      <c r="AA558" s="48"/>
      <c r="AB558" s="48"/>
      <c r="AC558" s="48"/>
    </row>
    <row r="559" spans="1:29" ht="15.75" customHeight="1">
      <c r="A559" s="48"/>
      <c r="B559" s="48"/>
      <c r="C559" s="48"/>
      <c r="D559" s="48"/>
      <c r="E559" s="48"/>
      <c r="F559" s="48"/>
      <c r="G559" s="49"/>
      <c r="H559" s="48"/>
      <c r="I559" s="48"/>
      <c r="J559" s="48"/>
      <c r="K559" s="48"/>
      <c r="L559" s="48"/>
      <c r="M559" s="48"/>
      <c r="N559" s="48"/>
      <c r="O559" s="48"/>
      <c r="P559" s="48"/>
      <c r="Q559" s="48"/>
      <c r="R559" s="48"/>
      <c r="S559" s="48"/>
      <c r="T559" s="48"/>
      <c r="U559" s="48"/>
      <c r="V559" s="48"/>
      <c r="W559" s="48"/>
      <c r="X559" s="48"/>
      <c r="Y559" s="48"/>
      <c r="Z559" s="48"/>
      <c r="AA559" s="48"/>
      <c r="AB559" s="48"/>
      <c r="AC559" s="48"/>
    </row>
    <row r="560" spans="1:29" ht="15.75" customHeight="1">
      <c r="A560" s="48"/>
      <c r="B560" s="48"/>
      <c r="C560" s="48"/>
      <c r="D560" s="48"/>
      <c r="E560" s="48"/>
      <c r="F560" s="48"/>
      <c r="G560" s="49"/>
      <c r="H560" s="48"/>
      <c r="I560" s="48"/>
      <c r="J560" s="48"/>
      <c r="K560" s="48"/>
      <c r="L560" s="48"/>
      <c r="M560" s="48"/>
      <c r="N560" s="48"/>
      <c r="O560" s="48"/>
      <c r="P560" s="48"/>
      <c r="Q560" s="48"/>
      <c r="R560" s="48"/>
      <c r="S560" s="48"/>
      <c r="T560" s="48"/>
      <c r="U560" s="48"/>
      <c r="V560" s="48"/>
      <c r="W560" s="48"/>
      <c r="X560" s="48"/>
      <c r="Y560" s="48"/>
      <c r="Z560" s="48"/>
      <c r="AA560" s="48"/>
      <c r="AB560" s="48"/>
      <c r="AC560" s="48"/>
    </row>
    <row r="561" spans="1:29" ht="15.75" customHeight="1">
      <c r="A561" s="48"/>
      <c r="B561" s="48"/>
      <c r="C561" s="48"/>
      <c r="D561" s="48"/>
      <c r="E561" s="48"/>
      <c r="F561" s="48"/>
      <c r="G561" s="49"/>
      <c r="H561" s="48"/>
      <c r="I561" s="48"/>
      <c r="J561" s="48"/>
      <c r="K561" s="48"/>
      <c r="L561" s="48"/>
      <c r="M561" s="48"/>
      <c r="N561" s="48"/>
      <c r="O561" s="48"/>
      <c r="P561" s="48"/>
      <c r="Q561" s="48"/>
      <c r="R561" s="48"/>
      <c r="S561" s="48"/>
      <c r="T561" s="48"/>
      <c r="U561" s="48"/>
      <c r="V561" s="48"/>
      <c r="W561" s="48"/>
      <c r="X561" s="48"/>
      <c r="Y561" s="48"/>
      <c r="Z561" s="48"/>
      <c r="AA561" s="48"/>
      <c r="AB561" s="48"/>
      <c r="AC561" s="48"/>
    </row>
    <row r="562" spans="1:29" ht="15.75" customHeight="1">
      <c r="A562" s="48"/>
      <c r="B562" s="48"/>
      <c r="C562" s="48"/>
      <c r="D562" s="48"/>
      <c r="E562" s="48"/>
      <c r="F562" s="48"/>
      <c r="G562" s="49"/>
      <c r="H562" s="48"/>
      <c r="I562" s="48"/>
      <c r="J562" s="48"/>
      <c r="K562" s="48"/>
      <c r="L562" s="48"/>
      <c r="M562" s="48"/>
      <c r="N562" s="48"/>
      <c r="O562" s="48"/>
      <c r="P562" s="48"/>
      <c r="Q562" s="48"/>
      <c r="R562" s="48"/>
      <c r="S562" s="48"/>
      <c r="T562" s="48"/>
      <c r="U562" s="48"/>
      <c r="V562" s="48"/>
      <c r="W562" s="48"/>
      <c r="X562" s="48"/>
      <c r="Y562" s="48"/>
      <c r="Z562" s="48"/>
      <c r="AA562" s="48"/>
      <c r="AB562" s="48"/>
      <c r="AC562" s="48"/>
    </row>
    <row r="563" spans="1:29" ht="15.75" customHeight="1">
      <c r="A563" s="48"/>
      <c r="B563" s="48"/>
      <c r="C563" s="48"/>
      <c r="D563" s="48"/>
      <c r="E563" s="48"/>
      <c r="F563" s="48"/>
      <c r="G563" s="49"/>
      <c r="H563" s="48"/>
      <c r="I563" s="48"/>
      <c r="J563" s="48"/>
      <c r="K563" s="48"/>
      <c r="L563" s="48"/>
      <c r="M563" s="48"/>
      <c r="N563" s="48"/>
      <c r="O563" s="48"/>
      <c r="P563" s="48"/>
      <c r="Q563" s="48"/>
      <c r="R563" s="48"/>
      <c r="S563" s="48"/>
      <c r="T563" s="48"/>
      <c r="U563" s="48"/>
      <c r="V563" s="48"/>
      <c r="W563" s="48"/>
      <c r="X563" s="48"/>
      <c r="Y563" s="48"/>
      <c r="Z563" s="48"/>
      <c r="AA563" s="48"/>
      <c r="AB563" s="48"/>
      <c r="AC563" s="48"/>
    </row>
    <row r="564" spans="1:29" ht="15.75" customHeight="1">
      <c r="A564" s="48"/>
      <c r="B564" s="48"/>
      <c r="C564" s="48"/>
      <c r="D564" s="48"/>
      <c r="E564" s="48"/>
      <c r="F564" s="48"/>
      <c r="G564" s="49"/>
      <c r="H564" s="48"/>
      <c r="I564" s="48"/>
      <c r="J564" s="48"/>
      <c r="K564" s="48"/>
      <c r="L564" s="48"/>
      <c r="M564" s="48"/>
      <c r="N564" s="48"/>
      <c r="O564" s="48"/>
      <c r="P564" s="48"/>
      <c r="Q564" s="48"/>
      <c r="R564" s="48"/>
      <c r="S564" s="48"/>
      <c r="T564" s="48"/>
      <c r="U564" s="48"/>
      <c r="V564" s="48"/>
      <c r="W564" s="48"/>
      <c r="X564" s="48"/>
      <c r="Y564" s="48"/>
      <c r="Z564" s="48"/>
      <c r="AA564" s="48"/>
      <c r="AB564" s="48"/>
      <c r="AC564" s="48"/>
    </row>
    <row r="565" spans="1:29" ht="15.75" customHeight="1">
      <c r="A565" s="48"/>
      <c r="B565" s="48"/>
      <c r="C565" s="48"/>
      <c r="D565" s="48"/>
      <c r="E565" s="48"/>
      <c r="F565" s="48"/>
      <c r="G565" s="49"/>
      <c r="H565" s="48"/>
      <c r="I565" s="48"/>
      <c r="J565" s="48"/>
      <c r="K565" s="48"/>
      <c r="L565" s="48"/>
      <c r="M565" s="48"/>
      <c r="N565" s="48"/>
      <c r="O565" s="48"/>
      <c r="P565" s="48"/>
      <c r="Q565" s="48"/>
      <c r="R565" s="48"/>
      <c r="S565" s="48"/>
      <c r="T565" s="48"/>
      <c r="U565" s="48"/>
      <c r="V565" s="48"/>
      <c r="W565" s="48"/>
      <c r="X565" s="48"/>
      <c r="Y565" s="48"/>
      <c r="Z565" s="48"/>
      <c r="AA565" s="48"/>
      <c r="AB565" s="48"/>
      <c r="AC565" s="48"/>
    </row>
    <row r="566" spans="1:29" ht="15.75" customHeight="1">
      <c r="A566" s="48"/>
      <c r="B566" s="48"/>
      <c r="C566" s="48"/>
      <c r="D566" s="48"/>
      <c r="E566" s="48"/>
      <c r="F566" s="48"/>
      <c r="G566" s="49"/>
      <c r="H566" s="48"/>
      <c r="I566" s="48"/>
      <c r="J566" s="48"/>
      <c r="K566" s="48"/>
      <c r="L566" s="48"/>
      <c r="M566" s="48"/>
      <c r="N566" s="48"/>
      <c r="O566" s="48"/>
      <c r="P566" s="48"/>
      <c r="Q566" s="48"/>
      <c r="R566" s="48"/>
      <c r="S566" s="48"/>
      <c r="T566" s="48"/>
      <c r="U566" s="48"/>
      <c r="V566" s="48"/>
      <c r="W566" s="48"/>
      <c r="X566" s="48"/>
      <c r="Y566" s="48"/>
      <c r="Z566" s="48"/>
      <c r="AA566" s="48"/>
      <c r="AB566" s="48"/>
      <c r="AC566" s="48"/>
    </row>
    <row r="567" spans="1:29" ht="15.75" customHeight="1">
      <c r="A567" s="48"/>
      <c r="B567" s="48"/>
      <c r="C567" s="48"/>
      <c r="D567" s="48"/>
      <c r="E567" s="48"/>
      <c r="F567" s="48"/>
      <c r="G567" s="49"/>
      <c r="H567" s="48"/>
      <c r="I567" s="48"/>
      <c r="J567" s="48"/>
      <c r="K567" s="48"/>
      <c r="L567" s="48"/>
      <c r="M567" s="48"/>
      <c r="N567" s="48"/>
      <c r="O567" s="48"/>
      <c r="P567" s="48"/>
      <c r="Q567" s="48"/>
      <c r="R567" s="48"/>
      <c r="S567" s="48"/>
      <c r="T567" s="48"/>
      <c r="U567" s="48"/>
      <c r="V567" s="48"/>
      <c r="W567" s="48"/>
      <c r="X567" s="48"/>
      <c r="Y567" s="48"/>
      <c r="Z567" s="48"/>
      <c r="AA567" s="48"/>
      <c r="AB567" s="48"/>
      <c r="AC567" s="48"/>
    </row>
    <row r="568" spans="1:29" ht="15.75" customHeight="1">
      <c r="A568" s="48"/>
      <c r="B568" s="48"/>
      <c r="C568" s="48"/>
      <c r="D568" s="48"/>
      <c r="E568" s="48"/>
      <c r="F568" s="48"/>
      <c r="G568" s="49"/>
      <c r="H568" s="48"/>
      <c r="I568" s="48"/>
      <c r="J568" s="48"/>
      <c r="K568" s="48"/>
      <c r="L568" s="48"/>
      <c r="M568" s="48"/>
      <c r="N568" s="48"/>
      <c r="O568" s="48"/>
      <c r="P568" s="48"/>
      <c r="Q568" s="48"/>
      <c r="R568" s="48"/>
      <c r="S568" s="48"/>
      <c r="T568" s="48"/>
      <c r="U568" s="48"/>
      <c r="V568" s="48"/>
      <c r="W568" s="48"/>
      <c r="X568" s="48"/>
      <c r="Y568" s="48"/>
      <c r="Z568" s="48"/>
      <c r="AA568" s="48"/>
      <c r="AB568" s="48"/>
      <c r="AC568" s="48"/>
    </row>
    <row r="569" spans="1:29" ht="15.75" customHeight="1">
      <c r="A569" s="48"/>
      <c r="B569" s="48"/>
      <c r="C569" s="48"/>
      <c r="D569" s="48"/>
      <c r="E569" s="48"/>
      <c r="F569" s="48"/>
      <c r="G569" s="49"/>
      <c r="H569" s="48"/>
      <c r="I569" s="48"/>
      <c r="J569" s="48"/>
      <c r="K569" s="48"/>
      <c r="L569" s="48"/>
      <c r="M569" s="48"/>
      <c r="N569" s="48"/>
      <c r="O569" s="48"/>
      <c r="P569" s="48"/>
      <c r="Q569" s="48"/>
      <c r="R569" s="48"/>
      <c r="S569" s="48"/>
      <c r="T569" s="48"/>
      <c r="U569" s="48"/>
      <c r="V569" s="48"/>
      <c r="W569" s="48"/>
      <c r="X569" s="48"/>
      <c r="Y569" s="48"/>
      <c r="Z569" s="48"/>
      <c r="AA569" s="48"/>
      <c r="AB569" s="48"/>
      <c r="AC569" s="48"/>
    </row>
    <row r="570" spans="1:29" ht="15.75" customHeight="1">
      <c r="A570" s="48"/>
      <c r="B570" s="48"/>
      <c r="C570" s="48"/>
      <c r="D570" s="48"/>
      <c r="E570" s="48"/>
      <c r="F570" s="48"/>
      <c r="G570" s="49"/>
      <c r="H570" s="48"/>
      <c r="I570" s="48"/>
      <c r="J570" s="48"/>
      <c r="K570" s="48"/>
      <c r="L570" s="48"/>
      <c r="M570" s="48"/>
      <c r="N570" s="48"/>
      <c r="O570" s="48"/>
      <c r="P570" s="48"/>
      <c r="Q570" s="48"/>
      <c r="R570" s="48"/>
      <c r="S570" s="48"/>
      <c r="T570" s="48"/>
      <c r="U570" s="48"/>
      <c r="V570" s="48"/>
      <c r="W570" s="48"/>
      <c r="X570" s="48"/>
      <c r="Y570" s="48"/>
      <c r="Z570" s="48"/>
      <c r="AA570" s="48"/>
      <c r="AB570" s="48"/>
      <c r="AC570" s="48"/>
    </row>
    <row r="571" spans="1:29" ht="15.75" customHeight="1">
      <c r="A571" s="48"/>
      <c r="B571" s="48"/>
      <c r="C571" s="48"/>
      <c r="D571" s="48"/>
      <c r="E571" s="48"/>
      <c r="F571" s="48"/>
      <c r="G571" s="49"/>
      <c r="H571" s="48"/>
      <c r="I571" s="48"/>
      <c r="J571" s="48"/>
      <c r="K571" s="48"/>
      <c r="L571" s="48"/>
      <c r="M571" s="48"/>
      <c r="N571" s="48"/>
      <c r="O571" s="48"/>
      <c r="P571" s="48"/>
      <c r="Q571" s="48"/>
      <c r="R571" s="48"/>
      <c r="S571" s="48"/>
      <c r="T571" s="48"/>
      <c r="U571" s="48"/>
      <c r="V571" s="48"/>
      <c r="W571" s="48"/>
      <c r="X571" s="48"/>
      <c r="Y571" s="48"/>
      <c r="Z571" s="48"/>
      <c r="AA571" s="48"/>
      <c r="AB571" s="48"/>
      <c r="AC571" s="48"/>
    </row>
    <row r="572" spans="1:29" ht="15.75" customHeight="1">
      <c r="A572" s="48"/>
      <c r="B572" s="48"/>
      <c r="C572" s="48"/>
      <c r="D572" s="48"/>
      <c r="E572" s="48"/>
      <c r="F572" s="48"/>
      <c r="G572" s="49"/>
      <c r="H572" s="48"/>
      <c r="I572" s="48"/>
      <c r="J572" s="48"/>
      <c r="K572" s="48"/>
      <c r="L572" s="48"/>
      <c r="M572" s="48"/>
      <c r="N572" s="48"/>
      <c r="O572" s="48"/>
      <c r="P572" s="48"/>
      <c r="Q572" s="48"/>
      <c r="R572" s="48"/>
      <c r="S572" s="48"/>
      <c r="T572" s="48"/>
      <c r="U572" s="48"/>
      <c r="V572" s="48"/>
      <c r="W572" s="48"/>
      <c r="X572" s="48"/>
      <c r="Y572" s="48"/>
      <c r="Z572" s="48"/>
      <c r="AA572" s="48"/>
      <c r="AB572" s="48"/>
      <c r="AC572" s="48"/>
    </row>
    <row r="573" spans="1:29" ht="15.75" customHeight="1">
      <c r="A573" s="48"/>
      <c r="B573" s="48"/>
      <c r="C573" s="48"/>
      <c r="D573" s="48"/>
      <c r="E573" s="48"/>
      <c r="F573" s="48"/>
      <c r="G573" s="49"/>
      <c r="H573" s="48"/>
      <c r="I573" s="48"/>
      <c r="J573" s="48"/>
      <c r="K573" s="48"/>
      <c r="L573" s="48"/>
      <c r="M573" s="48"/>
      <c r="N573" s="48"/>
      <c r="O573" s="48"/>
      <c r="P573" s="48"/>
      <c r="Q573" s="48"/>
      <c r="R573" s="48"/>
      <c r="S573" s="48"/>
      <c r="T573" s="48"/>
      <c r="U573" s="48"/>
      <c r="V573" s="48"/>
      <c r="W573" s="48"/>
      <c r="X573" s="48"/>
      <c r="Y573" s="48"/>
      <c r="Z573" s="48"/>
      <c r="AA573" s="48"/>
      <c r="AB573" s="48"/>
      <c r="AC573" s="48"/>
    </row>
    <row r="574" spans="1:29" ht="15.75" customHeight="1">
      <c r="A574" s="48"/>
      <c r="B574" s="48"/>
      <c r="C574" s="48"/>
      <c r="D574" s="48"/>
      <c r="E574" s="48"/>
      <c r="F574" s="48"/>
      <c r="G574" s="49"/>
      <c r="H574" s="48"/>
      <c r="I574" s="48"/>
      <c r="J574" s="48"/>
      <c r="K574" s="48"/>
      <c r="L574" s="48"/>
      <c r="M574" s="48"/>
      <c r="N574" s="48"/>
      <c r="O574" s="48"/>
      <c r="P574" s="48"/>
      <c r="Q574" s="48"/>
      <c r="R574" s="48"/>
      <c r="S574" s="48"/>
      <c r="T574" s="48"/>
      <c r="U574" s="48"/>
      <c r="V574" s="48"/>
      <c r="W574" s="48"/>
      <c r="X574" s="48"/>
      <c r="Y574" s="48"/>
      <c r="Z574" s="48"/>
      <c r="AA574" s="48"/>
      <c r="AB574" s="48"/>
      <c r="AC574" s="48"/>
    </row>
    <row r="575" spans="1:29" ht="15.75" customHeight="1">
      <c r="A575" s="48"/>
      <c r="B575" s="48"/>
      <c r="C575" s="48"/>
      <c r="D575" s="48"/>
      <c r="E575" s="48"/>
      <c r="F575" s="48"/>
      <c r="G575" s="49"/>
      <c r="H575" s="48"/>
      <c r="I575" s="48"/>
      <c r="J575" s="48"/>
      <c r="K575" s="48"/>
      <c r="L575" s="48"/>
      <c r="M575" s="48"/>
      <c r="N575" s="48"/>
      <c r="O575" s="48"/>
      <c r="P575" s="48"/>
      <c r="Q575" s="48"/>
      <c r="R575" s="48"/>
      <c r="S575" s="48"/>
      <c r="T575" s="48"/>
      <c r="U575" s="48"/>
      <c r="V575" s="48"/>
      <c r="W575" s="48"/>
      <c r="X575" s="48"/>
      <c r="Y575" s="48"/>
      <c r="Z575" s="48"/>
      <c r="AA575" s="48"/>
      <c r="AB575" s="48"/>
      <c r="AC575" s="48"/>
    </row>
    <row r="576" spans="1:29" ht="15.75" customHeight="1">
      <c r="A576" s="48"/>
      <c r="B576" s="48"/>
      <c r="C576" s="48"/>
      <c r="D576" s="48"/>
      <c r="E576" s="48"/>
      <c r="F576" s="48"/>
      <c r="G576" s="49"/>
      <c r="H576" s="48"/>
      <c r="I576" s="48"/>
      <c r="J576" s="48"/>
      <c r="K576" s="48"/>
      <c r="L576" s="48"/>
      <c r="M576" s="48"/>
      <c r="N576" s="48"/>
      <c r="O576" s="48"/>
      <c r="P576" s="48"/>
      <c r="Q576" s="48"/>
      <c r="R576" s="48"/>
      <c r="S576" s="48"/>
      <c r="T576" s="48"/>
      <c r="U576" s="48"/>
      <c r="V576" s="48"/>
      <c r="W576" s="48"/>
      <c r="X576" s="48"/>
      <c r="Y576" s="48"/>
      <c r="Z576" s="48"/>
      <c r="AA576" s="48"/>
      <c r="AB576" s="48"/>
      <c r="AC576" s="48"/>
    </row>
    <row r="577" spans="1:29" ht="15.75" customHeight="1">
      <c r="A577" s="48"/>
      <c r="B577" s="48"/>
      <c r="C577" s="48"/>
      <c r="D577" s="48"/>
      <c r="E577" s="48"/>
      <c r="F577" s="48"/>
      <c r="G577" s="49"/>
      <c r="H577" s="48"/>
      <c r="I577" s="48"/>
      <c r="J577" s="48"/>
      <c r="K577" s="48"/>
      <c r="L577" s="48"/>
      <c r="M577" s="48"/>
      <c r="N577" s="48"/>
      <c r="O577" s="48"/>
      <c r="P577" s="48"/>
      <c r="Q577" s="48"/>
      <c r="R577" s="48"/>
      <c r="S577" s="48"/>
      <c r="T577" s="48"/>
      <c r="U577" s="48"/>
      <c r="V577" s="48"/>
      <c r="W577" s="48"/>
      <c r="X577" s="48"/>
      <c r="Y577" s="48"/>
      <c r="Z577" s="48"/>
      <c r="AA577" s="48"/>
      <c r="AB577" s="48"/>
      <c r="AC577" s="48"/>
    </row>
    <row r="578" spans="1:29" ht="15.75" customHeight="1">
      <c r="A578" s="48"/>
      <c r="B578" s="48"/>
      <c r="C578" s="48"/>
      <c r="D578" s="48"/>
      <c r="E578" s="48"/>
      <c r="F578" s="48"/>
      <c r="G578" s="49"/>
      <c r="H578" s="48"/>
      <c r="I578" s="48"/>
      <c r="J578" s="48"/>
      <c r="K578" s="48"/>
      <c r="L578" s="48"/>
      <c r="M578" s="48"/>
      <c r="N578" s="48"/>
      <c r="O578" s="48"/>
      <c r="P578" s="48"/>
      <c r="Q578" s="48"/>
      <c r="R578" s="48"/>
      <c r="S578" s="48"/>
      <c r="T578" s="48"/>
      <c r="U578" s="48"/>
      <c r="V578" s="48"/>
      <c r="W578" s="48"/>
      <c r="X578" s="48"/>
      <c r="Y578" s="48"/>
      <c r="Z578" s="48"/>
      <c r="AA578" s="48"/>
      <c r="AB578" s="48"/>
      <c r="AC578" s="48"/>
    </row>
    <row r="579" spans="1:29" ht="15.75" customHeight="1">
      <c r="A579" s="48"/>
      <c r="B579" s="48"/>
      <c r="C579" s="48"/>
      <c r="D579" s="48"/>
      <c r="E579" s="48"/>
      <c r="F579" s="48"/>
      <c r="G579" s="321"/>
      <c r="H579" s="48"/>
      <c r="I579" s="48"/>
      <c r="J579" s="48"/>
      <c r="K579" s="48"/>
      <c r="L579" s="48"/>
      <c r="M579" s="48"/>
      <c r="N579" s="48"/>
      <c r="O579" s="48"/>
      <c r="P579" s="48"/>
      <c r="Q579" s="48"/>
      <c r="R579" s="48"/>
      <c r="S579" s="48"/>
      <c r="T579" s="48"/>
      <c r="U579" s="48"/>
      <c r="V579" s="48"/>
      <c r="W579" s="48"/>
      <c r="X579" s="48"/>
      <c r="Y579" s="48"/>
      <c r="Z579" s="48"/>
      <c r="AA579" s="48"/>
      <c r="AB579" s="48"/>
      <c r="AC579" s="48"/>
    </row>
    <row r="580" spans="1:29" ht="15.75" customHeight="1">
      <c r="A580" s="316"/>
      <c r="B580" s="316"/>
      <c r="C580" s="316"/>
      <c r="D580" s="316"/>
      <c r="E580" s="316"/>
      <c r="F580" s="316"/>
      <c r="G580" s="321"/>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6"/>
    </row>
    <row r="581" spans="1:29" ht="15.75" customHeight="1">
      <c r="A581" s="316"/>
      <c r="B581" s="316"/>
      <c r="C581" s="316"/>
      <c r="D581" s="316"/>
      <c r="E581" s="316"/>
      <c r="F581" s="316"/>
      <c r="G581" s="321"/>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6"/>
    </row>
    <row r="582" spans="1:29" ht="15.75" customHeight="1">
      <c r="A582" s="316"/>
      <c r="B582" s="316"/>
      <c r="C582" s="316"/>
      <c r="D582" s="316"/>
      <c r="E582" s="316"/>
      <c r="F582" s="316"/>
      <c r="G582" s="321"/>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6"/>
    </row>
    <row r="583" spans="1:29" ht="15.75" customHeight="1">
      <c r="A583" s="316"/>
      <c r="B583" s="316"/>
      <c r="C583" s="316"/>
      <c r="D583" s="316"/>
      <c r="E583" s="316"/>
      <c r="F583" s="316"/>
      <c r="G583" s="321"/>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6"/>
    </row>
    <row r="584" spans="1:29" ht="15.75" customHeight="1">
      <c r="A584" s="316"/>
      <c r="B584" s="316"/>
      <c r="C584" s="316"/>
      <c r="D584" s="316"/>
      <c r="E584" s="316"/>
      <c r="F584" s="316"/>
      <c r="G584" s="321"/>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6"/>
    </row>
    <row r="585" spans="1:29" ht="15.75" customHeight="1">
      <c r="A585" s="316"/>
      <c r="B585" s="316"/>
      <c r="C585" s="316"/>
      <c r="D585" s="316"/>
      <c r="E585" s="316"/>
      <c r="F585" s="316"/>
      <c r="G585" s="321"/>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6"/>
    </row>
    <row r="586" spans="1:29" ht="15.75" customHeight="1">
      <c r="A586" s="316"/>
      <c r="B586" s="316"/>
      <c r="C586" s="316"/>
      <c r="D586" s="316"/>
      <c r="E586" s="316"/>
      <c r="F586" s="316"/>
      <c r="G586" s="321"/>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6"/>
    </row>
    <row r="587" spans="1:29" ht="15.75" customHeight="1">
      <c r="A587" s="316"/>
      <c r="B587" s="316"/>
      <c r="C587" s="316"/>
      <c r="D587" s="316"/>
      <c r="E587" s="316"/>
      <c r="F587" s="316"/>
      <c r="G587" s="321"/>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6"/>
    </row>
    <row r="588" spans="1:29" ht="15.75" customHeight="1">
      <c r="A588" s="316"/>
      <c r="B588" s="316"/>
      <c r="C588" s="316"/>
      <c r="D588" s="316"/>
      <c r="E588" s="316"/>
      <c r="F588" s="316"/>
      <c r="G588" s="321"/>
      <c r="H588" s="316"/>
      <c r="I588" s="316"/>
      <c r="J588" s="316"/>
      <c r="K588" s="316"/>
      <c r="L588" s="316"/>
      <c r="M588" s="316"/>
      <c r="N588" s="316"/>
      <c r="O588" s="316"/>
      <c r="P588" s="316"/>
      <c r="Q588" s="316"/>
      <c r="R588" s="316"/>
      <c r="S588" s="316"/>
      <c r="T588" s="316"/>
      <c r="U588" s="316"/>
      <c r="V588" s="316"/>
      <c r="W588" s="316"/>
      <c r="X588" s="316"/>
      <c r="Y588" s="316"/>
      <c r="Z588" s="316"/>
      <c r="AA588" s="316"/>
      <c r="AB588" s="316"/>
      <c r="AC588" s="316"/>
    </row>
    <row r="589" spans="1:29" ht="15.75" customHeight="1">
      <c r="A589" s="316"/>
      <c r="B589" s="316"/>
      <c r="C589" s="316"/>
      <c r="D589" s="316"/>
      <c r="E589" s="316"/>
      <c r="F589" s="316"/>
      <c r="G589" s="321"/>
      <c r="H589" s="316"/>
      <c r="I589" s="316"/>
      <c r="J589" s="316"/>
      <c r="K589" s="316"/>
      <c r="L589" s="316"/>
      <c r="M589" s="316"/>
      <c r="N589" s="316"/>
      <c r="O589" s="316"/>
      <c r="P589" s="316"/>
      <c r="Q589" s="316"/>
      <c r="R589" s="316"/>
      <c r="S589" s="316"/>
      <c r="T589" s="316"/>
      <c r="U589" s="316"/>
      <c r="V589" s="316"/>
      <c r="W589" s="316"/>
      <c r="X589" s="316"/>
      <c r="Y589" s="316"/>
      <c r="Z589" s="316"/>
      <c r="AA589" s="316"/>
      <c r="AB589" s="316"/>
      <c r="AC589" s="316"/>
    </row>
    <row r="590" spans="1:29" ht="15.75" customHeight="1">
      <c r="A590" s="316"/>
      <c r="B590" s="316"/>
      <c r="C590" s="316"/>
      <c r="D590" s="316"/>
      <c r="E590" s="316"/>
      <c r="F590" s="316"/>
      <c r="G590" s="321"/>
      <c r="H590" s="316"/>
      <c r="I590" s="316"/>
      <c r="J590" s="316"/>
      <c r="K590" s="316"/>
      <c r="L590" s="316"/>
      <c r="M590" s="316"/>
      <c r="N590" s="316"/>
      <c r="O590" s="316"/>
      <c r="P590" s="316"/>
      <c r="Q590" s="316"/>
      <c r="R590" s="316"/>
      <c r="S590" s="316"/>
      <c r="T590" s="316"/>
      <c r="U590" s="316"/>
      <c r="V590" s="316"/>
      <c r="W590" s="316"/>
      <c r="X590" s="316"/>
      <c r="Y590" s="316"/>
      <c r="Z590" s="316"/>
      <c r="AA590" s="316"/>
      <c r="AB590" s="316"/>
      <c r="AC590" s="316"/>
    </row>
    <row r="591" spans="1:29" ht="15.75" customHeight="1">
      <c r="A591" s="316"/>
      <c r="B591" s="316"/>
      <c r="C591" s="316"/>
      <c r="D591" s="316"/>
      <c r="E591" s="316"/>
      <c r="F591" s="316"/>
      <c r="G591" s="321"/>
      <c r="H591" s="316"/>
      <c r="I591" s="316"/>
      <c r="J591" s="316"/>
      <c r="K591" s="316"/>
      <c r="L591" s="316"/>
      <c r="M591" s="316"/>
      <c r="N591" s="316"/>
      <c r="O591" s="316"/>
      <c r="P591" s="316"/>
      <c r="Q591" s="316"/>
      <c r="R591" s="316"/>
      <c r="S591" s="316"/>
      <c r="T591" s="316"/>
      <c r="U591" s="316"/>
      <c r="V591" s="316"/>
      <c r="W591" s="316"/>
      <c r="X591" s="316"/>
      <c r="Y591" s="316"/>
      <c r="Z591" s="316"/>
      <c r="AA591" s="316"/>
      <c r="AB591" s="316"/>
      <c r="AC591" s="316"/>
    </row>
    <row r="592" spans="1:29" ht="15.75" customHeight="1">
      <c r="A592" s="316"/>
      <c r="B592" s="316"/>
      <c r="C592" s="316"/>
      <c r="D592" s="316"/>
      <c r="E592" s="316"/>
      <c r="F592" s="316"/>
      <c r="G592" s="321"/>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6"/>
    </row>
    <row r="593" spans="1:29" ht="15.75" customHeight="1">
      <c r="A593" s="316"/>
      <c r="B593" s="316"/>
      <c r="C593" s="316"/>
      <c r="D593" s="316"/>
      <c r="E593" s="316"/>
      <c r="F593" s="316"/>
      <c r="G593" s="321"/>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6"/>
    </row>
    <row r="594" spans="1:29" ht="15.75" customHeight="1">
      <c r="A594" s="316"/>
      <c r="B594" s="316"/>
      <c r="C594" s="316"/>
      <c r="D594" s="316"/>
      <c r="E594" s="316"/>
      <c r="F594" s="316"/>
      <c r="G594" s="321"/>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row>
    <row r="595" spans="1:29" ht="15.75" customHeight="1">
      <c r="A595" s="316"/>
      <c r="B595" s="316"/>
      <c r="C595" s="316"/>
      <c r="D595" s="316"/>
      <c r="E595" s="316"/>
      <c r="F595" s="316"/>
      <c r="G595" s="321"/>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6"/>
    </row>
    <row r="596" spans="1:29" ht="15.75" customHeight="1">
      <c r="A596" s="316"/>
      <c r="B596" s="316"/>
      <c r="C596" s="316"/>
      <c r="D596" s="316"/>
      <c r="E596" s="316"/>
      <c r="F596" s="316"/>
      <c r="G596" s="321"/>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6"/>
    </row>
    <row r="597" spans="1:29" ht="15.75" customHeight="1">
      <c r="A597" s="316"/>
      <c r="B597" s="316"/>
      <c r="C597" s="316"/>
      <c r="D597" s="316"/>
      <c r="E597" s="316"/>
      <c r="F597" s="316"/>
      <c r="G597" s="321"/>
      <c r="H597" s="316"/>
      <c r="I597" s="316"/>
      <c r="J597" s="316"/>
      <c r="K597" s="316"/>
      <c r="L597" s="316"/>
      <c r="M597" s="316"/>
      <c r="N597" s="316"/>
      <c r="O597" s="316"/>
      <c r="P597" s="316"/>
      <c r="Q597" s="316"/>
      <c r="R597" s="316"/>
      <c r="S597" s="316"/>
      <c r="T597" s="316"/>
      <c r="U597" s="316"/>
      <c r="V597" s="316"/>
      <c r="W597" s="316"/>
      <c r="X597" s="316"/>
      <c r="Y597" s="316"/>
      <c r="Z597" s="316"/>
      <c r="AA597" s="316"/>
      <c r="AB597" s="316"/>
      <c r="AC597" s="316"/>
    </row>
    <row r="598" spans="1:29" ht="15.75" customHeight="1">
      <c r="A598" s="316"/>
      <c r="B598" s="316"/>
      <c r="C598" s="316"/>
      <c r="D598" s="316"/>
      <c r="E598" s="316"/>
      <c r="F598" s="316"/>
      <c r="G598" s="321"/>
      <c r="H598" s="316"/>
      <c r="I598" s="316"/>
      <c r="J598" s="316"/>
      <c r="K598" s="316"/>
      <c r="L598" s="316"/>
      <c r="M598" s="316"/>
      <c r="N598" s="316"/>
      <c r="O598" s="316"/>
      <c r="P598" s="316"/>
      <c r="Q598" s="316"/>
      <c r="R598" s="316"/>
      <c r="S598" s="316"/>
      <c r="T598" s="316"/>
      <c r="U598" s="316"/>
      <c r="V598" s="316"/>
      <c r="W598" s="316"/>
      <c r="X598" s="316"/>
      <c r="Y598" s="316"/>
      <c r="Z598" s="316"/>
      <c r="AA598" s="316"/>
      <c r="AB598" s="316"/>
      <c r="AC598" s="316"/>
    </row>
    <row r="599" spans="1:29" ht="15.75" customHeight="1">
      <c r="A599" s="316"/>
      <c r="B599" s="316"/>
      <c r="C599" s="316"/>
      <c r="D599" s="316"/>
      <c r="E599" s="316"/>
      <c r="F599" s="316"/>
      <c r="G599" s="321"/>
      <c r="H599" s="316"/>
      <c r="I599" s="316"/>
      <c r="J599" s="316"/>
      <c r="K599" s="316"/>
      <c r="L599" s="316"/>
      <c r="M599" s="316"/>
      <c r="N599" s="316"/>
      <c r="O599" s="316"/>
      <c r="P599" s="316"/>
      <c r="Q599" s="316"/>
      <c r="R599" s="316"/>
      <c r="S599" s="316"/>
      <c r="T599" s="316"/>
      <c r="U599" s="316"/>
      <c r="V599" s="316"/>
      <c r="W599" s="316"/>
      <c r="X599" s="316"/>
      <c r="Y599" s="316"/>
      <c r="Z599" s="316"/>
      <c r="AA599" s="316"/>
      <c r="AB599" s="316"/>
      <c r="AC599" s="316"/>
    </row>
    <row r="600" spans="1:29" ht="15.75" customHeight="1">
      <c r="A600" s="316"/>
      <c r="B600" s="316"/>
      <c r="C600" s="316"/>
      <c r="D600" s="316"/>
      <c r="E600" s="316"/>
      <c r="F600" s="316"/>
      <c r="G600" s="321"/>
      <c r="H600" s="316"/>
      <c r="I600" s="316"/>
      <c r="J600" s="316"/>
      <c r="K600" s="316"/>
      <c r="L600" s="316"/>
      <c r="M600" s="316"/>
      <c r="N600" s="316"/>
      <c r="O600" s="316"/>
      <c r="P600" s="316"/>
      <c r="Q600" s="316"/>
      <c r="R600" s="316"/>
      <c r="S600" s="316"/>
      <c r="T600" s="316"/>
      <c r="U600" s="316"/>
      <c r="V600" s="316"/>
      <c r="W600" s="316"/>
      <c r="X600" s="316"/>
      <c r="Y600" s="316"/>
      <c r="Z600" s="316"/>
      <c r="AA600" s="316"/>
      <c r="AB600" s="316"/>
      <c r="AC600" s="316"/>
    </row>
    <row r="601" spans="1:29" ht="15.75" customHeight="1">
      <c r="A601" s="316"/>
      <c r="B601" s="316"/>
      <c r="C601" s="316"/>
      <c r="D601" s="316"/>
      <c r="E601" s="316"/>
      <c r="F601" s="316"/>
      <c r="G601" s="321"/>
      <c r="H601" s="316"/>
      <c r="I601" s="316"/>
      <c r="J601" s="316"/>
      <c r="K601" s="316"/>
      <c r="L601" s="316"/>
      <c r="M601" s="316"/>
      <c r="N601" s="316"/>
      <c r="O601" s="316"/>
      <c r="P601" s="316"/>
      <c r="Q601" s="316"/>
      <c r="R601" s="316"/>
      <c r="S601" s="316"/>
      <c r="T601" s="316"/>
      <c r="U601" s="316"/>
      <c r="V601" s="316"/>
      <c r="W601" s="316"/>
      <c r="X601" s="316"/>
      <c r="Y601" s="316"/>
      <c r="Z601" s="316"/>
      <c r="AA601" s="316"/>
      <c r="AB601" s="316"/>
      <c r="AC601" s="316"/>
    </row>
    <row r="602" spans="1:29" ht="15.75" customHeight="1">
      <c r="A602" s="316"/>
      <c r="B602" s="316"/>
      <c r="C602" s="316"/>
      <c r="D602" s="316"/>
      <c r="E602" s="316"/>
      <c r="F602" s="316"/>
      <c r="G602" s="321"/>
      <c r="H602" s="316"/>
      <c r="I602" s="316"/>
      <c r="J602" s="316"/>
      <c r="K602" s="316"/>
      <c r="L602" s="316"/>
      <c r="M602" s="316"/>
      <c r="N602" s="316"/>
      <c r="O602" s="316"/>
      <c r="P602" s="316"/>
      <c r="Q602" s="316"/>
      <c r="R602" s="316"/>
      <c r="S602" s="316"/>
      <c r="T602" s="316"/>
      <c r="U602" s="316"/>
      <c r="V602" s="316"/>
      <c r="W602" s="316"/>
      <c r="X602" s="316"/>
      <c r="Y602" s="316"/>
      <c r="Z602" s="316"/>
      <c r="AA602" s="316"/>
      <c r="AB602" s="316"/>
      <c r="AC602" s="316"/>
    </row>
    <row r="603" spans="1:29" ht="15.75" customHeight="1">
      <c r="A603" s="316"/>
      <c r="B603" s="316"/>
      <c r="C603" s="316"/>
      <c r="D603" s="316"/>
      <c r="E603" s="316"/>
      <c r="F603" s="316"/>
      <c r="G603" s="321"/>
      <c r="H603" s="316"/>
      <c r="I603" s="316"/>
      <c r="J603" s="316"/>
      <c r="K603" s="316"/>
      <c r="L603" s="316"/>
      <c r="M603" s="316"/>
      <c r="N603" s="316"/>
      <c r="O603" s="316"/>
      <c r="P603" s="316"/>
      <c r="Q603" s="316"/>
      <c r="R603" s="316"/>
      <c r="S603" s="316"/>
      <c r="T603" s="316"/>
      <c r="U603" s="316"/>
      <c r="V603" s="316"/>
      <c r="W603" s="316"/>
      <c r="X603" s="316"/>
      <c r="Y603" s="316"/>
      <c r="Z603" s="316"/>
      <c r="AA603" s="316"/>
      <c r="AB603" s="316"/>
      <c r="AC603" s="316"/>
    </row>
    <row r="604" spans="1:29" ht="15.75" customHeight="1">
      <c r="A604" s="316"/>
      <c r="B604" s="316"/>
      <c r="C604" s="316"/>
      <c r="D604" s="316"/>
      <c r="E604" s="316"/>
      <c r="F604" s="316"/>
      <c r="G604" s="321"/>
      <c r="H604" s="316"/>
      <c r="I604" s="316"/>
      <c r="J604" s="316"/>
      <c r="K604" s="316"/>
      <c r="L604" s="316"/>
      <c r="M604" s="316"/>
      <c r="N604" s="316"/>
      <c r="O604" s="316"/>
      <c r="P604" s="316"/>
      <c r="Q604" s="316"/>
      <c r="R604" s="316"/>
      <c r="S604" s="316"/>
      <c r="T604" s="316"/>
      <c r="U604" s="316"/>
      <c r="V604" s="316"/>
      <c r="W604" s="316"/>
      <c r="X604" s="316"/>
      <c r="Y604" s="316"/>
      <c r="Z604" s="316"/>
      <c r="AA604" s="316"/>
      <c r="AB604" s="316"/>
      <c r="AC604" s="316"/>
    </row>
    <row r="605" spans="1:29" ht="15.75" customHeight="1">
      <c r="A605" s="316"/>
      <c r="B605" s="316"/>
      <c r="C605" s="316"/>
      <c r="D605" s="316"/>
      <c r="E605" s="316"/>
      <c r="F605" s="316"/>
      <c r="G605" s="321"/>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6"/>
    </row>
    <row r="606" spans="1:29" ht="15.75" customHeight="1">
      <c r="A606" s="316"/>
      <c r="B606" s="316"/>
      <c r="C606" s="316"/>
      <c r="D606" s="316"/>
      <c r="E606" s="316"/>
      <c r="F606" s="316"/>
      <c r="G606" s="321"/>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6"/>
    </row>
    <row r="607" spans="1:29" ht="15.75" customHeight="1">
      <c r="A607" s="316"/>
      <c r="B607" s="316"/>
      <c r="C607" s="316"/>
      <c r="D607" s="316"/>
      <c r="E607" s="316"/>
      <c r="F607" s="316"/>
      <c r="G607" s="321"/>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6"/>
    </row>
    <row r="608" spans="1:29" ht="15.75" customHeight="1">
      <c r="A608" s="316"/>
      <c r="B608" s="316"/>
      <c r="C608" s="316"/>
      <c r="D608" s="316"/>
      <c r="E608" s="316"/>
      <c r="F608" s="316"/>
      <c r="G608" s="321"/>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6"/>
    </row>
    <row r="609" spans="1:29" ht="15.75" customHeight="1">
      <c r="A609" s="316"/>
      <c r="B609" s="316"/>
      <c r="C609" s="316"/>
      <c r="D609" s="316"/>
      <c r="E609" s="316"/>
      <c r="F609" s="316"/>
      <c r="G609" s="321"/>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6"/>
    </row>
    <row r="610" spans="1:29" ht="15.75" customHeight="1">
      <c r="A610" s="316"/>
      <c r="B610" s="316"/>
      <c r="C610" s="316"/>
      <c r="D610" s="316"/>
      <c r="E610" s="316"/>
      <c r="F610" s="316"/>
      <c r="G610" s="321"/>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6"/>
    </row>
    <row r="611" spans="1:29" ht="15.75" customHeight="1">
      <c r="A611" s="316"/>
      <c r="B611" s="316"/>
      <c r="C611" s="316"/>
      <c r="D611" s="316"/>
      <c r="E611" s="316"/>
      <c r="F611" s="316"/>
      <c r="G611" s="321"/>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6"/>
    </row>
    <row r="612" spans="1:29" ht="15.75" customHeight="1">
      <c r="A612" s="316"/>
      <c r="B612" s="316"/>
      <c r="C612" s="316"/>
      <c r="D612" s="316"/>
      <c r="E612" s="316"/>
      <c r="F612" s="316"/>
      <c r="G612" s="321"/>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6"/>
    </row>
    <row r="613" spans="1:29" ht="15.75" customHeight="1">
      <c r="A613" s="316"/>
      <c r="B613" s="316"/>
      <c r="C613" s="316"/>
      <c r="D613" s="316"/>
      <c r="E613" s="316"/>
      <c r="F613" s="316"/>
      <c r="G613" s="321"/>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6"/>
    </row>
    <row r="614" spans="1:29" ht="15.75" customHeight="1">
      <c r="A614" s="316"/>
      <c r="B614" s="316"/>
      <c r="C614" s="316"/>
      <c r="D614" s="316"/>
      <c r="E614" s="316"/>
      <c r="F614" s="316"/>
      <c r="G614" s="321"/>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6"/>
    </row>
    <row r="615" spans="1:29" ht="15.75" customHeight="1">
      <c r="A615" s="316"/>
      <c r="B615" s="316"/>
      <c r="C615" s="316"/>
      <c r="D615" s="316"/>
      <c r="E615" s="316"/>
      <c r="F615" s="316"/>
      <c r="G615" s="321"/>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6"/>
    </row>
    <row r="616" spans="1:29" ht="15.75" customHeight="1">
      <c r="A616" s="316"/>
      <c r="B616" s="316"/>
      <c r="C616" s="316"/>
      <c r="D616" s="316"/>
      <c r="E616" s="316"/>
      <c r="F616" s="316"/>
      <c r="G616" s="321"/>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6"/>
    </row>
    <row r="617" spans="1:29" ht="15.75" customHeight="1">
      <c r="A617" s="316"/>
      <c r="B617" s="316"/>
      <c r="C617" s="316"/>
      <c r="D617" s="316"/>
      <c r="E617" s="316"/>
      <c r="F617" s="316"/>
      <c r="G617" s="321"/>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6"/>
    </row>
    <row r="618" spans="1:29" ht="15.75" customHeight="1">
      <c r="A618" s="316"/>
      <c r="B618" s="316"/>
      <c r="C618" s="316"/>
      <c r="D618" s="316"/>
      <c r="E618" s="316"/>
      <c r="F618" s="316"/>
      <c r="G618" s="321"/>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6"/>
    </row>
    <row r="619" spans="1:29" ht="15.75" customHeight="1">
      <c r="A619" s="316"/>
      <c r="B619" s="316"/>
      <c r="C619" s="316"/>
      <c r="D619" s="316"/>
      <c r="E619" s="316"/>
      <c r="F619" s="316"/>
      <c r="G619" s="321"/>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6"/>
    </row>
    <row r="620" spans="1:29" ht="15.75" customHeight="1">
      <c r="A620" s="316"/>
      <c r="B620" s="316"/>
      <c r="C620" s="316"/>
      <c r="D620" s="316"/>
      <c r="E620" s="316"/>
      <c r="F620" s="316"/>
      <c r="G620" s="321"/>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6"/>
    </row>
    <row r="621" spans="1:29" ht="15.75" customHeight="1">
      <c r="A621" s="316"/>
      <c r="B621" s="316"/>
      <c r="C621" s="316"/>
      <c r="D621" s="316"/>
      <c r="E621" s="316"/>
      <c r="F621" s="316"/>
      <c r="G621" s="321"/>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6"/>
    </row>
    <row r="622" spans="1:29" ht="15.75" customHeight="1">
      <c r="A622" s="316"/>
      <c r="B622" s="316"/>
      <c r="C622" s="316"/>
      <c r="D622" s="316"/>
      <c r="E622" s="316"/>
      <c r="F622" s="316"/>
      <c r="G622" s="321"/>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6"/>
    </row>
    <row r="623" spans="1:29" ht="15.75" customHeight="1">
      <c r="A623" s="316"/>
      <c r="B623" s="316"/>
      <c r="C623" s="316"/>
      <c r="D623" s="316"/>
      <c r="E623" s="316"/>
      <c r="F623" s="316"/>
      <c r="G623" s="321"/>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6"/>
    </row>
    <row r="624" spans="1:29" ht="15.75" customHeight="1">
      <c r="A624" s="316"/>
      <c r="B624" s="316"/>
      <c r="C624" s="316"/>
      <c r="D624" s="316"/>
      <c r="E624" s="316"/>
      <c r="F624" s="316"/>
      <c r="G624" s="321"/>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6"/>
    </row>
    <row r="625" spans="1:29" ht="15.75" customHeight="1">
      <c r="A625" s="316"/>
      <c r="B625" s="316"/>
      <c r="C625" s="316"/>
      <c r="D625" s="316"/>
      <c r="E625" s="316"/>
      <c r="F625" s="316"/>
      <c r="G625" s="321"/>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6"/>
    </row>
    <row r="626" spans="1:29" ht="15.75" customHeight="1">
      <c r="A626" s="316"/>
      <c r="B626" s="316"/>
      <c r="C626" s="316"/>
      <c r="D626" s="316"/>
      <c r="E626" s="316"/>
      <c r="F626" s="316"/>
      <c r="G626" s="321"/>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6"/>
    </row>
    <row r="627" spans="1:29" ht="15.75" customHeight="1">
      <c r="A627" s="316"/>
      <c r="B627" s="316"/>
      <c r="C627" s="316"/>
      <c r="D627" s="316"/>
      <c r="E627" s="316"/>
      <c r="F627" s="316"/>
      <c r="G627" s="321"/>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6"/>
    </row>
    <row r="628" spans="1:29" ht="15.75" customHeight="1">
      <c r="A628" s="316"/>
      <c r="B628" s="316"/>
      <c r="C628" s="316"/>
      <c r="D628" s="316"/>
      <c r="E628" s="316"/>
      <c r="F628" s="316"/>
      <c r="G628" s="321"/>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6"/>
    </row>
    <row r="629" spans="1:29" ht="15.75" customHeight="1">
      <c r="A629" s="316"/>
      <c r="B629" s="316"/>
      <c r="C629" s="316"/>
      <c r="D629" s="316"/>
      <c r="E629" s="316"/>
      <c r="F629" s="316"/>
      <c r="G629" s="321"/>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6"/>
    </row>
    <row r="630" spans="1:29" ht="15.75" customHeight="1">
      <c r="A630" s="316"/>
      <c r="B630" s="316"/>
      <c r="C630" s="316"/>
      <c r="D630" s="316"/>
      <c r="E630" s="316"/>
      <c r="F630" s="316"/>
      <c r="G630" s="321"/>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6"/>
    </row>
    <row r="631" spans="1:29" ht="15.75" customHeight="1">
      <c r="A631" s="316"/>
      <c r="B631" s="316"/>
      <c r="C631" s="316"/>
      <c r="D631" s="316"/>
      <c r="E631" s="316"/>
      <c r="F631" s="316"/>
      <c r="G631" s="321"/>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6"/>
    </row>
    <row r="632" spans="1:29" ht="15.75" customHeight="1">
      <c r="A632" s="316"/>
      <c r="B632" s="316"/>
      <c r="C632" s="316"/>
      <c r="D632" s="316"/>
      <c r="E632" s="316"/>
      <c r="F632" s="316"/>
      <c r="G632" s="321"/>
      <c r="H632" s="316"/>
      <c r="I632" s="316"/>
      <c r="J632" s="316"/>
      <c r="K632" s="316"/>
      <c r="L632" s="316"/>
      <c r="M632" s="316"/>
      <c r="N632" s="316"/>
      <c r="O632" s="316"/>
      <c r="P632" s="316"/>
      <c r="Q632" s="316"/>
      <c r="R632" s="316"/>
      <c r="S632" s="316"/>
      <c r="T632" s="316"/>
      <c r="U632" s="316"/>
      <c r="V632" s="316"/>
      <c r="W632" s="316"/>
      <c r="X632" s="316"/>
      <c r="Y632" s="316"/>
      <c r="Z632" s="316"/>
      <c r="AA632" s="316"/>
      <c r="AB632" s="316"/>
      <c r="AC632" s="316"/>
    </row>
    <row r="633" spans="1:29" ht="15.75" customHeight="1">
      <c r="A633" s="316"/>
      <c r="B633" s="316"/>
      <c r="C633" s="316"/>
      <c r="D633" s="316"/>
      <c r="E633" s="316"/>
      <c r="F633" s="316"/>
      <c r="G633" s="321"/>
      <c r="H633" s="316"/>
      <c r="I633" s="316"/>
      <c r="J633" s="316"/>
      <c r="K633" s="316"/>
      <c r="L633" s="316"/>
      <c r="M633" s="316"/>
      <c r="N633" s="316"/>
      <c r="O633" s="316"/>
      <c r="P633" s="316"/>
      <c r="Q633" s="316"/>
      <c r="R633" s="316"/>
      <c r="S633" s="316"/>
      <c r="T633" s="316"/>
      <c r="U633" s="316"/>
      <c r="V633" s="316"/>
      <c r="W633" s="316"/>
      <c r="X633" s="316"/>
      <c r="Y633" s="316"/>
      <c r="Z633" s="316"/>
      <c r="AA633" s="316"/>
      <c r="AB633" s="316"/>
      <c r="AC633" s="316"/>
    </row>
    <row r="634" spans="1:29" ht="15.75" customHeight="1">
      <c r="A634" s="316"/>
      <c r="B634" s="316"/>
      <c r="C634" s="316"/>
      <c r="D634" s="316"/>
      <c r="E634" s="316"/>
      <c r="F634" s="316"/>
      <c r="G634" s="321"/>
      <c r="H634" s="316"/>
      <c r="I634" s="316"/>
      <c r="J634" s="316"/>
      <c r="K634" s="316"/>
      <c r="L634" s="316"/>
      <c r="M634" s="316"/>
      <c r="N634" s="316"/>
      <c r="O634" s="316"/>
      <c r="P634" s="316"/>
      <c r="Q634" s="316"/>
      <c r="R634" s="316"/>
      <c r="S634" s="316"/>
      <c r="T634" s="316"/>
      <c r="U634" s="316"/>
      <c r="V634" s="316"/>
      <c r="W634" s="316"/>
      <c r="X634" s="316"/>
      <c r="Y634" s="316"/>
      <c r="Z634" s="316"/>
      <c r="AA634" s="316"/>
      <c r="AB634" s="316"/>
      <c r="AC634" s="316"/>
    </row>
    <row r="635" spans="1:29" ht="15.75" customHeight="1">
      <c r="A635" s="316"/>
      <c r="B635" s="316"/>
      <c r="C635" s="316"/>
      <c r="D635" s="316"/>
      <c r="E635" s="316"/>
      <c r="F635" s="316"/>
      <c r="G635" s="321"/>
      <c r="H635" s="316"/>
      <c r="I635" s="316"/>
      <c r="J635" s="316"/>
      <c r="K635" s="316"/>
      <c r="L635" s="316"/>
      <c r="M635" s="316"/>
      <c r="N635" s="316"/>
      <c r="O635" s="316"/>
      <c r="P635" s="316"/>
      <c r="Q635" s="316"/>
      <c r="R635" s="316"/>
      <c r="S635" s="316"/>
      <c r="T635" s="316"/>
      <c r="U635" s="316"/>
      <c r="V635" s="316"/>
      <c r="W635" s="316"/>
      <c r="X635" s="316"/>
      <c r="Y635" s="316"/>
      <c r="Z635" s="316"/>
      <c r="AA635" s="316"/>
      <c r="AB635" s="316"/>
      <c r="AC635" s="316"/>
    </row>
    <row r="636" spans="1:29" ht="15.75" customHeight="1">
      <c r="A636" s="316"/>
      <c r="B636" s="316"/>
      <c r="C636" s="316"/>
      <c r="D636" s="316"/>
      <c r="E636" s="316"/>
      <c r="F636" s="316"/>
      <c r="G636" s="321"/>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6"/>
    </row>
    <row r="637" spans="1:29" ht="15.75" customHeight="1">
      <c r="A637" s="316"/>
      <c r="B637" s="316"/>
      <c r="C637" s="316"/>
      <c r="D637" s="316"/>
      <c r="E637" s="316"/>
      <c r="F637" s="316"/>
      <c r="G637" s="321"/>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6"/>
    </row>
    <row r="638" spans="1:29" ht="15.75" customHeight="1">
      <c r="A638" s="316"/>
      <c r="B638" s="316"/>
      <c r="C638" s="316"/>
      <c r="D638" s="316"/>
      <c r="E638" s="316"/>
      <c r="F638" s="316"/>
      <c r="G638" s="321"/>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6"/>
    </row>
    <row r="639" spans="1:29" ht="15.75" customHeight="1">
      <c r="A639" s="316"/>
      <c r="B639" s="316"/>
      <c r="C639" s="316"/>
      <c r="D639" s="316"/>
      <c r="E639" s="316"/>
      <c r="F639" s="316"/>
      <c r="G639" s="321"/>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6"/>
    </row>
    <row r="640" spans="1:29" ht="15.75" customHeight="1">
      <c r="A640" s="316"/>
      <c r="B640" s="316"/>
      <c r="C640" s="316"/>
      <c r="D640" s="316"/>
      <c r="E640" s="316"/>
      <c r="F640" s="316"/>
      <c r="G640" s="321"/>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6"/>
    </row>
    <row r="641" spans="1:29" ht="15.75" customHeight="1">
      <c r="A641" s="316"/>
      <c r="B641" s="316"/>
      <c r="C641" s="316"/>
      <c r="D641" s="316"/>
      <c r="E641" s="316"/>
      <c r="F641" s="316"/>
      <c r="G641" s="321"/>
      <c r="H641" s="316"/>
      <c r="I641" s="316"/>
      <c r="J641" s="316"/>
      <c r="K641" s="316"/>
      <c r="L641" s="316"/>
      <c r="M641" s="316"/>
      <c r="N641" s="316"/>
      <c r="O641" s="316"/>
      <c r="P641" s="316"/>
      <c r="Q641" s="316"/>
      <c r="R641" s="316"/>
      <c r="S641" s="316"/>
      <c r="T641" s="316"/>
      <c r="U641" s="316"/>
      <c r="V641" s="316"/>
      <c r="W641" s="316"/>
      <c r="X641" s="316"/>
      <c r="Y641" s="316"/>
      <c r="Z641" s="316"/>
      <c r="AA641" s="316"/>
      <c r="AB641" s="316"/>
      <c r="AC641" s="316"/>
    </row>
    <row r="642" spans="1:29" ht="15.75" customHeight="1">
      <c r="A642" s="316"/>
      <c r="B642" s="316"/>
      <c r="C642" s="316"/>
      <c r="D642" s="316"/>
      <c r="E642" s="316"/>
      <c r="F642" s="316"/>
      <c r="G642" s="321"/>
      <c r="H642" s="316"/>
      <c r="I642" s="316"/>
      <c r="J642" s="316"/>
      <c r="K642" s="316"/>
      <c r="L642" s="316"/>
      <c r="M642" s="316"/>
      <c r="N642" s="316"/>
      <c r="O642" s="316"/>
      <c r="P642" s="316"/>
      <c r="Q642" s="316"/>
      <c r="R642" s="316"/>
      <c r="S642" s="316"/>
      <c r="T642" s="316"/>
      <c r="U642" s="316"/>
      <c r="V642" s="316"/>
      <c r="W642" s="316"/>
      <c r="X642" s="316"/>
      <c r="Y642" s="316"/>
      <c r="Z642" s="316"/>
      <c r="AA642" s="316"/>
      <c r="AB642" s="316"/>
      <c r="AC642" s="316"/>
    </row>
    <row r="643" spans="1:29" ht="15.75" customHeight="1">
      <c r="A643" s="316"/>
      <c r="B643" s="316"/>
      <c r="C643" s="316"/>
      <c r="D643" s="316"/>
      <c r="E643" s="316"/>
      <c r="F643" s="316"/>
      <c r="G643" s="321"/>
      <c r="H643" s="316"/>
      <c r="I643" s="316"/>
      <c r="J643" s="316"/>
      <c r="K643" s="316"/>
      <c r="L643" s="316"/>
      <c r="M643" s="316"/>
      <c r="N643" s="316"/>
      <c r="O643" s="316"/>
      <c r="P643" s="316"/>
      <c r="Q643" s="316"/>
      <c r="R643" s="316"/>
      <c r="S643" s="316"/>
      <c r="T643" s="316"/>
      <c r="U643" s="316"/>
      <c r="V643" s="316"/>
      <c r="W643" s="316"/>
      <c r="X643" s="316"/>
      <c r="Y643" s="316"/>
      <c r="Z643" s="316"/>
      <c r="AA643" s="316"/>
      <c r="AB643" s="316"/>
      <c r="AC643" s="316"/>
    </row>
    <row r="644" spans="1:29" ht="15.75" customHeight="1">
      <c r="A644" s="316"/>
      <c r="B644" s="316"/>
      <c r="C644" s="316"/>
      <c r="D644" s="316"/>
      <c r="E644" s="316"/>
      <c r="F644" s="316"/>
      <c r="G644" s="321"/>
      <c r="H644" s="316"/>
      <c r="I644" s="316"/>
      <c r="J644" s="316"/>
      <c r="K644" s="316"/>
      <c r="L644" s="316"/>
      <c r="M644" s="316"/>
      <c r="N644" s="316"/>
      <c r="O644" s="316"/>
      <c r="P644" s="316"/>
      <c r="Q644" s="316"/>
      <c r="R644" s="316"/>
      <c r="S644" s="316"/>
      <c r="T644" s="316"/>
      <c r="U644" s="316"/>
      <c r="V644" s="316"/>
      <c r="W644" s="316"/>
      <c r="X644" s="316"/>
      <c r="Y644" s="316"/>
      <c r="Z644" s="316"/>
      <c r="AA644" s="316"/>
      <c r="AB644" s="316"/>
      <c r="AC644" s="316"/>
    </row>
    <row r="645" spans="1:29" ht="15.75" customHeight="1">
      <c r="A645" s="316"/>
      <c r="B645" s="316"/>
      <c r="C645" s="316"/>
      <c r="D645" s="316"/>
      <c r="E645" s="316"/>
      <c r="F645" s="316"/>
      <c r="G645" s="321"/>
      <c r="H645" s="316"/>
      <c r="I645" s="316"/>
      <c r="J645" s="316"/>
      <c r="K645" s="316"/>
      <c r="L645" s="316"/>
      <c r="M645" s="316"/>
      <c r="N645" s="316"/>
      <c r="O645" s="316"/>
      <c r="P645" s="316"/>
      <c r="Q645" s="316"/>
      <c r="R645" s="316"/>
      <c r="S645" s="316"/>
      <c r="T645" s="316"/>
      <c r="U645" s="316"/>
      <c r="V645" s="316"/>
      <c r="W645" s="316"/>
      <c r="X645" s="316"/>
      <c r="Y645" s="316"/>
      <c r="Z645" s="316"/>
      <c r="AA645" s="316"/>
      <c r="AB645" s="316"/>
      <c r="AC645" s="316"/>
    </row>
    <row r="646" spans="1:29" ht="15.75" customHeight="1">
      <c r="A646" s="316"/>
      <c r="B646" s="316"/>
      <c r="C646" s="316"/>
      <c r="D646" s="316"/>
      <c r="E646" s="316"/>
      <c r="F646" s="316"/>
      <c r="G646" s="321"/>
      <c r="H646" s="316"/>
      <c r="I646" s="316"/>
      <c r="J646" s="316"/>
      <c r="K646" s="316"/>
      <c r="L646" s="316"/>
      <c r="M646" s="316"/>
      <c r="N646" s="316"/>
      <c r="O646" s="316"/>
      <c r="P646" s="316"/>
      <c r="Q646" s="316"/>
      <c r="R646" s="316"/>
      <c r="S646" s="316"/>
      <c r="T646" s="316"/>
      <c r="U646" s="316"/>
      <c r="V646" s="316"/>
      <c r="W646" s="316"/>
      <c r="X646" s="316"/>
      <c r="Y646" s="316"/>
      <c r="Z646" s="316"/>
      <c r="AA646" s="316"/>
      <c r="AB646" s="316"/>
      <c r="AC646" s="316"/>
    </row>
    <row r="647" spans="1:29" ht="15.75" customHeight="1">
      <c r="A647" s="316"/>
      <c r="B647" s="316"/>
      <c r="C647" s="316"/>
      <c r="D647" s="316"/>
      <c r="E647" s="316"/>
      <c r="F647" s="316"/>
      <c r="G647" s="321"/>
      <c r="H647" s="316"/>
      <c r="I647" s="316"/>
      <c r="J647" s="316"/>
      <c r="K647" s="316"/>
      <c r="L647" s="316"/>
      <c r="M647" s="316"/>
      <c r="N647" s="316"/>
      <c r="O647" s="316"/>
      <c r="P647" s="316"/>
      <c r="Q647" s="316"/>
      <c r="R647" s="316"/>
      <c r="S647" s="316"/>
      <c r="T647" s="316"/>
      <c r="U647" s="316"/>
      <c r="V647" s="316"/>
      <c r="W647" s="316"/>
      <c r="X647" s="316"/>
      <c r="Y647" s="316"/>
      <c r="Z647" s="316"/>
      <c r="AA647" s="316"/>
      <c r="AB647" s="316"/>
      <c r="AC647" s="316"/>
    </row>
    <row r="648" spans="1:29" ht="15.75" customHeight="1">
      <c r="A648" s="316"/>
      <c r="B648" s="316"/>
      <c r="C648" s="316"/>
      <c r="D648" s="316"/>
      <c r="E648" s="316"/>
      <c r="F648" s="316"/>
      <c r="G648" s="321"/>
      <c r="H648" s="316"/>
      <c r="I648" s="316"/>
      <c r="J648" s="316"/>
      <c r="K648" s="316"/>
      <c r="L648" s="316"/>
      <c r="M648" s="316"/>
      <c r="N648" s="316"/>
      <c r="O648" s="316"/>
      <c r="P648" s="316"/>
      <c r="Q648" s="316"/>
      <c r="R648" s="316"/>
      <c r="S648" s="316"/>
      <c r="T648" s="316"/>
      <c r="U648" s="316"/>
      <c r="V648" s="316"/>
      <c r="W648" s="316"/>
      <c r="X648" s="316"/>
      <c r="Y648" s="316"/>
      <c r="Z648" s="316"/>
      <c r="AA648" s="316"/>
      <c r="AB648" s="316"/>
      <c r="AC648" s="316"/>
    </row>
    <row r="649" spans="1:29" ht="15.75" customHeight="1">
      <c r="A649" s="316"/>
      <c r="B649" s="316"/>
      <c r="C649" s="316"/>
      <c r="D649" s="316"/>
      <c r="E649" s="316"/>
      <c r="F649" s="316"/>
      <c r="G649" s="321"/>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6"/>
    </row>
    <row r="650" spans="1:29" ht="15.75" customHeight="1">
      <c r="A650" s="316"/>
      <c r="B650" s="316"/>
      <c r="C650" s="316"/>
      <c r="D650" s="316"/>
      <c r="E650" s="316"/>
      <c r="F650" s="316"/>
      <c r="G650" s="321"/>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6"/>
    </row>
    <row r="651" spans="1:29" ht="15.75" customHeight="1">
      <c r="A651" s="316"/>
      <c r="B651" s="316"/>
      <c r="C651" s="316"/>
      <c r="D651" s="316"/>
      <c r="E651" s="316"/>
      <c r="F651" s="316"/>
      <c r="G651" s="321"/>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6"/>
    </row>
    <row r="652" spans="1:29" ht="15.75" customHeight="1">
      <c r="A652" s="316"/>
      <c r="B652" s="316"/>
      <c r="C652" s="316"/>
      <c r="D652" s="316"/>
      <c r="E652" s="316"/>
      <c r="F652" s="316"/>
      <c r="G652" s="321"/>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6"/>
    </row>
    <row r="653" spans="1:29" ht="15.75" customHeight="1">
      <c r="A653" s="316"/>
      <c r="B653" s="316"/>
      <c r="C653" s="316"/>
      <c r="D653" s="316"/>
      <c r="E653" s="316"/>
      <c r="F653" s="316"/>
      <c r="G653" s="321"/>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6"/>
    </row>
    <row r="654" spans="1:29" ht="15.75" customHeight="1">
      <c r="A654" s="316"/>
      <c r="B654" s="316"/>
      <c r="C654" s="316"/>
      <c r="D654" s="316"/>
      <c r="E654" s="316"/>
      <c r="F654" s="316"/>
      <c r="G654" s="321"/>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6"/>
    </row>
    <row r="655" spans="1:29" ht="15.75" customHeight="1">
      <c r="A655" s="316"/>
      <c r="B655" s="316"/>
      <c r="C655" s="316"/>
      <c r="D655" s="316"/>
      <c r="E655" s="316"/>
      <c r="F655" s="316"/>
      <c r="G655" s="321"/>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6"/>
    </row>
    <row r="656" spans="1:29" ht="15.75" customHeight="1">
      <c r="A656" s="316"/>
      <c r="B656" s="316"/>
      <c r="C656" s="316"/>
      <c r="D656" s="316"/>
      <c r="E656" s="316"/>
      <c r="F656" s="316"/>
      <c r="G656" s="321"/>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6"/>
    </row>
    <row r="657" spans="1:29" ht="15.75" customHeight="1">
      <c r="A657" s="316"/>
      <c r="B657" s="316"/>
      <c r="C657" s="316"/>
      <c r="D657" s="316"/>
      <c r="E657" s="316"/>
      <c r="F657" s="316"/>
      <c r="G657" s="321"/>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6"/>
    </row>
    <row r="658" spans="1:29" ht="15.75" customHeight="1">
      <c r="A658" s="316"/>
      <c r="B658" s="316"/>
      <c r="C658" s="316"/>
      <c r="D658" s="316"/>
      <c r="E658" s="316"/>
      <c r="F658" s="316"/>
      <c r="G658" s="321"/>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6"/>
    </row>
    <row r="659" spans="1:29" ht="15.75" customHeight="1">
      <c r="A659" s="316"/>
      <c r="B659" s="316"/>
      <c r="C659" s="316"/>
      <c r="D659" s="316"/>
      <c r="E659" s="316"/>
      <c r="F659" s="316"/>
      <c r="G659" s="321"/>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6"/>
    </row>
    <row r="660" spans="1:29" ht="15.75" customHeight="1">
      <c r="A660" s="316"/>
      <c r="B660" s="316"/>
      <c r="C660" s="316"/>
      <c r="D660" s="316"/>
      <c r="E660" s="316"/>
      <c r="F660" s="316"/>
      <c r="G660" s="321"/>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6"/>
    </row>
    <row r="661" spans="1:29" ht="15.75" customHeight="1">
      <c r="A661" s="316"/>
      <c r="B661" s="316"/>
      <c r="C661" s="316"/>
      <c r="D661" s="316"/>
      <c r="E661" s="316"/>
      <c r="F661" s="316"/>
      <c r="G661" s="321"/>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6"/>
    </row>
    <row r="662" spans="1:29" ht="15.75" customHeight="1">
      <c r="A662" s="316"/>
      <c r="B662" s="316"/>
      <c r="C662" s="316"/>
      <c r="D662" s="316"/>
      <c r="E662" s="316"/>
      <c r="F662" s="316"/>
      <c r="G662" s="321"/>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6"/>
    </row>
    <row r="663" spans="1:29" ht="15.75" customHeight="1">
      <c r="A663" s="316"/>
      <c r="B663" s="316"/>
      <c r="C663" s="316"/>
      <c r="D663" s="316"/>
      <c r="E663" s="316"/>
      <c r="F663" s="316"/>
      <c r="G663" s="321"/>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6"/>
    </row>
    <row r="664" spans="1:29" ht="15.75" customHeight="1">
      <c r="A664" s="316"/>
      <c r="B664" s="316"/>
      <c r="C664" s="316"/>
      <c r="D664" s="316"/>
      <c r="E664" s="316"/>
      <c r="F664" s="316"/>
      <c r="G664" s="321"/>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6"/>
    </row>
    <row r="665" spans="1:29" ht="15.75" customHeight="1">
      <c r="A665" s="316"/>
      <c r="B665" s="316"/>
      <c r="C665" s="316"/>
      <c r="D665" s="316"/>
      <c r="E665" s="316"/>
      <c r="F665" s="316"/>
      <c r="G665" s="321"/>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6"/>
    </row>
    <row r="666" spans="1:29" ht="15.75" customHeight="1">
      <c r="A666" s="316"/>
      <c r="B666" s="316"/>
      <c r="C666" s="316"/>
      <c r="D666" s="316"/>
      <c r="E666" s="316"/>
      <c r="F666" s="316"/>
      <c r="G666" s="321"/>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6"/>
    </row>
    <row r="667" spans="1:29" ht="15.75" customHeight="1">
      <c r="A667" s="316"/>
      <c r="B667" s="316"/>
      <c r="C667" s="316"/>
      <c r="D667" s="316"/>
      <c r="E667" s="316"/>
      <c r="F667" s="316"/>
      <c r="G667" s="321"/>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6"/>
    </row>
    <row r="668" spans="1:29" ht="15.75" customHeight="1">
      <c r="A668" s="316"/>
      <c r="B668" s="316"/>
      <c r="C668" s="316"/>
      <c r="D668" s="316"/>
      <c r="E668" s="316"/>
      <c r="F668" s="316"/>
      <c r="G668" s="321"/>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6"/>
    </row>
    <row r="669" spans="1:29" ht="15.75" customHeight="1">
      <c r="A669" s="316"/>
      <c r="B669" s="316"/>
      <c r="C669" s="316"/>
      <c r="D669" s="316"/>
      <c r="E669" s="316"/>
      <c r="F669" s="316"/>
      <c r="G669" s="321"/>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6"/>
    </row>
    <row r="670" spans="1:29" ht="15.75" customHeight="1">
      <c r="A670" s="316"/>
      <c r="B670" s="316"/>
      <c r="C670" s="316"/>
      <c r="D670" s="316"/>
      <c r="E670" s="316"/>
      <c r="F670" s="316"/>
      <c r="G670" s="321"/>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6"/>
    </row>
    <row r="671" spans="1:29" ht="15.75" customHeight="1">
      <c r="A671" s="316"/>
      <c r="B671" s="316"/>
      <c r="C671" s="316"/>
      <c r="D671" s="316"/>
      <c r="E671" s="316"/>
      <c r="F671" s="316"/>
      <c r="G671" s="321"/>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6"/>
    </row>
    <row r="672" spans="1:29" ht="15.75" customHeight="1">
      <c r="A672" s="316"/>
      <c r="B672" s="316"/>
      <c r="C672" s="316"/>
      <c r="D672" s="316"/>
      <c r="E672" s="316"/>
      <c r="F672" s="316"/>
      <c r="G672" s="321"/>
      <c r="H672" s="316"/>
      <c r="I672" s="316"/>
      <c r="J672" s="316"/>
      <c r="K672" s="316"/>
      <c r="L672" s="316"/>
      <c r="M672" s="316"/>
      <c r="N672" s="316"/>
      <c r="O672" s="316"/>
      <c r="P672" s="316"/>
      <c r="Q672" s="316"/>
      <c r="R672" s="316"/>
      <c r="S672" s="316"/>
      <c r="T672" s="316"/>
      <c r="U672" s="316"/>
      <c r="V672" s="316"/>
      <c r="W672" s="316"/>
      <c r="X672" s="316"/>
      <c r="Y672" s="316"/>
      <c r="Z672" s="316"/>
      <c r="AA672" s="316"/>
      <c r="AB672" s="316"/>
      <c r="AC672" s="316"/>
    </row>
    <row r="673" spans="1:29" ht="15.75" customHeight="1">
      <c r="A673" s="316"/>
      <c r="B673" s="316"/>
      <c r="C673" s="316"/>
      <c r="D673" s="316"/>
      <c r="E673" s="316"/>
      <c r="F673" s="316"/>
      <c r="G673" s="321"/>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16"/>
    </row>
    <row r="674" spans="1:29" ht="15.75" customHeight="1">
      <c r="A674" s="316"/>
      <c r="B674" s="316"/>
      <c r="C674" s="316"/>
      <c r="D674" s="316"/>
      <c r="E674" s="316"/>
      <c r="F674" s="316"/>
      <c r="G674" s="321"/>
      <c r="H674" s="316"/>
      <c r="I674" s="316"/>
      <c r="J674" s="316"/>
      <c r="K674" s="316"/>
      <c r="L674" s="316"/>
      <c r="M674" s="316"/>
      <c r="N674" s="316"/>
      <c r="O674" s="316"/>
      <c r="P674" s="316"/>
      <c r="Q674" s="316"/>
      <c r="R674" s="316"/>
      <c r="S674" s="316"/>
      <c r="T674" s="316"/>
      <c r="U674" s="316"/>
      <c r="V674" s="316"/>
      <c r="W674" s="316"/>
      <c r="X674" s="316"/>
      <c r="Y674" s="316"/>
      <c r="Z674" s="316"/>
      <c r="AA674" s="316"/>
      <c r="AB674" s="316"/>
      <c r="AC674" s="316"/>
    </row>
    <row r="675" spans="1:29" ht="15.75" customHeight="1">
      <c r="A675" s="316"/>
      <c r="B675" s="316"/>
      <c r="C675" s="316"/>
      <c r="D675" s="316"/>
      <c r="E675" s="316"/>
      <c r="F675" s="316"/>
      <c r="G675" s="321"/>
      <c r="H675" s="316"/>
      <c r="I675" s="316"/>
      <c r="J675" s="316"/>
      <c r="K675" s="316"/>
      <c r="L675" s="316"/>
      <c r="M675" s="316"/>
      <c r="N675" s="316"/>
      <c r="O675" s="316"/>
      <c r="P675" s="316"/>
      <c r="Q675" s="316"/>
      <c r="R675" s="316"/>
      <c r="S675" s="316"/>
      <c r="T675" s="316"/>
      <c r="U675" s="316"/>
      <c r="V675" s="316"/>
      <c r="W675" s="316"/>
      <c r="X675" s="316"/>
      <c r="Y675" s="316"/>
      <c r="Z675" s="316"/>
      <c r="AA675" s="316"/>
      <c r="AB675" s="316"/>
      <c r="AC675" s="316"/>
    </row>
    <row r="676" spans="1:29" ht="15.75" customHeight="1">
      <c r="A676" s="316"/>
      <c r="B676" s="316"/>
      <c r="C676" s="316"/>
      <c r="D676" s="316"/>
      <c r="E676" s="316"/>
      <c r="F676" s="316"/>
      <c r="G676" s="321"/>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6"/>
    </row>
    <row r="677" spans="1:29" ht="15.75" customHeight="1">
      <c r="A677" s="316"/>
      <c r="B677" s="316"/>
      <c r="C677" s="316"/>
      <c r="D677" s="316"/>
      <c r="E677" s="316"/>
      <c r="F677" s="316"/>
      <c r="G677" s="321"/>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6"/>
    </row>
    <row r="678" spans="1:29" ht="15.75" customHeight="1">
      <c r="A678" s="316"/>
      <c r="B678" s="316"/>
      <c r="C678" s="316"/>
      <c r="D678" s="316"/>
      <c r="E678" s="316"/>
      <c r="F678" s="316"/>
      <c r="G678" s="321"/>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6"/>
    </row>
    <row r="679" spans="1:29" ht="15.75" customHeight="1">
      <c r="A679" s="316"/>
      <c r="B679" s="316"/>
      <c r="C679" s="316"/>
      <c r="D679" s="316"/>
      <c r="E679" s="316"/>
      <c r="F679" s="316"/>
      <c r="G679" s="321"/>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6"/>
    </row>
    <row r="680" spans="1:29" ht="15.75" customHeight="1">
      <c r="A680" s="316"/>
      <c r="B680" s="316"/>
      <c r="C680" s="316"/>
      <c r="D680" s="316"/>
      <c r="E680" s="316"/>
      <c r="F680" s="316"/>
      <c r="G680" s="321"/>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6"/>
    </row>
    <row r="681" spans="1:29" ht="15.75" customHeight="1">
      <c r="A681" s="316"/>
      <c r="B681" s="316"/>
      <c r="C681" s="316"/>
      <c r="D681" s="316"/>
      <c r="E681" s="316"/>
      <c r="F681" s="316"/>
      <c r="G681" s="321"/>
      <c r="H681" s="316"/>
      <c r="I681" s="316"/>
      <c r="J681" s="316"/>
      <c r="K681" s="316"/>
      <c r="L681" s="316"/>
      <c r="M681" s="316"/>
      <c r="N681" s="316"/>
      <c r="O681" s="316"/>
      <c r="P681" s="316"/>
      <c r="Q681" s="316"/>
      <c r="R681" s="316"/>
      <c r="S681" s="316"/>
      <c r="T681" s="316"/>
      <c r="U681" s="316"/>
      <c r="V681" s="316"/>
      <c r="W681" s="316"/>
      <c r="X681" s="316"/>
      <c r="Y681" s="316"/>
      <c r="Z681" s="316"/>
      <c r="AA681" s="316"/>
      <c r="AB681" s="316"/>
      <c r="AC681" s="316"/>
    </row>
    <row r="682" spans="1:29" ht="15.75" customHeight="1">
      <c r="A682" s="316"/>
      <c r="B682" s="316"/>
      <c r="C682" s="316"/>
      <c r="D682" s="316"/>
      <c r="E682" s="316"/>
      <c r="F682" s="316"/>
      <c r="G682" s="321"/>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row>
    <row r="683" spans="1:29" ht="15.75" customHeight="1">
      <c r="A683" s="316"/>
      <c r="B683" s="316"/>
      <c r="C683" s="316"/>
      <c r="D683" s="316"/>
      <c r="E683" s="316"/>
      <c r="F683" s="316"/>
      <c r="G683" s="321"/>
      <c r="H683" s="316"/>
      <c r="I683" s="316"/>
      <c r="J683" s="316"/>
      <c r="K683" s="316"/>
      <c r="L683" s="316"/>
      <c r="M683" s="316"/>
      <c r="N683" s="316"/>
      <c r="O683" s="316"/>
      <c r="P683" s="316"/>
      <c r="Q683" s="316"/>
      <c r="R683" s="316"/>
      <c r="S683" s="316"/>
      <c r="T683" s="316"/>
      <c r="U683" s="316"/>
      <c r="V683" s="316"/>
      <c r="W683" s="316"/>
      <c r="X683" s="316"/>
      <c r="Y683" s="316"/>
      <c r="Z683" s="316"/>
      <c r="AA683" s="316"/>
      <c r="AB683" s="316"/>
      <c r="AC683" s="316"/>
    </row>
    <row r="684" spans="1:29" ht="15.75" customHeight="1">
      <c r="A684" s="316"/>
      <c r="B684" s="316"/>
      <c r="C684" s="316"/>
      <c r="D684" s="316"/>
      <c r="E684" s="316"/>
      <c r="F684" s="316"/>
      <c r="G684" s="321"/>
      <c r="H684" s="316"/>
      <c r="I684" s="316"/>
      <c r="J684" s="316"/>
      <c r="K684" s="316"/>
      <c r="L684" s="316"/>
      <c r="M684" s="316"/>
      <c r="N684" s="316"/>
      <c r="O684" s="316"/>
      <c r="P684" s="316"/>
      <c r="Q684" s="316"/>
      <c r="R684" s="316"/>
      <c r="S684" s="316"/>
      <c r="T684" s="316"/>
      <c r="U684" s="316"/>
      <c r="V684" s="316"/>
      <c r="W684" s="316"/>
      <c r="X684" s="316"/>
      <c r="Y684" s="316"/>
      <c r="Z684" s="316"/>
      <c r="AA684" s="316"/>
      <c r="AB684" s="316"/>
      <c r="AC684" s="316"/>
    </row>
    <row r="685" spans="1:29" ht="15.75" customHeight="1">
      <c r="A685" s="316"/>
      <c r="B685" s="316"/>
      <c r="C685" s="316"/>
      <c r="D685" s="316"/>
      <c r="E685" s="316"/>
      <c r="F685" s="316"/>
      <c r="G685" s="321"/>
      <c r="H685" s="316"/>
      <c r="I685" s="316"/>
      <c r="J685" s="316"/>
      <c r="K685" s="316"/>
      <c r="L685" s="316"/>
      <c r="M685" s="316"/>
      <c r="N685" s="316"/>
      <c r="O685" s="316"/>
      <c r="P685" s="316"/>
      <c r="Q685" s="316"/>
      <c r="R685" s="316"/>
      <c r="S685" s="316"/>
      <c r="T685" s="316"/>
      <c r="U685" s="316"/>
      <c r="V685" s="316"/>
      <c r="W685" s="316"/>
      <c r="X685" s="316"/>
      <c r="Y685" s="316"/>
      <c r="Z685" s="316"/>
      <c r="AA685" s="316"/>
      <c r="AB685" s="316"/>
      <c r="AC685" s="316"/>
    </row>
    <row r="686" spans="1:29" ht="15.75" customHeight="1">
      <c r="A686" s="316"/>
      <c r="B686" s="316"/>
      <c r="C686" s="316"/>
      <c r="D686" s="316"/>
      <c r="E686" s="316"/>
      <c r="F686" s="316"/>
      <c r="G686" s="321"/>
      <c r="H686" s="316"/>
      <c r="I686" s="316"/>
      <c r="J686" s="316"/>
      <c r="K686" s="316"/>
      <c r="L686" s="316"/>
      <c r="M686" s="316"/>
      <c r="N686" s="316"/>
      <c r="O686" s="316"/>
      <c r="P686" s="316"/>
      <c r="Q686" s="316"/>
      <c r="R686" s="316"/>
      <c r="S686" s="316"/>
      <c r="T686" s="316"/>
      <c r="U686" s="316"/>
      <c r="V686" s="316"/>
      <c r="W686" s="316"/>
      <c r="X686" s="316"/>
      <c r="Y686" s="316"/>
      <c r="Z686" s="316"/>
      <c r="AA686" s="316"/>
      <c r="AB686" s="316"/>
      <c r="AC686" s="316"/>
    </row>
    <row r="687" spans="1:29" ht="15.75" customHeight="1">
      <c r="A687" s="316"/>
      <c r="B687" s="316"/>
      <c r="C687" s="316"/>
      <c r="D687" s="316"/>
      <c r="E687" s="316"/>
      <c r="F687" s="316"/>
      <c r="G687" s="321"/>
      <c r="H687" s="316"/>
      <c r="I687" s="316"/>
      <c r="J687" s="316"/>
      <c r="K687" s="316"/>
      <c r="L687" s="316"/>
      <c r="M687" s="316"/>
      <c r="N687" s="316"/>
      <c r="O687" s="316"/>
      <c r="P687" s="316"/>
      <c r="Q687" s="316"/>
      <c r="R687" s="316"/>
      <c r="S687" s="316"/>
      <c r="T687" s="316"/>
      <c r="U687" s="316"/>
      <c r="V687" s="316"/>
      <c r="W687" s="316"/>
      <c r="X687" s="316"/>
      <c r="Y687" s="316"/>
      <c r="Z687" s="316"/>
      <c r="AA687" s="316"/>
      <c r="AB687" s="316"/>
      <c r="AC687" s="316"/>
    </row>
    <row r="688" spans="1:29" ht="15.75" customHeight="1">
      <c r="A688" s="316"/>
      <c r="B688" s="316"/>
      <c r="C688" s="316"/>
      <c r="D688" s="316"/>
      <c r="E688" s="316"/>
      <c r="F688" s="316"/>
      <c r="G688" s="321"/>
      <c r="H688" s="316"/>
      <c r="I688" s="316"/>
      <c r="J688" s="316"/>
      <c r="K688" s="316"/>
      <c r="L688" s="316"/>
      <c r="M688" s="316"/>
      <c r="N688" s="316"/>
      <c r="O688" s="316"/>
      <c r="P688" s="316"/>
      <c r="Q688" s="316"/>
      <c r="R688" s="316"/>
      <c r="S688" s="316"/>
      <c r="T688" s="316"/>
      <c r="U688" s="316"/>
      <c r="V688" s="316"/>
      <c r="W688" s="316"/>
      <c r="X688" s="316"/>
      <c r="Y688" s="316"/>
      <c r="Z688" s="316"/>
      <c r="AA688" s="316"/>
      <c r="AB688" s="316"/>
      <c r="AC688" s="316"/>
    </row>
    <row r="689" spans="1:29" ht="15.75" customHeight="1">
      <c r="A689" s="316"/>
      <c r="B689" s="316"/>
      <c r="C689" s="316"/>
      <c r="D689" s="316"/>
      <c r="E689" s="316"/>
      <c r="F689" s="316"/>
      <c r="G689" s="321"/>
      <c r="H689" s="316"/>
      <c r="I689" s="316"/>
      <c r="J689" s="316"/>
      <c r="K689" s="316"/>
      <c r="L689" s="316"/>
      <c r="M689" s="316"/>
      <c r="N689" s="316"/>
      <c r="O689" s="316"/>
      <c r="P689" s="316"/>
      <c r="Q689" s="316"/>
      <c r="R689" s="316"/>
      <c r="S689" s="316"/>
      <c r="T689" s="316"/>
      <c r="U689" s="316"/>
      <c r="V689" s="316"/>
      <c r="W689" s="316"/>
      <c r="X689" s="316"/>
      <c r="Y689" s="316"/>
      <c r="Z689" s="316"/>
      <c r="AA689" s="316"/>
      <c r="AB689" s="316"/>
      <c r="AC689" s="316"/>
    </row>
    <row r="690" spans="1:29" ht="15.75" customHeight="1">
      <c r="A690" s="316"/>
      <c r="B690" s="316"/>
      <c r="C690" s="316"/>
      <c r="D690" s="316"/>
      <c r="E690" s="316"/>
      <c r="F690" s="316"/>
      <c r="G690" s="321"/>
      <c r="H690" s="316"/>
      <c r="I690" s="316"/>
      <c r="J690" s="316"/>
      <c r="K690" s="316"/>
      <c r="L690" s="316"/>
      <c r="M690" s="316"/>
      <c r="N690" s="316"/>
      <c r="O690" s="316"/>
      <c r="P690" s="316"/>
      <c r="Q690" s="316"/>
      <c r="R690" s="316"/>
      <c r="S690" s="316"/>
      <c r="T690" s="316"/>
      <c r="U690" s="316"/>
      <c r="V690" s="316"/>
      <c r="W690" s="316"/>
      <c r="X690" s="316"/>
      <c r="Y690" s="316"/>
      <c r="Z690" s="316"/>
      <c r="AA690" s="316"/>
      <c r="AB690" s="316"/>
      <c r="AC690" s="316"/>
    </row>
    <row r="691" spans="1:29" ht="15.75" customHeight="1">
      <c r="A691" s="316"/>
      <c r="B691" s="316"/>
      <c r="C691" s="316"/>
      <c r="D691" s="316"/>
      <c r="E691" s="316"/>
      <c r="F691" s="316"/>
      <c r="G691" s="321"/>
      <c r="H691" s="316"/>
      <c r="I691" s="316"/>
      <c r="J691" s="316"/>
      <c r="K691" s="316"/>
      <c r="L691" s="316"/>
      <c r="M691" s="316"/>
      <c r="N691" s="316"/>
      <c r="O691" s="316"/>
      <c r="P691" s="316"/>
      <c r="Q691" s="316"/>
      <c r="R691" s="316"/>
      <c r="S691" s="316"/>
      <c r="T691" s="316"/>
      <c r="U691" s="316"/>
      <c r="V691" s="316"/>
      <c r="W691" s="316"/>
      <c r="X691" s="316"/>
      <c r="Y691" s="316"/>
      <c r="Z691" s="316"/>
      <c r="AA691" s="316"/>
      <c r="AB691" s="316"/>
      <c r="AC691" s="316"/>
    </row>
    <row r="692" spans="1:29" ht="15.75" customHeight="1">
      <c r="A692" s="316"/>
      <c r="B692" s="316"/>
      <c r="C692" s="316"/>
      <c r="D692" s="316"/>
      <c r="E692" s="316"/>
      <c r="F692" s="316"/>
      <c r="G692" s="321"/>
      <c r="H692" s="316"/>
      <c r="I692" s="316"/>
      <c r="J692" s="316"/>
      <c r="K692" s="316"/>
      <c r="L692" s="316"/>
      <c r="M692" s="316"/>
      <c r="N692" s="316"/>
      <c r="O692" s="316"/>
      <c r="P692" s="316"/>
      <c r="Q692" s="316"/>
      <c r="R692" s="316"/>
      <c r="S692" s="316"/>
      <c r="T692" s="316"/>
      <c r="U692" s="316"/>
      <c r="V692" s="316"/>
      <c r="W692" s="316"/>
      <c r="X692" s="316"/>
      <c r="Y692" s="316"/>
      <c r="Z692" s="316"/>
      <c r="AA692" s="316"/>
      <c r="AB692" s="316"/>
      <c r="AC692" s="316"/>
    </row>
    <row r="693" spans="1:29" ht="15.75" customHeight="1">
      <c r="A693" s="316"/>
      <c r="B693" s="316"/>
      <c r="C693" s="316"/>
      <c r="D693" s="316"/>
      <c r="E693" s="316"/>
      <c r="F693" s="316"/>
      <c r="G693" s="321"/>
      <c r="H693" s="316"/>
      <c r="I693" s="316"/>
      <c r="J693" s="316"/>
      <c r="K693" s="316"/>
      <c r="L693" s="316"/>
      <c r="M693" s="316"/>
      <c r="N693" s="316"/>
      <c r="O693" s="316"/>
      <c r="P693" s="316"/>
      <c r="Q693" s="316"/>
      <c r="R693" s="316"/>
      <c r="S693" s="316"/>
      <c r="T693" s="316"/>
      <c r="U693" s="316"/>
      <c r="V693" s="316"/>
      <c r="W693" s="316"/>
      <c r="X693" s="316"/>
      <c r="Y693" s="316"/>
      <c r="Z693" s="316"/>
      <c r="AA693" s="316"/>
      <c r="AB693" s="316"/>
      <c r="AC693" s="316"/>
    </row>
    <row r="694" spans="1:29" ht="15.75" customHeight="1">
      <c r="A694" s="316"/>
      <c r="B694" s="316"/>
      <c r="C694" s="316"/>
      <c r="D694" s="316"/>
      <c r="E694" s="316"/>
      <c r="F694" s="316"/>
      <c r="G694" s="321"/>
      <c r="H694" s="316"/>
      <c r="I694" s="316"/>
      <c r="J694" s="316"/>
      <c r="K694" s="316"/>
      <c r="L694" s="316"/>
      <c r="M694" s="316"/>
      <c r="N694" s="316"/>
      <c r="O694" s="316"/>
      <c r="P694" s="316"/>
      <c r="Q694" s="316"/>
      <c r="R694" s="316"/>
      <c r="S694" s="316"/>
      <c r="T694" s="316"/>
      <c r="U694" s="316"/>
      <c r="V694" s="316"/>
      <c r="W694" s="316"/>
      <c r="X694" s="316"/>
      <c r="Y694" s="316"/>
      <c r="Z694" s="316"/>
      <c r="AA694" s="316"/>
      <c r="AB694" s="316"/>
      <c r="AC694" s="316"/>
    </row>
    <row r="695" spans="1:29" ht="15.75" customHeight="1">
      <c r="A695" s="316"/>
      <c r="B695" s="316"/>
      <c r="C695" s="316"/>
      <c r="D695" s="316"/>
      <c r="E695" s="316"/>
      <c r="F695" s="316"/>
      <c r="G695" s="321"/>
      <c r="H695" s="316"/>
      <c r="I695" s="316"/>
      <c r="J695" s="316"/>
      <c r="K695" s="316"/>
      <c r="L695" s="316"/>
      <c r="M695" s="316"/>
      <c r="N695" s="316"/>
      <c r="O695" s="316"/>
      <c r="P695" s="316"/>
      <c r="Q695" s="316"/>
      <c r="R695" s="316"/>
      <c r="S695" s="316"/>
      <c r="T695" s="316"/>
      <c r="U695" s="316"/>
      <c r="V695" s="316"/>
      <c r="W695" s="316"/>
      <c r="X695" s="316"/>
      <c r="Y695" s="316"/>
      <c r="Z695" s="316"/>
      <c r="AA695" s="316"/>
      <c r="AB695" s="316"/>
      <c r="AC695" s="316"/>
    </row>
    <row r="696" spans="1:29" ht="15.75" customHeight="1">
      <c r="A696" s="316"/>
      <c r="B696" s="316"/>
      <c r="C696" s="316"/>
      <c r="D696" s="316"/>
      <c r="E696" s="316"/>
      <c r="F696" s="316"/>
      <c r="G696" s="321"/>
      <c r="H696" s="316"/>
      <c r="I696" s="316"/>
      <c r="J696" s="316"/>
      <c r="K696" s="316"/>
      <c r="L696" s="316"/>
      <c r="M696" s="316"/>
      <c r="N696" s="316"/>
      <c r="O696" s="316"/>
      <c r="P696" s="316"/>
      <c r="Q696" s="316"/>
      <c r="R696" s="316"/>
      <c r="S696" s="316"/>
      <c r="T696" s="316"/>
      <c r="U696" s="316"/>
      <c r="V696" s="316"/>
      <c r="W696" s="316"/>
      <c r="X696" s="316"/>
      <c r="Y696" s="316"/>
      <c r="Z696" s="316"/>
      <c r="AA696" s="316"/>
      <c r="AB696" s="316"/>
      <c r="AC696" s="316"/>
    </row>
    <row r="697" spans="1:29" ht="15.75" customHeight="1">
      <c r="A697" s="316"/>
      <c r="B697" s="316"/>
      <c r="C697" s="316"/>
      <c r="D697" s="316"/>
      <c r="E697" s="316"/>
      <c r="F697" s="316"/>
      <c r="G697" s="321"/>
      <c r="H697" s="316"/>
      <c r="I697" s="316"/>
      <c r="J697" s="316"/>
      <c r="K697" s="316"/>
      <c r="L697" s="316"/>
      <c r="M697" s="316"/>
      <c r="N697" s="316"/>
      <c r="O697" s="316"/>
      <c r="P697" s="316"/>
      <c r="Q697" s="316"/>
      <c r="R697" s="316"/>
      <c r="S697" s="316"/>
      <c r="T697" s="316"/>
      <c r="U697" s="316"/>
      <c r="V697" s="316"/>
      <c r="W697" s="316"/>
      <c r="X697" s="316"/>
      <c r="Y697" s="316"/>
      <c r="Z697" s="316"/>
      <c r="AA697" s="316"/>
      <c r="AB697" s="316"/>
      <c r="AC697" s="316"/>
    </row>
    <row r="698" spans="1:29" ht="15.75" customHeight="1">
      <c r="A698" s="316"/>
      <c r="B698" s="316"/>
      <c r="C698" s="316"/>
      <c r="D698" s="316"/>
      <c r="E698" s="316"/>
      <c r="F698" s="316"/>
      <c r="G698" s="321"/>
      <c r="H698" s="316"/>
      <c r="I698" s="316"/>
      <c r="J698" s="316"/>
      <c r="K698" s="316"/>
      <c r="L698" s="316"/>
      <c r="M698" s="316"/>
      <c r="N698" s="316"/>
      <c r="O698" s="316"/>
      <c r="P698" s="316"/>
      <c r="Q698" s="316"/>
      <c r="R698" s="316"/>
      <c r="S698" s="316"/>
      <c r="T698" s="316"/>
      <c r="U698" s="316"/>
      <c r="V698" s="316"/>
      <c r="W698" s="316"/>
      <c r="X698" s="316"/>
      <c r="Y698" s="316"/>
      <c r="Z698" s="316"/>
      <c r="AA698" s="316"/>
      <c r="AB698" s="316"/>
      <c r="AC698" s="316"/>
    </row>
    <row r="699" spans="1:29" ht="15.75" customHeight="1">
      <c r="A699" s="316"/>
      <c r="B699" s="316"/>
      <c r="C699" s="316"/>
      <c r="D699" s="316"/>
      <c r="E699" s="316"/>
      <c r="F699" s="316"/>
      <c r="G699" s="321"/>
      <c r="H699" s="316"/>
      <c r="I699" s="316"/>
      <c r="J699" s="316"/>
      <c r="K699" s="316"/>
      <c r="L699" s="316"/>
      <c r="M699" s="316"/>
      <c r="N699" s="316"/>
      <c r="O699" s="316"/>
      <c r="P699" s="316"/>
      <c r="Q699" s="316"/>
      <c r="R699" s="316"/>
      <c r="S699" s="316"/>
      <c r="T699" s="316"/>
      <c r="U699" s="316"/>
      <c r="V699" s="316"/>
      <c r="W699" s="316"/>
      <c r="X699" s="316"/>
      <c r="Y699" s="316"/>
      <c r="Z699" s="316"/>
      <c r="AA699" s="316"/>
      <c r="AB699" s="316"/>
      <c r="AC699" s="316"/>
    </row>
    <row r="700" spans="1:29" ht="15.75" customHeight="1">
      <c r="A700" s="316"/>
      <c r="B700" s="316"/>
      <c r="C700" s="316"/>
      <c r="D700" s="316"/>
      <c r="E700" s="316"/>
      <c r="F700" s="316"/>
      <c r="G700" s="321"/>
      <c r="H700" s="316"/>
      <c r="I700" s="316"/>
      <c r="J700" s="316"/>
      <c r="K700" s="316"/>
      <c r="L700" s="316"/>
      <c r="M700" s="316"/>
      <c r="N700" s="316"/>
      <c r="O700" s="316"/>
      <c r="P700" s="316"/>
      <c r="Q700" s="316"/>
      <c r="R700" s="316"/>
      <c r="S700" s="316"/>
      <c r="T700" s="316"/>
      <c r="U700" s="316"/>
      <c r="V700" s="316"/>
      <c r="W700" s="316"/>
      <c r="X700" s="316"/>
      <c r="Y700" s="316"/>
      <c r="Z700" s="316"/>
      <c r="AA700" s="316"/>
      <c r="AB700" s="316"/>
      <c r="AC700" s="316"/>
    </row>
    <row r="701" spans="1:29" ht="15.75" customHeight="1">
      <c r="A701" s="316"/>
      <c r="B701" s="316"/>
      <c r="C701" s="316"/>
      <c r="D701" s="316"/>
      <c r="E701" s="316"/>
      <c r="F701" s="316"/>
      <c r="G701" s="321"/>
      <c r="H701" s="316"/>
      <c r="I701" s="316"/>
      <c r="J701" s="316"/>
      <c r="K701" s="316"/>
      <c r="L701" s="316"/>
      <c r="M701" s="316"/>
      <c r="N701" s="316"/>
      <c r="O701" s="316"/>
      <c r="P701" s="316"/>
      <c r="Q701" s="316"/>
      <c r="R701" s="316"/>
      <c r="S701" s="316"/>
      <c r="T701" s="316"/>
      <c r="U701" s="316"/>
      <c r="V701" s="316"/>
      <c r="W701" s="316"/>
      <c r="X701" s="316"/>
      <c r="Y701" s="316"/>
      <c r="Z701" s="316"/>
      <c r="AA701" s="316"/>
      <c r="AB701" s="316"/>
      <c r="AC701" s="316"/>
    </row>
    <row r="702" spans="1:29" ht="15.75" customHeight="1">
      <c r="A702" s="316"/>
      <c r="B702" s="316"/>
      <c r="C702" s="316"/>
      <c r="D702" s="316"/>
      <c r="E702" s="316"/>
      <c r="F702" s="316"/>
      <c r="G702" s="321"/>
      <c r="H702" s="316"/>
      <c r="I702" s="316"/>
      <c r="J702" s="316"/>
      <c r="K702" s="316"/>
      <c r="L702" s="316"/>
      <c r="M702" s="316"/>
      <c r="N702" s="316"/>
      <c r="O702" s="316"/>
      <c r="P702" s="316"/>
      <c r="Q702" s="316"/>
      <c r="R702" s="316"/>
      <c r="S702" s="316"/>
      <c r="T702" s="316"/>
      <c r="U702" s="316"/>
      <c r="V702" s="316"/>
      <c r="W702" s="316"/>
      <c r="X702" s="316"/>
      <c r="Y702" s="316"/>
      <c r="Z702" s="316"/>
      <c r="AA702" s="316"/>
      <c r="AB702" s="316"/>
      <c r="AC702" s="316"/>
    </row>
    <row r="703" spans="1:29" ht="15.75" customHeight="1">
      <c r="A703" s="316"/>
      <c r="B703" s="316"/>
      <c r="C703" s="316"/>
      <c r="D703" s="316"/>
      <c r="E703" s="316"/>
      <c r="F703" s="316"/>
      <c r="G703" s="321"/>
      <c r="H703" s="316"/>
      <c r="I703" s="316"/>
      <c r="J703" s="316"/>
      <c r="K703" s="316"/>
      <c r="L703" s="316"/>
      <c r="M703" s="316"/>
      <c r="N703" s="316"/>
      <c r="O703" s="316"/>
      <c r="P703" s="316"/>
      <c r="Q703" s="316"/>
      <c r="R703" s="316"/>
      <c r="S703" s="316"/>
      <c r="T703" s="316"/>
      <c r="U703" s="316"/>
      <c r="V703" s="316"/>
      <c r="W703" s="316"/>
      <c r="X703" s="316"/>
      <c r="Y703" s="316"/>
      <c r="Z703" s="316"/>
      <c r="AA703" s="316"/>
      <c r="AB703" s="316"/>
      <c r="AC703" s="316"/>
    </row>
    <row r="704" spans="1:29" ht="15.75" customHeight="1">
      <c r="A704" s="316"/>
      <c r="B704" s="316"/>
      <c r="C704" s="316"/>
      <c r="D704" s="316"/>
      <c r="E704" s="316"/>
      <c r="F704" s="316"/>
      <c r="G704" s="321"/>
      <c r="H704" s="316"/>
      <c r="I704" s="316"/>
      <c r="J704" s="316"/>
      <c r="K704" s="316"/>
      <c r="L704" s="316"/>
      <c r="M704" s="316"/>
      <c r="N704" s="316"/>
      <c r="O704" s="316"/>
      <c r="P704" s="316"/>
      <c r="Q704" s="316"/>
      <c r="R704" s="316"/>
      <c r="S704" s="316"/>
      <c r="T704" s="316"/>
      <c r="U704" s="316"/>
      <c r="V704" s="316"/>
      <c r="W704" s="316"/>
      <c r="X704" s="316"/>
      <c r="Y704" s="316"/>
      <c r="Z704" s="316"/>
      <c r="AA704" s="316"/>
      <c r="AB704" s="316"/>
      <c r="AC704" s="316"/>
    </row>
    <row r="705" spans="1:29" ht="15.75" customHeight="1">
      <c r="A705" s="316"/>
      <c r="B705" s="316"/>
      <c r="C705" s="316"/>
      <c r="D705" s="316"/>
      <c r="E705" s="316"/>
      <c r="F705" s="316"/>
      <c r="G705" s="321"/>
      <c r="H705" s="316"/>
      <c r="I705" s="316"/>
      <c r="J705" s="316"/>
      <c r="K705" s="316"/>
      <c r="L705" s="316"/>
      <c r="M705" s="316"/>
      <c r="N705" s="316"/>
      <c r="O705" s="316"/>
      <c r="P705" s="316"/>
      <c r="Q705" s="316"/>
      <c r="R705" s="316"/>
      <c r="S705" s="316"/>
      <c r="T705" s="316"/>
      <c r="U705" s="316"/>
      <c r="V705" s="316"/>
      <c r="W705" s="316"/>
      <c r="X705" s="316"/>
      <c r="Y705" s="316"/>
      <c r="Z705" s="316"/>
      <c r="AA705" s="316"/>
      <c r="AB705" s="316"/>
      <c r="AC705" s="316"/>
    </row>
    <row r="706" spans="1:29" ht="15.75" customHeight="1">
      <c r="A706" s="316"/>
      <c r="B706" s="316"/>
      <c r="C706" s="316"/>
      <c r="D706" s="316"/>
      <c r="E706" s="316"/>
      <c r="F706" s="316"/>
      <c r="G706" s="321"/>
      <c r="H706" s="316"/>
      <c r="I706" s="316"/>
      <c r="J706" s="316"/>
      <c r="K706" s="316"/>
      <c r="L706" s="316"/>
      <c r="M706" s="316"/>
      <c r="N706" s="316"/>
      <c r="O706" s="316"/>
      <c r="P706" s="316"/>
      <c r="Q706" s="316"/>
      <c r="R706" s="316"/>
      <c r="S706" s="316"/>
      <c r="T706" s="316"/>
      <c r="U706" s="316"/>
      <c r="V706" s="316"/>
      <c r="W706" s="316"/>
      <c r="X706" s="316"/>
      <c r="Y706" s="316"/>
      <c r="Z706" s="316"/>
      <c r="AA706" s="316"/>
      <c r="AB706" s="316"/>
      <c r="AC706" s="316"/>
    </row>
    <row r="707" spans="1:29" ht="15.75" customHeight="1">
      <c r="A707" s="316"/>
      <c r="B707" s="316"/>
      <c r="C707" s="316"/>
      <c r="D707" s="316"/>
      <c r="E707" s="316"/>
      <c r="F707" s="316"/>
      <c r="G707" s="321"/>
      <c r="H707" s="316"/>
      <c r="I707" s="316"/>
      <c r="J707" s="316"/>
      <c r="K707" s="316"/>
      <c r="L707" s="316"/>
      <c r="M707" s="316"/>
      <c r="N707" s="316"/>
      <c r="O707" s="316"/>
      <c r="P707" s="316"/>
      <c r="Q707" s="316"/>
      <c r="R707" s="316"/>
      <c r="S707" s="316"/>
      <c r="T707" s="316"/>
      <c r="U707" s="316"/>
      <c r="V707" s="316"/>
      <c r="W707" s="316"/>
      <c r="X707" s="316"/>
      <c r="Y707" s="316"/>
      <c r="Z707" s="316"/>
      <c r="AA707" s="316"/>
      <c r="AB707" s="316"/>
      <c r="AC707" s="316"/>
    </row>
    <row r="708" spans="1:29" ht="15.75" customHeight="1">
      <c r="A708" s="316"/>
      <c r="B708" s="316"/>
      <c r="C708" s="316"/>
      <c r="D708" s="316"/>
      <c r="E708" s="316"/>
      <c r="F708" s="316"/>
      <c r="G708" s="321"/>
      <c r="H708" s="316"/>
      <c r="I708" s="316"/>
      <c r="J708" s="316"/>
      <c r="K708" s="316"/>
      <c r="L708" s="316"/>
      <c r="M708" s="316"/>
      <c r="N708" s="316"/>
      <c r="O708" s="316"/>
      <c r="P708" s="316"/>
      <c r="Q708" s="316"/>
      <c r="R708" s="316"/>
      <c r="S708" s="316"/>
      <c r="T708" s="316"/>
      <c r="U708" s="316"/>
      <c r="V708" s="316"/>
      <c r="W708" s="316"/>
      <c r="X708" s="316"/>
      <c r="Y708" s="316"/>
      <c r="Z708" s="316"/>
      <c r="AA708" s="316"/>
      <c r="AB708" s="316"/>
      <c r="AC708" s="316"/>
    </row>
    <row r="709" spans="1:29" ht="15.75" customHeight="1">
      <c r="A709" s="316"/>
      <c r="B709" s="316"/>
      <c r="C709" s="316"/>
      <c r="D709" s="316"/>
      <c r="E709" s="316"/>
      <c r="F709" s="316"/>
      <c r="G709" s="321"/>
      <c r="H709" s="316"/>
      <c r="I709" s="316"/>
      <c r="J709" s="316"/>
      <c r="K709" s="316"/>
      <c r="L709" s="316"/>
      <c r="M709" s="316"/>
      <c r="N709" s="316"/>
      <c r="O709" s="316"/>
      <c r="P709" s="316"/>
      <c r="Q709" s="316"/>
      <c r="R709" s="316"/>
      <c r="S709" s="316"/>
      <c r="T709" s="316"/>
      <c r="U709" s="316"/>
      <c r="V709" s="316"/>
      <c r="W709" s="316"/>
      <c r="X709" s="316"/>
      <c r="Y709" s="316"/>
      <c r="Z709" s="316"/>
      <c r="AA709" s="316"/>
      <c r="AB709" s="316"/>
      <c r="AC709" s="316"/>
    </row>
    <row r="710" spans="1:29" ht="15.75" customHeight="1">
      <c r="A710" s="316"/>
      <c r="B710" s="316"/>
      <c r="C710" s="316"/>
      <c r="D710" s="316"/>
      <c r="E710" s="316"/>
      <c r="F710" s="316"/>
      <c r="G710" s="321"/>
      <c r="H710" s="316"/>
      <c r="I710" s="316"/>
      <c r="J710" s="316"/>
      <c r="K710" s="316"/>
      <c r="L710" s="316"/>
      <c r="M710" s="316"/>
      <c r="N710" s="316"/>
      <c r="O710" s="316"/>
      <c r="P710" s="316"/>
      <c r="Q710" s="316"/>
      <c r="R710" s="316"/>
      <c r="S710" s="316"/>
      <c r="T710" s="316"/>
      <c r="U710" s="316"/>
      <c r="V710" s="316"/>
      <c r="W710" s="316"/>
      <c r="X710" s="316"/>
      <c r="Y710" s="316"/>
      <c r="Z710" s="316"/>
      <c r="AA710" s="316"/>
      <c r="AB710" s="316"/>
      <c r="AC710" s="316"/>
    </row>
    <row r="711" spans="1:29" ht="15.75" customHeight="1">
      <c r="A711" s="316"/>
      <c r="B711" s="316"/>
      <c r="C711" s="316"/>
      <c r="D711" s="316"/>
      <c r="E711" s="316"/>
      <c r="F711" s="316"/>
      <c r="G711" s="321"/>
      <c r="H711" s="316"/>
      <c r="I711" s="316"/>
      <c r="J711" s="316"/>
      <c r="K711" s="316"/>
      <c r="L711" s="316"/>
      <c r="M711" s="316"/>
      <c r="N711" s="316"/>
      <c r="O711" s="316"/>
      <c r="P711" s="316"/>
      <c r="Q711" s="316"/>
      <c r="R711" s="316"/>
      <c r="S711" s="316"/>
      <c r="T711" s="316"/>
      <c r="U711" s="316"/>
      <c r="V711" s="316"/>
      <c r="W711" s="316"/>
      <c r="X711" s="316"/>
      <c r="Y711" s="316"/>
      <c r="Z711" s="316"/>
      <c r="AA711" s="316"/>
      <c r="AB711" s="316"/>
      <c r="AC711" s="316"/>
    </row>
    <row r="712" spans="1:29" ht="15.75" customHeight="1">
      <c r="A712" s="316"/>
      <c r="B712" s="316"/>
      <c r="C712" s="316"/>
      <c r="D712" s="316"/>
      <c r="E712" s="316"/>
      <c r="F712" s="316"/>
      <c r="G712" s="321"/>
      <c r="H712" s="316"/>
      <c r="I712" s="316"/>
      <c r="J712" s="316"/>
      <c r="K712" s="316"/>
      <c r="L712" s="316"/>
      <c r="M712" s="316"/>
      <c r="N712" s="316"/>
      <c r="O712" s="316"/>
      <c r="P712" s="316"/>
      <c r="Q712" s="316"/>
      <c r="R712" s="316"/>
      <c r="S712" s="316"/>
      <c r="T712" s="316"/>
      <c r="U712" s="316"/>
      <c r="V712" s="316"/>
      <c r="W712" s="316"/>
      <c r="X712" s="316"/>
      <c r="Y712" s="316"/>
      <c r="Z712" s="316"/>
      <c r="AA712" s="316"/>
      <c r="AB712" s="316"/>
      <c r="AC712" s="316"/>
    </row>
    <row r="713" spans="1:29" ht="15.75" customHeight="1">
      <c r="A713" s="316"/>
      <c r="B713" s="316"/>
      <c r="C713" s="316"/>
      <c r="D713" s="316"/>
      <c r="E713" s="316"/>
      <c r="F713" s="316"/>
      <c r="G713" s="321"/>
      <c r="H713" s="316"/>
      <c r="I713" s="316"/>
      <c r="J713" s="316"/>
      <c r="K713" s="316"/>
      <c r="L713" s="316"/>
      <c r="M713" s="316"/>
      <c r="N713" s="316"/>
      <c r="O713" s="316"/>
      <c r="P713" s="316"/>
      <c r="Q713" s="316"/>
      <c r="R713" s="316"/>
      <c r="S713" s="316"/>
      <c r="T713" s="316"/>
      <c r="U713" s="316"/>
      <c r="V713" s="316"/>
      <c r="W713" s="316"/>
      <c r="X713" s="316"/>
      <c r="Y713" s="316"/>
      <c r="Z713" s="316"/>
      <c r="AA713" s="316"/>
      <c r="AB713" s="316"/>
      <c r="AC713" s="316"/>
    </row>
    <row r="714" spans="1:29" ht="15.75" customHeight="1">
      <c r="A714" s="316"/>
      <c r="B714" s="316"/>
      <c r="C714" s="316"/>
      <c r="D714" s="316"/>
      <c r="E714" s="316"/>
      <c r="F714" s="316"/>
      <c r="G714" s="321"/>
      <c r="H714" s="316"/>
      <c r="I714" s="316"/>
      <c r="J714" s="316"/>
      <c r="K714" s="316"/>
      <c r="L714" s="316"/>
      <c r="M714" s="316"/>
      <c r="N714" s="316"/>
      <c r="O714" s="316"/>
      <c r="P714" s="316"/>
      <c r="Q714" s="316"/>
      <c r="R714" s="316"/>
      <c r="S714" s="316"/>
      <c r="T714" s="316"/>
      <c r="U714" s="316"/>
      <c r="V714" s="316"/>
      <c r="W714" s="316"/>
      <c r="X714" s="316"/>
      <c r="Y714" s="316"/>
      <c r="Z714" s="316"/>
      <c r="AA714" s="316"/>
      <c r="AB714" s="316"/>
      <c r="AC714" s="316"/>
    </row>
    <row r="715" spans="1:29" ht="15.75" customHeight="1">
      <c r="A715" s="316"/>
      <c r="B715" s="316"/>
      <c r="C715" s="316"/>
      <c r="D715" s="316"/>
      <c r="E715" s="316"/>
      <c r="F715" s="316"/>
      <c r="G715" s="321"/>
      <c r="H715" s="316"/>
      <c r="I715" s="316"/>
      <c r="J715" s="316"/>
      <c r="K715" s="316"/>
      <c r="L715" s="316"/>
      <c r="M715" s="316"/>
      <c r="N715" s="316"/>
      <c r="O715" s="316"/>
      <c r="P715" s="316"/>
      <c r="Q715" s="316"/>
      <c r="R715" s="316"/>
      <c r="S715" s="316"/>
      <c r="T715" s="316"/>
      <c r="U715" s="316"/>
      <c r="V715" s="316"/>
      <c r="W715" s="316"/>
      <c r="X715" s="316"/>
      <c r="Y715" s="316"/>
      <c r="Z715" s="316"/>
      <c r="AA715" s="316"/>
      <c r="AB715" s="316"/>
      <c r="AC715" s="316"/>
    </row>
    <row r="716" spans="1:29" ht="15.75" customHeight="1">
      <c r="A716" s="316"/>
      <c r="B716" s="316"/>
      <c r="C716" s="316"/>
      <c r="D716" s="316"/>
      <c r="E716" s="316"/>
      <c r="F716" s="316"/>
      <c r="G716" s="321"/>
      <c r="H716" s="316"/>
      <c r="I716" s="316"/>
      <c r="J716" s="316"/>
      <c r="K716" s="316"/>
      <c r="L716" s="316"/>
      <c r="M716" s="316"/>
      <c r="N716" s="316"/>
      <c r="O716" s="316"/>
      <c r="P716" s="316"/>
      <c r="Q716" s="316"/>
      <c r="R716" s="316"/>
      <c r="S716" s="316"/>
      <c r="T716" s="316"/>
      <c r="U716" s="316"/>
      <c r="V716" s="316"/>
      <c r="W716" s="316"/>
      <c r="X716" s="316"/>
      <c r="Y716" s="316"/>
      <c r="Z716" s="316"/>
      <c r="AA716" s="316"/>
      <c r="AB716" s="316"/>
      <c r="AC716" s="316"/>
    </row>
    <row r="717" spans="1:29" ht="15.75" customHeight="1">
      <c r="A717" s="316"/>
      <c r="B717" s="316"/>
      <c r="C717" s="316"/>
      <c r="D717" s="316"/>
      <c r="E717" s="316"/>
      <c r="F717" s="316"/>
      <c r="G717" s="321"/>
      <c r="H717" s="316"/>
      <c r="I717" s="316"/>
      <c r="J717" s="316"/>
      <c r="K717" s="316"/>
      <c r="L717" s="316"/>
      <c r="M717" s="316"/>
      <c r="N717" s="316"/>
      <c r="O717" s="316"/>
      <c r="P717" s="316"/>
      <c r="Q717" s="316"/>
      <c r="R717" s="316"/>
      <c r="S717" s="316"/>
      <c r="T717" s="316"/>
      <c r="U717" s="316"/>
      <c r="V717" s="316"/>
      <c r="W717" s="316"/>
      <c r="X717" s="316"/>
      <c r="Y717" s="316"/>
      <c r="Z717" s="316"/>
      <c r="AA717" s="316"/>
      <c r="AB717" s="316"/>
      <c r="AC717" s="316"/>
    </row>
    <row r="718" spans="1:29" ht="15.75" customHeight="1">
      <c r="A718" s="316"/>
      <c r="B718" s="316"/>
      <c r="C718" s="316"/>
      <c r="D718" s="316"/>
      <c r="E718" s="316"/>
      <c r="F718" s="316"/>
      <c r="G718" s="321"/>
      <c r="H718" s="316"/>
      <c r="I718" s="316"/>
      <c r="J718" s="316"/>
      <c r="K718" s="316"/>
      <c r="L718" s="316"/>
      <c r="M718" s="316"/>
      <c r="N718" s="316"/>
      <c r="O718" s="316"/>
      <c r="P718" s="316"/>
      <c r="Q718" s="316"/>
      <c r="R718" s="316"/>
      <c r="S718" s="316"/>
      <c r="T718" s="316"/>
      <c r="U718" s="316"/>
      <c r="V718" s="316"/>
      <c r="W718" s="316"/>
      <c r="X718" s="316"/>
      <c r="Y718" s="316"/>
      <c r="Z718" s="316"/>
      <c r="AA718" s="316"/>
      <c r="AB718" s="316"/>
      <c r="AC718" s="316"/>
    </row>
    <row r="719" spans="1:29" ht="15.75" customHeight="1">
      <c r="A719" s="316"/>
      <c r="B719" s="316"/>
      <c r="C719" s="316"/>
      <c r="D719" s="316"/>
      <c r="E719" s="316"/>
      <c r="F719" s="316"/>
      <c r="G719" s="321"/>
      <c r="H719" s="316"/>
      <c r="I719" s="316"/>
      <c r="J719" s="316"/>
      <c r="K719" s="316"/>
      <c r="L719" s="316"/>
      <c r="M719" s="316"/>
      <c r="N719" s="316"/>
      <c r="O719" s="316"/>
      <c r="P719" s="316"/>
      <c r="Q719" s="316"/>
      <c r="R719" s="316"/>
      <c r="S719" s="316"/>
      <c r="T719" s="316"/>
      <c r="U719" s="316"/>
      <c r="V719" s="316"/>
      <c r="W719" s="316"/>
      <c r="X719" s="316"/>
      <c r="Y719" s="316"/>
      <c r="Z719" s="316"/>
      <c r="AA719" s="316"/>
      <c r="AB719" s="316"/>
      <c r="AC719" s="316"/>
    </row>
    <row r="720" spans="1:29" ht="15.75" customHeight="1">
      <c r="A720" s="316"/>
      <c r="B720" s="316"/>
      <c r="C720" s="316"/>
      <c r="D720" s="316"/>
      <c r="E720" s="316"/>
      <c r="F720" s="316"/>
      <c r="G720" s="321"/>
      <c r="H720" s="316"/>
      <c r="I720" s="316"/>
      <c r="J720" s="316"/>
      <c r="K720" s="316"/>
      <c r="L720" s="316"/>
      <c r="M720" s="316"/>
      <c r="N720" s="316"/>
      <c r="O720" s="316"/>
      <c r="P720" s="316"/>
      <c r="Q720" s="316"/>
      <c r="R720" s="316"/>
      <c r="S720" s="316"/>
      <c r="T720" s="316"/>
      <c r="U720" s="316"/>
      <c r="V720" s="316"/>
      <c r="W720" s="316"/>
      <c r="X720" s="316"/>
      <c r="Y720" s="316"/>
      <c r="Z720" s="316"/>
      <c r="AA720" s="316"/>
      <c r="AB720" s="316"/>
      <c r="AC720" s="316"/>
    </row>
    <row r="721" spans="1:29" ht="15.75" customHeight="1">
      <c r="A721" s="316"/>
      <c r="B721" s="316"/>
      <c r="C721" s="316"/>
      <c r="D721" s="316"/>
      <c r="E721" s="316"/>
      <c r="F721" s="316"/>
      <c r="G721" s="321"/>
      <c r="H721" s="316"/>
      <c r="I721" s="316"/>
      <c r="J721" s="316"/>
      <c r="K721" s="316"/>
      <c r="L721" s="316"/>
      <c r="M721" s="316"/>
      <c r="N721" s="316"/>
      <c r="O721" s="316"/>
      <c r="P721" s="316"/>
      <c r="Q721" s="316"/>
      <c r="R721" s="316"/>
      <c r="S721" s="316"/>
      <c r="T721" s="316"/>
      <c r="U721" s="316"/>
      <c r="V721" s="316"/>
      <c r="W721" s="316"/>
      <c r="X721" s="316"/>
      <c r="Y721" s="316"/>
      <c r="Z721" s="316"/>
      <c r="AA721" s="316"/>
      <c r="AB721" s="316"/>
      <c r="AC721" s="316"/>
    </row>
    <row r="722" spans="1:29" ht="15.75" customHeight="1">
      <c r="A722" s="316"/>
      <c r="B722" s="316"/>
      <c r="C722" s="316"/>
      <c r="D722" s="316"/>
      <c r="E722" s="316"/>
      <c r="F722" s="316"/>
      <c r="G722" s="321"/>
      <c r="H722" s="316"/>
      <c r="I722" s="316"/>
      <c r="J722" s="316"/>
      <c r="K722" s="316"/>
      <c r="L722" s="316"/>
      <c r="M722" s="316"/>
      <c r="N722" s="316"/>
      <c r="O722" s="316"/>
      <c r="P722" s="316"/>
      <c r="Q722" s="316"/>
      <c r="R722" s="316"/>
      <c r="S722" s="316"/>
      <c r="T722" s="316"/>
      <c r="U722" s="316"/>
      <c r="V722" s="316"/>
      <c r="W722" s="316"/>
      <c r="X722" s="316"/>
      <c r="Y722" s="316"/>
      <c r="Z722" s="316"/>
      <c r="AA722" s="316"/>
      <c r="AB722" s="316"/>
      <c r="AC722" s="316"/>
    </row>
    <row r="723" spans="1:29" ht="15.75" customHeight="1">
      <c r="A723" s="316"/>
      <c r="B723" s="316"/>
      <c r="C723" s="316"/>
      <c r="D723" s="316"/>
      <c r="E723" s="316"/>
      <c r="F723" s="316"/>
      <c r="G723" s="321"/>
      <c r="H723" s="316"/>
      <c r="I723" s="316"/>
      <c r="J723" s="316"/>
      <c r="K723" s="316"/>
      <c r="L723" s="316"/>
      <c r="M723" s="316"/>
      <c r="N723" s="316"/>
      <c r="O723" s="316"/>
      <c r="P723" s="316"/>
      <c r="Q723" s="316"/>
      <c r="R723" s="316"/>
      <c r="S723" s="316"/>
      <c r="T723" s="316"/>
      <c r="U723" s="316"/>
      <c r="V723" s="316"/>
      <c r="W723" s="316"/>
      <c r="X723" s="316"/>
      <c r="Y723" s="316"/>
      <c r="Z723" s="316"/>
      <c r="AA723" s="316"/>
      <c r="AB723" s="316"/>
      <c r="AC723" s="316"/>
    </row>
    <row r="724" spans="1:29" ht="15.75" customHeight="1">
      <c r="A724" s="316"/>
      <c r="B724" s="316"/>
      <c r="C724" s="316"/>
      <c r="D724" s="316"/>
      <c r="E724" s="316"/>
      <c r="F724" s="316"/>
      <c r="G724" s="321"/>
      <c r="H724" s="316"/>
      <c r="I724" s="316"/>
      <c r="J724" s="316"/>
      <c r="K724" s="316"/>
      <c r="L724" s="316"/>
      <c r="M724" s="316"/>
      <c r="N724" s="316"/>
      <c r="O724" s="316"/>
      <c r="P724" s="316"/>
      <c r="Q724" s="316"/>
      <c r="R724" s="316"/>
      <c r="S724" s="316"/>
      <c r="T724" s="316"/>
      <c r="U724" s="316"/>
      <c r="V724" s="316"/>
      <c r="W724" s="316"/>
      <c r="X724" s="316"/>
      <c r="Y724" s="316"/>
      <c r="Z724" s="316"/>
      <c r="AA724" s="316"/>
      <c r="AB724" s="316"/>
      <c r="AC724" s="316"/>
    </row>
    <row r="725" spans="1:29" ht="15.75" customHeight="1">
      <c r="A725" s="316"/>
      <c r="B725" s="316"/>
      <c r="C725" s="316"/>
      <c r="D725" s="316"/>
      <c r="E725" s="316"/>
      <c r="F725" s="316"/>
      <c r="G725" s="321"/>
      <c r="H725" s="316"/>
      <c r="I725" s="316"/>
      <c r="J725" s="316"/>
      <c r="K725" s="316"/>
      <c r="L725" s="316"/>
      <c r="M725" s="316"/>
      <c r="N725" s="316"/>
      <c r="O725" s="316"/>
      <c r="P725" s="316"/>
      <c r="Q725" s="316"/>
      <c r="R725" s="316"/>
      <c r="S725" s="316"/>
      <c r="T725" s="316"/>
      <c r="U725" s="316"/>
      <c r="V725" s="316"/>
      <c r="W725" s="316"/>
      <c r="X725" s="316"/>
      <c r="Y725" s="316"/>
      <c r="Z725" s="316"/>
      <c r="AA725" s="316"/>
      <c r="AB725" s="316"/>
      <c r="AC725" s="316"/>
    </row>
    <row r="726" spans="1:29" ht="15.75" customHeight="1">
      <c r="A726" s="316"/>
      <c r="B726" s="316"/>
      <c r="C726" s="316"/>
      <c r="D726" s="316"/>
      <c r="E726" s="316"/>
      <c r="F726" s="316"/>
      <c r="G726" s="321"/>
      <c r="H726" s="316"/>
      <c r="I726" s="316"/>
      <c r="J726" s="316"/>
      <c r="K726" s="316"/>
      <c r="L726" s="316"/>
      <c r="M726" s="316"/>
      <c r="N726" s="316"/>
      <c r="O726" s="316"/>
      <c r="P726" s="316"/>
      <c r="Q726" s="316"/>
      <c r="R726" s="316"/>
      <c r="S726" s="316"/>
      <c r="T726" s="316"/>
      <c r="U726" s="316"/>
      <c r="V726" s="316"/>
      <c r="W726" s="316"/>
      <c r="X726" s="316"/>
      <c r="Y726" s="316"/>
      <c r="Z726" s="316"/>
      <c r="AA726" s="316"/>
      <c r="AB726" s="316"/>
      <c r="AC726" s="316"/>
    </row>
    <row r="727" spans="1:29" ht="15.75" customHeight="1">
      <c r="A727" s="316"/>
      <c r="B727" s="316"/>
      <c r="C727" s="316"/>
      <c r="D727" s="316"/>
      <c r="E727" s="316"/>
      <c r="F727" s="316"/>
      <c r="G727" s="321"/>
      <c r="H727" s="316"/>
      <c r="I727" s="316"/>
      <c r="J727" s="316"/>
      <c r="K727" s="316"/>
      <c r="L727" s="316"/>
      <c r="M727" s="316"/>
      <c r="N727" s="316"/>
      <c r="O727" s="316"/>
      <c r="P727" s="316"/>
      <c r="Q727" s="316"/>
      <c r="R727" s="316"/>
      <c r="S727" s="316"/>
      <c r="T727" s="316"/>
      <c r="U727" s="316"/>
      <c r="V727" s="316"/>
      <c r="W727" s="316"/>
      <c r="X727" s="316"/>
      <c r="Y727" s="316"/>
      <c r="Z727" s="316"/>
      <c r="AA727" s="316"/>
      <c r="AB727" s="316"/>
      <c r="AC727" s="316"/>
    </row>
    <row r="728" spans="1:29" ht="15.75" customHeight="1">
      <c r="A728" s="316"/>
      <c r="B728" s="316"/>
      <c r="C728" s="316"/>
      <c r="D728" s="316"/>
      <c r="E728" s="316"/>
      <c r="F728" s="316"/>
      <c r="G728" s="321"/>
      <c r="H728" s="316"/>
      <c r="I728" s="316"/>
      <c r="J728" s="316"/>
      <c r="K728" s="316"/>
      <c r="L728" s="316"/>
      <c r="M728" s="316"/>
      <c r="N728" s="316"/>
      <c r="O728" s="316"/>
      <c r="P728" s="316"/>
      <c r="Q728" s="316"/>
      <c r="R728" s="316"/>
      <c r="S728" s="316"/>
      <c r="T728" s="316"/>
      <c r="U728" s="316"/>
      <c r="V728" s="316"/>
      <c r="W728" s="316"/>
      <c r="X728" s="316"/>
      <c r="Y728" s="316"/>
      <c r="Z728" s="316"/>
      <c r="AA728" s="316"/>
      <c r="AB728" s="316"/>
      <c r="AC728" s="316"/>
    </row>
    <row r="729" spans="1:29" ht="15.75" customHeight="1">
      <c r="A729" s="316"/>
      <c r="B729" s="316"/>
      <c r="C729" s="316"/>
      <c r="D729" s="316"/>
      <c r="E729" s="316"/>
      <c r="F729" s="316"/>
      <c r="G729" s="321"/>
      <c r="H729" s="316"/>
      <c r="I729" s="316"/>
      <c r="J729" s="316"/>
      <c r="K729" s="316"/>
      <c r="L729" s="316"/>
      <c r="M729" s="316"/>
      <c r="N729" s="316"/>
      <c r="O729" s="316"/>
      <c r="P729" s="316"/>
      <c r="Q729" s="316"/>
      <c r="R729" s="316"/>
      <c r="S729" s="316"/>
      <c r="T729" s="316"/>
      <c r="U729" s="316"/>
      <c r="V729" s="316"/>
      <c r="W729" s="316"/>
      <c r="X729" s="316"/>
      <c r="Y729" s="316"/>
      <c r="Z729" s="316"/>
      <c r="AA729" s="316"/>
      <c r="AB729" s="316"/>
      <c r="AC729" s="316"/>
    </row>
    <row r="730" spans="1:29" ht="15.75" customHeight="1">
      <c r="A730" s="316"/>
      <c r="B730" s="316"/>
      <c r="C730" s="316"/>
      <c r="D730" s="316"/>
      <c r="E730" s="316"/>
      <c r="F730" s="316"/>
      <c r="G730" s="321"/>
      <c r="H730" s="316"/>
      <c r="I730" s="316"/>
      <c r="J730" s="316"/>
      <c r="K730" s="316"/>
      <c r="L730" s="316"/>
      <c r="M730" s="316"/>
      <c r="N730" s="316"/>
      <c r="O730" s="316"/>
      <c r="P730" s="316"/>
      <c r="Q730" s="316"/>
      <c r="R730" s="316"/>
      <c r="S730" s="316"/>
      <c r="T730" s="316"/>
      <c r="U730" s="316"/>
      <c r="V730" s="316"/>
      <c r="W730" s="316"/>
      <c r="X730" s="316"/>
      <c r="Y730" s="316"/>
      <c r="Z730" s="316"/>
      <c r="AA730" s="316"/>
      <c r="AB730" s="316"/>
      <c r="AC730" s="316"/>
    </row>
    <row r="731" spans="1:29" ht="15.75" customHeight="1">
      <c r="A731" s="316"/>
      <c r="B731" s="316"/>
      <c r="C731" s="316"/>
      <c r="D731" s="316"/>
      <c r="E731" s="316"/>
      <c r="F731" s="316"/>
      <c r="G731" s="321"/>
      <c r="H731" s="316"/>
      <c r="I731" s="316"/>
      <c r="J731" s="316"/>
      <c r="K731" s="316"/>
      <c r="L731" s="316"/>
      <c r="M731" s="316"/>
      <c r="N731" s="316"/>
      <c r="O731" s="316"/>
      <c r="P731" s="316"/>
      <c r="Q731" s="316"/>
      <c r="R731" s="316"/>
      <c r="S731" s="316"/>
      <c r="T731" s="316"/>
      <c r="U731" s="316"/>
      <c r="V731" s="316"/>
      <c r="W731" s="316"/>
      <c r="X731" s="316"/>
      <c r="Y731" s="316"/>
      <c r="Z731" s="316"/>
      <c r="AA731" s="316"/>
      <c r="AB731" s="316"/>
      <c r="AC731" s="316"/>
    </row>
    <row r="732" spans="1:29" ht="15.75" customHeight="1">
      <c r="A732" s="316"/>
      <c r="B732" s="316"/>
      <c r="C732" s="316"/>
      <c r="D732" s="316"/>
      <c r="E732" s="316"/>
      <c r="F732" s="316"/>
      <c r="G732" s="321"/>
      <c r="H732" s="316"/>
      <c r="I732" s="316"/>
      <c r="J732" s="316"/>
      <c r="K732" s="316"/>
      <c r="L732" s="316"/>
      <c r="M732" s="316"/>
      <c r="N732" s="316"/>
      <c r="O732" s="316"/>
      <c r="P732" s="316"/>
      <c r="Q732" s="316"/>
      <c r="R732" s="316"/>
      <c r="S732" s="316"/>
      <c r="T732" s="316"/>
      <c r="U732" s="316"/>
      <c r="V732" s="316"/>
      <c r="W732" s="316"/>
      <c r="X732" s="316"/>
      <c r="Y732" s="316"/>
      <c r="Z732" s="316"/>
      <c r="AA732" s="316"/>
      <c r="AB732" s="316"/>
      <c r="AC732" s="316"/>
    </row>
    <row r="733" spans="1:29" ht="15.75" customHeight="1">
      <c r="A733" s="316"/>
      <c r="B733" s="316"/>
      <c r="C733" s="316"/>
      <c r="D733" s="316"/>
      <c r="E733" s="316"/>
      <c r="F733" s="316"/>
      <c r="G733" s="321"/>
      <c r="H733" s="316"/>
      <c r="I733" s="316"/>
      <c r="J733" s="316"/>
      <c r="K733" s="316"/>
      <c r="L733" s="316"/>
      <c r="M733" s="316"/>
      <c r="N733" s="316"/>
      <c r="O733" s="316"/>
      <c r="P733" s="316"/>
      <c r="Q733" s="316"/>
      <c r="R733" s="316"/>
      <c r="S733" s="316"/>
      <c r="T733" s="316"/>
      <c r="U733" s="316"/>
      <c r="V733" s="316"/>
      <c r="W733" s="316"/>
      <c r="X733" s="316"/>
      <c r="Y733" s="316"/>
      <c r="Z733" s="316"/>
      <c r="AA733" s="316"/>
      <c r="AB733" s="316"/>
      <c r="AC733" s="316"/>
    </row>
    <row r="734" spans="1:29" ht="15.75" customHeight="1">
      <c r="A734" s="316"/>
      <c r="B734" s="316"/>
      <c r="C734" s="316"/>
      <c r="D734" s="316"/>
      <c r="E734" s="316"/>
      <c r="F734" s="316"/>
      <c r="G734" s="321"/>
      <c r="H734" s="316"/>
      <c r="I734" s="316"/>
      <c r="J734" s="316"/>
      <c r="K734" s="316"/>
      <c r="L734" s="316"/>
      <c r="M734" s="316"/>
      <c r="N734" s="316"/>
      <c r="O734" s="316"/>
      <c r="P734" s="316"/>
      <c r="Q734" s="316"/>
      <c r="R734" s="316"/>
      <c r="S734" s="316"/>
      <c r="T734" s="316"/>
      <c r="U734" s="316"/>
      <c r="V734" s="316"/>
      <c r="W734" s="316"/>
      <c r="X734" s="316"/>
      <c r="Y734" s="316"/>
      <c r="Z734" s="316"/>
      <c r="AA734" s="316"/>
      <c r="AB734" s="316"/>
      <c r="AC734" s="316"/>
    </row>
    <row r="735" spans="1:29" ht="15.75" customHeight="1">
      <c r="A735" s="316"/>
      <c r="B735" s="316"/>
      <c r="C735" s="316"/>
      <c r="D735" s="316"/>
      <c r="E735" s="316"/>
      <c r="F735" s="316"/>
      <c r="G735" s="321"/>
      <c r="H735" s="316"/>
      <c r="I735" s="316"/>
      <c r="J735" s="316"/>
      <c r="K735" s="316"/>
      <c r="L735" s="316"/>
      <c r="M735" s="316"/>
      <c r="N735" s="316"/>
      <c r="O735" s="316"/>
      <c r="P735" s="316"/>
      <c r="Q735" s="316"/>
      <c r="R735" s="316"/>
      <c r="S735" s="316"/>
      <c r="T735" s="316"/>
      <c r="U735" s="316"/>
      <c r="V735" s="316"/>
      <c r="W735" s="316"/>
      <c r="X735" s="316"/>
      <c r="Y735" s="316"/>
      <c r="Z735" s="316"/>
      <c r="AA735" s="316"/>
      <c r="AB735" s="316"/>
      <c r="AC735" s="316"/>
    </row>
    <row r="736" spans="1:29" ht="15.75" customHeight="1">
      <c r="A736" s="316"/>
      <c r="B736" s="316"/>
      <c r="C736" s="316"/>
      <c r="D736" s="316"/>
      <c r="E736" s="316"/>
      <c r="F736" s="316"/>
      <c r="G736" s="321"/>
      <c r="H736" s="316"/>
      <c r="I736" s="316"/>
      <c r="J736" s="316"/>
      <c r="K736" s="316"/>
      <c r="L736" s="316"/>
      <c r="M736" s="316"/>
      <c r="N736" s="316"/>
      <c r="O736" s="316"/>
      <c r="P736" s="316"/>
      <c r="Q736" s="316"/>
      <c r="R736" s="316"/>
      <c r="S736" s="316"/>
      <c r="T736" s="316"/>
      <c r="U736" s="316"/>
      <c r="V736" s="316"/>
      <c r="W736" s="316"/>
      <c r="X736" s="316"/>
      <c r="Y736" s="316"/>
      <c r="Z736" s="316"/>
      <c r="AA736" s="316"/>
      <c r="AB736" s="316"/>
      <c r="AC736" s="316"/>
    </row>
    <row r="737" spans="1:29" ht="15.75" customHeight="1">
      <c r="A737" s="316"/>
      <c r="B737" s="316"/>
      <c r="C737" s="316"/>
      <c r="D737" s="316"/>
      <c r="E737" s="316"/>
      <c r="F737" s="316"/>
      <c r="G737" s="321"/>
      <c r="H737" s="316"/>
      <c r="I737" s="316"/>
      <c r="J737" s="316"/>
      <c r="K737" s="316"/>
      <c r="L737" s="316"/>
      <c r="M737" s="316"/>
      <c r="N737" s="316"/>
      <c r="O737" s="316"/>
      <c r="P737" s="316"/>
      <c r="Q737" s="316"/>
      <c r="R737" s="316"/>
      <c r="S737" s="316"/>
      <c r="T737" s="316"/>
      <c r="U737" s="316"/>
      <c r="V737" s="316"/>
      <c r="W737" s="316"/>
      <c r="X737" s="316"/>
      <c r="Y737" s="316"/>
      <c r="Z737" s="316"/>
      <c r="AA737" s="316"/>
      <c r="AB737" s="316"/>
      <c r="AC737" s="316"/>
    </row>
    <row r="738" spans="1:29" ht="15.75" customHeight="1">
      <c r="A738" s="316"/>
      <c r="B738" s="316"/>
      <c r="C738" s="316"/>
      <c r="D738" s="316"/>
      <c r="E738" s="316"/>
      <c r="F738" s="316"/>
      <c r="G738" s="321"/>
      <c r="H738" s="316"/>
      <c r="I738" s="316"/>
      <c r="J738" s="316"/>
      <c r="K738" s="316"/>
      <c r="L738" s="316"/>
      <c r="M738" s="316"/>
      <c r="N738" s="316"/>
      <c r="O738" s="316"/>
      <c r="P738" s="316"/>
      <c r="Q738" s="316"/>
      <c r="R738" s="316"/>
      <c r="S738" s="316"/>
      <c r="T738" s="316"/>
      <c r="U738" s="316"/>
      <c r="V738" s="316"/>
      <c r="W738" s="316"/>
      <c r="X738" s="316"/>
      <c r="Y738" s="316"/>
      <c r="Z738" s="316"/>
      <c r="AA738" s="316"/>
      <c r="AB738" s="316"/>
      <c r="AC738" s="316"/>
    </row>
    <row r="739" spans="1:29" ht="15.75" customHeight="1">
      <c r="A739" s="316"/>
      <c r="B739" s="316"/>
      <c r="C739" s="316"/>
      <c r="D739" s="316"/>
      <c r="E739" s="316"/>
      <c r="F739" s="316"/>
      <c r="G739" s="321"/>
      <c r="H739" s="316"/>
      <c r="I739" s="316"/>
      <c r="J739" s="316"/>
      <c r="K739" s="316"/>
      <c r="L739" s="316"/>
      <c r="M739" s="316"/>
      <c r="N739" s="316"/>
      <c r="O739" s="316"/>
      <c r="P739" s="316"/>
      <c r="Q739" s="316"/>
      <c r="R739" s="316"/>
      <c r="S739" s="316"/>
      <c r="T739" s="316"/>
      <c r="U739" s="316"/>
      <c r="V739" s="316"/>
      <c r="W739" s="316"/>
      <c r="X739" s="316"/>
      <c r="Y739" s="316"/>
      <c r="Z739" s="316"/>
      <c r="AA739" s="316"/>
      <c r="AB739" s="316"/>
      <c r="AC739" s="316"/>
    </row>
    <row r="740" spans="1:29" ht="15.75" customHeight="1">
      <c r="A740" s="316"/>
      <c r="B740" s="316"/>
      <c r="C740" s="316"/>
      <c r="D740" s="316"/>
      <c r="E740" s="316"/>
      <c r="F740" s="316"/>
      <c r="G740" s="321"/>
      <c r="H740" s="316"/>
      <c r="I740" s="316"/>
      <c r="J740" s="316"/>
      <c r="K740" s="316"/>
      <c r="L740" s="316"/>
      <c r="M740" s="316"/>
      <c r="N740" s="316"/>
      <c r="O740" s="316"/>
      <c r="P740" s="316"/>
      <c r="Q740" s="316"/>
      <c r="R740" s="316"/>
      <c r="S740" s="316"/>
      <c r="T740" s="316"/>
      <c r="U740" s="316"/>
      <c r="V740" s="316"/>
      <c r="W740" s="316"/>
      <c r="X740" s="316"/>
      <c r="Y740" s="316"/>
      <c r="Z740" s="316"/>
      <c r="AA740" s="316"/>
      <c r="AB740" s="316"/>
      <c r="AC740" s="316"/>
    </row>
    <row r="741" spans="1:29" ht="15.75" customHeight="1">
      <c r="A741" s="316"/>
      <c r="B741" s="316"/>
      <c r="C741" s="316"/>
      <c r="D741" s="316"/>
      <c r="E741" s="316"/>
      <c r="F741" s="316"/>
      <c r="G741" s="321"/>
      <c r="H741" s="316"/>
      <c r="I741" s="316"/>
      <c r="J741" s="316"/>
      <c r="K741" s="316"/>
      <c r="L741" s="316"/>
      <c r="M741" s="316"/>
      <c r="N741" s="316"/>
      <c r="O741" s="316"/>
      <c r="P741" s="316"/>
      <c r="Q741" s="316"/>
      <c r="R741" s="316"/>
      <c r="S741" s="316"/>
      <c r="T741" s="316"/>
      <c r="U741" s="316"/>
      <c r="V741" s="316"/>
      <c r="W741" s="316"/>
      <c r="X741" s="316"/>
      <c r="Y741" s="316"/>
      <c r="Z741" s="316"/>
      <c r="AA741" s="316"/>
      <c r="AB741" s="316"/>
      <c r="AC741" s="316"/>
    </row>
    <row r="742" spans="1:29" ht="15.75" customHeight="1">
      <c r="A742" s="316"/>
      <c r="B742" s="316"/>
      <c r="C742" s="316"/>
      <c r="D742" s="316"/>
      <c r="E742" s="316"/>
      <c r="F742" s="316"/>
      <c r="G742" s="321"/>
      <c r="H742" s="316"/>
      <c r="I742" s="316"/>
      <c r="J742" s="316"/>
      <c r="K742" s="316"/>
      <c r="L742" s="316"/>
      <c r="M742" s="316"/>
      <c r="N742" s="316"/>
      <c r="O742" s="316"/>
      <c r="P742" s="316"/>
      <c r="Q742" s="316"/>
      <c r="R742" s="316"/>
      <c r="S742" s="316"/>
      <c r="T742" s="316"/>
      <c r="U742" s="316"/>
      <c r="V742" s="316"/>
      <c r="W742" s="316"/>
      <c r="X742" s="316"/>
      <c r="Y742" s="316"/>
      <c r="Z742" s="316"/>
      <c r="AA742" s="316"/>
      <c r="AB742" s="316"/>
      <c r="AC742" s="316"/>
    </row>
    <row r="743" spans="1:29" ht="15.75" customHeight="1">
      <c r="A743" s="316"/>
      <c r="B743" s="316"/>
      <c r="C743" s="316"/>
      <c r="D743" s="316"/>
      <c r="E743" s="316"/>
      <c r="F743" s="316"/>
      <c r="G743" s="321"/>
      <c r="H743" s="316"/>
      <c r="I743" s="316"/>
      <c r="J743" s="316"/>
      <c r="K743" s="316"/>
      <c r="L743" s="316"/>
      <c r="M743" s="316"/>
      <c r="N743" s="316"/>
      <c r="O743" s="316"/>
      <c r="P743" s="316"/>
      <c r="Q743" s="316"/>
      <c r="R743" s="316"/>
      <c r="S743" s="316"/>
      <c r="T743" s="316"/>
      <c r="U743" s="316"/>
      <c r="V743" s="316"/>
      <c r="W743" s="316"/>
      <c r="X743" s="316"/>
      <c r="Y743" s="316"/>
      <c r="Z743" s="316"/>
      <c r="AA743" s="316"/>
      <c r="AB743" s="316"/>
      <c r="AC743" s="316"/>
    </row>
    <row r="744" spans="1:29" ht="15.75" customHeight="1">
      <c r="A744" s="316"/>
      <c r="B744" s="316"/>
      <c r="C744" s="316"/>
      <c r="D744" s="316"/>
      <c r="E744" s="316"/>
      <c r="F744" s="316"/>
      <c r="G744" s="321"/>
      <c r="H744" s="316"/>
      <c r="I744" s="316"/>
      <c r="J744" s="316"/>
      <c r="K744" s="316"/>
      <c r="L744" s="316"/>
      <c r="M744" s="316"/>
      <c r="N744" s="316"/>
      <c r="O744" s="316"/>
      <c r="P744" s="316"/>
      <c r="Q744" s="316"/>
      <c r="R744" s="316"/>
      <c r="S744" s="316"/>
      <c r="T744" s="316"/>
      <c r="U744" s="316"/>
      <c r="V744" s="316"/>
      <c r="W744" s="316"/>
      <c r="X744" s="316"/>
      <c r="Y744" s="316"/>
      <c r="Z744" s="316"/>
      <c r="AA744" s="316"/>
      <c r="AB744" s="316"/>
      <c r="AC744" s="316"/>
    </row>
    <row r="745" spans="1:29" ht="15.75" customHeight="1">
      <c r="A745" s="316"/>
      <c r="B745" s="316"/>
      <c r="C745" s="316"/>
      <c r="D745" s="316"/>
      <c r="E745" s="316"/>
      <c r="F745" s="316"/>
      <c r="G745" s="321"/>
      <c r="H745" s="316"/>
      <c r="I745" s="316"/>
      <c r="J745" s="316"/>
      <c r="K745" s="316"/>
      <c r="L745" s="316"/>
      <c r="M745" s="316"/>
      <c r="N745" s="316"/>
      <c r="O745" s="316"/>
      <c r="P745" s="316"/>
      <c r="Q745" s="316"/>
      <c r="R745" s="316"/>
      <c r="S745" s="316"/>
      <c r="T745" s="316"/>
      <c r="U745" s="316"/>
      <c r="V745" s="316"/>
      <c r="W745" s="316"/>
      <c r="X745" s="316"/>
      <c r="Y745" s="316"/>
      <c r="Z745" s="316"/>
      <c r="AA745" s="316"/>
      <c r="AB745" s="316"/>
      <c r="AC745" s="316"/>
    </row>
    <row r="746" spans="1:29" ht="15.75" customHeight="1">
      <c r="A746" s="316"/>
      <c r="B746" s="316"/>
      <c r="C746" s="316"/>
      <c r="D746" s="316"/>
      <c r="E746" s="316"/>
      <c r="F746" s="316"/>
      <c r="G746" s="321"/>
      <c r="H746" s="316"/>
      <c r="I746" s="316"/>
      <c r="J746" s="316"/>
      <c r="K746" s="316"/>
      <c r="L746" s="316"/>
      <c r="M746" s="316"/>
      <c r="N746" s="316"/>
      <c r="O746" s="316"/>
      <c r="P746" s="316"/>
      <c r="Q746" s="316"/>
      <c r="R746" s="316"/>
      <c r="S746" s="316"/>
      <c r="T746" s="316"/>
      <c r="U746" s="316"/>
      <c r="V746" s="316"/>
      <c r="W746" s="316"/>
      <c r="X746" s="316"/>
      <c r="Y746" s="316"/>
      <c r="Z746" s="316"/>
      <c r="AA746" s="316"/>
      <c r="AB746" s="316"/>
      <c r="AC746" s="316"/>
    </row>
    <row r="747" spans="1:29" ht="15.75" customHeight="1">
      <c r="A747" s="316"/>
      <c r="B747" s="316"/>
      <c r="C747" s="316"/>
      <c r="D747" s="316"/>
      <c r="E747" s="316"/>
      <c r="F747" s="316"/>
      <c r="G747" s="321"/>
      <c r="H747" s="316"/>
      <c r="I747" s="316"/>
      <c r="J747" s="316"/>
      <c r="K747" s="316"/>
      <c r="L747" s="316"/>
      <c r="M747" s="316"/>
      <c r="N747" s="316"/>
      <c r="O747" s="316"/>
      <c r="P747" s="316"/>
      <c r="Q747" s="316"/>
      <c r="R747" s="316"/>
      <c r="S747" s="316"/>
      <c r="T747" s="316"/>
      <c r="U747" s="316"/>
      <c r="V747" s="316"/>
      <c r="W747" s="316"/>
      <c r="X747" s="316"/>
      <c r="Y747" s="316"/>
      <c r="Z747" s="316"/>
      <c r="AA747" s="316"/>
      <c r="AB747" s="316"/>
      <c r="AC747" s="316"/>
    </row>
    <row r="748" spans="1:29" ht="15.75" customHeight="1">
      <c r="A748" s="316"/>
      <c r="B748" s="316"/>
      <c r="C748" s="316"/>
      <c r="D748" s="316"/>
      <c r="E748" s="316"/>
      <c r="F748" s="316"/>
      <c r="G748" s="321"/>
      <c r="H748" s="316"/>
      <c r="I748" s="316"/>
      <c r="J748" s="316"/>
      <c r="K748" s="316"/>
      <c r="L748" s="316"/>
      <c r="M748" s="316"/>
      <c r="N748" s="316"/>
      <c r="O748" s="316"/>
      <c r="P748" s="316"/>
      <c r="Q748" s="316"/>
      <c r="R748" s="316"/>
      <c r="S748" s="316"/>
      <c r="T748" s="316"/>
      <c r="U748" s="316"/>
      <c r="V748" s="316"/>
      <c r="W748" s="316"/>
      <c r="X748" s="316"/>
      <c r="Y748" s="316"/>
      <c r="Z748" s="316"/>
      <c r="AA748" s="316"/>
      <c r="AB748" s="316"/>
      <c r="AC748" s="316"/>
    </row>
    <row r="749" spans="1:29" ht="15.75" customHeight="1">
      <c r="A749" s="316"/>
      <c r="B749" s="316"/>
      <c r="C749" s="316"/>
      <c r="D749" s="316"/>
      <c r="E749" s="316"/>
      <c r="F749" s="316"/>
      <c r="G749" s="321"/>
      <c r="H749" s="316"/>
      <c r="I749" s="316"/>
      <c r="J749" s="316"/>
      <c r="K749" s="316"/>
      <c r="L749" s="316"/>
      <c r="M749" s="316"/>
      <c r="N749" s="316"/>
      <c r="O749" s="316"/>
      <c r="P749" s="316"/>
      <c r="Q749" s="316"/>
      <c r="R749" s="316"/>
      <c r="S749" s="316"/>
      <c r="T749" s="316"/>
      <c r="U749" s="316"/>
      <c r="V749" s="316"/>
      <c r="W749" s="316"/>
      <c r="X749" s="316"/>
      <c r="Y749" s="316"/>
      <c r="Z749" s="316"/>
      <c r="AA749" s="316"/>
      <c r="AB749" s="316"/>
      <c r="AC749" s="316"/>
    </row>
    <row r="750" spans="1:29" ht="15.75" customHeight="1">
      <c r="A750" s="316"/>
      <c r="B750" s="316"/>
      <c r="C750" s="316"/>
      <c r="D750" s="316"/>
      <c r="E750" s="316"/>
      <c r="F750" s="316"/>
      <c r="G750" s="321"/>
      <c r="H750" s="316"/>
      <c r="I750" s="316"/>
      <c r="J750" s="316"/>
      <c r="K750" s="316"/>
      <c r="L750" s="316"/>
      <c r="M750" s="316"/>
      <c r="N750" s="316"/>
      <c r="O750" s="316"/>
      <c r="P750" s="316"/>
      <c r="Q750" s="316"/>
      <c r="R750" s="316"/>
      <c r="S750" s="316"/>
      <c r="T750" s="316"/>
      <c r="U750" s="316"/>
      <c r="V750" s="316"/>
      <c r="W750" s="316"/>
      <c r="X750" s="316"/>
      <c r="Y750" s="316"/>
      <c r="Z750" s="316"/>
      <c r="AA750" s="316"/>
      <c r="AB750" s="316"/>
      <c r="AC750" s="316"/>
    </row>
    <row r="751" spans="1:29" ht="15.75" customHeight="1">
      <c r="A751" s="316"/>
      <c r="B751" s="316"/>
      <c r="C751" s="316"/>
      <c r="D751" s="316"/>
      <c r="E751" s="316"/>
      <c r="F751" s="316"/>
      <c r="G751" s="321"/>
      <c r="H751" s="316"/>
      <c r="I751" s="316"/>
      <c r="J751" s="316"/>
      <c r="K751" s="316"/>
      <c r="L751" s="316"/>
      <c r="M751" s="316"/>
      <c r="N751" s="316"/>
      <c r="O751" s="316"/>
      <c r="P751" s="316"/>
      <c r="Q751" s="316"/>
      <c r="R751" s="316"/>
      <c r="S751" s="316"/>
      <c r="T751" s="316"/>
      <c r="U751" s="316"/>
      <c r="V751" s="316"/>
      <c r="W751" s="316"/>
      <c r="X751" s="316"/>
      <c r="Y751" s="316"/>
      <c r="Z751" s="316"/>
      <c r="AA751" s="316"/>
      <c r="AB751" s="316"/>
      <c r="AC751" s="316"/>
    </row>
    <row r="752" spans="1:29" ht="15.75" customHeight="1">
      <c r="A752" s="316"/>
      <c r="B752" s="316"/>
      <c r="C752" s="316"/>
      <c r="D752" s="316"/>
      <c r="E752" s="316"/>
      <c r="F752" s="316"/>
      <c r="G752" s="321"/>
      <c r="H752" s="316"/>
      <c r="I752" s="316"/>
      <c r="J752" s="316"/>
      <c r="K752" s="316"/>
      <c r="L752" s="316"/>
      <c r="M752" s="316"/>
      <c r="N752" s="316"/>
      <c r="O752" s="316"/>
      <c r="P752" s="316"/>
      <c r="Q752" s="316"/>
      <c r="R752" s="316"/>
      <c r="S752" s="316"/>
      <c r="T752" s="316"/>
      <c r="U752" s="316"/>
      <c r="V752" s="316"/>
      <c r="W752" s="316"/>
      <c r="X752" s="316"/>
      <c r="Y752" s="316"/>
      <c r="Z752" s="316"/>
      <c r="AA752" s="316"/>
      <c r="AB752" s="316"/>
      <c r="AC752" s="316"/>
    </row>
    <row r="753" spans="1:29" ht="15.75" customHeight="1">
      <c r="A753" s="316"/>
      <c r="B753" s="316"/>
      <c r="C753" s="316"/>
      <c r="D753" s="316"/>
      <c r="E753" s="316"/>
      <c r="F753" s="316"/>
      <c r="G753" s="321"/>
      <c r="H753" s="316"/>
      <c r="I753" s="316"/>
      <c r="J753" s="316"/>
      <c r="K753" s="316"/>
      <c r="L753" s="316"/>
      <c r="M753" s="316"/>
      <c r="N753" s="316"/>
      <c r="O753" s="316"/>
      <c r="P753" s="316"/>
      <c r="Q753" s="316"/>
      <c r="R753" s="316"/>
      <c r="S753" s="316"/>
      <c r="T753" s="316"/>
      <c r="U753" s="316"/>
      <c r="V753" s="316"/>
      <c r="W753" s="316"/>
      <c r="X753" s="316"/>
      <c r="Y753" s="316"/>
      <c r="Z753" s="316"/>
      <c r="AA753" s="316"/>
      <c r="AB753" s="316"/>
      <c r="AC753" s="316"/>
    </row>
    <row r="754" spans="1:29" ht="15.75" customHeight="1">
      <c r="A754" s="316"/>
      <c r="B754" s="316"/>
      <c r="C754" s="316"/>
      <c r="D754" s="316"/>
      <c r="E754" s="316"/>
      <c r="F754" s="316"/>
      <c r="G754" s="321"/>
      <c r="H754" s="316"/>
      <c r="I754" s="316"/>
      <c r="J754" s="316"/>
      <c r="K754" s="316"/>
      <c r="L754" s="316"/>
      <c r="M754" s="316"/>
      <c r="N754" s="316"/>
      <c r="O754" s="316"/>
      <c r="P754" s="316"/>
      <c r="Q754" s="316"/>
      <c r="R754" s="316"/>
      <c r="S754" s="316"/>
      <c r="T754" s="316"/>
      <c r="U754" s="316"/>
      <c r="V754" s="316"/>
      <c r="W754" s="316"/>
      <c r="X754" s="316"/>
      <c r="Y754" s="316"/>
      <c r="Z754" s="316"/>
      <c r="AA754" s="316"/>
      <c r="AB754" s="316"/>
      <c r="AC754" s="316"/>
    </row>
    <row r="755" spans="1:29" ht="15.75" customHeight="1">
      <c r="A755" s="316"/>
      <c r="B755" s="316"/>
      <c r="C755" s="316"/>
      <c r="D755" s="316"/>
      <c r="E755" s="316"/>
      <c r="F755" s="316"/>
      <c r="G755" s="321"/>
      <c r="H755" s="316"/>
      <c r="I755" s="316"/>
      <c r="J755" s="316"/>
      <c r="K755" s="316"/>
      <c r="L755" s="316"/>
      <c r="M755" s="316"/>
      <c r="N755" s="316"/>
      <c r="O755" s="316"/>
      <c r="P755" s="316"/>
      <c r="Q755" s="316"/>
      <c r="R755" s="316"/>
      <c r="S755" s="316"/>
      <c r="T755" s="316"/>
      <c r="U755" s="316"/>
      <c r="V755" s="316"/>
      <c r="W755" s="316"/>
      <c r="X755" s="316"/>
      <c r="Y755" s="316"/>
      <c r="Z755" s="316"/>
      <c r="AA755" s="316"/>
      <c r="AB755" s="316"/>
      <c r="AC755" s="316"/>
    </row>
    <row r="756" spans="1:29" ht="15.75" customHeight="1">
      <c r="A756" s="316"/>
      <c r="B756" s="316"/>
      <c r="C756" s="316"/>
      <c r="D756" s="316"/>
      <c r="E756" s="316"/>
      <c r="F756" s="316"/>
      <c r="G756" s="321"/>
      <c r="H756" s="316"/>
      <c r="I756" s="316"/>
      <c r="J756" s="316"/>
      <c r="K756" s="316"/>
      <c r="L756" s="316"/>
      <c r="M756" s="316"/>
      <c r="N756" s="316"/>
      <c r="O756" s="316"/>
      <c r="P756" s="316"/>
      <c r="Q756" s="316"/>
      <c r="R756" s="316"/>
      <c r="S756" s="316"/>
      <c r="T756" s="316"/>
      <c r="U756" s="316"/>
      <c r="V756" s="316"/>
      <c r="W756" s="316"/>
      <c r="X756" s="316"/>
      <c r="Y756" s="316"/>
      <c r="Z756" s="316"/>
      <c r="AA756" s="316"/>
      <c r="AB756" s="316"/>
      <c r="AC756" s="316"/>
    </row>
    <row r="757" spans="1:29" ht="15.75" customHeight="1">
      <c r="A757" s="316"/>
      <c r="B757" s="316"/>
      <c r="C757" s="316"/>
      <c r="D757" s="316"/>
      <c r="E757" s="316"/>
      <c r="F757" s="316"/>
      <c r="G757" s="321"/>
      <c r="H757" s="316"/>
      <c r="I757" s="316"/>
      <c r="J757" s="316"/>
      <c r="K757" s="316"/>
      <c r="L757" s="316"/>
      <c r="M757" s="316"/>
      <c r="N757" s="316"/>
      <c r="O757" s="316"/>
      <c r="P757" s="316"/>
      <c r="Q757" s="316"/>
      <c r="R757" s="316"/>
      <c r="S757" s="316"/>
      <c r="T757" s="316"/>
      <c r="U757" s="316"/>
      <c r="V757" s="316"/>
      <c r="W757" s="316"/>
      <c r="X757" s="316"/>
      <c r="Y757" s="316"/>
      <c r="Z757" s="316"/>
      <c r="AA757" s="316"/>
      <c r="AB757" s="316"/>
      <c r="AC757" s="316"/>
    </row>
    <row r="758" spans="1:29" ht="15.75" customHeight="1">
      <c r="A758" s="316"/>
      <c r="B758" s="316"/>
      <c r="C758" s="316"/>
      <c r="D758" s="316"/>
      <c r="E758" s="316"/>
      <c r="F758" s="316"/>
      <c r="G758" s="321"/>
      <c r="H758" s="316"/>
      <c r="I758" s="316"/>
      <c r="J758" s="316"/>
      <c r="K758" s="316"/>
      <c r="L758" s="316"/>
      <c r="M758" s="316"/>
      <c r="N758" s="316"/>
      <c r="O758" s="316"/>
      <c r="P758" s="316"/>
      <c r="Q758" s="316"/>
      <c r="R758" s="316"/>
      <c r="S758" s="316"/>
      <c r="T758" s="316"/>
      <c r="U758" s="316"/>
      <c r="V758" s="316"/>
      <c r="W758" s="316"/>
      <c r="X758" s="316"/>
      <c r="Y758" s="316"/>
      <c r="Z758" s="316"/>
      <c r="AA758" s="316"/>
      <c r="AB758" s="316"/>
      <c r="AC758" s="316"/>
    </row>
    <row r="759" spans="1:29" ht="15.75" customHeight="1">
      <c r="A759" s="316"/>
      <c r="B759" s="316"/>
      <c r="C759" s="316"/>
      <c r="D759" s="316"/>
      <c r="E759" s="316"/>
      <c r="F759" s="316"/>
      <c r="G759" s="321"/>
      <c r="H759" s="316"/>
      <c r="I759" s="316"/>
      <c r="J759" s="316"/>
      <c r="K759" s="316"/>
      <c r="L759" s="316"/>
      <c r="M759" s="316"/>
      <c r="N759" s="316"/>
      <c r="O759" s="316"/>
      <c r="P759" s="316"/>
      <c r="Q759" s="316"/>
      <c r="R759" s="316"/>
      <c r="S759" s="316"/>
      <c r="T759" s="316"/>
      <c r="U759" s="316"/>
      <c r="V759" s="316"/>
      <c r="W759" s="316"/>
      <c r="X759" s="316"/>
      <c r="Y759" s="316"/>
      <c r="Z759" s="316"/>
      <c r="AA759" s="316"/>
      <c r="AB759" s="316"/>
      <c r="AC759" s="316"/>
    </row>
    <row r="760" spans="1:29" ht="15.75" customHeight="1">
      <c r="A760" s="316"/>
      <c r="B760" s="316"/>
      <c r="C760" s="316"/>
      <c r="D760" s="316"/>
      <c r="E760" s="316"/>
      <c r="F760" s="316"/>
      <c r="G760" s="321"/>
      <c r="H760" s="316"/>
      <c r="I760" s="316"/>
      <c r="J760" s="316"/>
      <c r="K760" s="316"/>
      <c r="L760" s="316"/>
      <c r="M760" s="316"/>
      <c r="N760" s="316"/>
      <c r="O760" s="316"/>
      <c r="P760" s="316"/>
      <c r="Q760" s="316"/>
      <c r="R760" s="316"/>
      <c r="S760" s="316"/>
      <c r="T760" s="316"/>
      <c r="U760" s="316"/>
      <c r="V760" s="316"/>
      <c r="W760" s="316"/>
      <c r="X760" s="316"/>
      <c r="Y760" s="316"/>
      <c r="Z760" s="316"/>
      <c r="AA760" s="316"/>
      <c r="AB760" s="316"/>
      <c r="AC760" s="316"/>
    </row>
    <row r="761" spans="1:29" ht="15.75" customHeight="1">
      <c r="A761" s="316"/>
      <c r="B761" s="316"/>
      <c r="C761" s="316"/>
      <c r="D761" s="316"/>
      <c r="E761" s="316"/>
      <c r="F761" s="316"/>
      <c r="G761" s="321"/>
      <c r="H761" s="316"/>
      <c r="I761" s="316"/>
      <c r="J761" s="316"/>
      <c r="K761" s="316"/>
      <c r="L761" s="316"/>
      <c r="M761" s="316"/>
      <c r="N761" s="316"/>
      <c r="O761" s="316"/>
      <c r="P761" s="316"/>
      <c r="Q761" s="316"/>
      <c r="R761" s="316"/>
      <c r="S761" s="316"/>
      <c r="T761" s="316"/>
      <c r="U761" s="316"/>
      <c r="V761" s="316"/>
      <c r="W761" s="316"/>
      <c r="X761" s="316"/>
      <c r="Y761" s="316"/>
      <c r="Z761" s="316"/>
      <c r="AA761" s="316"/>
      <c r="AB761" s="316"/>
      <c r="AC761" s="316"/>
    </row>
    <row r="762" spans="1:29" ht="15.75" customHeight="1">
      <c r="A762" s="316"/>
      <c r="B762" s="316"/>
      <c r="C762" s="316"/>
      <c r="D762" s="316"/>
      <c r="E762" s="316"/>
      <c r="F762" s="316"/>
      <c r="G762" s="321"/>
      <c r="H762" s="316"/>
      <c r="I762" s="316"/>
      <c r="J762" s="316"/>
      <c r="K762" s="316"/>
      <c r="L762" s="316"/>
      <c r="M762" s="316"/>
      <c r="N762" s="316"/>
      <c r="O762" s="316"/>
      <c r="P762" s="316"/>
      <c r="Q762" s="316"/>
      <c r="R762" s="316"/>
      <c r="S762" s="316"/>
      <c r="T762" s="316"/>
      <c r="U762" s="316"/>
      <c r="V762" s="316"/>
      <c r="W762" s="316"/>
      <c r="X762" s="316"/>
      <c r="Y762" s="316"/>
      <c r="Z762" s="316"/>
      <c r="AA762" s="316"/>
      <c r="AB762" s="316"/>
      <c r="AC762" s="316"/>
    </row>
    <row r="763" spans="1:29" ht="15.75" customHeight="1">
      <c r="A763" s="316"/>
      <c r="B763" s="316"/>
      <c r="C763" s="316"/>
      <c r="D763" s="316"/>
      <c r="E763" s="316"/>
      <c r="F763" s="316"/>
      <c r="G763" s="321"/>
      <c r="H763" s="316"/>
      <c r="I763" s="316"/>
      <c r="J763" s="316"/>
      <c r="K763" s="316"/>
      <c r="L763" s="316"/>
      <c r="M763" s="316"/>
      <c r="N763" s="316"/>
      <c r="O763" s="316"/>
      <c r="P763" s="316"/>
      <c r="Q763" s="316"/>
      <c r="R763" s="316"/>
      <c r="S763" s="316"/>
      <c r="T763" s="316"/>
      <c r="U763" s="316"/>
      <c r="V763" s="316"/>
      <c r="W763" s="316"/>
      <c r="X763" s="316"/>
      <c r="Y763" s="316"/>
      <c r="Z763" s="316"/>
      <c r="AA763" s="316"/>
      <c r="AB763" s="316"/>
      <c r="AC763" s="316"/>
    </row>
    <row r="764" spans="1:29" ht="15.75" customHeight="1">
      <c r="A764" s="316"/>
      <c r="B764" s="316"/>
      <c r="C764" s="316"/>
      <c r="D764" s="316"/>
      <c r="E764" s="316"/>
      <c r="F764" s="316"/>
      <c r="G764" s="321"/>
      <c r="H764" s="316"/>
      <c r="I764" s="316"/>
      <c r="J764" s="316"/>
      <c r="K764" s="316"/>
      <c r="L764" s="316"/>
      <c r="M764" s="316"/>
      <c r="N764" s="316"/>
      <c r="O764" s="316"/>
      <c r="P764" s="316"/>
      <c r="Q764" s="316"/>
      <c r="R764" s="316"/>
      <c r="S764" s="316"/>
      <c r="T764" s="316"/>
      <c r="U764" s="316"/>
      <c r="V764" s="316"/>
      <c r="W764" s="316"/>
      <c r="X764" s="316"/>
      <c r="Y764" s="316"/>
      <c r="Z764" s="316"/>
      <c r="AA764" s="316"/>
      <c r="AB764" s="316"/>
      <c r="AC764" s="316"/>
    </row>
    <row r="765" spans="1:29" ht="15.75" customHeight="1">
      <c r="A765" s="316"/>
      <c r="B765" s="316"/>
      <c r="C765" s="316"/>
      <c r="D765" s="316"/>
      <c r="E765" s="316"/>
      <c r="F765" s="316"/>
      <c r="G765" s="321"/>
      <c r="H765" s="316"/>
      <c r="I765" s="316"/>
      <c r="J765" s="316"/>
      <c r="K765" s="316"/>
      <c r="L765" s="316"/>
      <c r="M765" s="316"/>
      <c r="N765" s="316"/>
      <c r="O765" s="316"/>
      <c r="P765" s="316"/>
      <c r="Q765" s="316"/>
      <c r="R765" s="316"/>
      <c r="S765" s="316"/>
      <c r="T765" s="316"/>
      <c r="U765" s="316"/>
      <c r="V765" s="316"/>
      <c r="W765" s="316"/>
      <c r="X765" s="316"/>
      <c r="Y765" s="316"/>
      <c r="Z765" s="316"/>
      <c r="AA765" s="316"/>
      <c r="AB765" s="316"/>
      <c r="AC765" s="316"/>
    </row>
    <row r="766" spans="1:29" ht="15.75" customHeight="1">
      <c r="A766" s="316"/>
      <c r="B766" s="316"/>
      <c r="C766" s="316"/>
      <c r="D766" s="316"/>
      <c r="E766" s="316"/>
      <c r="F766" s="316"/>
      <c r="G766" s="321"/>
      <c r="H766" s="316"/>
      <c r="I766" s="316"/>
      <c r="J766" s="316"/>
      <c r="K766" s="316"/>
      <c r="L766" s="316"/>
      <c r="M766" s="316"/>
      <c r="N766" s="316"/>
      <c r="O766" s="316"/>
      <c r="P766" s="316"/>
      <c r="Q766" s="316"/>
      <c r="R766" s="316"/>
      <c r="S766" s="316"/>
      <c r="T766" s="316"/>
      <c r="U766" s="316"/>
      <c r="V766" s="316"/>
      <c r="W766" s="316"/>
      <c r="X766" s="316"/>
      <c r="Y766" s="316"/>
      <c r="Z766" s="316"/>
      <c r="AA766" s="316"/>
      <c r="AB766" s="316"/>
      <c r="AC766" s="316"/>
    </row>
    <row r="767" spans="1:29" ht="15.75" customHeight="1">
      <c r="A767" s="316"/>
      <c r="B767" s="316"/>
      <c r="C767" s="316"/>
      <c r="D767" s="316"/>
      <c r="E767" s="316"/>
      <c r="F767" s="316"/>
      <c r="G767" s="321"/>
      <c r="H767" s="316"/>
      <c r="I767" s="316"/>
      <c r="J767" s="316"/>
      <c r="K767" s="316"/>
      <c r="L767" s="316"/>
      <c r="M767" s="316"/>
      <c r="N767" s="316"/>
      <c r="O767" s="316"/>
      <c r="P767" s="316"/>
      <c r="Q767" s="316"/>
      <c r="R767" s="316"/>
      <c r="S767" s="316"/>
      <c r="T767" s="316"/>
      <c r="U767" s="316"/>
      <c r="V767" s="316"/>
      <c r="W767" s="316"/>
      <c r="X767" s="316"/>
      <c r="Y767" s="316"/>
      <c r="Z767" s="316"/>
      <c r="AA767" s="316"/>
      <c r="AB767" s="316"/>
      <c r="AC767" s="316"/>
    </row>
    <row r="768" spans="1:29" ht="15.75" customHeight="1">
      <c r="A768" s="316"/>
      <c r="B768" s="316"/>
      <c r="C768" s="316"/>
      <c r="D768" s="316"/>
      <c r="E768" s="316"/>
      <c r="F768" s="316"/>
      <c r="G768" s="321"/>
      <c r="H768" s="316"/>
      <c r="I768" s="316"/>
      <c r="J768" s="316"/>
      <c r="K768" s="316"/>
      <c r="L768" s="316"/>
      <c r="M768" s="316"/>
      <c r="N768" s="316"/>
      <c r="O768" s="316"/>
      <c r="P768" s="316"/>
      <c r="Q768" s="316"/>
      <c r="R768" s="316"/>
      <c r="S768" s="316"/>
      <c r="T768" s="316"/>
      <c r="U768" s="316"/>
      <c r="V768" s="316"/>
      <c r="W768" s="316"/>
      <c r="X768" s="316"/>
      <c r="Y768" s="316"/>
      <c r="Z768" s="316"/>
      <c r="AA768" s="316"/>
      <c r="AB768" s="316"/>
      <c r="AC768" s="316"/>
    </row>
    <row r="769" spans="1:29" ht="15.75" customHeight="1">
      <c r="A769" s="316"/>
      <c r="B769" s="316"/>
      <c r="C769" s="316"/>
      <c r="D769" s="316"/>
      <c r="E769" s="316"/>
      <c r="F769" s="316"/>
      <c r="G769" s="321"/>
      <c r="H769" s="316"/>
      <c r="I769" s="316"/>
      <c r="J769" s="316"/>
      <c r="K769" s="316"/>
      <c r="L769" s="316"/>
      <c r="M769" s="316"/>
      <c r="N769" s="316"/>
      <c r="O769" s="316"/>
      <c r="P769" s="316"/>
      <c r="Q769" s="316"/>
      <c r="R769" s="316"/>
      <c r="S769" s="316"/>
      <c r="T769" s="316"/>
      <c r="U769" s="316"/>
      <c r="V769" s="316"/>
      <c r="W769" s="316"/>
      <c r="X769" s="316"/>
      <c r="Y769" s="316"/>
      <c r="Z769" s="316"/>
      <c r="AA769" s="316"/>
      <c r="AB769" s="316"/>
      <c r="AC769" s="316"/>
    </row>
    <row r="770" spans="1:29" ht="15.75" customHeight="1">
      <c r="A770" s="316"/>
      <c r="B770" s="316"/>
      <c r="C770" s="316"/>
      <c r="D770" s="316"/>
      <c r="E770" s="316"/>
      <c r="F770" s="316"/>
      <c r="G770" s="321"/>
      <c r="H770" s="316"/>
      <c r="I770" s="316"/>
      <c r="J770" s="316"/>
      <c r="K770" s="316"/>
      <c r="L770" s="316"/>
      <c r="M770" s="316"/>
      <c r="N770" s="316"/>
      <c r="O770" s="316"/>
      <c r="P770" s="316"/>
      <c r="Q770" s="316"/>
      <c r="R770" s="316"/>
      <c r="S770" s="316"/>
      <c r="T770" s="316"/>
      <c r="U770" s="316"/>
      <c r="V770" s="316"/>
      <c r="W770" s="316"/>
      <c r="X770" s="316"/>
      <c r="Y770" s="316"/>
      <c r="Z770" s="316"/>
      <c r="AA770" s="316"/>
      <c r="AB770" s="316"/>
      <c r="AC770" s="316"/>
    </row>
    <row r="771" spans="1:29" ht="15.75" customHeight="1">
      <c r="A771" s="316"/>
      <c r="B771" s="316"/>
      <c r="C771" s="316"/>
      <c r="D771" s="316"/>
      <c r="E771" s="316"/>
      <c r="F771" s="316"/>
      <c r="G771" s="321"/>
      <c r="H771" s="316"/>
      <c r="I771" s="316"/>
      <c r="J771" s="316"/>
      <c r="K771" s="316"/>
      <c r="L771" s="316"/>
      <c r="M771" s="316"/>
      <c r="N771" s="316"/>
      <c r="O771" s="316"/>
      <c r="P771" s="316"/>
      <c r="Q771" s="316"/>
      <c r="R771" s="316"/>
      <c r="S771" s="316"/>
      <c r="T771" s="316"/>
      <c r="U771" s="316"/>
      <c r="V771" s="316"/>
      <c r="W771" s="316"/>
      <c r="X771" s="316"/>
      <c r="Y771" s="316"/>
      <c r="Z771" s="316"/>
      <c r="AA771" s="316"/>
      <c r="AB771" s="316"/>
      <c r="AC771" s="316"/>
    </row>
    <row r="772" spans="1:29" ht="15.75" customHeight="1">
      <c r="A772" s="316"/>
      <c r="B772" s="316"/>
      <c r="C772" s="316"/>
      <c r="D772" s="316"/>
      <c r="E772" s="316"/>
      <c r="F772" s="316"/>
      <c r="G772" s="321"/>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row>
    <row r="773" spans="1:29" ht="15.75" customHeight="1">
      <c r="A773" s="316"/>
      <c r="B773" s="316"/>
      <c r="C773" s="316"/>
      <c r="D773" s="316"/>
      <c r="E773" s="316"/>
      <c r="F773" s="316"/>
      <c r="G773" s="321"/>
      <c r="H773" s="316"/>
      <c r="I773" s="316"/>
      <c r="J773" s="316"/>
      <c r="K773" s="316"/>
      <c r="L773" s="316"/>
      <c r="M773" s="316"/>
      <c r="N773" s="316"/>
      <c r="O773" s="316"/>
      <c r="P773" s="316"/>
      <c r="Q773" s="316"/>
      <c r="R773" s="316"/>
      <c r="S773" s="316"/>
      <c r="T773" s="316"/>
      <c r="U773" s="316"/>
      <c r="V773" s="316"/>
      <c r="W773" s="316"/>
      <c r="X773" s="316"/>
      <c r="Y773" s="316"/>
      <c r="Z773" s="316"/>
      <c r="AA773" s="316"/>
      <c r="AB773" s="316"/>
      <c r="AC773" s="316"/>
    </row>
    <row r="774" spans="1:29" ht="15.75" customHeight="1">
      <c r="A774" s="316"/>
      <c r="B774" s="316"/>
      <c r="C774" s="316"/>
      <c r="D774" s="316"/>
      <c r="E774" s="316"/>
      <c r="F774" s="316"/>
      <c r="G774" s="321"/>
      <c r="H774" s="316"/>
      <c r="I774" s="316"/>
      <c r="J774" s="316"/>
      <c r="K774" s="316"/>
      <c r="L774" s="316"/>
      <c r="M774" s="316"/>
      <c r="N774" s="316"/>
      <c r="O774" s="316"/>
      <c r="P774" s="316"/>
      <c r="Q774" s="316"/>
      <c r="R774" s="316"/>
      <c r="S774" s="316"/>
      <c r="T774" s="316"/>
      <c r="U774" s="316"/>
      <c r="V774" s="316"/>
      <c r="W774" s="316"/>
      <c r="X774" s="316"/>
      <c r="Y774" s="316"/>
      <c r="Z774" s="316"/>
      <c r="AA774" s="316"/>
      <c r="AB774" s="316"/>
      <c r="AC774" s="316"/>
    </row>
    <row r="775" spans="1:29" ht="15.75" customHeight="1">
      <c r="A775" s="316"/>
      <c r="B775" s="316"/>
      <c r="C775" s="316"/>
      <c r="D775" s="316"/>
      <c r="E775" s="316"/>
      <c r="F775" s="316"/>
      <c r="G775" s="321"/>
      <c r="H775" s="316"/>
      <c r="I775" s="316"/>
      <c r="J775" s="316"/>
      <c r="K775" s="316"/>
      <c r="L775" s="316"/>
      <c r="M775" s="316"/>
      <c r="N775" s="316"/>
      <c r="O775" s="316"/>
      <c r="P775" s="316"/>
      <c r="Q775" s="316"/>
      <c r="R775" s="316"/>
      <c r="S775" s="316"/>
      <c r="T775" s="316"/>
      <c r="U775" s="316"/>
      <c r="V775" s="316"/>
      <c r="W775" s="316"/>
      <c r="X775" s="316"/>
      <c r="Y775" s="316"/>
      <c r="Z775" s="316"/>
      <c r="AA775" s="316"/>
      <c r="AB775" s="316"/>
      <c r="AC775" s="316"/>
    </row>
    <row r="776" spans="1:29" ht="15.75" customHeight="1">
      <c r="A776" s="316"/>
      <c r="B776" s="316"/>
      <c r="C776" s="316"/>
      <c r="D776" s="316"/>
      <c r="E776" s="316"/>
      <c r="F776" s="316"/>
      <c r="G776" s="321"/>
      <c r="H776" s="316"/>
      <c r="I776" s="316"/>
      <c r="J776" s="316"/>
      <c r="K776" s="316"/>
      <c r="L776" s="316"/>
      <c r="M776" s="316"/>
      <c r="N776" s="316"/>
      <c r="O776" s="316"/>
      <c r="P776" s="316"/>
      <c r="Q776" s="316"/>
      <c r="R776" s="316"/>
      <c r="S776" s="316"/>
      <c r="T776" s="316"/>
      <c r="U776" s="316"/>
      <c r="V776" s="316"/>
      <c r="W776" s="316"/>
      <c r="X776" s="316"/>
      <c r="Y776" s="316"/>
      <c r="Z776" s="316"/>
      <c r="AA776" s="316"/>
      <c r="AB776" s="316"/>
      <c r="AC776" s="316"/>
    </row>
    <row r="777" spans="1:29" ht="15.75" customHeight="1">
      <c r="A777" s="316"/>
      <c r="B777" s="316"/>
      <c r="C777" s="316"/>
      <c r="D777" s="316"/>
      <c r="E777" s="316"/>
      <c r="F777" s="316"/>
      <c r="G777" s="321"/>
      <c r="H777" s="316"/>
      <c r="I777" s="316"/>
      <c r="J777" s="316"/>
      <c r="K777" s="316"/>
      <c r="L777" s="316"/>
      <c r="M777" s="316"/>
      <c r="N777" s="316"/>
      <c r="O777" s="316"/>
      <c r="P777" s="316"/>
      <c r="Q777" s="316"/>
      <c r="R777" s="316"/>
      <c r="S777" s="316"/>
      <c r="T777" s="316"/>
      <c r="U777" s="316"/>
      <c r="V777" s="316"/>
      <c r="W777" s="316"/>
      <c r="X777" s="316"/>
      <c r="Y777" s="316"/>
      <c r="Z777" s="316"/>
      <c r="AA777" s="316"/>
      <c r="AB777" s="316"/>
      <c r="AC777" s="316"/>
    </row>
    <row r="778" spans="1:29" ht="15.75" customHeight="1">
      <c r="A778" s="316"/>
      <c r="B778" s="316"/>
      <c r="C778" s="316"/>
      <c r="D778" s="316"/>
      <c r="E778" s="316"/>
      <c r="F778" s="316"/>
      <c r="G778" s="321"/>
      <c r="H778" s="316"/>
      <c r="I778" s="316"/>
      <c r="J778" s="316"/>
      <c r="K778" s="316"/>
      <c r="L778" s="316"/>
      <c r="M778" s="316"/>
      <c r="N778" s="316"/>
      <c r="O778" s="316"/>
      <c r="P778" s="316"/>
      <c r="Q778" s="316"/>
      <c r="R778" s="316"/>
      <c r="S778" s="316"/>
      <c r="T778" s="316"/>
      <c r="U778" s="316"/>
      <c r="V778" s="316"/>
      <c r="W778" s="316"/>
      <c r="X778" s="316"/>
      <c r="Y778" s="316"/>
      <c r="Z778" s="316"/>
      <c r="AA778" s="316"/>
      <c r="AB778" s="316"/>
      <c r="AC778" s="316"/>
    </row>
    <row r="779" spans="1:29" ht="15.75" customHeight="1">
      <c r="A779" s="316"/>
      <c r="B779" s="316"/>
      <c r="C779" s="316"/>
      <c r="D779" s="316"/>
      <c r="E779" s="316"/>
      <c r="F779" s="316"/>
      <c r="G779" s="321"/>
      <c r="H779" s="316"/>
      <c r="I779" s="316"/>
      <c r="J779" s="316"/>
      <c r="K779" s="316"/>
      <c r="L779" s="316"/>
      <c r="M779" s="316"/>
      <c r="N779" s="316"/>
      <c r="O779" s="316"/>
      <c r="P779" s="316"/>
      <c r="Q779" s="316"/>
      <c r="R779" s="316"/>
      <c r="S779" s="316"/>
      <c r="T779" s="316"/>
      <c r="U779" s="316"/>
      <c r="V779" s="316"/>
      <c r="W779" s="316"/>
      <c r="X779" s="316"/>
      <c r="Y779" s="316"/>
      <c r="Z779" s="316"/>
      <c r="AA779" s="316"/>
      <c r="AB779" s="316"/>
      <c r="AC779" s="316"/>
    </row>
    <row r="780" spans="1:29" ht="15.75" customHeight="1">
      <c r="A780" s="316"/>
      <c r="B780" s="316"/>
      <c r="C780" s="316"/>
      <c r="D780" s="316"/>
      <c r="E780" s="316"/>
      <c r="F780" s="316"/>
      <c r="G780" s="321"/>
      <c r="H780" s="316"/>
      <c r="I780" s="316"/>
      <c r="J780" s="316"/>
      <c r="K780" s="316"/>
      <c r="L780" s="316"/>
      <c r="M780" s="316"/>
      <c r="N780" s="316"/>
      <c r="O780" s="316"/>
      <c r="P780" s="316"/>
      <c r="Q780" s="316"/>
      <c r="R780" s="316"/>
      <c r="S780" s="316"/>
      <c r="T780" s="316"/>
      <c r="U780" s="316"/>
      <c r="V780" s="316"/>
      <c r="W780" s="316"/>
      <c r="X780" s="316"/>
      <c r="Y780" s="316"/>
      <c r="Z780" s="316"/>
      <c r="AA780" s="316"/>
      <c r="AB780" s="316"/>
      <c r="AC780" s="316"/>
    </row>
    <row r="781" spans="1:29" ht="15.75" customHeight="1">
      <c r="A781" s="316"/>
      <c r="B781" s="316"/>
      <c r="C781" s="316"/>
      <c r="D781" s="316"/>
      <c r="E781" s="316"/>
      <c r="F781" s="316"/>
      <c r="G781" s="321"/>
      <c r="H781" s="316"/>
      <c r="I781" s="316"/>
      <c r="J781" s="316"/>
      <c r="K781" s="316"/>
      <c r="L781" s="316"/>
      <c r="M781" s="316"/>
      <c r="N781" s="316"/>
      <c r="O781" s="316"/>
      <c r="P781" s="316"/>
      <c r="Q781" s="316"/>
      <c r="R781" s="316"/>
      <c r="S781" s="316"/>
      <c r="T781" s="316"/>
      <c r="U781" s="316"/>
      <c r="V781" s="316"/>
      <c r="W781" s="316"/>
      <c r="X781" s="316"/>
      <c r="Y781" s="316"/>
      <c r="Z781" s="316"/>
      <c r="AA781" s="316"/>
      <c r="AB781" s="316"/>
      <c r="AC781" s="316"/>
    </row>
    <row r="782" spans="1:29" ht="15.75" customHeight="1">
      <c r="A782" s="316"/>
      <c r="B782" s="316"/>
      <c r="C782" s="316"/>
      <c r="D782" s="316"/>
      <c r="E782" s="316"/>
      <c r="F782" s="316"/>
      <c r="G782" s="321"/>
      <c r="H782" s="316"/>
      <c r="I782" s="316"/>
      <c r="J782" s="316"/>
      <c r="K782" s="316"/>
      <c r="L782" s="316"/>
      <c r="M782" s="316"/>
      <c r="N782" s="316"/>
      <c r="O782" s="316"/>
      <c r="P782" s="316"/>
      <c r="Q782" s="316"/>
      <c r="R782" s="316"/>
      <c r="S782" s="316"/>
      <c r="T782" s="316"/>
      <c r="U782" s="316"/>
      <c r="V782" s="316"/>
      <c r="W782" s="316"/>
      <c r="X782" s="316"/>
      <c r="Y782" s="316"/>
      <c r="Z782" s="316"/>
      <c r="AA782" s="316"/>
      <c r="AB782" s="316"/>
      <c r="AC782" s="316"/>
    </row>
    <row r="783" spans="1:29" ht="15.75" customHeight="1">
      <c r="A783" s="316"/>
      <c r="B783" s="316"/>
      <c r="C783" s="316"/>
      <c r="D783" s="316"/>
      <c r="E783" s="316"/>
      <c r="F783" s="316"/>
      <c r="G783" s="321"/>
      <c r="H783" s="316"/>
      <c r="I783" s="316"/>
      <c r="J783" s="316"/>
      <c r="K783" s="316"/>
      <c r="L783" s="316"/>
      <c r="M783" s="316"/>
      <c r="N783" s="316"/>
      <c r="O783" s="316"/>
      <c r="P783" s="316"/>
      <c r="Q783" s="316"/>
      <c r="R783" s="316"/>
      <c r="S783" s="316"/>
      <c r="T783" s="316"/>
      <c r="U783" s="316"/>
      <c r="V783" s="316"/>
      <c r="W783" s="316"/>
      <c r="X783" s="316"/>
      <c r="Y783" s="316"/>
      <c r="Z783" s="316"/>
      <c r="AA783" s="316"/>
      <c r="AB783" s="316"/>
      <c r="AC783" s="316"/>
    </row>
    <row r="784" spans="1:29" ht="15.75" customHeight="1">
      <c r="A784" s="316"/>
      <c r="B784" s="316"/>
      <c r="C784" s="316"/>
      <c r="D784" s="316"/>
      <c r="E784" s="316"/>
      <c r="F784" s="316"/>
      <c r="G784" s="321"/>
      <c r="H784" s="316"/>
      <c r="I784" s="316"/>
      <c r="J784" s="316"/>
      <c r="K784" s="316"/>
      <c r="L784" s="316"/>
      <c r="M784" s="316"/>
      <c r="N784" s="316"/>
      <c r="O784" s="316"/>
      <c r="P784" s="316"/>
      <c r="Q784" s="316"/>
      <c r="R784" s="316"/>
      <c r="S784" s="316"/>
      <c r="T784" s="316"/>
      <c r="U784" s="316"/>
      <c r="V784" s="316"/>
      <c r="W784" s="316"/>
      <c r="X784" s="316"/>
      <c r="Y784" s="316"/>
      <c r="Z784" s="316"/>
      <c r="AA784" s="316"/>
      <c r="AB784" s="316"/>
      <c r="AC784" s="316"/>
    </row>
    <row r="785" spans="1:29" ht="15.75" customHeight="1">
      <c r="A785" s="316"/>
      <c r="B785" s="316"/>
      <c r="C785" s="316"/>
      <c r="D785" s="316"/>
      <c r="E785" s="316"/>
      <c r="F785" s="316"/>
      <c r="G785" s="321"/>
      <c r="H785" s="316"/>
      <c r="I785" s="316"/>
      <c r="J785" s="316"/>
      <c r="K785" s="316"/>
      <c r="L785" s="316"/>
      <c r="M785" s="316"/>
      <c r="N785" s="316"/>
      <c r="O785" s="316"/>
      <c r="P785" s="316"/>
      <c r="Q785" s="316"/>
      <c r="R785" s="316"/>
      <c r="S785" s="316"/>
      <c r="T785" s="316"/>
      <c r="U785" s="316"/>
      <c r="V785" s="316"/>
      <c r="W785" s="316"/>
      <c r="X785" s="316"/>
      <c r="Y785" s="316"/>
      <c r="Z785" s="316"/>
      <c r="AA785" s="316"/>
      <c r="AB785" s="316"/>
      <c r="AC785" s="316"/>
    </row>
    <row r="786" spans="1:29" ht="15.75" customHeight="1">
      <c r="A786" s="316"/>
      <c r="B786" s="316"/>
      <c r="C786" s="316"/>
      <c r="D786" s="316"/>
      <c r="E786" s="316"/>
      <c r="F786" s="316"/>
      <c r="G786" s="321"/>
      <c r="H786" s="316"/>
      <c r="I786" s="316"/>
      <c r="J786" s="316"/>
      <c r="K786" s="316"/>
      <c r="L786" s="316"/>
      <c r="M786" s="316"/>
      <c r="N786" s="316"/>
      <c r="O786" s="316"/>
      <c r="P786" s="316"/>
      <c r="Q786" s="316"/>
      <c r="R786" s="316"/>
      <c r="S786" s="316"/>
      <c r="T786" s="316"/>
      <c r="U786" s="316"/>
      <c r="V786" s="316"/>
      <c r="W786" s="316"/>
      <c r="X786" s="316"/>
      <c r="Y786" s="316"/>
      <c r="Z786" s="316"/>
      <c r="AA786" s="316"/>
      <c r="AB786" s="316"/>
      <c r="AC786" s="316"/>
    </row>
    <row r="787" spans="1:29" ht="15.75" customHeight="1">
      <c r="A787" s="316"/>
      <c r="B787" s="316"/>
      <c r="C787" s="316"/>
      <c r="D787" s="316"/>
      <c r="E787" s="316"/>
      <c r="F787" s="316"/>
      <c r="G787" s="321"/>
      <c r="H787" s="316"/>
      <c r="I787" s="316"/>
      <c r="J787" s="316"/>
      <c r="K787" s="316"/>
      <c r="L787" s="316"/>
      <c r="M787" s="316"/>
      <c r="N787" s="316"/>
      <c r="O787" s="316"/>
      <c r="P787" s="316"/>
      <c r="Q787" s="316"/>
      <c r="R787" s="316"/>
      <c r="S787" s="316"/>
      <c r="T787" s="316"/>
      <c r="U787" s="316"/>
      <c r="V787" s="316"/>
      <c r="W787" s="316"/>
      <c r="X787" s="316"/>
      <c r="Y787" s="316"/>
      <c r="Z787" s="316"/>
      <c r="AA787" s="316"/>
      <c r="AB787" s="316"/>
      <c r="AC787" s="316"/>
    </row>
    <row r="788" spans="1:29" ht="15.75" customHeight="1">
      <c r="A788" s="316"/>
      <c r="B788" s="316"/>
      <c r="C788" s="316"/>
      <c r="D788" s="316"/>
      <c r="E788" s="316"/>
      <c r="F788" s="316"/>
      <c r="G788" s="321"/>
      <c r="H788" s="316"/>
      <c r="I788" s="316"/>
      <c r="J788" s="316"/>
      <c r="K788" s="316"/>
      <c r="L788" s="316"/>
      <c r="M788" s="316"/>
      <c r="N788" s="316"/>
      <c r="O788" s="316"/>
      <c r="P788" s="316"/>
      <c r="Q788" s="316"/>
      <c r="R788" s="316"/>
      <c r="S788" s="316"/>
      <c r="T788" s="316"/>
      <c r="U788" s="316"/>
      <c r="V788" s="316"/>
      <c r="W788" s="316"/>
      <c r="X788" s="316"/>
      <c r="Y788" s="316"/>
      <c r="Z788" s="316"/>
      <c r="AA788" s="316"/>
      <c r="AB788" s="316"/>
      <c r="AC788" s="316"/>
    </row>
    <row r="789" spans="1:29" ht="15.75" customHeight="1">
      <c r="A789" s="316"/>
      <c r="B789" s="316"/>
      <c r="C789" s="316"/>
      <c r="D789" s="316"/>
      <c r="E789" s="316"/>
      <c r="F789" s="316"/>
      <c r="G789" s="321"/>
      <c r="H789" s="316"/>
      <c r="I789" s="316"/>
      <c r="J789" s="316"/>
      <c r="K789" s="316"/>
      <c r="L789" s="316"/>
      <c r="M789" s="316"/>
      <c r="N789" s="316"/>
      <c r="O789" s="316"/>
      <c r="P789" s="316"/>
      <c r="Q789" s="316"/>
      <c r="R789" s="316"/>
      <c r="S789" s="316"/>
      <c r="T789" s="316"/>
      <c r="U789" s="316"/>
      <c r="V789" s="316"/>
      <c r="W789" s="316"/>
      <c r="X789" s="316"/>
      <c r="Y789" s="316"/>
      <c r="Z789" s="316"/>
      <c r="AA789" s="316"/>
      <c r="AB789" s="316"/>
      <c r="AC789" s="316"/>
    </row>
    <row r="790" spans="1:29" ht="15.75" customHeight="1">
      <c r="A790" s="316"/>
      <c r="B790" s="316"/>
      <c r="C790" s="316"/>
      <c r="D790" s="316"/>
      <c r="E790" s="316"/>
      <c r="F790" s="316"/>
      <c r="G790" s="321"/>
      <c r="H790" s="316"/>
      <c r="I790" s="316"/>
      <c r="J790" s="316"/>
      <c r="K790" s="316"/>
      <c r="L790" s="316"/>
      <c r="M790" s="316"/>
      <c r="N790" s="316"/>
      <c r="O790" s="316"/>
      <c r="P790" s="316"/>
      <c r="Q790" s="316"/>
      <c r="R790" s="316"/>
      <c r="S790" s="316"/>
      <c r="T790" s="316"/>
      <c r="U790" s="316"/>
      <c r="V790" s="316"/>
      <c r="W790" s="316"/>
      <c r="X790" s="316"/>
      <c r="Y790" s="316"/>
      <c r="Z790" s="316"/>
      <c r="AA790" s="316"/>
      <c r="AB790" s="316"/>
      <c r="AC790" s="316"/>
    </row>
    <row r="791" spans="1:29" ht="15.75" customHeight="1">
      <c r="A791" s="316"/>
      <c r="B791" s="316"/>
      <c r="C791" s="316"/>
      <c r="D791" s="316"/>
      <c r="E791" s="316"/>
      <c r="F791" s="316"/>
      <c r="G791" s="321"/>
      <c r="H791" s="316"/>
      <c r="I791" s="316"/>
      <c r="J791" s="316"/>
      <c r="K791" s="316"/>
      <c r="L791" s="316"/>
      <c r="M791" s="316"/>
      <c r="N791" s="316"/>
      <c r="O791" s="316"/>
      <c r="P791" s="316"/>
      <c r="Q791" s="316"/>
      <c r="R791" s="316"/>
      <c r="S791" s="316"/>
      <c r="T791" s="316"/>
      <c r="U791" s="316"/>
      <c r="V791" s="316"/>
      <c r="W791" s="316"/>
      <c r="X791" s="316"/>
      <c r="Y791" s="316"/>
      <c r="Z791" s="316"/>
      <c r="AA791" s="316"/>
      <c r="AB791" s="316"/>
      <c r="AC791" s="316"/>
    </row>
    <row r="792" spans="1:29" ht="15.75" customHeight="1">
      <c r="A792" s="316"/>
      <c r="B792" s="316"/>
      <c r="C792" s="316"/>
      <c r="D792" s="316"/>
      <c r="E792" s="316"/>
      <c r="F792" s="316"/>
      <c r="G792" s="321"/>
      <c r="H792" s="316"/>
      <c r="I792" s="316"/>
      <c r="J792" s="316"/>
      <c r="K792" s="316"/>
      <c r="L792" s="316"/>
      <c r="M792" s="316"/>
      <c r="N792" s="316"/>
      <c r="O792" s="316"/>
      <c r="P792" s="316"/>
      <c r="Q792" s="316"/>
      <c r="R792" s="316"/>
      <c r="S792" s="316"/>
      <c r="T792" s="316"/>
      <c r="U792" s="316"/>
      <c r="V792" s="316"/>
      <c r="W792" s="316"/>
      <c r="X792" s="316"/>
      <c r="Y792" s="316"/>
      <c r="Z792" s="316"/>
      <c r="AA792" s="316"/>
      <c r="AB792" s="316"/>
      <c r="AC792" s="316"/>
    </row>
    <row r="793" spans="1:29" ht="15.75" customHeight="1">
      <c r="A793" s="316"/>
      <c r="B793" s="316"/>
      <c r="C793" s="316"/>
      <c r="D793" s="316"/>
      <c r="E793" s="316"/>
      <c r="F793" s="316"/>
      <c r="G793" s="321"/>
      <c r="H793" s="316"/>
      <c r="I793" s="316"/>
      <c r="J793" s="316"/>
      <c r="K793" s="316"/>
      <c r="L793" s="316"/>
      <c r="M793" s="316"/>
      <c r="N793" s="316"/>
      <c r="O793" s="316"/>
      <c r="P793" s="316"/>
      <c r="Q793" s="316"/>
      <c r="R793" s="316"/>
      <c r="S793" s="316"/>
      <c r="T793" s="316"/>
      <c r="U793" s="316"/>
      <c r="V793" s="316"/>
      <c r="W793" s="316"/>
      <c r="X793" s="316"/>
      <c r="Y793" s="316"/>
      <c r="Z793" s="316"/>
      <c r="AA793" s="316"/>
      <c r="AB793" s="316"/>
      <c r="AC793" s="316"/>
    </row>
    <row r="794" spans="1:29" ht="15.75" customHeight="1">
      <c r="A794" s="316"/>
      <c r="B794" s="316"/>
      <c r="C794" s="316"/>
      <c r="D794" s="316"/>
      <c r="E794" s="316"/>
      <c r="F794" s="316"/>
      <c r="G794" s="321"/>
      <c r="H794" s="316"/>
      <c r="I794" s="316"/>
      <c r="J794" s="316"/>
      <c r="K794" s="316"/>
      <c r="L794" s="316"/>
      <c r="M794" s="316"/>
      <c r="N794" s="316"/>
      <c r="O794" s="316"/>
      <c r="P794" s="316"/>
      <c r="Q794" s="316"/>
      <c r="R794" s="316"/>
      <c r="S794" s="316"/>
      <c r="T794" s="316"/>
      <c r="U794" s="316"/>
      <c r="V794" s="316"/>
      <c r="W794" s="316"/>
      <c r="X794" s="316"/>
      <c r="Y794" s="316"/>
      <c r="Z794" s="316"/>
      <c r="AA794" s="316"/>
      <c r="AB794" s="316"/>
      <c r="AC794" s="316"/>
    </row>
    <row r="795" spans="1:29" ht="15.75" customHeight="1">
      <c r="A795" s="316"/>
      <c r="B795" s="316"/>
      <c r="C795" s="316"/>
      <c r="D795" s="316"/>
      <c r="E795" s="316"/>
      <c r="F795" s="316"/>
      <c r="G795" s="321"/>
      <c r="H795" s="316"/>
      <c r="I795" s="316"/>
      <c r="J795" s="316"/>
      <c r="K795" s="316"/>
      <c r="L795" s="316"/>
      <c r="M795" s="316"/>
      <c r="N795" s="316"/>
      <c r="O795" s="316"/>
      <c r="P795" s="316"/>
      <c r="Q795" s="316"/>
      <c r="R795" s="316"/>
      <c r="S795" s="316"/>
      <c r="T795" s="316"/>
      <c r="U795" s="316"/>
      <c r="V795" s="316"/>
      <c r="W795" s="316"/>
      <c r="X795" s="316"/>
      <c r="Y795" s="316"/>
      <c r="Z795" s="316"/>
      <c r="AA795" s="316"/>
      <c r="AB795" s="316"/>
      <c r="AC795" s="316"/>
    </row>
    <row r="796" spans="1:29" ht="15.75" customHeight="1">
      <c r="A796" s="316"/>
      <c r="B796" s="316"/>
      <c r="C796" s="316"/>
      <c r="D796" s="316"/>
      <c r="E796" s="316"/>
      <c r="F796" s="316"/>
      <c r="G796" s="321"/>
      <c r="H796" s="316"/>
      <c r="I796" s="316"/>
      <c r="J796" s="316"/>
      <c r="K796" s="316"/>
      <c r="L796" s="316"/>
      <c r="M796" s="316"/>
      <c r="N796" s="316"/>
      <c r="O796" s="316"/>
      <c r="P796" s="316"/>
      <c r="Q796" s="316"/>
      <c r="R796" s="316"/>
      <c r="S796" s="316"/>
      <c r="T796" s="316"/>
      <c r="U796" s="316"/>
      <c r="V796" s="316"/>
      <c r="W796" s="316"/>
      <c r="X796" s="316"/>
      <c r="Y796" s="316"/>
      <c r="Z796" s="316"/>
      <c r="AA796" s="316"/>
      <c r="AB796" s="316"/>
      <c r="AC796" s="316"/>
    </row>
    <row r="797" spans="1:29" ht="15.75" customHeight="1">
      <c r="A797" s="316"/>
      <c r="B797" s="316"/>
      <c r="C797" s="316"/>
      <c r="D797" s="316"/>
      <c r="E797" s="316"/>
      <c r="F797" s="316"/>
      <c r="G797" s="321"/>
      <c r="H797" s="316"/>
      <c r="I797" s="316"/>
      <c r="J797" s="316"/>
      <c r="K797" s="316"/>
      <c r="L797" s="316"/>
      <c r="M797" s="316"/>
      <c r="N797" s="316"/>
      <c r="O797" s="316"/>
      <c r="P797" s="316"/>
      <c r="Q797" s="316"/>
      <c r="R797" s="316"/>
      <c r="S797" s="316"/>
      <c r="T797" s="316"/>
      <c r="U797" s="316"/>
      <c r="V797" s="316"/>
      <c r="W797" s="316"/>
      <c r="X797" s="316"/>
      <c r="Y797" s="316"/>
      <c r="Z797" s="316"/>
      <c r="AA797" s="316"/>
      <c r="AB797" s="316"/>
      <c r="AC797" s="316"/>
    </row>
    <row r="798" spans="1:29" ht="15.75" customHeight="1">
      <c r="A798" s="316"/>
      <c r="B798" s="316"/>
      <c r="C798" s="316"/>
      <c r="D798" s="316"/>
      <c r="E798" s="316"/>
      <c r="F798" s="316"/>
      <c r="G798" s="321"/>
      <c r="H798" s="316"/>
      <c r="I798" s="316"/>
      <c r="J798" s="316"/>
      <c r="K798" s="316"/>
      <c r="L798" s="316"/>
      <c r="M798" s="316"/>
      <c r="N798" s="316"/>
      <c r="O798" s="316"/>
      <c r="P798" s="316"/>
      <c r="Q798" s="316"/>
      <c r="R798" s="316"/>
      <c r="S798" s="316"/>
      <c r="T798" s="316"/>
      <c r="U798" s="316"/>
      <c r="V798" s="316"/>
      <c r="W798" s="316"/>
      <c r="X798" s="316"/>
      <c r="Y798" s="316"/>
      <c r="Z798" s="316"/>
      <c r="AA798" s="316"/>
      <c r="AB798" s="316"/>
      <c r="AC798" s="316"/>
    </row>
    <row r="799" spans="1:29" ht="15.75" customHeight="1">
      <c r="A799" s="316"/>
      <c r="B799" s="316"/>
      <c r="C799" s="316"/>
      <c r="D799" s="316"/>
      <c r="E799" s="316"/>
      <c r="F799" s="316"/>
      <c r="G799" s="321"/>
      <c r="H799" s="316"/>
      <c r="I799" s="316"/>
      <c r="J799" s="316"/>
      <c r="K799" s="316"/>
      <c r="L799" s="316"/>
      <c r="M799" s="316"/>
      <c r="N799" s="316"/>
      <c r="O799" s="316"/>
      <c r="P799" s="316"/>
      <c r="Q799" s="316"/>
      <c r="R799" s="316"/>
      <c r="S799" s="316"/>
      <c r="T799" s="316"/>
      <c r="U799" s="316"/>
      <c r="V799" s="316"/>
      <c r="W799" s="316"/>
      <c r="X799" s="316"/>
      <c r="Y799" s="316"/>
      <c r="Z799" s="316"/>
      <c r="AA799" s="316"/>
      <c r="AB799" s="316"/>
      <c r="AC799" s="316"/>
    </row>
    <row r="800" spans="1:29" ht="15.75" customHeight="1">
      <c r="A800" s="316"/>
      <c r="B800" s="316"/>
      <c r="C800" s="316"/>
      <c r="D800" s="316"/>
      <c r="E800" s="316"/>
      <c r="F800" s="316"/>
      <c r="G800" s="321"/>
      <c r="H800" s="316"/>
      <c r="I800" s="316"/>
      <c r="J800" s="316"/>
      <c r="K800" s="316"/>
      <c r="L800" s="316"/>
      <c r="M800" s="316"/>
      <c r="N800" s="316"/>
      <c r="O800" s="316"/>
      <c r="P800" s="316"/>
      <c r="Q800" s="316"/>
      <c r="R800" s="316"/>
      <c r="S800" s="316"/>
      <c r="T800" s="316"/>
      <c r="U800" s="316"/>
      <c r="V800" s="316"/>
      <c r="W800" s="316"/>
      <c r="X800" s="316"/>
      <c r="Y800" s="316"/>
      <c r="Z800" s="316"/>
      <c r="AA800" s="316"/>
      <c r="AB800" s="316"/>
      <c r="AC800" s="316"/>
    </row>
    <row r="801" spans="1:29" ht="15.75" customHeight="1">
      <c r="A801" s="316"/>
      <c r="B801" s="316"/>
      <c r="C801" s="316"/>
      <c r="D801" s="316"/>
      <c r="E801" s="316"/>
      <c r="F801" s="316"/>
      <c r="G801" s="321"/>
      <c r="H801" s="316"/>
      <c r="I801" s="316"/>
      <c r="J801" s="316"/>
      <c r="K801" s="316"/>
      <c r="L801" s="316"/>
      <c r="M801" s="316"/>
      <c r="N801" s="316"/>
      <c r="O801" s="316"/>
      <c r="P801" s="316"/>
      <c r="Q801" s="316"/>
      <c r="R801" s="316"/>
      <c r="S801" s="316"/>
      <c r="T801" s="316"/>
      <c r="U801" s="316"/>
      <c r="V801" s="316"/>
      <c r="W801" s="316"/>
      <c r="X801" s="316"/>
      <c r="Y801" s="316"/>
      <c r="Z801" s="316"/>
      <c r="AA801" s="316"/>
      <c r="AB801" s="316"/>
      <c r="AC801" s="316"/>
    </row>
    <row r="802" spans="1:29" ht="15.75" customHeight="1">
      <c r="A802" s="316"/>
      <c r="B802" s="316"/>
      <c r="C802" s="316"/>
      <c r="D802" s="316"/>
      <c r="E802" s="316"/>
      <c r="F802" s="316"/>
      <c r="G802" s="321"/>
      <c r="H802" s="316"/>
      <c r="I802" s="316"/>
      <c r="J802" s="316"/>
      <c r="K802" s="316"/>
      <c r="L802" s="316"/>
      <c r="M802" s="316"/>
      <c r="N802" s="316"/>
      <c r="O802" s="316"/>
      <c r="P802" s="316"/>
      <c r="Q802" s="316"/>
      <c r="R802" s="316"/>
      <c r="S802" s="316"/>
      <c r="T802" s="316"/>
      <c r="U802" s="316"/>
      <c r="V802" s="316"/>
      <c r="W802" s="316"/>
      <c r="X802" s="316"/>
      <c r="Y802" s="316"/>
      <c r="Z802" s="316"/>
      <c r="AA802" s="316"/>
      <c r="AB802" s="316"/>
      <c r="AC802" s="316"/>
    </row>
    <row r="803" spans="1:29" ht="15.75" customHeight="1">
      <c r="A803" s="316"/>
      <c r="B803" s="316"/>
      <c r="C803" s="316"/>
      <c r="D803" s="316"/>
      <c r="E803" s="316"/>
      <c r="F803" s="316"/>
      <c r="G803" s="321"/>
      <c r="H803" s="316"/>
      <c r="I803" s="316"/>
      <c r="J803" s="316"/>
      <c r="K803" s="316"/>
      <c r="L803" s="316"/>
      <c r="M803" s="316"/>
      <c r="N803" s="316"/>
      <c r="O803" s="316"/>
      <c r="P803" s="316"/>
      <c r="Q803" s="316"/>
      <c r="R803" s="316"/>
      <c r="S803" s="316"/>
      <c r="T803" s="316"/>
      <c r="U803" s="316"/>
      <c r="V803" s="316"/>
      <c r="W803" s="316"/>
      <c r="X803" s="316"/>
      <c r="Y803" s="316"/>
      <c r="Z803" s="316"/>
      <c r="AA803" s="316"/>
      <c r="AB803" s="316"/>
      <c r="AC803" s="316"/>
    </row>
    <row r="804" spans="1:29" ht="15.75" customHeight="1">
      <c r="A804" s="316"/>
      <c r="B804" s="316"/>
      <c r="C804" s="316"/>
      <c r="D804" s="316"/>
      <c r="E804" s="316"/>
      <c r="F804" s="316"/>
      <c r="G804" s="321"/>
      <c r="H804" s="316"/>
      <c r="I804" s="316"/>
      <c r="J804" s="316"/>
      <c r="K804" s="316"/>
      <c r="L804" s="316"/>
      <c r="M804" s="316"/>
      <c r="N804" s="316"/>
      <c r="O804" s="316"/>
      <c r="P804" s="316"/>
      <c r="Q804" s="316"/>
      <c r="R804" s="316"/>
      <c r="S804" s="316"/>
      <c r="T804" s="316"/>
      <c r="U804" s="316"/>
      <c r="V804" s="316"/>
      <c r="W804" s="316"/>
      <c r="X804" s="316"/>
      <c r="Y804" s="316"/>
      <c r="Z804" s="316"/>
      <c r="AA804" s="316"/>
      <c r="AB804" s="316"/>
      <c r="AC804" s="316"/>
    </row>
    <row r="805" spans="1:29" ht="15.75" customHeight="1">
      <c r="A805" s="316"/>
      <c r="B805" s="316"/>
      <c r="C805" s="316"/>
      <c r="D805" s="316"/>
      <c r="E805" s="316"/>
      <c r="F805" s="316"/>
      <c r="G805" s="321"/>
      <c r="H805" s="316"/>
      <c r="I805" s="316"/>
      <c r="J805" s="316"/>
      <c r="K805" s="316"/>
      <c r="L805" s="316"/>
      <c r="M805" s="316"/>
      <c r="N805" s="316"/>
      <c r="O805" s="316"/>
      <c r="P805" s="316"/>
      <c r="Q805" s="316"/>
      <c r="R805" s="316"/>
      <c r="S805" s="316"/>
      <c r="T805" s="316"/>
      <c r="U805" s="316"/>
      <c r="V805" s="316"/>
      <c r="W805" s="316"/>
      <c r="X805" s="316"/>
      <c r="Y805" s="316"/>
      <c r="Z805" s="316"/>
      <c r="AA805" s="316"/>
      <c r="AB805" s="316"/>
      <c r="AC805" s="316"/>
    </row>
    <row r="806" spans="1:29" ht="15.75" customHeight="1">
      <c r="A806" s="316"/>
      <c r="B806" s="316"/>
      <c r="C806" s="316"/>
      <c r="D806" s="316"/>
      <c r="E806" s="316"/>
      <c r="F806" s="316"/>
      <c r="G806" s="321"/>
      <c r="H806" s="316"/>
      <c r="I806" s="316"/>
      <c r="J806" s="316"/>
      <c r="K806" s="316"/>
      <c r="L806" s="316"/>
      <c r="M806" s="316"/>
      <c r="N806" s="316"/>
      <c r="O806" s="316"/>
      <c r="P806" s="316"/>
      <c r="Q806" s="316"/>
      <c r="R806" s="316"/>
      <c r="S806" s="316"/>
      <c r="T806" s="316"/>
      <c r="U806" s="316"/>
      <c r="V806" s="316"/>
      <c r="W806" s="316"/>
      <c r="X806" s="316"/>
      <c r="Y806" s="316"/>
      <c r="Z806" s="316"/>
      <c r="AA806" s="316"/>
      <c r="AB806" s="316"/>
      <c r="AC806" s="316"/>
    </row>
    <row r="807" spans="1:29" ht="15.75" customHeight="1">
      <c r="A807" s="316"/>
      <c r="B807" s="316"/>
      <c r="C807" s="316"/>
      <c r="D807" s="316"/>
      <c r="E807" s="316"/>
      <c r="F807" s="316"/>
      <c r="G807" s="321"/>
      <c r="H807" s="316"/>
      <c r="I807" s="316"/>
      <c r="J807" s="316"/>
      <c r="K807" s="316"/>
      <c r="L807" s="316"/>
      <c r="M807" s="316"/>
      <c r="N807" s="316"/>
      <c r="O807" s="316"/>
      <c r="P807" s="316"/>
      <c r="Q807" s="316"/>
      <c r="R807" s="316"/>
      <c r="S807" s="316"/>
      <c r="T807" s="316"/>
      <c r="U807" s="316"/>
      <c r="V807" s="316"/>
      <c r="W807" s="316"/>
      <c r="X807" s="316"/>
      <c r="Y807" s="316"/>
      <c r="Z807" s="316"/>
      <c r="AA807" s="316"/>
      <c r="AB807" s="316"/>
      <c r="AC807" s="316"/>
    </row>
    <row r="808" spans="1:29" ht="15.75" customHeight="1">
      <c r="A808" s="316"/>
      <c r="B808" s="316"/>
      <c r="C808" s="316"/>
      <c r="D808" s="316"/>
      <c r="E808" s="316"/>
      <c r="F808" s="316"/>
      <c r="G808" s="321"/>
      <c r="H808" s="316"/>
      <c r="I808" s="316"/>
      <c r="J808" s="316"/>
      <c r="K808" s="316"/>
      <c r="L808" s="316"/>
      <c r="M808" s="316"/>
      <c r="N808" s="316"/>
      <c r="O808" s="316"/>
      <c r="P808" s="316"/>
      <c r="Q808" s="316"/>
      <c r="R808" s="316"/>
      <c r="S808" s="316"/>
      <c r="T808" s="316"/>
      <c r="U808" s="316"/>
      <c r="V808" s="316"/>
      <c r="W808" s="316"/>
      <c r="X808" s="316"/>
      <c r="Y808" s="316"/>
      <c r="Z808" s="316"/>
      <c r="AA808" s="316"/>
      <c r="AB808" s="316"/>
      <c r="AC808" s="316"/>
    </row>
    <row r="809" spans="1:29" ht="15.75" customHeight="1">
      <c r="A809" s="316"/>
      <c r="B809" s="316"/>
      <c r="C809" s="316"/>
      <c r="D809" s="316"/>
      <c r="E809" s="316"/>
      <c r="F809" s="316"/>
      <c r="G809" s="321"/>
      <c r="H809" s="316"/>
      <c r="I809" s="316"/>
      <c r="J809" s="316"/>
      <c r="K809" s="316"/>
      <c r="L809" s="316"/>
      <c r="M809" s="316"/>
      <c r="N809" s="316"/>
      <c r="O809" s="316"/>
      <c r="P809" s="316"/>
      <c r="Q809" s="316"/>
      <c r="R809" s="316"/>
      <c r="S809" s="316"/>
      <c r="T809" s="316"/>
      <c r="U809" s="316"/>
      <c r="V809" s="316"/>
      <c r="W809" s="316"/>
      <c r="X809" s="316"/>
      <c r="Y809" s="316"/>
      <c r="Z809" s="316"/>
      <c r="AA809" s="316"/>
      <c r="AB809" s="316"/>
      <c r="AC809" s="316"/>
    </row>
    <row r="810" spans="1:29" ht="15.75" customHeight="1">
      <c r="A810" s="316"/>
      <c r="B810" s="316"/>
      <c r="C810" s="316"/>
      <c r="D810" s="316"/>
      <c r="E810" s="316"/>
      <c r="F810" s="316"/>
      <c r="G810" s="321"/>
      <c r="H810" s="316"/>
      <c r="I810" s="316"/>
      <c r="J810" s="316"/>
      <c r="K810" s="316"/>
      <c r="L810" s="316"/>
      <c r="M810" s="316"/>
      <c r="N810" s="316"/>
      <c r="O810" s="316"/>
      <c r="P810" s="316"/>
      <c r="Q810" s="316"/>
      <c r="R810" s="316"/>
      <c r="S810" s="316"/>
      <c r="T810" s="316"/>
      <c r="U810" s="316"/>
      <c r="V810" s="316"/>
      <c r="W810" s="316"/>
      <c r="X810" s="316"/>
      <c r="Y810" s="316"/>
      <c r="Z810" s="316"/>
      <c r="AA810" s="316"/>
      <c r="AB810" s="316"/>
      <c r="AC810" s="316"/>
    </row>
    <row r="811" spans="1:29" ht="15.75" customHeight="1">
      <c r="A811" s="316"/>
      <c r="B811" s="316"/>
      <c r="C811" s="316"/>
      <c r="D811" s="316"/>
      <c r="E811" s="316"/>
      <c r="F811" s="316"/>
      <c r="G811" s="321"/>
      <c r="H811" s="316"/>
      <c r="I811" s="316"/>
      <c r="J811" s="316"/>
      <c r="K811" s="316"/>
      <c r="L811" s="316"/>
      <c r="M811" s="316"/>
      <c r="N811" s="316"/>
      <c r="O811" s="316"/>
      <c r="P811" s="316"/>
      <c r="Q811" s="316"/>
      <c r="R811" s="316"/>
      <c r="S811" s="316"/>
      <c r="T811" s="316"/>
      <c r="U811" s="316"/>
      <c r="V811" s="316"/>
      <c r="W811" s="316"/>
      <c r="X811" s="316"/>
      <c r="Y811" s="316"/>
      <c r="Z811" s="316"/>
      <c r="AA811" s="316"/>
      <c r="AB811" s="316"/>
      <c r="AC811" s="316"/>
    </row>
    <row r="812" spans="1:29" ht="15.75" customHeight="1">
      <c r="A812" s="316"/>
      <c r="B812" s="316"/>
      <c r="C812" s="316"/>
      <c r="D812" s="316"/>
      <c r="E812" s="316"/>
      <c r="F812" s="316"/>
      <c r="G812" s="321"/>
      <c r="H812" s="316"/>
      <c r="I812" s="316"/>
      <c r="J812" s="316"/>
      <c r="K812" s="316"/>
      <c r="L812" s="316"/>
      <c r="M812" s="316"/>
      <c r="N812" s="316"/>
      <c r="O812" s="316"/>
      <c r="P812" s="316"/>
      <c r="Q812" s="316"/>
      <c r="R812" s="316"/>
      <c r="S812" s="316"/>
      <c r="T812" s="316"/>
      <c r="U812" s="316"/>
      <c r="V812" s="316"/>
      <c r="W812" s="316"/>
      <c r="X812" s="316"/>
      <c r="Y812" s="316"/>
      <c r="Z812" s="316"/>
      <c r="AA812" s="316"/>
      <c r="AB812" s="316"/>
      <c r="AC812" s="316"/>
    </row>
    <row r="813" spans="1:29" ht="15.75" customHeight="1">
      <c r="A813" s="316"/>
      <c r="B813" s="316"/>
      <c r="C813" s="316"/>
      <c r="D813" s="316"/>
      <c r="E813" s="316"/>
      <c r="F813" s="316"/>
      <c r="G813" s="321"/>
      <c r="H813" s="316"/>
      <c r="I813" s="316"/>
      <c r="J813" s="316"/>
      <c r="K813" s="316"/>
      <c r="L813" s="316"/>
      <c r="M813" s="316"/>
      <c r="N813" s="316"/>
      <c r="O813" s="316"/>
      <c r="P813" s="316"/>
      <c r="Q813" s="316"/>
      <c r="R813" s="316"/>
      <c r="S813" s="316"/>
      <c r="T813" s="316"/>
      <c r="U813" s="316"/>
      <c r="V813" s="316"/>
      <c r="W813" s="316"/>
      <c r="X813" s="316"/>
      <c r="Y813" s="316"/>
      <c r="Z813" s="316"/>
      <c r="AA813" s="316"/>
      <c r="AB813" s="316"/>
      <c r="AC813" s="316"/>
    </row>
    <row r="814" spans="1:29" ht="15.75" customHeight="1">
      <c r="A814" s="316"/>
      <c r="B814" s="316"/>
      <c r="C814" s="316"/>
      <c r="D814" s="316"/>
      <c r="E814" s="316"/>
      <c r="F814" s="316"/>
      <c r="G814" s="321"/>
      <c r="H814" s="316"/>
      <c r="I814" s="316"/>
      <c r="J814" s="316"/>
      <c r="K814" s="316"/>
      <c r="L814" s="316"/>
      <c r="M814" s="316"/>
      <c r="N814" s="316"/>
      <c r="O814" s="316"/>
      <c r="P814" s="316"/>
      <c r="Q814" s="316"/>
      <c r="R814" s="316"/>
      <c r="S814" s="316"/>
      <c r="T814" s="316"/>
      <c r="U814" s="316"/>
      <c r="V814" s="316"/>
      <c r="W814" s="316"/>
      <c r="X814" s="316"/>
      <c r="Y814" s="316"/>
      <c r="Z814" s="316"/>
      <c r="AA814" s="316"/>
      <c r="AB814" s="316"/>
      <c r="AC814" s="316"/>
    </row>
    <row r="815" spans="1:29" ht="15.75" customHeight="1">
      <c r="A815" s="316"/>
      <c r="B815" s="316"/>
      <c r="C815" s="316"/>
      <c r="D815" s="316"/>
      <c r="E815" s="316"/>
      <c r="F815" s="316"/>
      <c r="G815" s="321"/>
      <c r="H815" s="316"/>
      <c r="I815" s="316"/>
      <c r="J815" s="316"/>
      <c r="K815" s="316"/>
      <c r="L815" s="316"/>
      <c r="M815" s="316"/>
      <c r="N815" s="316"/>
      <c r="O815" s="316"/>
      <c r="P815" s="316"/>
      <c r="Q815" s="316"/>
      <c r="R815" s="316"/>
      <c r="S815" s="316"/>
      <c r="T815" s="316"/>
      <c r="U815" s="316"/>
      <c r="V815" s="316"/>
      <c r="W815" s="316"/>
      <c r="X815" s="316"/>
      <c r="Y815" s="316"/>
      <c r="Z815" s="316"/>
      <c r="AA815" s="316"/>
      <c r="AB815" s="316"/>
      <c r="AC815" s="316"/>
    </row>
    <row r="816" spans="1:29" ht="15.75" customHeight="1">
      <c r="A816" s="316"/>
      <c r="B816" s="316"/>
      <c r="C816" s="316"/>
      <c r="D816" s="316"/>
      <c r="E816" s="316"/>
      <c r="F816" s="316"/>
      <c r="G816" s="321"/>
      <c r="H816" s="316"/>
      <c r="I816" s="316"/>
      <c r="J816" s="316"/>
      <c r="K816" s="316"/>
      <c r="L816" s="316"/>
      <c r="M816" s="316"/>
      <c r="N816" s="316"/>
      <c r="O816" s="316"/>
      <c r="P816" s="316"/>
      <c r="Q816" s="316"/>
      <c r="R816" s="316"/>
      <c r="S816" s="316"/>
      <c r="T816" s="316"/>
      <c r="U816" s="316"/>
      <c r="V816" s="316"/>
      <c r="W816" s="316"/>
      <c r="X816" s="316"/>
      <c r="Y816" s="316"/>
      <c r="Z816" s="316"/>
      <c r="AA816" s="316"/>
      <c r="AB816" s="316"/>
      <c r="AC816" s="316"/>
    </row>
    <row r="817" spans="1:29" ht="15.75" customHeight="1">
      <c r="A817" s="316"/>
      <c r="B817" s="316"/>
      <c r="C817" s="316"/>
      <c r="D817" s="316"/>
      <c r="E817" s="316"/>
      <c r="F817" s="316"/>
      <c r="G817" s="321"/>
      <c r="H817" s="316"/>
      <c r="I817" s="316"/>
      <c r="J817" s="316"/>
      <c r="K817" s="316"/>
      <c r="L817" s="316"/>
      <c r="M817" s="316"/>
      <c r="N817" s="316"/>
      <c r="O817" s="316"/>
      <c r="P817" s="316"/>
      <c r="Q817" s="316"/>
      <c r="R817" s="316"/>
      <c r="S817" s="316"/>
      <c r="T817" s="316"/>
      <c r="U817" s="316"/>
      <c r="V817" s="316"/>
      <c r="W817" s="316"/>
      <c r="X817" s="316"/>
      <c r="Y817" s="316"/>
      <c r="Z817" s="316"/>
      <c r="AA817" s="316"/>
      <c r="AB817" s="316"/>
      <c r="AC817" s="316"/>
    </row>
    <row r="818" spans="1:29" ht="15.75" customHeight="1">
      <c r="A818" s="316"/>
      <c r="B818" s="316"/>
      <c r="C818" s="316"/>
      <c r="D818" s="316"/>
      <c r="E818" s="316"/>
      <c r="F818" s="316"/>
      <c r="G818" s="321"/>
      <c r="H818" s="316"/>
      <c r="I818" s="316"/>
      <c r="J818" s="316"/>
      <c r="K818" s="316"/>
      <c r="L818" s="316"/>
      <c r="M818" s="316"/>
      <c r="N818" s="316"/>
      <c r="O818" s="316"/>
      <c r="P818" s="316"/>
      <c r="Q818" s="316"/>
      <c r="R818" s="316"/>
      <c r="S818" s="316"/>
      <c r="T818" s="316"/>
      <c r="U818" s="316"/>
      <c r="V818" s="316"/>
      <c r="W818" s="316"/>
      <c r="X818" s="316"/>
      <c r="Y818" s="316"/>
      <c r="Z818" s="316"/>
      <c r="AA818" s="316"/>
      <c r="AB818" s="316"/>
      <c r="AC818" s="316"/>
    </row>
    <row r="819" spans="1:29" ht="15.75" customHeight="1">
      <c r="A819" s="316"/>
      <c r="B819" s="316"/>
      <c r="C819" s="316"/>
      <c r="D819" s="316"/>
      <c r="E819" s="316"/>
      <c r="F819" s="316"/>
      <c r="G819" s="321"/>
      <c r="H819" s="316"/>
      <c r="I819" s="316"/>
      <c r="J819" s="316"/>
      <c r="K819" s="316"/>
      <c r="L819" s="316"/>
      <c r="M819" s="316"/>
      <c r="N819" s="316"/>
      <c r="O819" s="316"/>
      <c r="P819" s="316"/>
      <c r="Q819" s="316"/>
      <c r="R819" s="316"/>
      <c r="S819" s="316"/>
      <c r="T819" s="316"/>
      <c r="U819" s="316"/>
      <c r="V819" s="316"/>
      <c r="W819" s="316"/>
      <c r="X819" s="316"/>
      <c r="Y819" s="316"/>
      <c r="Z819" s="316"/>
      <c r="AA819" s="316"/>
      <c r="AB819" s="316"/>
      <c r="AC819" s="316"/>
    </row>
    <row r="820" spans="1:29" ht="15.75" customHeight="1">
      <c r="A820" s="316"/>
      <c r="B820" s="316"/>
      <c r="C820" s="316"/>
      <c r="D820" s="316"/>
      <c r="E820" s="316"/>
      <c r="F820" s="316"/>
      <c r="G820" s="321"/>
      <c r="H820" s="316"/>
      <c r="I820" s="316"/>
      <c r="J820" s="316"/>
      <c r="K820" s="316"/>
      <c r="L820" s="316"/>
      <c r="M820" s="316"/>
      <c r="N820" s="316"/>
      <c r="O820" s="316"/>
      <c r="P820" s="316"/>
      <c r="Q820" s="316"/>
      <c r="R820" s="316"/>
      <c r="S820" s="316"/>
      <c r="T820" s="316"/>
      <c r="U820" s="316"/>
      <c r="V820" s="316"/>
      <c r="W820" s="316"/>
      <c r="X820" s="316"/>
      <c r="Y820" s="316"/>
      <c r="Z820" s="316"/>
      <c r="AA820" s="316"/>
      <c r="AB820" s="316"/>
      <c r="AC820" s="316"/>
    </row>
    <row r="821" spans="1:29" ht="15.75" customHeight="1">
      <c r="A821" s="316"/>
      <c r="B821" s="316"/>
      <c r="C821" s="316"/>
      <c r="D821" s="316"/>
      <c r="E821" s="316"/>
      <c r="F821" s="316"/>
      <c r="G821" s="321"/>
      <c r="H821" s="316"/>
      <c r="I821" s="316"/>
      <c r="J821" s="316"/>
      <c r="K821" s="316"/>
      <c r="L821" s="316"/>
      <c r="M821" s="316"/>
      <c r="N821" s="316"/>
      <c r="O821" s="316"/>
      <c r="P821" s="316"/>
      <c r="Q821" s="316"/>
      <c r="R821" s="316"/>
      <c r="S821" s="316"/>
      <c r="T821" s="316"/>
      <c r="U821" s="316"/>
      <c r="V821" s="316"/>
      <c r="W821" s="316"/>
      <c r="X821" s="316"/>
      <c r="Y821" s="316"/>
      <c r="Z821" s="316"/>
      <c r="AA821" s="316"/>
      <c r="AB821" s="316"/>
      <c r="AC821" s="316"/>
    </row>
    <row r="822" spans="1:29" ht="15.75" customHeight="1">
      <c r="A822" s="316"/>
      <c r="B822" s="316"/>
      <c r="C822" s="316"/>
      <c r="D822" s="316"/>
      <c r="E822" s="316"/>
      <c r="F822" s="316"/>
      <c r="G822" s="321"/>
      <c r="H822" s="316"/>
      <c r="I822" s="316"/>
      <c r="J822" s="316"/>
      <c r="K822" s="316"/>
      <c r="L822" s="316"/>
      <c r="M822" s="316"/>
      <c r="N822" s="316"/>
      <c r="O822" s="316"/>
      <c r="P822" s="316"/>
      <c r="Q822" s="316"/>
      <c r="R822" s="316"/>
      <c r="S822" s="316"/>
      <c r="T822" s="316"/>
      <c r="U822" s="316"/>
      <c r="V822" s="316"/>
      <c r="W822" s="316"/>
      <c r="X822" s="316"/>
      <c r="Y822" s="316"/>
      <c r="Z822" s="316"/>
      <c r="AA822" s="316"/>
      <c r="AB822" s="316"/>
      <c r="AC822" s="316"/>
    </row>
    <row r="823" spans="1:29" ht="15.75" customHeight="1">
      <c r="A823" s="316"/>
      <c r="B823" s="316"/>
      <c r="C823" s="316"/>
      <c r="D823" s="316"/>
      <c r="E823" s="316"/>
      <c r="F823" s="316"/>
      <c r="G823" s="321"/>
      <c r="H823" s="316"/>
      <c r="I823" s="316"/>
      <c r="J823" s="316"/>
      <c r="K823" s="316"/>
      <c r="L823" s="316"/>
      <c r="M823" s="316"/>
      <c r="N823" s="316"/>
      <c r="O823" s="316"/>
      <c r="P823" s="316"/>
      <c r="Q823" s="316"/>
      <c r="R823" s="316"/>
      <c r="S823" s="316"/>
      <c r="T823" s="316"/>
      <c r="U823" s="316"/>
      <c r="V823" s="316"/>
      <c r="W823" s="316"/>
      <c r="X823" s="316"/>
      <c r="Y823" s="316"/>
      <c r="Z823" s="316"/>
      <c r="AA823" s="316"/>
      <c r="AB823" s="316"/>
      <c r="AC823" s="316"/>
    </row>
    <row r="824" spans="1:29" ht="15.75" customHeight="1">
      <c r="A824" s="316"/>
      <c r="B824" s="316"/>
      <c r="C824" s="316"/>
      <c r="D824" s="316"/>
      <c r="E824" s="316"/>
      <c r="F824" s="316"/>
      <c r="G824" s="321"/>
      <c r="H824" s="316"/>
      <c r="I824" s="316"/>
      <c r="J824" s="316"/>
      <c r="K824" s="316"/>
      <c r="L824" s="316"/>
      <c r="M824" s="316"/>
      <c r="N824" s="316"/>
      <c r="O824" s="316"/>
      <c r="P824" s="316"/>
      <c r="Q824" s="316"/>
      <c r="R824" s="316"/>
      <c r="S824" s="316"/>
      <c r="T824" s="316"/>
      <c r="U824" s="316"/>
      <c r="V824" s="316"/>
      <c r="W824" s="316"/>
      <c r="X824" s="316"/>
      <c r="Y824" s="316"/>
      <c r="Z824" s="316"/>
      <c r="AA824" s="316"/>
      <c r="AB824" s="316"/>
      <c r="AC824" s="316"/>
    </row>
    <row r="825" spans="1:29" ht="15.75" customHeight="1">
      <c r="A825" s="316"/>
      <c r="B825" s="316"/>
      <c r="C825" s="316"/>
      <c r="D825" s="316"/>
      <c r="E825" s="316"/>
      <c r="F825" s="316"/>
      <c r="G825" s="321"/>
      <c r="H825" s="316"/>
      <c r="I825" s="316"/>
      <c r="J825" s="316"/>
      <c r="K825" s="316"/>
      <c r="L825" s="316"/>
      <c r="M825" s="316"/>
      <c r="N825" s="316"/>
      <c r="O825" s="316"/>
      <c r="P825" s="316"/>
      <c r="Q825" s="316"/>
      <c r="R825" s="316"/>
      <c r="S825" s="316"/>
      <c r="T825" s="316"/>
      <c r="U825" s="316"/>
      <c r="V825" s="316"/>
      <c r="W825" s="316"/>
      <c r="X825" s="316"/>
      <c r="Y825" s="316"/>
      <c r="Z825" s="316"/>
      <c r="AA825" s="316"/>
      <c r="AB825" s="316"/>
      <c r="AC825" s="316"/>
    </row>
    <row r="826" spans="1:29" ht="15.75" customHeight="1">
      <c r="A826" s="316"/>
      <c r="B826" s="316"/>
      <c r="C826" s="316"/>
      <c r="D826" s="316"/>
      <c r="E826" s="316"/>
      <c r="F826" s="316"/>
      <c r="G826" s="321"/>
      <c r="H826" s="316"/>
      <c r="I826" s="316"/>
      <c r="J826" s="316"/>
      <c r="K826" s="316"/>
      <c r="L826" s="316"/>
      <c r="M826" s="316"/>
      <c r="N826" s="316"/>
      <c r="O826" s="316"/>
      <c r="P826" s="316"/>
      <c r="Q826" s="316"/>
      <c r="R826" s="316"/>
      <c r="S826" s="316"/>
      <c r="T826" s="316"/>
      <c r="U826" s="316"/>
      <c r="V826" s="316"/>
      <c r="W826" s="316"/>
      <c r="X826" s="316"/>
      <c r="Y826" s="316"/>
      <c r="Z826" s="316"/>
      <c r="AA826" s="316"/>
      <c r="AB826" s="316"/>
      <c r="AC826" s="316"/>
    </row>
    <row r="827" spans="1:29" ht="15.75" customHeight="1">
      <c r="A827" s="316"/>
      <c r="B827" s="316"/>
      <c r="C827" s="316"/>
      <c r="D827" s="316"/>
      <c r="E827" s="316"/>
      <c r="F827" s="316"/>
      <c r="G827" s="321"/>
      <c r="H827" s="316"/>
      <c r="I827" s="316"/>
      <c r="J827" s="316"/>
      <c r="K827" s="316"/>
      <c r="L827" s="316"/>
      <c r="M827" s="316"/>
      <c r="N827" s="316"/>
      <c r="O827" s="316"/>
      <c r="P827" s="316"/>
      <c r="Q827" s="316"/>
      <c r="R827" s="316"/>
      <c r="S827" s="316"/>
      <c r="T827" s="316"/>
      <c r="U827" s="316"/>
      <c r="V827" s="316"/>
      <c r="W827" s="316"/>
      <c r="X827" s="316"/>
      <c r="Y827" s="316"/>
      <c r="Z827" s="316"/>
      <c r="AA827" s="316"/>
      <c r="AB827" s="316"/>
      <c r="AC827" s="316"/>
    </row>
    <row r="828" spans="1:29" ht="15.75" customHeight="1">
      <c r="A828" s="316"/>
      <c r="B828" s="316"/>
      <c r="C828" s="316"/>
      <c r="D828" s="316"/>
      <c r="E828" s="316"/>
      <c r="F828" s="316"/>
      <c r="G828" s="321"/>
      <c r="H828" s="316"/>
      <c r="I828" s="316"/>
      <c r="J828" s="316"/>
      <c r="K828" s="316"/>
      <c r="L828" s="316"/>
      <c r="M828" s="316"/>
      <c r="N828" s="316"/>
      <c r="O828" s="316"/>
      <c r="P828" s="316"/>
      <c r="Q828" s="316"/>
      <c r="R828" s="316"/>
      <c r="S828" s="316"/>
      <c r="T828" s="316"/>
      <c r="U828" s="316"/>
      <c r="V828" s="316"/>
      <c r="W828" s="316"/>
      <c r="X828" s="316"/>
      <c r="Y828" s="316"/>
      <c r="Z828" s="316"/>
      <c r="AA828" s="316"/>
      <c r="AB828" s="316"/>
      <c r="AC828" s="316"/>
    </row>
    <row r="829" spans="1:29" ht="15.75" customHeight="1">
      <c r="A829" s="316"/>
      <c r="B829" s="316"/>
      <c r="C829" s="316"/>
      <c r="D829" s="316"/>
      <c r="E829" s="316"/>
      <c r="F829" s="316"/>
      <c r="G829" s="321"/>
      <c r="H829" s="316"/>
      <c r="I829" s="316"/>
      <c r="J829" s="316"/>
      <c r="K829" s="316"/>
      <c r="L829" s="316"/>
      <c r="M829" s="316"/>
      <c r="N829" s="316"/>
      <c r="O829" s="316"/>
      <c r="P829" s="316"/>
      <c r="Q829" s="316"/>
      <c r="R829" s="316"/>
      <c r="S829" s="316"/>
      <c r="T829" s="316"/>
      <c r="U829" s="316"/>
      <c r="V829" s="316"/>
      <c r="W829" s="316"/>
      <c r="X829" s="316"/>
      <c r="Y829" s="316"/>
      <c r="Z829" s="316"/>
      <c r="AA829" s="316"/>
      <c r="AB829" s="316"/>
      <c r="AC829" s="316"/>
    </row>
    <row r="830" spans="1:29" ht="15.75" customHeight="1">
      <c r="A830" s="316"/>
      <c r="B830" s="316"/>
      <c r="C830" s="316"/>
      <c r="D830" s="316"/>
      <c r="E830" s="316"/>
      <c r="F830" s="316"/>
      <c r="G830" s="321"/>
      <c r="H830" s="316"/>
      <c r="I830" s="316"/>
      <c r="J830" s="316"/>
      <c r="K830" s="316"/>
      <c r="L830" s="316"/>
      <c r="M830" s="316"/>
      <c r="N830" s="316"/>
      <c r="O830" s="316"/>
      <c r="P830" s="316"/>
      <c r="Q830" s="316"/>
      <c r="R830" s="316"/>
      <c r="S830" s="316"/>
      <c r="T830" s="316"/>
      <c r="U830" s="316"/>
      <c r="V830" s="316"/>
      <c r="W830" s="316"/>
      <c r="X830" s="316"/>
      <c r="Y830" s="316"/>
      <c r="Z830" s="316"/>
      <c r="AA830" s="316"/>
      <c r="AB830" s="316"/>
      <c r="AC830" s="316"/>
    </row>
    <row r="831" spans="1:29" ht="15.75" customHeight="1">
      <c r="A831" s="316"/>
      <c r="B831" s="316"/>
      <c r="C831" s="316"/>
      <c r="D831" s="316"/>
      <c r="E831" s="316"/>
      <c r="F831" s="316"/>
      <c r="G831" s="321"/>
      <c r="H831" s="316"/>
      <c r="I831" s="316"/>
      <c r="J831" s="316"/>
      <c r="K831" s="316"/>
      <c r="L831" s="316"/>
      <c r="M831" s="316"/>
      <c r="N831" s="316"/>
      <c r="O831" s="316"/>
      <c r="P831" s="316"/>
      <c r="Q831" s="316"/>
      <c r="R831" s="316"/>
      <c r="S831" s="316"/>
      <c r="T831" s="316"/>
      <c r="U831" s="316"/>
      <c r="V831" s="316"/>
      <c r="W831" s="316"/>
      <c r="X831" s="316"/>
      <c r="Y831" s="316"/>
      <c r="Z831" s="316"/>
      <c r="AA831" s="316"/>
      <c r="AB831" s="316"/>
      <c r="AC831" s="316"/>
    </row>
    <row r="832" spans="1:29" ht="15.75" customHeight="1">
      <c r="A832" s="316"/>
      <c r="B832" s="316"/>
      <c r="C832" s="316"/>
      <c r="D832" s="316"/>
      <c r="E832" s="316"/>
      <c r="F832" s="316"/>
      <c r="G832" s="321"/>
      <c r="H832" s="316"/>
      <c r="I832" s="316"/>
      <c r="J832" s="316"/>
      <c r="K832" s="316"/>
      <c r="L832" s="316"/>
      <c r="M832" s="316"/>
      <c r="N832" s="316"/>
      <c r="O832" s="316"/>
      <c r="P832" s="316"/>
      <c r="Q832" s="316"/>
      <c r="R832" s="316"/>
      <c r="S832" s="316"/>
      <c r="T832" s="316"/>
      <c r="U832" s="316"/>
      <c r="V832" s="316"/>
      <c r="W832" s="316"/>
      <c r="X832" s="316"/>
      <c r="Y832" s="316"/>
      <c r="Z832" s="316"/>
      <c r="AA832" s="316"/>
      <c r="AB832" s="316"/>
      <c r="AC832" s="316"/>
    </row>
    <row r="833" spans="1:29" ht="15.75" customHeight="1">
      <c r="A833" s="316"/>
      <c r="B833" s="316"/>
      <c r="C833" s="316"/>
      <c r="D833" s="316"/>
      <c r="E833" s="316"/>
      <c r="F833" s="316"/>
      <c r="G833" s="321"/>
      <c r="H833" s="316"/>
      <c r="I833" s="316"/>
      <c r="J833" s="316"/>
      <c r="K833" s="316"/>
      <c r="L833" s="316"/>
      <c r="M833" s="316"/>
      <c r="N833" s="316"/>
      <c r="O833" s="316"/>
      <c r="P833" s="316"/>
      <c r="Q833" s="316"/>
      <c r="R833" s="316"/>
      <c r="S833" s="316"/>
      <c r="T833" s="316"/>
      <c r="U833" s="316"/>
      <c r="V833" s="316"/>
      <c r="W833" s="316"/>
      <c r="X833" s="316"/>
      <c r="Y833" s="316"/>
      <c r="Z833" s="316"/>
      <c r="AA833" s="316"/>
      <c r="AB833" s="316"/>
      <c r="AC833" s="316"/>
    </row>
    <row r="834" spans="1:29" ht="15.75" customHeight="1">
      <c r="A834" s="316"/>
      <c r="B834" s="316"/>
      <c r="C834" s="316"/>
      <c r="D834" s="316"/>
      <c r="E834" s="316"/>
      <c r="F834" s="316"/>
      <c r="G834" s="321"/>
      <c r="H834" s="316"/>
      <c r="I834" s="316"/>
      <c r="J834" s="316"/>
      <c r="K834" s="316"/>
      <c r="L834" s="316"/>
      <c r="M834" s="316"/>
      <c r="N834" s="316"/>
      <c r="O834" s="316"/>
      <c r="P834" s="316"/>
      <c r="Q834" s="316"/>
      <c r="R834" s="316"/>
      <c r="S834" s="316"/>
      <c r="T834" s="316"/>
      <c r="U834" s="316"/>
      <c r="V834" s="316"/>
      <c r="W834" s="316"/>
      <c r="X834" s="316"/>
      <c r="Y834" s="316"/>
      <c r="Z834" s="316"/>
      <c r="AA834" s="316"/>
      <c r="AB834" s="316"/>
      <c r="AC834" s="316"/>
    </row>
    <row r="835" spans="1:29" ht="15.75" customHeight="1">
      <c r="A835" s="316"/>
      <c r="B835" s="316"/>
      <c r="C835" s="316"/>
      <c r="D835" s="316"/>
      <c r="E835" s="316"/>
      <c r="F835" s="316"/>
      <c r="G835" s="321"/>
      <c r="H835" s="316"/>
      <c r="I835" s="316"/>
      <c r="J835" s="316"/>
      <c r="K835" s="316"/>
      <c r="L835" s="316"/>
      <c r="M835" s="316"/>
      <c r="N835" s="316"/>
      <c r="O835" s="316"/>
      <c r="P835" s="316"/>
      <c r="Q835" s="316"/>
      <c r="R835" s="316"/>
      <c r="S835" s="316"/>
      <c r="T835" s="316"/>
      <c r="U835" s="316"/>
      <c r="V835" s="316"/>
      <c r="W835" s="316"/>
      <c r="X835" s="316"/>
      <c r="Y835" s="316"/>
      <c r="Z835" s="316"/>
      <c r="AA835" s="316"/>
      <c r="AB835" s="316"/>
      <c r="AC835" s="316"/>
    </row>
    <row r="836" spans="1:29" ht="15.75" customHeight="1">
      <c r="A836" s="316"/>
      <c r="B836" s="316"/>
      <c r="C836" s="316"/>
      <c r="D836" s="316"/>
      <c r="E836" s="316"/>
      <c r="F836" s="316"/>
      <c r="G836" s="321"/>
      <c r="H836" s="316"/>
      <c r="I836" s="316"/>
      <c r="J836" s="316"/>
      <c r="K836" s="316"/>
      <c r="L836" s="316"/>
      <c r="M836" s="316"/>
      <c r="N836" s="316"/>
      <c r="O836" s="316"/>
      <c r="P836" s="316"/>
      <c r="Q836" s="316"/>
      <c r="R836" s="316"/>
      <c r="S836" s="316"/>
      <c r="T836" s="316"/>
      <c r="U836" s="316"/>
      <c r="V836" s="316"/>
      <c r="W836" s="316"/>
      <c r="X836" s="316"/>
      <c r="Y836" s="316"/>
      <c r="Z836" s="316"/>
      <c r="AA836" s="316"/>
      <c r="AB836" s="316"/>
      <c r="AC836" s="316"/>
    </row>
    <row r="837" spans="1:29" ht="15.75" customHeight="1">
      <c r="A837" s="316"/>
      <c r="B837" s="316"/>
      <c r="C837" s="316"/>
      <c r="D837" s="316"/>
      <c r="E837" s="316"/>
      <c r="F837" s="316"/>
      <c r="G837" s="321"/>
      <c r="H837" s="316"/>
      <c r="I837" s="316"/>
      <c r="J837" s="316"/>
      <c r="K837" s="316"/>
      <c r="L837" s="316"/>
      <c r="M837" s="316"/>
      <c r="N837" s="316"/>
      <c r="O837" s="316"/>
      <c r="P837" s="316"/>
      <c r="Q837" s="316"/>
      <c r="R837" s="316"/>
      <c r="S837" s="316"/>
      <c r="T837" s="316"/>
      <c r="U837" s="316"/>
      <c r="V837" s="316"/>
      <c r="W837" s="316"/>
      <c r="X837" s="316"/>
      <c r="Y837" s="316"/>
      <c r="Z837" s="316"/>
      <c r="AA837" s="316"/>
      <c r="AB837" s="316"/>
      <c r="AC837" s="316"/>
    </row>
    <row r="838" spans="1:29" ht="15.75" customHeight="1">
      <c r="A838" s="316"/>
      <c r="B838" s="316"/>
      <c r="C838" s="316"/>
      <c r="D838" s="316"/>
      <c r="E838" s="316"/>
      <c r="F838" s="316"/>
      <c r="G838" s="321"/>
      <c r="H838" s="316"/>
      <c r="I838" s="316"/>
      <c r="J838" s="316"/>
      <c r="K838" s="316"/>
      <c r="L838" s="316"/>
      <c r="M838" s="316"/>
      <c r="N838" s="316"/>
      <c r="O838" s="316"/>
      <c r="P838" s="316"/>
      <c r="Q838" s="316"/>
      <c r="R838" s="316"/>
      <c r="S838" s="316"/>
      <c r="T838" s="316"/>
      <c r="U838" s="316"/>
      <c r="V838" s="316"/>
      <c r="W838" s="316"/>
      <c r="X838" s="316"/>
      <c r="Y838" s="316"/>
      <c r="Z838" s="316"/>
      <c r="AA838" s="316"/>
      <c r="AB838" s="316"/>
      <c r="AC838" s="316"/>
    </row>
    <row r="839" spans="1:29" ht="15.75" customHeight="1">
      <c r="A839" s="316"/>
      <c r="B839" s="316"/>
      <c r="C839" s="316"/>
      <c r="D839" s="316"/>
      <c r="E839" s="316"/>
      <c r="F839" s="316"/>
      <c r="G839" s="321"/>
      <c r="H839" s="316"/>
      <c r="I839" s="316"/>
      <c r="J839" s="316"/>
      <c r="K839" s="316"/>
      <c r="L839" s="316"/>
      <c r="M839" s="316"/>
      <c r="N839" s="316"/>
      <c r="O839" s="316"/>
      <c r="P839" s="316"/>
      <c r="Q839" s="316"/>
      <c r="R839" s="316"/>
      <c r="S839" s="316"/>
      <c r="T839" s="316"/>
      <c r="U839" s="316"/>
      <c r="V839" s="316"/>
      <c r="W839" s="316"/>
      <c r="X839" s="316"/>
      <c r="Y839" s="316"/>
      <c r="Z839" s="316"/>
      <c r="AA839" s="316"/>
      <c r="AB839" s="316"/>
      <c r="AC839" s="316"/>
    </row>
    <row r="840" spans="1:29" ht="15.75" customHeight="1">
      <c r="A840" s="316"/>
      <c r="B840" s="316"/>
      <c r="C840" s="316"/>
      <c r="D840" s="316"/>
      <c r="E840" s="316"/>
      <c r="F840" s="316"/>
      <c r="G840" s="321"/>
      <c r="H840" s="316"/>
      <c r="I840" s="316"/>
      <c r="J840" s="316"/>
      <c r="K840" s="316"/>
      <c r="L840" s="316"/>
      <c r="M840" s="316"/>
      <c r="N840" s="316"/>
      <c r="O840" s="316"/>
      <c r="P840" s="316"/>
      <c r="Q840" s="316"/>
      <c r="R840" s="316"/>
      <c r="S840" s="316"/>
      <c r="T840" s="316"/>
      <c r="U840" s="316"/>
      <c r="V840" s="316"/>
      <c r="W840" s="316"/>
      <c r="X840" s="316"/>
      <c r="Y840" s="316"/>
      <c r="Z840" s="316"/>
      <c r="AA840" s="316"/>
      <c r="AB840" s="316"/>
      <c r="AC840" s="316"/>
    </row>
    <row r="841" spans="1:29" ht="15.75" customHeight="1">
      <c r="A841" s="316"/>
      <c r="B841" s="316"/>
      <c r="C841" s="316"/>
      <c r="D841" s="316"/>
      <c r="E841" s="316"/>
      <c r="F841" s="316"/>
      <c r="G841" s="321"/>
      <c r="H841" s="316"/>
      <c r="I841" s="316"/>
      <c r="J841" s="316"/>
      <c r="K841" s="316"/>
      <c r="L841" s="316"/>
      <c r="M841" s="316"/>
      <c r="N841" s="316"/>
      <c r="O841" s="316"/>
      <c r="P841" s="316"/>
      <c r="Q841" s="316"/>
      <c r="R841" s="316"/>
      <c r="S841" s="316"/>
      <c r="T841" s="316"/>
      <c r="U841" s="316"/>
      <c r="V841" s="316"/>
      <c r="W841" s="316"/>
      <c r="X841" s="316"/>
      <c r="Y841" s="316"/>
      <c r="Z841" s="316"/>
      <c r="AA841" s="316"/>
      <c r="AB841" s="316"/>
      <c r="AC841" s="316"/>
    </row>
    <row r="842" spans="1:29" ht="15.75" customHeight="1">
      <c r="A842" s="316"/>
      <c r="B842" s="316"/>
      <c r="C842" s="316"/>
      <c r="D842" s="316"/>
      <c r="E842" s="316"/>
      <c r="F842" s="316"/>
      <c r="G842" s="321"/>
      <c r="H842" s="316"/>
      <c r="I842" s="316"/>
      <c r="J842" s="316"/>
      <c r="K842" s="316"/>
      <c r="L842" s="316"/>
      <c r="M842" s="316"/>
      <c r="N842" s="316"/>
      <c r="O842" s="316"/>
      <c r="P842" s="316"/>
      <c r="Q842" s="316"/>
      <c r="R842" s="316"/>
      <c r="S842" s="316"/>
      <c r="T842" s="316"/>
      <c r="U842" s="316"/>
      <c r="V842" s="316"/>
      <c r="W842" s="316"/>
      <c r="X842" s="316"/>
      <c r="Y842" s="316"/>
      <c r="Z842" s="316"/>
      <c r="AA842" s="316"/>
      <c r="AB842" s="316"/>
      <c r="AC842" s="316"/>
    </row>
    <row r="843" spans="1:29" ht="15.75" customHeight="1">
      <c r="A843" s="316"/>
      <c r="B843" s="316"/>
      <c r="C843" s="316"/>
      <c r="D843" s="316"/>
      <c r="E843" s="316"/>
      <c r="F843" s="316"/>
      <c r="G843" s="321"/>
      <c r="H843" s="316"/>
      <c r="I843" s="316"/>
      <c r="J843" s="316"/>
      <c r="K843" s="316"/>
      <c r="L843" s="316"/>
      <c r="M843" s="316"/>
      <c r="N843" s="316"/>
      <c r="O843" s="316"/>
      <c r="P843" s="316"/>
      <c r="Q843" s="316"/>
      <c r="R843" s="316"/>
      <c r="S843" s="316"/>
      <c r="T843" s="316"/>
      <c r="U843" s="316"/>
      <c r="V843" s="316"/>
      <c r="W843" s="316"/>
      <c r="X843" s="316"/>
      <c r="Y843" s="316"/>
      <c r="Z843" s="316"/>
      <c r="AA843" s="316"/>
      <c r="AB843" s="316"/>
      <c r="AC843" s="316"/>
    </row>
    <row r="844" spans="1:29" ht="15.75" customHeight="1">
      <c r="A844" s="316"/>
      <c r="B844" s="316"/>
      <c r="C844" s="316"/>
      <c r="D844" s="316"/>
      <c r="E844" s="316"/>
      <c r="F844" s="316"/>
      <c r="G844" s="321"/>
      <c r="H844" s="316"/>
      <c r="I844" s="316"/>
      <c r="J844" s="316"/>
      <c r="K844" s="316"/>
      <c r="L844" s="316"/>
      <c r="M844" s="316"/>
      <c r="N844" s="316"/>
      <c r="O844" s="316"/>
      <c r="P844" s="316"/>
      <c r="Q844" s="316"/>
      <c r="R844" s="316"/>
      <c r="S844" s="316"/>
      <c r="T844" s="316"/>
      <c r="U844" s="316"/>
      <c r="V844" s="316"/>
      <c r="W844" s="316"/>
      <c r="X844" s="316"/>
      <c r="Y844" s="316"/>
      <c r="Z844" s="316"/>
      <c r="AA844" s="316"/>
      <c r="AB844" s="316"/>
      <c r="AC844" s="316"/>
    </row>
    <row r="845" spans="1:29" ht="15.75" customHeight="1">
      <c r="A845" s="316"/>
      <c r="B845" s="316"/>
      <c r="C845" s="316"/>
      <c r="D845" s="316"/>
      <c r="E845" s="316"/>
      <c r="F845" s="316"/>
      <c r="G845" s="321"/>
      <c r="H845" s="316"/>
      <c r="I845" s="316"/>
      <c r="J845" s="316"/>
      <c r="K845" s="316"/>
      <c r="L845" s="316"/>
      <c r="M845" s="316"/>
      <c r="N845" s="316"/>
      <c r="O845" s="316"/>
      <c r="P845" s="316"/>
      <c r="Q845" s="316"/>
      <c r="R845" s="316"/>
      <c r="S845" s="316"/>
      <c r="T845" s="316"/>
      <c r="U845" s="316"/>
      <c r="V845" s="316"/>
      <c r="W845" s="316"/>
      <c r="X845" s="316"/>
      <c r="Y845" s="316"/>
      <c r="Z845" s="316"/>
      <c r="AA845" s="316"/>
      <c r="AB845" s="316"/>
      <c r="AC845" s="316"/>
    </row>
    <row r="846" spans="1:29" ht="15.75" customHeight="1">
      <c r="A846" s="316"/>
      <c r="B846" s="316"/>
      <c r="C846" s="316"/>
      <c r="D846" s="316"/>
      <c r="E846" s="316"/>
      <c r="F846" s="316"/>
      <c r="G846" s="321"/>
      <c r="H846" s="316"/>
      <c r="I846" s="316"/>
      <c r="J846" s="316"/>
      <c r="K846" s="316"/>
      <c r="L846" s="316"/>
      <c r="M846" s="316"/>
      <c r="N846" s="316"/>
      <c r="O846" s="316"/>
      <c r="P846" s="316"/>
      <c r="Q846" s="316"/>
      <c r="R846" s="316"/>
      <c r="S846" s="316"/>
      <c r="T846" s="316"/>
      <c r="U846" s="316"/>
      <c r="V846" s="316"/>
      <c r="W846" s="316"/>
      <c r="X846" s="316"/>
      <c r="Y846" s="316"/>
      <c r="Z846" s="316"/>
      <c r="AA846" s="316"/>
      <c r="AB846" s="316"/>
      <c r="AC846" s="316"/>
    </row>
    <row r="847" spans="1:29" ht="15.75" customHeight="1">
      <c r="A847" s="316"/>
      <c r="B847" s="316"/>
      <c r="C847" s="316"/>
      <c r="D847" s="316"/>
      <c r="E847" s="316"/>
      <c r="F847" s="316"/>
      <c r="G847" s="321"/>
      <c r="H847" s="316"/>
      <c r="I847" s="316"/>
      <c r="J847" s="316"/>
      <c r="K847" s="316"/>
      <c r="L847" s="316"/>
      <c r="M847" s="316"/>
      <c r="N847" s="316"/>
      <c r="O847" s="316"/>
      <c r="P847" s="316"/>
      <c r="Q847" s="316"/>
      <c r="R847" s="316"/>
      <c r="S847" s="316"/>
      <c r="T847" s="316"/>
      <c r="U847" s="316"/>
      <c r="V847" s="316"/>
      <c r="W847" s="316"/>
      <c r="X847" s="316"/>
      <c r="Y847" s="316"/>
      <c r="Z847" s="316"/>
      <c r="AA847" s="316"/>
      <c r="AB847" s="316"/>
      <c r="AC847" s="316"/>
    </row>
    <row r="848" spans="1:29" ht="15.75" customHeight="1">
      <c r="A848" s="316"/>
      <c r="B848" s="316"/>
      <c r="C848" s="316"/>
      <c r="D848" s="316"/>
      <c r="E848" s="316"/>
      <c r="F848" s="316"/>
      <c r="G848" s="321"/>
      <c r="H848" s="316"/>
      <c r="I848" s="316"/>
      <c r="J848" s="316"/>
      <c r="K848" s="316"/>
      <c r="L848" s="316"/>
      <c r="M848" s="316"/>
      <c r="N848" s="316"/>
      <c r="O848" s="316"/>
      <c r="P848" s="316"/>
      <c r="Q848" s="316"/>
      <c r="R848" s="316"/>
      <c r="S848" s="316"/>
      <c r="T848" s="316"/>
      <c r="U848" s="316"/>
      <c r="V848" s="316"/>
      <c r="W848" s="316"/>
      <c r="X848" s="316"/>
      <c r="Y848" s="316"/>
      <c r="Z848" s="316"/>
      <c r="AA848" s="316"/>
      <c r="AB848" s="316"/>
      <c r="AC848" s="316"/>
    </row>
    <row r="849" spans="1:29" ht="15.75" customHeight="1">
      <c r="A849" s="316"/>
      <c r="B849" s="316"/>
      <c r="C849" s="316"/>
      <c r="D849" s="316"/>
      <c r="E849" s="316"/>
      <c r="F849" s="316"/>
      <c r="G849" s="321"/>
      <c r="H849" s="316"/>
      <c r="I849" s="316"/>
      <c r="J849" s="316"/>
      <c r="K849" s="316"/>
      <c r="L849" s="316"/>
      <c r="M849" s="316"/>
      <c r="N849" s="316"/>
      <c r="O849" s="316"/>
      <c r="P849" s="316"/>
      <c r="Q849" s="316"/>
      <c r="R849" s="316"/>
      <c r="S849" s="316"/>
      <c r="T849" s="316"/>
      <c r="U849" s="316"/>
      <c r="V849" s="316"/>
      <c r="W849" s="316"/>
      <c r="X849" s="316"/>
      <c r="Y849" s="316"/>
      <c r="Z849" s="316"/>
      <c r="AA849" s="316"/>
      <c r="AB849" s="316"/>
      <c r="AC849" s="316"/>
    </row>
    <row r="850" spans="1:29" ht="15.75" customHeight="1">
      <c r="A850" s="316"/>
      <c r="B850" s="316"/>
      <c r="C850" s="316"/>
      <c r="D850" s="316"/>
      <c r="E850" s="316"/>
      <c r="F850" s="316"/>
      <c r="G850" s="321"/>
      <c r="H850" s="316"/>
      <c r="I850" s="316"/>
      <c r="J850" s="316"/>
      <c r="K850" s="316"/>
      <c r="L850" s="316"/>
      <c r="M850" s="316"/>
      <c r="N850" s="316"/>
      <c r="O850" s="316"/>
      <c r="P850" s="316"/>
      <c r="Q850" s="316"/>
      <c r="R850" s="316"/>
      <c r="S850" s="316"/>
      <c r="T850" s="316"/>
      <c r="U850" s="316"/>
      <c r="V850" s="316"/>
      <c r="W850" s="316"/>
      <c r="X850" s="316"/>
      <c r="Y850" s="316"/>
      <c r="Z850" s="316"/>
      <c r="AA850" s="316"/>
      <c r="AB850" s="316"/>
      <c r="AC850" s="316"/>
    </row>
    <row r="851" spans="1:29" ht="15.75" customHeight="1">
      <c r="A851" s="316"/>
      <c r="B851" s="316"/>
      <c r="C851" s="316"/>
      <c r="D851" s="316"/>
      <c r="E851" s="316"/>
      <c r="F851" s="316"/>
      <c r="G851" s="321"/>
      <c r="H851" s="316"/>
      <c r="I851" s="316"/>
      <c r="J851" s="316"/>
      <c r="K851" s="316"/>
      <c r="L851" s="316"/>
      <c r="M851" s="316"/>
      <c r="N851" s="316"/>
      <c r="O851" s="316"/>
      <c r="P851" s="316"/>
      <c r="Q851" s="316"/>
      <c r="R851" s="316"/>
      <c r="S851" s="316"/>
      <c r="T851" s="316"/>
      <c r="U851" s="316"/>
      <c r="V851" s="316"/>
      <c r="W851" s="316"/>
      <c r="X851" s="316"/>
      <c r="Y851" s="316"/>
      <c r="Z851" s="316"/>
      <c r="AA851" s="316"/>
      <c r="AB851" s="316"/>
      <c r="AC851" s="316"/>
    </row>
    <row r="852" spans="1:29" ht="15.75" customHeight="1">
      <c r="A852" s="316"/>
      <c r="B852" s="316"/>
      <c r="C852" s="316"/>
      <c r="D852" s="316"/>
      <c r="E852" s="316"/>
      <c r="F852" s="316"/>
      <c r="G852" s="321"/>
      <c r="H852" s="316"/>
      <c r="I852" s="316"/>
      <c r="J852" s="316"/>
      <c r="K852" s="316"/>
      <c r="L852" s="316"/>
      <c r="M852" s="316"/>
      <c r="N852" s="316"/>
      <c r="O852" s="316"/>
      <c r="P852" s="316"/>
      <c r="Q852" s="316"/>
      <c r="R852" s="316"/>
      <c r="S852" s="316"/>
      <c r="T852" s="316"/>
      <c r="U852" s="316"/>
      <c r="V852" s="316"/>
      <c r="W852" s="316"/>
      <c r="X852" s="316"/>
      <c r="Y852" s="316"/>
      <c r="Z852" s="316"/>
      <c r="AA852" s="316"/>
      <c r="AB852" s="316"/>
      <c r="AC852" s="316"/>
    </row>
    <row r="853" spans="1:29" ht="15.75" customHeight="1">
      <c r="A853" s="316"/>
      <c r="B853" s="316"/>
      <c r="C853" s="316"/>
      <c r="D853" s="316"/>
      <c r="E853" s="316"/>
      <c r="F853" s="316"/>
      <c r="G853" s="321"/>
      <c r="H853" s="316"/>
      <c r="I853" s="316"/>
      <c r="J853" s="316"/>
      <c r="K853" s="316"/>
      <c r="L853" s="316"/>
      <c r="M853" s="316"/>
      <c r="N853" s="316"/>
      <c r="O853" s="316"/>
      <c r="P853" s="316"/>
      <c r="Q853" s="316"/>
      <c r="R853" s="316"/>
      <c r="S853" s="316"/>
      <c r="T853" s="316"/>
      <c r="U853" s="316"/>
      <c r="V853" s="316"/>
      <c r="W853" s="316"/>
      <c r="X853" s="316"/>
      <c r="Y853" s="316"/>
      <c r="Z853" s="316"/>
      <c r="AA853" s="316"/>
      <c r="AB853" s="316"/>
      <c r="AC853" s="316"/>
    </row>
    <row r="854" spans="1:29" ht="15.75" customHeight="1">
      <c r="A854" s="316"/>
      <c r="B854" s="316"/>
      <c r="C854" s="316"/>
      <c r="D854" s="316"/>
      <c r="E854" s="316"/>
      <c r="F854" s="316"/>
      <c r="G854" s="321"/>
      <c r="H854" s="316"/>
      <c r="I854" s="316"/>
      <c r="J854" s="316"/>
      <c r="K854" s="316"/>
      <c r="L854" s="316"/>
      <c r="M854" s="316"/>
      <c r="N854" s="316"/>
      <c r="O854" s="316"/>
      <c r="P854" s="316"/>
      <c r="Q854" s="316"/>
      <c r="R854" s="316"/>
      <c r="S854" s="316"/>
      <c r="T854" s="316"/>
      <c r="U854" s="316"/>
      <c r="V854" s="316"/>
      <c r="W854" s="316"/>
      <c r="X854" s="316"/>
      <c r="Y854" s="316"/>
      <c r="Z854" s="316"/>
      <c r="AA854" s="316"/>
      <c r="AB854" s="316"/>
      <c r="AC854" s="316"/>
    </row>
    <row r="855" spans="1:29" ht="15.75" customHeight="1">
      <c r="A855" s="316"/>
      <c r="B855" s="316"/>
      <c r="C855" s="316"/>
      <c r="D855" s="316"/>
      <c r="E855" s="316"/>
      <c r="F855" s="316"/>
      <c r="G855" s="321"/>
      <c r="H855" s="316"/>
      <c r="I855" s="316"/>
      <c r="J855" s="316"/>
      <c r="K855" s="316"/>
      <c r="L855" s="316"/>
      <c r="M855" s="316"/>
      <c r="N855" s="316"/>
      <c r="O855" s="316"/>
      <c r="P855" s="316"/>
      <c r="Q855" s="316"/>
      <c r="R855" s="316"/>
      <c r="S855" s="316"/>
      <c r="T855" s="316"/>
      <c r="U855" s="316"/>
      <c r="V855" s="316"/>
      <c r="W855" s="316"/>
      <c r="X855" s="316"/>
      <c r="Y855" s="316"/>
      <c r="Z855" s="316"/>
      <c r="AA855" s="316"/>
      <c r="AB855" s="316"/>
      <c r="AC855" s="316"/>
    </row>
    <row r="856" spans="1:29" ht="15.75" customHeight="1">
      <c r="A856" s="316"/>
      <c r="B856" s="316"/>
      <c r="C856" s="316"/>
      <c r="D856" s="316"/>
      <c r="E856" s="316"/>
      <c r="F856" s="316"/>
      <c r="G856" s="321"/>
      <c r="H856" s="316"/>
      <c r="I856" s="316"/>
      <c r="J856" s="316"/>
      <c r="K856" s="316"/>
      <c r="L856" s="316"/>
      <c r="M856" s="316"/>
      <c r="N856" s="316"/>
      <c r="O856" s="316"/>
      <c r="P856" s="316"/>
      <c r="Q856" s="316"/>
      <c r="R856" s="316"/>
      <c r="S856" s="316"/>
      <c r="T856" s="316"/>
      <c r="U856" s="316"/>
      <c r="V856" s="316"/>
      <c r="W856" s="316"/>
      <c r="X856" s="316"/>
      <c r="Y856" s="316"/>
      <c r="Z856" s="316"/>
      <c r="AA856" s="316"/>
      <c r="AB856" s="316"/>
      <c r="AC856" s="316"/>
    </row>
    <row r="857" spans="1:29" ht="15.75" customHeight="1">
      <c r="A857" s="316"/>
      <c r="B857" s="316"/>
      <c r="C857" s="316"/>
      <c r="D857" s="316"/>
      <c r="E857" s="316"/>
      <c r="F857" s="316"/>
      <c r="G857" s="321"/>
      <c r="H857" s="316"/>
      <c r="I857" s="316"/>
      <c r="J857" s="316"/>
      <c r="K857" s="316"/>
      <c r="L857" s="316"/>
      <c r="M857" s="316"/>
      <c r="N857" s="316"/>
      <c r="O857" s="316"/>
      <c r="P857" s="316"/>
      <c r="Q857" s="316"/>
      <c r="R857" s="316"/>
      <c r="S857" s="316"/>
      <c r="T857" s="316"/>
      <c r="U857" s="316"/>
      <c r="V857" s="316"/>
      <c r="W857" s="316"/>
      <c r="X857" s="316"/>
      <c r="Y857" s="316"/>
      <c r="Z857" s="316"/>
      <c r="AA857" s="316"/>
      <c r="AB857" s="316"/>
      <c r="AC857" s="316"/>
    </row>
    <row r="858" spans="1:29" ht="15.75" customHeight="1">
      <c r="A858" s="316"/>
      <c r="B858" s="316"/>
      <c r="C858" s="316"/>
      <c r="D858" s="316"/>
      <c r="E858" s="316"/>
      <c r="F858" s="316"/>
      <c r="G858" s="321"/>
      <c r="H858" s="316"/>
      <c r="I858" s="316"/>
      <c r="J858" s="316"/>
      <c r="K858" s="316"/>
      <c r="L858" s="316"/>
      <c r="M858" s="316"/>
      <c r="N858" s="316"/>
      <c r="O858" s="316"/>
      <c r="P858" s="316"/>
      <c r="Q858" s="316"/>
      <c r="R858" s="316"/>
      <c r="S858" s="316"/>
      <c r="T858" s="316"/>
      <c r="U858" s="316"/>
      <c r="V858" s="316"/>
      <c r="W858" s="316"/>
      <c r="X858" s="316"/>
      <c r="Y858" s="316"/>
      <c r="Z858" s="316"/>
      <c r="AA858" s="316"/>
      <c r="AB858" s="316"/>
      <c r="AC858" s="316"/>
    </row>
    <row r="859" spans="1:29" ht="15.75" customHeight="1">
      <c r="A859" s="316"/>
      <c r="B859" s="316"/>
      <c r="C859" s="316"/>
      <c r="D859" s="316"/>
      <c r="E859" s="316"/>
      <c r="F859" s="316"/>
      <c r="G859" s="321"/>
      <c r="H859" s="316"/>
      <c r="I859" s="316"/>
      <c r="J859" s="316"/>
      <c r="K859" s="316"/>
      <c r="L859" s="316"/>
      <c r="M859" s="316"/>
      <c r="N859" s="316"/>
      <c r="O859" s="316"/>
      <c r="P859" s="316"/>
      <c r="Q859" s="316"/>
      <c r="R859" s="316"/>
      <c r="S859" s="316"/>
      <c r="T859" s="316"/>
      <c r="U859" s="316"/>
      <c r="V859" s="316"/>
      <c r="W859" s="316"/>
      <c r="X859" s="316"/>
      <c r="Y859" s="316"/>
      <c r="Z859" s="316"/>
      <c r="AA859" s="316"/>
      <c r="AB859" s="316"/>
      <c r="AC859" s="316"/>
    </row>
    <row r="860" spans="1:29" ht="15.75" customHeight="1">
      <c r="A860" s="316"/>
      <c r="B860" s="316"/>
      <c r="C860" s="316"/>
      <c r="D860" s="316"/>
      <c r="E860" s="316"/>
      <c r="F860" s="316"/>
      <c r="G860" s="321"/>
      <c r="H860" s="316"/>
      <c r="I860" s="316"/>
      <c r="J860" s="316"/>
      <c r="K860" s="316"/>
      <c r="L860" s="316"/>
      <c r="M860" s="316"/>
      <c r="N860" s="316"/>
      <c r="O860" s="316"/>
      <c r="P860" s="316"/>
      <c r="Q860" s="316"/>
      <c r="R860" s="316"/>
      <c r="S860" s="316"/>
      <c r="T860" s="316"/>
      <c r="U860" s="316"/>
      <c r="V860" s="316"/>
      <c r="W860" s="316"/>
      <c r="X860" s="316"/>
      <c r="Y860" s="316"/>
      <c r="Z860" s="316"/>
      <c r="AA860" s="316"/>
      <c r="AB860" s="316"/>
      <c r="AC860" s="316"/>
    </row>
    <row r="861" spans="1:29" ht="15.75" customHeight="1">
      <c r="A861" s="316"/>
      <c r="B861" s="316"/>
      <c r="C861" s="316"/>
      <c r="D861" s="316"/>
      <c r="E861" s="316"/>
      <c r="F861" s="316"/>
      <c r="G861" s="321"/>
      <c r="H861" s="316"/>
      <c r="I861" s="316"/>
      <c r="J861" s="316"/>
      <c r="K861" s="316"/>
      <c r="L861" s="316"/>
      <c r="M861" s="316"/>
      <c r="N861" s="316"/>
      <c r="O861" s="316"/>
      <c r="P861" s="316"/>
      <c r="Q861" s="316"/>
      <c r="R861" s="316"/>
      <c r="S861" s="316"/>
      <c r="T861" s="316"/>
      <c r="U861" s="316"/>
      <c r="V861" s="316"/>
      <c r="W861" s="316"/>
      <c r="X861" s="316"/>
      <c r="Y861" s="316"/>
      <c r="Z861" s="316"/>
      <c r="AA861" s="316"/>
      <c r="AB861" s="316"/>
      <c r="AC861" s="316"/>
    </row>
    <row r="862" spans="1:29" ht="15.75" customHeight="1">
      <c r="A862" s="316"/>
      <c r="B862" s="316"/>
      <c r="C862" s="316"/>
      <c r="D862" s="316"/>
      <c r="E862" s="316"/>
      <c r="F862" s="316"/>
      <c r="G862" s="321"/>
      <c r="H862" s="316"/>
      <c r="I862" s="316"/>
      <c r="J862" s="316"/>
      <c r="K862" s="316"/>
      <c r="L862" s="316"/>
      <c r="M862" s="316"/>
      <c r="N862" s="316"/>
      <c r="O862" s="316"/>
      <c r="P862" s="316"/>
      <c r="Q862" s="316"/>
      <c r="R862" s="316"/>
      <c r="S862" s="316"/>
      <c r="T862" s="316"/>
      <c r="U862" s="316"/>
      <c r="V862" s="316"/>
      <c r="W862" s="316"/>
      <c r="X862" s="316"/>
      <c r="Y862" s="316"/>
      <c r="Z862" s="316"/>
      <c r="AA862" s="316"/>
      <c r="AB862" s="316"/>
      <c r="AC862" s="316"/>
    </row>
    <row r="863" spans="1:29" ht="15.75" customHeight="1">
      <c r="A863" s="316"/>
      <c r="B863" s="316"/>
      <c r="C863" s="316"/>
      <c r="D863" s="316"/>
      <c r="E863" s="316"/>
      <c r="F863" s="316"/>
      <c r="G863" s="321"/>
      <c r="H863" s="316"/>
      <c r="I863" s="316"/>
      <c r="J863" s="316"/>
      <c r="K863" s="316"/>
      <c r="L863" s="316"/>
      <c r="M863" s="316"/>
      <c r="N863" s="316"/>
      <c r="O863" s="316"/>
      <c r="P863" s="316"/>
      <c r="Q863" s="316"/>
      <c r="R863" s="316"/>
      <c r="S863" s="316"/>
      <c r="T863" s="316"/>
      <c r="U863" s="316"/>
      <c r="V863" s="316"/>
      <c r="W863" s="316"/>
      <c r="X863" s="316"/>
      <c r="Y863" s="316"/>
      <c r="Z863" s="316"/>
      <c r="AA863" s="316"/>
      <c r="AB863" s="316"/>
      <c r="AC863" s="316"/>
    </row>
    <row r="864" spans="1:29" ht="15.75" customHeight="1">
      <c r="A864" s="316"/>
      <c r="B864" s="316"/>
      <c r="C864" s="316"/>
      <c r="D864" s="316"/>
      <c r="E864" s="316"/>
      <c r="F864" s="316"/>
      <c r="G864" s="321"/>
      <c r="H864" s="316"/>
      <c r="I864" s="316"/>
      <c r="J864" s="316"/>
      <c r="K864" s="316"/>
      <c r="L864" s="316"/>
      <c r="M864" s="316"/>
      <c r="N864" s="316"/>
      <c r="O864" s="316"/>
      <c r="P864" s="316"/>
      <c r="Q864" s="316"/>
      <c r="R864" s="316"/>
      <c r="S864" s="316"/>
      <c r="T864" s="316"/>
      <c r="U864" s="316"/>
      <c r="V864" s="316"/>
      <c r="W864" s="316"/>
      <c r="X864" s="316"/>
      <c r="Y864" s="316"/>
      <c r="Z864" s="316"/>
      <c r="AA864" s="316"/>
      <c r="AB864" s="316"/>
      <c r="AC864" s="316"/>
    </row>
    <row r="865" spans="1:29" ht="15.75" customHeight="1">
      <c r="A865" s="316"/>
      <c r="B865" s="316"/>
      <c r="C865" s="316"/>
      <c r="D865" s="316"/>
      <c r="E865" s="316"/>
      <c r="F865" s="316"/>
      <c r="G865" s="321"/>
      <c r="H865" s="316"/>
      <c r="I865" s="316"/>
      <c r="J865" s="316"/>
      <c r="K865" s="316"/>
      <c r="L865" s="316"/>
      <c r="M865" s="316"/>
      <c r="N865" s="316"/>
      <c r="O865" s="316"/>
      <c r="P865" s="316"/>
      <c r="Q865" s="316"/>
      <c r="R865" s="316"/>
      <c r="S865" s="316"/>
      <c r="T865" s="316"/>
      <c r="U865" s="316"/>
      <c r="V865" s="316"/>
      <c r="W865" s="316"/>
      <c r="X865" s="316"/>
      <c r="Y865" s="316"/>
      <c r="Z865" s="316"/>
      <c r="AA865" s="316"/>
      <c r="AB865" s="316"/>
      <c r="AC865" s="316"/>
    </row>
    <row r="866" spans="1:29" ht="15.75" customHeight="1">
      <c r="A866" s="316"/>
      <c r="B866" s="316"/>
      <c r="C866" s="316"/>
      <c r="D866" s="316"/>
      <c r="E866" s="316"/>
      <c r="F866" s="316"/>
      <c r="G866" s="321"/>
      <c r="H866" s="316"/>
      <c r="I866" s="316"/>
      <c r="J866" s="316"/>
      <c r="K866" s="316"/>
      <c r="L866" s="316"/>
      <c r="M866" s="316"/>
      <c r="N866" s="316"/>
      <c r="O866" s="316"/>
      <c r="P866" s="316"/>
      <c r="Q866" s="316"/>
      <c r="R866" s="316"/>
      <c r="S866" s="316"/>
      <c r="T866" s="316"/>
      <c r="U866" s="316"/>
      <c r="V866" s="316"/>
      <c r="W866" s="316"/>
      <c r="X866" s="316"/>
      <c r="Y866" s="316"/>
      <c r="Z866" s="316"/>
      <c r="AA866" s="316"/>
      <c r="AB866" s="316"/>
      <c r="AC866" s="316"/>
    </row>
    <row r="867" spans="1:29" ht="15.75" customHeight="1">
      <c r="A867" s="316"/>
      <c r="B867" s="316"/>
      <c r="C867" s="316"/>
      <c r="D867" s="316"/>
      <c r="E867" s="316"/>
      <c r="F867" s="316"/>
      <c r="G867" s="321"/>
      <c r="H867" s="316"/>
      <c r="I867" s="316"/>
      <c r="J867" s="316"/>
      <c r="K867" s="316"/>
      <c r="L867" s="316"/>
      <c r="M867" s="316"/>
      <c r="N867" s="316"/>
      <c r="O867" s="316"/>
      <c r="P867" s="316"/>
      <c r="Q867" s="316"/>
      <c r="R867" s="316"/>
      <c r="S867" s="316"/>
      <c r="T867" s="316"/>
      <c r="U867" s="316"/>
      <c r="V867" s="316"/>
      <c r="W867" s="316"/>
      <c r="X867" s="316"/>
      <c r="Y867" s="316"/>
      <c r="Z867" s="316"/>
      <c r="AA867" s="316"/>
      <c r="AB867" s="316"/>
      <c r="AC867" s="316"/>
    </row>
    <row r="868" spans="1:29" ht="15.75" customHeight="1">
      <c r="A868" s="316"/>
      <c r="B868" s="316"/>
      <c r="C868" s="316"/>
      <c r="D868" s="316"/>
      <c r="E868" s="316"/>
      <c r="F868" s="316"/>
      <c r="G868" s="321"/>
      <c r="H868" s="316"/>
      <c r="I868" s="316"/>
      <c r="J868" s="316"/>
      <c r="K868" s="316"/>
      <c r="L868" s="316"/>
      <c r="M868" s="316"/>
      <c r="N868" s="316"/>
      <c r="O868" s="316"/>
      <c r="P868" s="316"/>
      <c r="Q868" s="316"/>
      <c r="R868" s="316"/>
      <c r="S868" s="316"/>
      <c r="T868" s="316"/>
      <c r="U868" s="316"/>
      <c r="V868" s="316"/>
      <c r="W868" s="316"/>
      <c r="X868" s="316"/>
      <c r="Y868" s="316"/>
      <c r="Z868" s="316"/>
      <c r="AA868" s="316"/>
      <c r="AB868" s="316"/>
      <c r="AC868" s="316"/>
    </row>
    <row r="869" spans="1:29" ht="15.75" customHeight="1">
      <c r="A869" s="316"/>
      <c r="B869" s="316"/>
      <c r="C869" s="316"/>
      <c r="D869" s="316"/>
      <c r="E869" s="316"/>
      <c r="F869" s="316"/>
      <c r="G869" s="321"/>
      <c r="H869" s="316"/>
      <c r="I869" s="316"/>
      <c r="J869" s="316"/>
      <c r="K869" s="316"/>
      <c r="L869" s="316"/>
      <c r="M869" s="316"/>
      <c r="N869" s="316"/>
      <c r="O869" s="316"/>
      <c r="P869" s="316"/>
      <c r="Q869" s="316"/>
      <c r="R869" s="316"/>
      <c r="S869" s="316"/>
      <c r="T869" s="316"/>
      <c r="U869" s="316"/>
      <c r="V869" s="316"/>
      <c r="W869" s="316"/>
      <c r="X869" s="316"/>
      <c r="Y869" s="316"/>
      <c r="Z869" s="316"/>
      <c r="AA869" s="316"/>
      <c r="AB869" s="316"/>
      <c r="AC869" s="316"/>
    </row>
    <row r="870" spans="1:29" ht="15.75" customHeight="1">
      <c r="A870" s="316"/>
      <c r="B870" s="316"/>
      <c r="C870" s="316"/>
      <c r="D870" s="316"/>
      <c r="E870" s="316"/>
      <c r="F870" s="316"/>
      <c r="G870" s="321"/>
      <c r="H870" s="316"/>
      <c r="I870" s="316"/>
      <c r="J870" s="316"/>
      <c r="K870" s="316"/>
      <c r="L870" s="316"/>
      <c r="M870" s="316"/>
      <c r="N870" s="316"/>
      <c r="O870" s="316"/>
      <c r="P870" s="316"/>
      <c r="Q870" s="316"/>
      <c r="R870" s="316"/>
      <c r="S870" s="316"/>
      <c r="T870" s="316"/>
      <c r="U870" s="316"/>
      <c r="V870" s="316"/>
      <c r="W870" s="316"/>
      <c r="X870" s="316"/>
      <c r="Y870" s="316"/>
      <c r="Z870" s="316"/>
      <c r="AA870" s="316"/>
      <c r="AB870" s="316"/>
      <c r="AC870" s="316"/>
    </row>
    <row r="871" spans="1:29" ht="15.75" customHeight="1">
      <c r="A871" s="316"/>
      <c r="B871" s="316"/>
      <c r="C871" s="316"/>
      <c r="D871" s="316"/>
      <c r="E871" s="316"/>
      <c r="F871" s="316"/>
      <c r="G871" s="321"/>
      <c r="H871" s="316"/>
      <c r="I871" s="316"/>
      <c r="J871" s="316"/>
      <c r="K871" s="316"/>
      <c r="L871" s="316"/>
      <c r="M871" s="316"/>
      <c r="N871" s="316"/>
      <c r="O871" s="316"/>
      <c r="P871" s="316"/>
      <c r="Q871" s="316"/>
      <c r="R871" s="316"/>
      <c r="S871" s="316"/>
      <c r="T871" s="316"/>
      <c r="U871" s="316"/>
      <c r="V871" s="316"/>
      <c r="W871" s="316"/>
      <c r="X871" s="316"/>
      <c r="Y871" s="316"/>
      <c r="Z871" s="316"/>
      <c r="AA871" s="316"/>
      <c r="AB871" s="316"/>
      <c r="AC871" s="316"/>
    </row>
    <row r="872" spans="1:29" ht="15.75" customHeight="1">
      <c r="A872" s="316"/>
      <c r="B872" s="316"/>
      <c r="C872" s="316"/>
      <c r="D872" s="316"/>
      <c r="E872" s="316"/>
      <c r="F872" s="316"/>
      <c r="G872" s="321"/>
      <c r="H872" s="316"/>
      <c r="I872" s="316"/>
      <c r="J872" s="316"/>
      <c r="K872" s="316"/>
      <c r="L872" s="316"/>
      <c r="M872" s="316"/>
      <c r="N872" s="316"/>
      <c r="O872" s="316"/>
      <c r="P872" s="316"/>
      <c r="Q872" s="316"/>
      <c r="R872" s="316"/>
      <c r="S872" s="316"/>
      <c r="T872" s="316"/>
      <c r="U872" s="316"/>
      <c r="V872" s="316"/>
      <c r="W872" s="316"/>
      <c r="X872" s="316"/>
      <c r="Y872" s="316"/>
      <c r="Z872" s="316"/>
      <c r="AA872" s="316"/>
      <c r="AB872" s="316"/>
      <c r="AC872" s="316"/>
    </row>
    <row r="873" spans="1:29" ht="15.75" customHeight="1">
      <c r="A873" s="316"/>
      <c r="B873" s="316"/>
      <c r="C873" s="316"/>
      <c r="D873" s="316"/>
      <c r="E873" s="316"/>
      <c r="F873" s="316"/>
      <c r="G873" s="321"/>
      <c r="H873" s="316"/>
      <c r="I873" s="316"/>
      <c r="J873" s="316"/>
      <c r="K873" s="316"/>
      <c r="L873" s="316"/>
      <c r="M873" s="316"/>
      <c r="N873" s="316"/>
      <c r="O873" s="316"/>
      <c r="P873" s="316"/>
      <c r="Q873" s="316"/>
      <c r="R873" s="316"/>
      <c r="S873" s="316"/>
      <c r="T873" s="316"/>
      <c r="U873" s="316"/>
      <c r="V873" s="316"/>
      <c r="W873" s="316"/>
      <c r="X873" s="316"/>
      <c r="Y873" s="316"/>
      <c r="Z873" s="316"/>
      <c r="AA873" s="316"/>
      <c r="AB873" s="316"/>
      <c r="AC873" s="316"/>
    </row>
    <row r="874" spans="1:29" ht="15.75" customHeight="1">
      <c r="A874" s="316"/>
      <c r="B874" s="316"/>
      <c r="C874" s="316"/>
      <c r="D874" s="316"/>
      <c r="E874" s="316"/>
      <c r="F874" s="316"/>
      <c r="G874" s="321"/>
      <c r="H874" s="316"/>
      <c r="I874" s="316"/>
      <c r="J874" s="316"/>
      <c r="K874" s="316"/>
      <c r="L874" s="316"/>
      <c r="M874" s="316"/>
      <c r="N874" s="316"/>
      <c r="O874" s="316"/>
      <c r="P874" s="316"/>
      <c r="Q874" s="316"/>
      <c r="R874" s="316"/>
      <c r="S874" s="316"/>
      <c r="T874" s="316"/>
      <c r="U874" s="316"/>
      <c r="V874" s="316"/>
      <c r="W874" s="316"/>
      <c r="X874" s="316"/>
      <c r="Y874" s="316"/>
      <c r="Z874" s="316"/>
      <c r="AA874" s="316"/>
      <c r="AB874" s="316"/>
      <c r="AC874" s="316"/>
    </row>
    <row r="875" spans="1:29" ht="15.75" customHeight="1">
      <c r="A875" s="316"/>
      <c r="B875" s="316"/>
      <c r="C875" s="316"/>
      <c r="D875" s="316"/>
      <c r="E875" s="316"/>
      <c r="F875" s="316"/>
      <c r="G875" s="321"/>
      <c r="H875" s="316"/>
      <c r="I875" s="316"/>
      <c r="J875" s="316"/>
      <c r="K875" s="316"/>
      <c r="L875" s="316"/>
      <c r="M875" s="316"/>
      <c r="N875" s="316"/>
      <c r="O875" s="316"/>
      <c r="P875" s="316"/>
      <c r="Q875" s="316"/>
      <c r="R875" s="316"/>
      <c r="S875" s="316"/>
      <c r="T875" s="316"/>
      <c r="U875" s="316"/>
      <c r="V875" s="316"/>
      <c r="W875" s="316"/>
      <c r="X875" s="316"/>
      <c r="Y875" s="316"/>
      <c r="Z875" s="316"/>
      <c r="AA875" s="316"/>
      <c r="AB875" s="316"/>
      <c r="AC875" s="316"/>
    </row>
    <row r="876" spans="1:29" ht="15.75" customHeight="1">
      <c r="A876" s="316"/>
      <c r="B876" s="316"/>
      <c r="C876" s="316"/>
      <c r="D876" s="316"/>
      <c r="E876" s="316"/>
      <c r="F876" s="316"/>
      <c r="G876" s="321"/>
      <c r="H876" s="316"/>
      <c r="I876" s="316"/>
      <c r="J876" s="316"/>
      <c r="K876" s="316"/>
      <c r="L876" s="316"/>
      <c r="M876" s="316"/>
      <c r="N876" s="316"/>
      <c r="O876" s="316"/>
      <c r="P876" s="316"/>
      <c r="Q876" s="316"/>
      <c r="R876" s="316"/>
      <c r="S876" s="316"/>
      <c r="T876" s="316"/>
      <c r="U876" s="316"/>
      <c r="V876" s="316"/>
      <c r="W876" s="316"/>
      <c r="X876" s="316"/>
      <c r="Y876" s="316"/>
      <c r="Z876" s="316"/>
      <c r="AA876" s="316"/>
      <c r="AB876" s="316"/>
      <c r="AC876" s="316"/>
    </row>
    <row r="877" spans="1:29" ht="15.75" customHeight="1">
      <c r="A877" s="316"/>
      <c r="B877" s="316"/>
      <c r="C877" s="316"/>
      <c r="D877" s="316"/>
      <c r="E877" s="316"/>
      <c r="F877" s="316"/>
      <c r="G877" s="321"/>
      <c r="H877" s="316"/>
      <c r="I877" s="316"/>
      <c r="J877" s="316"/>
      <c r="K877" s="316"/>
      <c r="L877" s="316"/>
      <c r="M877" s="316"/>
      <c r="N877" s="316"/>
      <c r="O877" s="316"/>
      <c r="P877" s="316"/>
      <c r="Q877" s="316"/>
      <c r="R877" s="316"/>
      <c r="S877" s="316"/>
      <c r="T877" s="316"/>
      <c r="U877" s="316"/>
      <c r="V877" s="316"/>
      <c r="W877" s="316"/>
      <c r="X877" s="316"/>
      <c r="Y877" s="316"/>
      <c r="Z877" s="316"/>
      <c r="AA877" s="316"/>
      <c r="AB877" s="316"/>
      <c r="AC877" s="316"/>
    </row>
    <row r="878" spans="1:29" ht="15.75" customHeight="1">
      <c r="A878" s="316"/>
      <c r="B878" s="316"/>
      <c r="C878" s="316"/>
      <c r="D878" s="316"/>
      <c r="E878" s="316"/>
      <c r="F878" s="316"/>
      <c r="G878" s="321"/>
      <c r="H878" s="316"/>
      <c r="I878" s="316"/>
      <c r="J878" s="316"/>
      <c r="K878" s="316"/>
      <c r="L878" s="316"/>
      <c r="M878" s="316"/>
      <c r="N878" s="316"/>
      <c r="O878" s="316"/>
      <c r="P878" s="316"/>
      <c r="Q878" s="316"/>
      <c r="R878" s="316"/>
      <c r="S878" s="316"/>
      <c r="T878" s="316"/>
      <c r="U878" s="316"/>
      <c r="V878" s="316"/>
      <c r="W878" s="316"/>
      <c r="X878" s="316"/>
      <c r="Y878" s="316"/>
      <c r="Z878" s="316"/>
      <c r="AA878" s="316"/>
      <c r="AB878" s="316"/>
      <c r="AC878" s="316"/>
    </row>
    <row r="879" spans="1:29" ht="15.75" customHeight="1">
      <c r="A879" s="316"/>
      <c r="B879" s="316"/>
      <c r="C879" s="316"/>
      <c r="D879" s="316"/>
      <c r="E879" s="316"/>
      <c r="F879" s="316"/>
      <c r="G879" s="321"/>
      <c r="H879" s="316"/>
      <c r="I879" s="316"/>
      <c r="J879" s="316"/>
      <c r="K879" s="316"/>
      <c r="L879" s="316"/>
      <c r="M879" s="316"/>
      <c r="N879" s="316"/>
      <c r="O879" s="316"/>
      <c r="P879" s="316"/>
      <c r="Q879" s="316"/>
      <c r="R879" s="316"/>
      <c r="S879" s="316"/>
      <c r="T879" s="316"/>
      <c r="U879" s="316"/>
      <c r="V879" s="316"/>
      <c r="W879" s="316"/>
      <c r="X879" s="316"/>
      <c r="Y879" s="316"/>
      <c r="Z879" s="316"/>
      <c r="AA879" s="316"/>
      <c r="AB879" s="316"/>
      <c r="AC879" s="316"/>
    </row>
    <row r="880" spans="1:29" ht="15.75" customHeight="1">
      <c r="A880" s="316"/>
      <c r="B880" s="316"/>
      <c r="C880" s="316"/>
      <c r="D880" s="316"/>
      <c r="E880" s="316"/>
      <c r="F880" s="316"/>
      <c r="G880" s="321"/>
      <c r="H880" s="316"/>
      <c r="I880" s="316"/>
      <c r="J880" s="316"/>
      <c r="K880" s="316"/>
      <c r="L880" s="316"/>
      <c r="M880" s="316"/>
      <c r="N880" s="316"/>
      <c r="O880" s="316"/>
      <c r="P880" s="316"/>
      <c r="Q880" s="316"/>
      <c r="R880" s="316"/>
      <c r="S880" s="316"/>
      <c r="T880" s="316"/>
      <c r="U880" s="316"/>
      <c r="V880" s="316"/>
      <c r="W880" s="316"/>
      <c r="X880" s="316"/>
      <c r="Y880" s="316"/>
      <c r="Z880" s="316"/>
      <c r="AA880" s="316"/>
      <c r="AB880" s="316"/>
      <c r="AC880" s="316"/>
    </row>
    <row r="881" spans="1:29" ht="15.75" customHeight="1">
      <c r="A881" s="316"/>
      <c r="B881" s="316"/>
      <c r="C881" s="316"/>
      <c r="D881" s="316"/>
      <c r="E881" s="316"/>
      <c r="F881" s="316"/>
      <c r="G881" s="321"/>
      <c r="H881" s="316"/>
      <c r="I881" s="316"/>
      <c r="J881" s="316"/>
      <c r="K881" s="316"/>
      <c r="L881" s="316"/>
      <c r="M881" s="316"/>
      <c r="N881" s="316"/>
      <c r="O881" s="316"/>
      <c r="P881" s="316"/>
      <c r="Q881" s="316"/>
      <c r="R881" s="316"/>
      <c r="S881" s="316"/>
      <c r="T881" s="316"/>
      <c r="U881" s="316"/>
      <c r="V881" s="316"/>
      <c r="W881" s="316"/>
      <c r="X881" s="316"/>
      <c r="Y881" s="316"/>
      <c r="Z881" s="316"/>
      <c r="AA881" s="316"/>
      <c r="AB881" s="316"/>
      <c r="AC881" s="316"/>
    </row>
    <row r="882" spans="1:29" ht="15.75" customHeight="1">
      <c r="A882" s="316"/>
      <c r="B882" s="316"/>
      <c r="C882" s="316"/>
      <c r="D882" s="316"/>
      <c r="E882" s="316"/>
      <c r="F882" s="316"/>
      <c r="G882" s="321"/>
      <c r="H882" s="316"/>
      <c r="I882" s="316"/>
      <c r="J882" s="316"/>
      <c r="K882" s="316"/>
      <c r="L882" s="316"/>
      <c r="M882" s="316"/>
      <c r="N882" s="316"/>
      <c r="O882" s="316"/>
      <c r="P882" s="316"/>
      <c r="Q882" s="316"/>
      <c r="R882" s="316"/>
      <c r="S882" s="316"/>
      <c r="T882" s="316"/>
      <c r="U882" s="316"/>
      <c r="V882" s="316"/>
      <c r="W882" s="316"/>
      <c r="X882" s="316"/>
      <c r="Y882" s="316"/>
      <c r="Z882" s="316"/>
      <c r="AA882" s="316"/>
      <c r="AB882" s="316"/>
      <c r="AC882" s="316"/>
    </row>
    <row r="883" spans="1:29" ht="15.75" customHeight="1">
      <c r="A883" s="316"/>
      <c r="B883" s="316"/>
      <c r="C883" s="316"/>
      <c r="D883" s="316"/>
      <c r="E883" s="316"/>
      <c r="F883" s="316"/>
      <c r="G883" s="321"/>
      <c r="H883" s="316"/>
      <c r="I883" s="316"/>
      <c r="J883" s="316"/>
      <c r="K883" s="316"/>
      <c r="L883" s="316"/>
      <c r="M883" s="316"/>
      <c r="N883" s="316"/>
      <c r="O883" s="316"/>
      <c r="P883" s="316"/>
      <c r="Q883" s="316"/>
      <c r="R883" s="316"/>
      <c r="S883" s="316"/>
      <c r="T883" s="316"/>
      <c r="U883" s="316"/>
      <c r="V883" s="316"/>
      <c r="W883" s="316"/>
      <c r="X883" s="316"/>
      <c r="Y883" s="316"/>
      <c r="Z883" s="316"/>
      <c r="AA883" s="316"/>
      <c r="AB883" s="316"/>
      <c r="AC883" s="316"/>
    </row>
    <row r="884" spans="1:29" ht="15.75" customHeight="1">
      <c r="A884" s="316"/>
      <c r="B884" s="316"/>
      <c r="C884" s="316"/>
      <c r="D884" s="316"/>
      <c r="E884" s="316"/>
      <c r="F884" s="316"/>
      <c r="G884" s="321"/>
      <c r="H884" s="316"/>
      <c r="I884" s="316"/>
      <c r="J884" s="316"/>
      <c r="K884" s="316"/>
      <c r="L884" s="316"/>
      <c r="M884" s="316"/>
      <c r="N884" s="316"/>
      <c r="O884" s="316"/>
      <c r="P884" s="316"/>
      <c r="Q884" s="316"/>
      <c r="R884" s="316"/>
      <c r="S884" s="316"/>
      <c r="T884" s="316"/>
      <c r="U884" s="316"/>
      <c r="V884" s="316"/>
      <c r="W884" s="316"/>
      <c r="X884" s="316"/>
      <c r="Y884" s="316"/>
      <c r="Z884" s="316"/>
      <c r="AA884" s="316"/>
      <c r="AB884" s="316"/>
      <c r="AC884" s="316"/>
    </row>
    <row r="885" spans="1:29" ht="15.75" customHeight="1">
      <c r="A885" s="316"/>
      <c r="B885" s="316"/>
      <c r="C885" s="316"/>
      <c r="D885" s="316"/>
      <c r="E885" s="316"/>
      <c r="F885" s="316"/>
      <c r="G885" s="321"/>
      <c r="H885" s="316"/>
      <c r="I885" s="316"/>
      <c r="J885" s="316"/>
      <c r="K885" s="316"/>
      <c r="L885" s="316"/>
      <c r="M885" s="316"/>
      <c r="N885" s="316"/>
      <c r="O885" s="316"/>
      <c r="P885" s="316"/>
      <c r="Q885" s="316"/>
      <c r="R885" s="316"/>
      <c r="S885" s="316"/>
      <c r="T885" s="316"/>
      <c r="U885" s="316"/>
      <c r="V885" s="316"/>
      <c r="W885" s="316"/>
      <c r="X885" s="316"/>
      <c r="Y885" s="316"/>
      <c r="Z885" s="316"/>
      <c r="AA885" s="316"/>
      <c r="AB885" s="316"/>
      <c r="AC885" s="316"/>
    </row>
    <row r="886" spans="1:29" ht="15.75" customHeight="1">
      <c r="A886" s="316"/>
      <c r="B886" s="316"/>
      <c r="C886" s="316"/>
      <c r="D886" s="316"/>
      <c r="E886" s="316"/>
      <c r="F886" s="316"/>
      <c r="G886" s="321"/>
      <c r="H886" s="316"/>
      <c r="I886" s="316"/>
      <c r="J886" s="316"/>
      <c r="K886" s="316"/>
      <c r="L886" s="316"/>
      <c r="M886" s="316"/>
      <c r="N886" s="316"/>
      <c r="O886" s="316"/>
      <c r="P886" s="316"/>
      <c r="Q886" s="316"/>
      <c r="R886" s="316"/>
      <c r="S886" s="316"/>
      <c r="T886" s="316"/>
      <c r="U886" s="316"/>
      <c r="V886" s="316"/>
      <c r="W886" s="316"/>
      <c r="X886" s="316"/>
      <c r="Y886" s="316"/>
      <c r="Z886" s="316"/>
      <c r="AA886" s="316"/>
      <c r="AB886" s="316"/>
      <c r="AC886" s="316"/>
    </row>
    <row r="887" spans="1:29" ht="15.75" customHeight="1">
      <c r="A887" s="316"/>
      <c r="B887" s="316"/>
      <c r="C887" s="316"/>
      <c r="D887" s="316"/>
      <c r="E887" s="316"/>
      <c r="F887" s="316"/>
      <c r="G887" s="321"/>
      <c r="H887" s="316"/>
      <c r="I887" s="316"/>
      <c r="J887" s="316"/>
      <c r="K887" s="316"/>
      <c r="L887" s="316"/>
      <c r="M887" s="316"/>
      <c r="N887" s="316"/>
      <c r="O887" s="316"/>
      <c r="P887" s="316"/>
      <c r="Q887" s="316"/>
      <c r="R887" s="316"/>
      <c r="S887" s="316"/>
      <c r="T887" s="316"/>
      <c r="U887" s="316"/>
      <c r="V887" s="316"/>
      <c r="W887" s="316"/>
      <c r="X887" s="316"/>
      <c r="Y887" s="316"/>
      <c r="Z887" s="316"/>
      <c r="AA887" s="316"/>
      <c r="AB887" s="316"/>
      <c r="AC887" s="316"/>
    </row>
    <row r="888" spans="1:29" ht="15.75" customHeight="1">
      <c r="A888" s="316"/>
      <c r="B888" s="316"/>
      <c r="C888" s="316"/>
      <c r="D888" s="316"/>
      <c r="E888" s="316"/>
      <c r="F888" s="316"/>
      <c r="G888" s="321"/>
      <c r="H888" s="316"/>
      <c r="I888" s="316"/>
      <c r="J888" s="316"/>
      <c r="K888" s="316"/>
      <c r="L888" s="316"/>
      <c r="M888" s="316"/>
      <c r="N888" s="316"/>
      <c r="O888" s="316"/>
      <c r="P888" s="316"/>
      <c r="Q888" s="316"/>
      <c r="R888" s="316"/>
      <c r="S888" s="316"/>
      <c r="T888" s="316"/>
      <c r="U888" s="316"/>
      <c r="V888" s="316"/>
      <c r="W888" s="316"/>
      <c r="X888" s="316"/>
      <c r="Y888" s="316"/>
      <c r="Z888" s="316"/>
      <c r="AA888" s="316"/>
      <c r="AB888" s="316"/>
      <c r="AC888" s="316"/>
    </row>
    <row r="889" spans="1:29" ht="15.75" customHeight="1">
      <c r="A889" s="316"/>
      <c r="B889" s="316"/>
      <c r="C889" s="316"/>
      <c r="D889" s="316"/>
      <c r="E889" s="316"/>
      <c r="F889" s="316"/>
      <c r="G889" s="321"/>
      <c r="H889" s="316"/>
      <c r="I889" s="316"/>
      <c r="J889" s="316"/>
      <c r="K889" s="316"/>
      <c r="L889" s="316"/>
      <c r="M889" s="316"/>
      <c r="N889" s="316"/>
      <c r="O889" s="316"/>
      <c r="P889" s="316"/>
      <c r="Q889" s="316"/>
      <c r="R889" s="316"/>
      <c r="S889" s="316"/>
      <c r="T889" s="316"/>
      <c r="U889" s="316"/>
      <c r="V889" s="316"/>
      <c r="W889" s="316"/>
      <c r="X889" s="316"/>
      <c r="Y889" s="316"/>
      <c r="Z889" s="316"/>
      <c r="AA889" s="316"/>
      <c r="AB889" s="316"/>
      <c r="AC889" s="316"/>
    </row>
    <row r="890" spans="1:29" ht="15.75" customHeight="1">
      <c r="A890" s="316"/>
      <c r="B890" s="316"/>
      <c r="C890" s="316"/>
      <c r="D890" s="316"/>
      <c r="E890" s="316"/>
      <c r="F890" s="316"/>
      <c r="G890" s="321"/>
      <c r="H890" s="316"/>
      <c r="I890" s="316"/>
      <c r="J890" s="316"/>
      <c r="K890" s="316"/>
      <c r="L890" s="316"/>
      <c r="M890" s="316"/>
      <c r="N890" s="316"/>
      <c r="O890" s="316"/>
      <c r="P890" s="316"/>
      <c r="Q890" s="316"/>
      <c r="R890" s="316"/>
      <c r="S890" s="316"/>
      <c r="T890" s="316"/>
      <c r="U890" s="316"/>
      <c r="V890" s="316"/>
      <c r="W890" s="316"/>
      <c r="X890" s="316"/>
      <c r="Y890" s="316"/>
      <c r="Z890" s="316"/>
      <c r="AA890" s="316"/>
      <c r="AB890" s="316"/>
      <c r="AC890" s="316"/>
    </row>
    <row r="891" spans="1:29" ht="15.75" customHeight="1">
      <c r="A891" s="316"/>
      <c r="B891" s="316"/>
      <c r="C891" s="316"/>
      <c r="D891" s="316"/>
      <c r="E891" s="316"/>
      <c r="F891" s="316"/>
      <c r="G891" s="321"/>
      <c r="H891" s="316"/>
      <c r="I891" s="316"/>
      <c r="J891" s="316"/>
      <c r="K891" s="316"/>
      <c r="L891" s="316"/>
      <c r="M891" s="316"/>
      <c r="N891" s="316"/>
      <c r="O891" s="316"/>
      <c r="P891" s="316"/>
      <c r="Q891" s="316"/>
      <c r="R891" s="316"/>
      <c r="S891" s="316"/>
      <c r="T891" s="316"/>
      <c r="U891" s="316"/>
      <c r="V891" s="316"/>
      <c r="W891" s="316"/>
      <c r="X891" s="316"/>
      <c r="Y891" s="316"/>
      <c r="Z891" s="316"/>
      <c r="AA891" s="316"/>
      <c r="AB891" s="316"/>
      <c r="AC891" s="316"/>
    </row>
    <row r="892" spans="1:29" ht="15.75" customHeight="1">
      <c r="A892" s="316"/>
      <c r="B892" s="316"/>
      <c r="C892" s="316"/>
      <c r="D892" s="316"/>
      <c r="E892" s="316"/>
      <c r="F892" s="316"/>
      <c r="G892" s="321"/>
      <c r="H892" s="316"/>
      <c r="I892" s="316"/>
      <c r="J892" s="316"/>
      <c r="K892" s="316"/>
      <c r="L892" s="316"/>
      <c r="M892" s="316"/>
      <c r="N892" s="316"/>
      <c r="O892" s="316"/>
      <c r="P892" s="316"/>
      <c r="Q892" s="316"/>
      <c r="R892" s="316"/>
      <c r="S892" s="316"/>
      <c r="T892" s="316"/>
      <c r="U892" s="316"/>
      <c r="V892" s="316"/>
      <c r="W892" s="316"/>
      <c r="X892" s="316"/>
      <c r="Y892" s="316"/>
      <c r="Z892" s="316"/>
      <c r="AA892" s="316"/>
      <c r="AB892" s="316"/>
      <c r="AC892" s="316"/>
    </row>
    <row r="893" spans="1:29" ht="15.75" customHeight="1">
      <c r="A893" s="316"/>
      <c r="B893" s="316"/>
      <c r="C893" s="316"/>
      <c r="D893" s="316"/>
      <c r="E893" s="316"/>
      <c r="F893" s="316"/>
      <c r="G893" s="321"/>
      <c r="H893" s="316"/>
      <c r="I893" s="316"/>
      <c r="J893" s="316"/>
      <c r="K893" s="316"/>
      <c r="L893" s="316"/>
      <c r="M893" s="316"/>
      <c r="N893" s="316"/>
      <c r="O893" s="316"/>
      <c r="P893" s="316"/>
      <c r="Q893" s="316"/>
      <c r="R893" s="316"/>
      <c r="S893" s="316"/>
      <c r="T893" s="316"/>
      <c r="U893" s="316"/>
      <c r="V893" s="316"/>
      <c r="W893" s="316"/>
      <c r="X893" s="316"/>
      <c r="Y893" s="316"/>
      <c r="Z893" s="316"/>
      <c r="AA893" s="316"/>
      <c r="AB893" s="316"/>
      <c r="AC893" s="316"/>
    </row>
    <row r="894" spans="1:29" ht="15.75" customHeight="1">
      <c r="A894" s="316"/>
      <c r="B894" s="316"/>
      <c r="C894" s="316"/>
      <c r="D894" s="316"/>
      <c r="E894" s="316"/>
      <c r="F894" s="316"/>
      <c r="G894" s="321"/>
      <c r="H894" s="316"/>
      <c r="I894" s="316"/>
      <c r="J894" s="316"/>
      <c r="K894" s="316"/>
      <c r="L894" s="316"/>
      <c r="M894" s="316"/>
      <c r="N894" s="316"/>
      <c r="O894" s="316"/>
      <c r="P894" s="316"/>
      <c r="Q894" s="316"/>
      <c r="R894" s="316"/>
      <c r="S894" s="316"/>
      <c r="T894" s="316"/>
      <c r="U894" s="316"/>
      <c r="V894" s="316"/>
      <c r="W894" s="316"/>
      <c r="X894" s="316"/>
      <c r="Y894" s="316"/>
      <c r="Z894" s="316"/>
      <c r="AA894" s="316"/>
      <c r="AB894" s="316"/>
      <c r="AC894" s="316"/>
    </row>
    <row r="895" spans="1:29" ht="15.75" customHeight="1">
      <c r="A895" s="316"/>
      <c r="B895" s="316"/>
      <c r="C895" s="316"/>
      <c r="D895" s="316"/>
      <c r="E895" s="316"/>
      <c r="F895" s="316"/>
      <c r="G895" s="321"/>
      <c r="H895" s="316"/>
      <c r="I895" s="316"/>
      <c r="J895" s="316"/>
      <c r="K895" s="316"/>
      <c r="L895" s="316"/>
      <c r="M895" s="316"/>
      <c r="N895" s="316"/>
      <c r="O895" s="316"/>
      <c r="P895" s="316"/>
      <c r="Q895" s="316"/>
      <c r="R895" s="316"/>
      <c r="S895" s="316"/>
      <c r="T895" s="316"/>
      <c r="U895" s="316"/>
      <c r="V895" s="316"/>
      <c r="W895" s="316"/>
      <c r="X895" s="316"/>
      <c r="Y895" s="316"/>
      <c r="Z895" s="316"/>
      <c r="AA895" s="316"/>
      <c r="AB895" s="316"/>
      <c r="AC895" s="316"/>
    </row>
    <row r="896" spans="1:29" ht="15.75" customHeight="1">
      <c r="A896" s="316"/>
      <c r="B896" s="316"/>
      <c r="C896" s="316"/>
      <c r="D896" s="316"/>
      <c r="E896" s="316"/>
      <c r="F896" s="316"/>
      <c r="G896" s="321"/>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row>
    <row r="897" spans="1:29" ht="15.75" customHeight="1">
      <c r="A897" s="316"/>
      <c r="B897" s="316"/>
      <c r="C897" s="316"/>
      <c r="D897" s="316"/>
      <c r="E897" s="316"/>
      <c r="F897" s="316"/>
      <c r="G897" s="321"/>
      <c r="H897" s="316"/>
      <c r="I897" s="316"/>
      <c r="J897" s="316"/>
      <c r="K897" s="316"/>
      <c r="L897" s="316"/>
      <c r="M897" s="316"/>
      <c r="N897" s="316"/>
      <c r="O897" s="316"/>
      <c r="P897" s="316"/>
      <c r="Q897" s="316"/>
      <c r="R897" s="316"/>
      <c r="S897" s="316"/>
      <c r="T897" s="316"/>
      <c r="U897" s="316"/>
      <c r="V897" s="316"/>
      <c r="W897" s="316"/>
      <c r="X897" s="316"/>
      <c r="Y897" s="316"/>
      <c r="Z897" s="316"/>
      <c r="AA897" s="316"/>
      <c r="AB897" s="316"/>
      <c r="AC897" s="316"/>
    </row>
    <row r="898" spans="1:29" ht="15.75" customHeight="1">
      <c r="A898" s="316"/>
      <c r="B898" s="316"/>
      <c r="C898" s="316"/>
      <c r="D898" s="316"/>
      <c r="E898" s="316"/>
      <c r="F898" s="316"/>
      <c r="G898" s="321"/>
      <c r="H898" s="316"/>
      <c r="I898" s="316"/>
      <c r="J898" s="316"/>
      <c r="K898" s="316"/>
      <c r="L898" s="316"/>
      <c r="M898" s="316"/>
      <c r="N898" s="316"/>
      <c r="O898" s="316"/>
      <c r="P898" s="316"/>
      <c r="Q898" s="316"/>
      <c r="R898" s="316"/>
      <c r="S898" s="316"/>
      <c r="T898" s="316"/>
      <c r="U898" s="316"/>
      <c r="V898" s="316"/>
      <c r="W898" s="316"/>
      <c r="X898" s="316"/>
      <c r="Y898" s="316"/>
      <c r="Z898" s="316"/>
      <c r="AA898" s="316"/>
      <c r="AB898" s="316"/>
      <c r="AC898" s="316"/>
    </row>
    <row r="899" spans="1:29" ht="15.75" customHeight="1">
      <c r="A899" s="316"/>
      <c r="B899" s="316"/>
      <c r="C899" s="316"/>
      <c r="D899" s="316"/>
      <c r="E899" s="316"/>
      <c r="F899" s="316"/>
      <c r="G899" s="321"/>
      <c r="H899" s="316"/>
      <c r="I899" s="316"/>
      <c r="J899" s="316"/>
      <c r="K899" s="316"/>
      <c r="L899" s="316"/>
      <c r="M899" s="316"/>
      <c r="N899" s="316"/>
      <c r="O899" s="316"/>
      <c r="P899" s="316"/>
      <c r="Q899" s="316"/>
      <c r="R899" s="316"/>
      <c r="S899" s="316"/>
      <c r="T899" s="316"/>
      <c r="U899" s="316"/>
      <c r="V899" s="316"/>
      <c r="W899" s="316"/>
      <c r="X899" s="316"/>
      <c r="Y899" s="316"/>
      <c r="Z899" s="316"/>
      <c r="AA899" s="316"/>
      <c r="AB899" s="316"/>
      <c r="AC899" s="316"/>
    </row>
    <row r="900" spans="1:29" ht="15.75" customHeight="1">
      <c r="A900" s="316"/>
      <c r="B900" s="316"/>
      <c r="C900" s="316"/>
      <c r="D900" s="316"/>
      <c r="E900" s="316"/>
      <c r="F900" s="316"/>
      <c r="G900" s="321"/>
      <c r="H900" s="316"/>
      <c r="I900" s="316"/>
      <c r="J900" s="316"/>
      <c r="K900" s="316"/>
      <c r="L900" s="316"/>
      <c r="M900" s="316"/>
      <c r="N900" s="316"/>
      <c r="O900" s="316"/>
      <c r="P900" s="316"/>
      <c r="Q900" s="316"/>
      <c r="R900" s="316"/>
      <c r="S900" s="316"/>
      <c r="T900" s="316"/>
      <c r="U900" s="316"/>
      <c r="V900" s="316"/>
      <c r="W900" s="316"/>
      <c r="X900" s="316"/>
      <c r="Y900" s="316"/>
      <c r="Z900" s="316"/>
      <c r="AA900" s="316"/>
      <c r="AB900" s="316"/>
      <c r="AC900" s="316"/>
    </row>
    <row r="901" spans="1:29" ht="15.75" customHeight="1">
      <c r="A901" s="316"/>
      <c r="B901" s="316"/>
      <c r="C901" s="316"/>
      <c r="D901" s="316"/>
      <c r="E901" s="316"/>
      <c r="F901" s="316"/>
      <c r="G901" s="321"/>
      <c r="H901" s="316"/>
      <c r="I901" s="316"/>
      <c r="J901" s="316"/>
      <c r="K901" s="316"/>
      <c r="L901" s="316"/>
      <c r="M901" s="316"/>
      <c r="N901" s="316"/>
      <c r="O901" s="316"/>
      <c r="P901" s="316"/>
      <c r="Q901" s="316"/>
      <c r="R901" s="316"/>
      <c r="S901" s="316"/>
      <c r="T901" s="316"/>
      <c r="U901" s="316"/>
      <c r="V901" s="316"/>
      <c r="W901" s="316"/>
      <c r="X901" s="316"/>
      <c r="Y901" s="316"/>
      <c r="Z901" s="316"/>
      <c r="AA901" s="316"/>
      <c r="AB901" s="316"/>
      <c r="AC901" s="316"/>
    </row>
    <row r="902" spans="1:29" ht="15.75" customHeight="1">
      <c r="A902" s="316"/>
      <c r="B902" s="316"/>
      <c r="C902" s="316"/>
      <c r="D902" s="316"/>
      <c r="E902" s="316"/>
      <c r="F902" s="316"/>
      <c r="G902" s="321"/>
      <c r="H902" s="316"/>
      <c r="I902" s="316"/>
      <c r="J902" s="316"/>
      <c r="K902" s="316"/>
      <c r="L902" s="316"/>
      <c r="M902" s="316"/>
      <c r="N902" s="316"/>
      <c r="O902" s="316"/>
      <c r="P902" s="316"/>
      <c r="Q902" s="316"/>
      <c r="R902" s="316"/>
      <c r="S902" s="316"/>
      <c r="T902" s="316"/>
      <c r="U902" s="316"/>
      <c r="V902" s="316"/>
      <c r="W902" s="316"/>
      <c r="X902" s="316"/>
      <c r="Y902" s="316"/>
      <c r="Z902" s="316"/>
      <c r="AA902" s="316"/>
      <c r="AB902" s="316"/>
      <c r="AC902" s="316"/>
    </row>
    <row r="903" spans="1:29" ht="15.75" customHeight="1">
      <c r="A903" s="316"/>
      <c r="B903" s="316"/>
      <c r="C903" s="316"/>
      <c r="D903" s="316"/>
      <c r="E903" s="316"/>
      <c r="F903" s="316"/>
      <c r="G903" s="321"/>
      <c r="H903" s="316"/>
      <c r="I903" s="316"/>
      <c r="J903" s="316"/>
      <c r="K903" s="316"/>
      <c r="L903" s="316"/>
      <c r="M903" s="316"/>
      <c r="N903" s="316"/>
      <c r="O903" s="316"/>
      <c r="P903" s="316"/>
      <c r="Q903" s="316"/>
      <c r="R903" s="316"/>
      <c r="S903" s="316"/>
      <c r="T903" s="316"/>
      <c r="U903" s="316"/>
      <c r="V903" s="316"/>
      <c r="W903" s="316"/>
      <c r="X903" s="316"/>
      <c r="Y903" s="316"/>
      <c r="Z903" s="316"/>
      <c r="AA903" s="316"/>
      <c r="AB903" s="316"/>
      <c r="AC903" s="316"/>
    </row>
    <row r="904" spans="1:29" ht="15.75" customHeight="1">
      <c r="A904" s="316"/>
      <c r="B904" s="316"/>
      <c r="C904" s="316"/>
      <c r="D904" s="316"/>
      <c r="E904" s="316"/>
      <c r="F904" s="316"/>
      <c r="G904" s="321"/>
      <c r="H904" s="316"/>
      <c r="I904" s="316"/>
      <c r="J904" s="316"/>
      <c r="K904" s="316"/>
      <c r="L904" s="316"/>
      <c r="M904" s="316"/>
      <c r="N904" s="316"/>
      <c r="O904" s="316"/>
      <c r="P904" s="316"/>
      <c r="Q904" s="316"/>
      <c r="R904" s="316"/>
      <c r="S904" s="316"/>
      <c r="T904" s="316"/>
      <c r="U904" s="316"/>
      <c r="V904" s="316"/>
      <c r="W904" s="316"/>
      <c r="X904" s="316"/>
      <c r="Y904" s="316"/>
      <c r="Z904" s="316"/>
      <c r="AA904" s="316"/>
      <c r="AB904" s="316"/>
      <c r="AC904" s="316"/>
    </row>
    <row r="905" spans="1:29" ht="15.75" customHeight="1">
      <c r="A905" s="316"/>
      <c r="B905" s="316"/>
      <c r="C905" s="316"/>
      <c r="D905" s="316"/>
      <c r="E905" s="316"/>
      <c r="F905" s="316"/>
      <c r="G905" s="321"/>
      <c r="H905" s="316"/>
      <c r="I905" s="316"/>
      <c r="J905" s="316"/>
      <c r="K905" s="316"/>
      <c r="L905" s="316"/>
      <c r="M905" s="316"/>
      <c r="N905" s="316"/>
      <c r="O905" s="316"/>
      <c r="P905" s="316"/>
      <c r="Q905" s="316"/>
      <c r="R905" s="316"/>
      <c r="S905" s="316"/>
      <c r="T905" s="316"/>
      <c r="U905" s="316"/>
      <c r="V905" s="316"/>
      <c r="W905" s="316"/>
      <c r="X905" s="316"/>
      <c r="Y905" s="316"/>
      <c r="Z905" s="316"/>
      <c r="AA905" s="316"/>
      <c r="AB905" s="316"/>
      <c r="AC905" s="316"/>
    </row>
    <row r="906" spans="1:29" ht="15.75" customHeight="1">
      <c r="A906" s="316"/>
      <c r="B906" s="316"/>
      <c r="C906" s="316"/>
      <c r="D906" s="316"/>
      <c r="E906" s="316"/>
      <c r="F906" s="316"/>
      <c r="G906" s="321"/>
      <c r="H906" s="316"/>
      <c r="I906" s="316"/>
      <c r="J906" s="316"/>
      <c r="K906" s="316"/>
      <c r="L906" s="316"/>
      <c r="M906" s="316"/>
      <c r="N906" s="316"/>
      <c r="O906" s="316"/>
      <c r="P906" s="316"/>
      <c r="Q906" s="316"/>
      <c r="R906" s="316"/>
      <c r="S906" s="316"/>
      <c r="T906" s="316"/>
      <c r="U906" s="316"/>
      <c r="V906" s="316"/>
      <c r="W906" s="316"/>
      <c r="X906" s="316"/>
      <c r="Y906" s="316"/>
      <c r="Z906" s="316"/>
      <c r="AA906" s="316"/>
      <c r="AB906" s="316"/>
      <c r="AC906" s="316"/>
    </row>
    <row r="907" spans="1:29" ht="15.75" customHeight="1">
      <c r="A907" s="316"/>
      <c r="B907" s="316"/>
      <c r="C907" s="316"/>
      <c r="D907" s="316"/>
      <c r="E907" s="316"/>
      <c r="F907" s="316"/>
      <c r="G907" s="321"/>
      <c r="H907" s="316"/>
      <c r="I907" s="316"/>
      <c r="J907" s="316"/>
      <c r="K907" s="316"/>
      <c r="L907" s="316"/>
      <c r="M907" s="316"/>
      <c r="N907" s="316"/>
      <c r="O907" s="316"/>
      <c r="P907" s="316"/>
      <c r="Q907" s="316"/>
      <c r="R907" s="316"/>
      <c r="S907" s="316"/>
      <c r="T907" s="316"/>
      <c r="U907" s="316"/>
      <c r="V907" s="316"/>
      <c r="W907" s="316"/>
      <c r="X907" s="316"/>
      <c r="Y907" s="316"/>
      <c r="Z907" s="316"/>
      <c r="AA907" s="316"/>
      <c r="AB907" s="316"/>
      <c r="AC907" s="316"/>
    </row>
    <row r="908" spans="1:29" ht="15.75" customHeight="1">
      <c r="A908" s="316"/>
      <c r="B908" s="316"/>
      <c r="C908" s="316"/>
      <c r="D908" s="316"/>
      <c r="E908" s="316"/>
      <c r="F908" s="316"/>
      <c r="G908" s="321"/>
      <c r="H908" s="316"/>
      <c r="I908" s="316"/>
      <c r="J908" s="316"/>
      <c r="K908" s="316"/>
      <c r="L908" s="316"/>
      <c r="M908" s="316"/>
      <c r="N908" s="316"/>
      <c r="O908" s="316"/>
      <c r="P908" s="316"/>
      <c r="Q908" s="316"/>
      <c r="R908" s="316"/>
      <c r="S908" s="316"/>
      <c r="T908" s="316"/>
      <c r="U908" s="316"/>
      <c r="V908" s="316"/>
      <c r="W908" s="316"/>
      <c r="X908" s="316"/>
      <c r="Y908" s="316"/>
      <c r="Z908" s="316"/>
      <c r="AA908" s="316"/>
      <c r="AB908" s="316"/>
      <c r="AC908" s="316"/>
    </row>
    <row r="909" spans="1:29" ht="15.75" customHeight="1">
      <c r="A909" s="316"/>
      <c r="B909" s="316"/>
      <c r="C909" s="316"/>
      <c r="D909" s="316"/>
      <c r="E909" s="316"/>
      <c r="F909" s="316"/>
      <c r="G909" s="321"/>
      <c r="H909" s="316"/>
      <c r="I909" s="316"/>
      <c r="J909" s="316"/>
      <c r="K909" s="316"/>
      <c r="L909" s="316"/>
      <c r="M909" s="316"/>
      <c r="N909" s="316"/>
      <c r="O909" s="316"/>
      <c r="P909" s="316"/>
      <c r="Q909" s="316"/>
      <c r="R909" s="316"/>
      <c r="S909" s="316"/>
      <c r="T909" s="316"/>
      <c r="U909" s="316"/>
      <c r="V909" s="316"/>
      <c r="W909" s="316"/>
      <c r="X909" s="316"/>
      <c r="Y909" s="316"/>
      <c r="Z909" s="316"/>
      <c r="AA909" s="316"/>
      <c r="AB909" s="316"/>
      <c r="AC909" s="316"/>
    </row>
    <row r="910" spans="1:29" ht="15.75" customHeight="1">
      <c r="A910" s="316"/>
      <c r="B910" s="316"/>
      <c r="C910" s="316"/>
      <c r="D910" s="316"/>
      <c r="E910" s="316"/>
      <c r="F910" s="316"/>
      <c r="G910" s="321"/>
      <c r="H910" s="316"/>
      <c r="I910" s="316"/>
      <c r="J910" s="316"/>
      <c r="K910" s="316"/>
      <c r="L910" s="316"/>
      <c r="M910" s="316"/>
      <c r="N910" s="316"/>
      <c r="O910" s="316"/>
      <c r="P910" s="316"/>
      <c r="Q910" s="316"/>
      <c r="R910" s="316"/>
      <c r="S910" s="316"/>
      <c r="T910" s="316"/>
      <c r="U910" s="316"/>
      <c r="V910" s="316"/>
      <c r="W910" s="316"/>
      <c r="X910" s="316"/>
      <c r="Y910" s="316"/>
      <c r="Z910" s="316"/>
      <c r="AA910" s="316"/>
      <c r="AB910" s="316"/>
      <c r="AC910" s="316"/>
    </row>
    <row r="911" spans="1:29" ht="15.75" customHeight="1">
      <c r="A911" s="316"/>
      <c r="B911" s="316"/>
      <c r="C911" s="316"/>
      <c r="D911" s="316"/>
      <c r="E911" s="316"/>
      <c r="F911" s="316"/>
      <c r="G911" s="321"/>
      <c r="H911" s="316"/>
      <c r="I911" s="316"/>
      <c r="J911" s="316"/>
      <c r="K911" s="316"/>
      <c r="L911" s="316"/>
      <c r="M911" s="316"/>
      <c r="N911" s="316"/>
      <c r="O911" s="316"/>
      <c r="P911" s="316"/>
      <c r="Q911" s="316"/>
      <c r="R911" s="316"/>
      <c r="S911" s="316"/>
      <c r="T911" s="316"/>
      <c r="U911" s="316"/>
      <c r="V911" s="316"/>
      <c r="W911" s="316"/>
      <c r="X911" s="316"/>
      <c r="Y911" s="316"/>
      <c r="Z911" s="316"/>
      <c r="AA911" s="316"/>
      <c r="AB911" s="316"/>
      <c r="AC911" s="316"/>
    </row>
    <row r="912" spans="1:29" ht="15.75" customHeight="1">
      <c r="A912" s="316"/>
      <c r="B912" s="316"/>
      <c r="C912" s="316"/>
      <c r="D912" s="316"/>
      <c r="E912" s="316"/>
      <c r="F912" s="316"/>
      <c r="G912" s="321"/>
      <c r="H912" s="316"/>
      <c r="I912" s="316"/>
      <c r="J912" s="316"/>
      <c r="K912" s="316"/>
      <c r="L912" s="316"/>
      <c r="M912" s="316"/>
      <c r="N912" s="316"/>
      <c r="O912" s="316"/>
      <c r="P912" s="316"/>
      <c r="Q912" s="316"/>
      <c r="R912" s="316"/>
      <c r="S912" s="316"/>
      <c r="T912" s="316"/>
      <c r="U912" s="316"/>
      <c r="V912" s="316"/>
      <c r="W912" s="316"/>
      <c r="X912" s="316"/>
      <c r="Y912" s="316"/>
      <c r="Z912" s="316"/>
      <c r="AA912" s="316"/>
      <c r="AB912" s="316"/>
      <c r="AC912" s="316"/>
    </row>
    <row r="913" spans="1:29" ht="15.75" customHeight="1">
      <c r="A913" s="316"/>
      <c r="B913" s="316"/>
      <c r="C913" s="316"/>
      <c r="D913" s="316"/>
      <c r="E913" s="316"/>
      <c r="F913" s="316"/>
      <c r="G913" s="321"/>
      <c r="H913" s="316"/>
      <c r="I913" s="316"/>
      <c r="J913" s="316"/>
      <c r="K913" s="316"/>
      <c r="L913" s="316"/>
      <c r="M913" s="316"/>
      <c r="N913" s="316"/>
      <c r="O913" s="316"/>
      <c r="P913" s="316"/>
      <c r="Q913" s="316"/>
      <c r="R913" s="316"/>
      <c r="S913" s="316"/>
      <c r="T913" s="316"/>
      <c r="U913" s="316"/>
      <c r="V913" s="316"/>
      <c r="W913" s="316"/>
      <c r="X913" s="316"/>
      <c r="Y913" s="316"/>
      <c r="Z913" s="316"/>
      <c r="AA913" s="316"/>
      <c r="AB913" s="316"/>
      <c r="AC913" s="316"/>
    </row>
    <row r="914" spans="1:29" ht="15.75" customHeight="1">
      <c r="A914" s="316"/>
      <c r="B914" s="316"/>
      <c r="C914" s="316"/>
      <c r="D914" s="316"/>
      <c r="E914" s="316"/>
      <c r="F914" s="316"/>
      <c r="G914" s="321"/>
      <c r="H914" s="316"/>
      <c r="I914" s="316"/>
      <c r="J914" s="316"/>
      <c r="K914" s="316"/>
      <c r="L914" s="316"/>
      <c r="M914" s="316"/>
      <c r="N914" s="316"/>
      <c r="O914" s="316"/>
      <c r="P914" s="316"/>
      <c r="Q914" s="316"/>
      <c r="R914" s="316"/>
      <c r="S914" s="316"/>
      <c r="T914" s="316"/>
      <c r="U914" s="316"/>
      <c r="V914" s="316"/>
      <c r="W914" s="316"/>
      <c r="X914" s="316"/>
      <c r="Y914" s="316"/>
      <c r="Z914" s="316"/>
      <c r="AA914" s="316"/>
      <c r="AB914" s="316"/>
      <c r="AC914" s="316"/>
    </row>
    <row r="915" spans="1:29" ht="15.75" customHeight="1">
      <c r="A915" s="316"/>
      <c r="B915" s="316"/>
      <c r="C915" s="316"/>
      <c r="D915" s="316"/>
      <c r="E915" s="316"/>
      <c r="F915" s="316"/>
      <c r="G915" s="321"/>
      <c r="H915" s="316"/>
      <c r="I915" s="316"/>
      <c r="J915" s="316"/>
      <c r="K915" s="316"/>
      <c r="L915" s="316"/>
      <c r="M915" s="316"/>
      <c r="N915" s="316"/>
      <c r="O915" s="316"/>
      <c r="P915" s="316"/>
      <c r="Q915" s="316"/>
      <c r="R915" s="316"/>
      <c r="S915" s="316"/>
      <c r="T915" s="316"/>
      <c r="U915" s="316"/>
      <c r="V915" s="316"/>
      <c r="W915" s="316"/>
      <c r="X915" s="316"/>
      <c r="Y915" s="316"/>
      <c r="Z915" s="316"/>
      <c r="AA915" s="316"/>
      <c r="AB915" s="316"/>
      <c r="AC915" s="316"/>
    </row>
    <row r="916" spans="1:29" ht="15.75" customHeight="1">
      <c r="A916" s="316"/>
      <c r="B916" s="316"/>
      <c r="C916" s="316"/>
      <c r="D916" s="316"/>
      <c r="E916" s="316"/>
      <c r="F916" s="316"/>
      <c r="G916" s="321"/>
      <c r="H916" s="316"/>
      <c r="I916" s="316"/>
      <c r="J916" s="316"/>
      <c r="K916" s="316"/>
      <c r="L916" s="316"/>
      <c r="M916" s="316"/>
      <c r="N916" s="316"/>
      <c r="O916" s="316"/>
      <c r="P916" s="316"/>
      <c r="Q916" s="316"/>
      <c r="R916" s="316"/>
      <c r="S916" s="316"/>
      <c r="T916" s="316"/>
      <c r="U916" s="316"/>
      <c r="V916" s="316"/>
      <c r="W916" s="316"/>
      <c r="X916" s="316"/>
      <c r="Y916" s="316"/>
      <c r="Z916" s="316"/>
      <c r="AA916" s="316"/>
      <c r="AB916" s="316"/>
      <c r="AC916" s="316"/>
    </row>
    <row r="917" spans="1:29" ht="15.75" customHeight="1">
      <c r="A917" s="316"/>
      <c r="B917" s="316"/>
      <c r="C917" s="316"/>
      <c r="D917" s="316"/>
      <c r="E917" s="316"/>
      <c r="F917" s="316"/>
      <c r="G917" s="321"/>
      <c r="H917" s="316"/>
      <c r="I917" s="316"/>
      <c r="J917" s="316"/>
      <c r="K917" s="316"/>
      <c r="L917" s="316"/>
      <c r="M917" s="316"/>
      <c r="N917" s="316"/>
      <c r="O917" s="316"/>
      <c r="P917" s="316"/>
      <c r="Q917" s="316"/>
      <c r="R917" s="316"/>
      <c r="S917" s="316"/>
      <c r="T917" s="316"/>
      <c r="U917" s="316"/>
      <c r="V917" s="316"/>
      <c r="W917" s="316"/>
      <c r="X917" s="316"/>
      <c r="Y917" s="316"/>
      <c r="Z917" s="316"/>
      <c r="AA917" s="316"/>
      <c r="AB917" s="316"/>
      <c r="AC917" s="316"/>
    </row>
    <row r="918" spans="1:29" ht="15.75" customHeight="1">
      <c r="A918" s="316"/>
      <c r="B918" s="316"/>
      <c r="C918" s="316"/>
      <c r="D918" s="316"/>
      <c r="E918" s="316"/>
      <c r="F918" s="316"/>
      <c r="G918" s="321"/>
      <c r="H918" s="316"/>
      <c r="I918" s="316"/>
      <c r="J918" s="316"/>
      <c r="K918" s="316"/>
      <c r="L918" s="316"/>
      <c r="M918" s="316"/>
      <c r="N918" s="316"/>
      <c r="O918" s="316"/>
      <c r="P918" s="316"/>
      <c r="Q918" s="316"/>
      <c r="R918" s="316"/>
      <c r="S918" s="316"/>
      <c r="T918" s="316"/>
      <c r="U918" s="316"/>
      <c r="V918" s="316"/>
      <c r="W918" s="316"/>
      <c r="X918" s="316"/>
      <c r="Y918" s="316"/>
      <c r="Z918" s="316"/>
      <c r="AA918" s="316"/>
      <c r="AB918" s="316"/>
      <c r="AC918" s="316"/>
    </row>
    <row r="919" spans="1:29" ht="15.75" customHeight="1">
      <c r="A919" s="316"/>
      <c r="B919" s="316"/>
      <c r="C919" s="316"/>
      <c r="D919" s="316"/>
      <c r="E919" s="316"/>
      <c r="F919" s="316"/>
      <c r="G919" s="321"/>
      <c r="H919" s="316"/>
      <c r="I919" s="316"/>
      <c r="J919" s="316"/>
      <c r="K919" s="316"/>
      <c r="L919" s="316"/>
      <c r="M919" s="316"/>
      <c r="N919" s="316"/>
      <c r="O919" s="316"/>
      <c r="P919" s="316"/>
      <c r="Q919" s="316"/>
      <c r="R919" s="316"/>
      <c r="S919" s="316"/>
      <c r="T919" s="316"/>
      <c r="U919" s="316"/>
      <c r="V919" s="316"/>
      <c r="W919" s="316"/>
      <c r="X919" s="316"/>
      <c r="Y919" s="316"/>
      <c r="Z919" s="316"/>
      <c r="AA919" s="316"/>
      <c r="AB919" s="316"/>
      <c r="AC919" s="316"/>
    </row>
    <row r="920" spans="1:29" ht="15.75" customHeight="1">
      <c r="A920" s="316"/>
      <c r="B920" s="316"/>
      <c r="C920" s="316"/>
      <c r="D920" s="316"/>
      <c r="E920" s="316"/>
      <c r="F920" s="316"/>
      <c r="G920" s="321"/>
      <c r="H920" s="316"/>
      <c r="I920" s="316"/>
      <c r="J920" s="316"/>
      <c r="K920" s="316"/>
      <c r="L920" s="316"/>
      <c r="M920" s="316"/>
      <c r="N920" s="316"/>
      <c r="O920" s="316"/>
      <c r="P920" s="316"/>
      <c r="Q920" s="316"/>
      <c r="R920" s="316"/>
      <c r="S920" s="316"/>
      <c r="T920" s="316"/>
      <c r="U920" s="316"/>
      <c r="V920" s="316"/>
      <c r="W920" s="316"/>
      <c r="X920" s="316"/>
      <c r="Y920" s="316"/>
      <c r="Z920" s="316"/>
      <c r="AA920" s="316"/>
      <c r="AB920" s="316"/>
      <c r="AC920" s="316"/>
    </row>
    <row r="921" spans="1:29" ht="15.75" customHeight="1">
      <c r="A921" s="316"/>
      <c r="B921" s="316"/>
      <c r="C921" s="316"/>
      <c r="D921" s="316"/>
      <c r="E921" s="316"/>
      <c r="F921" s="316"/>
      <c r="G921" s="321"/>
      <c r="H921" s="316"/>
      <c r="I921" s="316"/>
      <c r="J921" s="316"/>
      <c r="K921" s="316"/>
      <c r="L921" s="316"/>
      <c r="M921" s="316"/>
      <c r="N921" s="316"/>
      <c r="O921" s="316"/>
      <c r="P921" s="316"/>
      <c r="Q921" s="316"/>
      <c r="R921" s="316"/>
      <c r="S921" s="316"/>
      <c r="T921" s="316"/>
      <c r="U921" s="316"/>
      <c r="V921" s="316"/>
      <c r="W921" s="316"/>
      <c r="X921" s="316"/>
      <c r="Y921" s="316"/>
      <c r="Z921" s="316"/>
      <c r="AA921" s="316"/>
      <c r="AB921" s="316"/>
      <c r="AC921" s="316"/>
    </row>
    <row r="922" spans="1:29" ht="15.75" customHeight="1">
      <c r="A922" s="316"/>
      <c r="B922" s="316"/>
      <c r="C922" s="316"/>
      <c r="D922" s="316"/>
      <c r="E922" s="316"/>
      <c r="F922" s="316"/>
      <c r="G922" s="321"/>
      <c r="H922" s="316"/>
      <c r="I922" s="316"/>
      <c r="J922" s="316"/>
      <c r="K922" s="316"/>
      <c r="L922" s="316"/>
      <c r="M922" s="316"/>
      <c r="N922" s="316"/>
      <c r="O922" s="316"/>
      <c r="P922" s="316"/>
      <c r="Q922" s="316"/>
      <c r="R922" s="316"/>
      <c r="S922" s="316"/>
      <c r="T922" s="316"/>
      <c r="U922" s="316"/>
      <c r="V922" s="316"/>
      <c r="W922" s="316"/>
      <c r="X922" s="316"/>
      <c r="Y922" s="316"/>
      <c r="Z922" s="316"/>
      <c r="AA922" s="316"/>
      <c r="AB922" s="316"/>
      <c r="AC922" s="316"/>
    </row>
    <row r="923" spans="1:29" ht="15.75" customHeight="1">
      <c r="A923" s="316"/>
      <c r="B923" s="316"/>
      <c r="C923" s="316"/>
      <c r="D923" s="316"/>
      <c r="E923" s="316"/>
      <c r="F923" s="316"/>
      <c r="G923" s="321"/>
      <c r="H923" s="316"/>
      <c r="I923" s="316"/>
      <c r="J923" s="316"/>
      <c r="K923" s="316"/>
      <c r="L923" s="316"/>
      <c r="M923" s="316"/>
      <c r="N923" s="316"/>
      <c r="O923" s="316"/>
      <c r="P923" s="316"/>
      <c r="Q923" s="316"/>
      <c r="R923" s="316"/>
      <c r="S923" s="316"/>
      <c r="T923" s="316"/>
      <c r="U923" s="316"/>
      <c r="V923" s="316"/>
      <c r="W923" s="316"/>
      <c r="X923" s="316"/>
      <c r="Y923" s="316"/>
      <c r="Z923" s="316"/>
      <c r="AA923" s="316"/>
      <c r="AB923" s="316"/>
      <c r="AC923" s="316"/>
    </row>
    <row r="924" spans="1:29" ht="15.75" customHeight="1">
      <c r="A924" s="316"/>
      <c r="B924" s="316"/>
      <c r="C924" s="316"/>
      <c r="D924" s="316"/>
      <c r="E924" s="316"/>
      <c r="F924" s="316"/>
      <c r="G924" s="321"/>
      <c r="H924" s="316"/>
      <c r="I924" s="316"/>
      <c r="J924" s="316"/>
      <c r="K924" s="316"/>
      <c r="L924" s="316"/>
      <c r="M924" s="316"/>
      <c r="N924" s="316"/>
      <c r="O924" s="316"/>
      <c r="P924" s="316"/>
      <c r="Q924" s="316"/>
      <c r="R924" s="316"/>
      <c r="S924" s="316"/>
      <c r="T924" s="316"/>
      <c r="U924" s="316"/>
      <c r="V924" s="316"/>
      <c r="W924" s="316"/>
      <c r="X924" s="316"/>
      <c r="Y924" s="316"/>
      <c r="Z924" s="316"/>
      <c r="AA924" s="316"/>
      <c r="AB924" s="316"/>
      <c r="AC924" s="316"/>
    </row>
    <row r="925" spans="1:29" ht="15.75" customHeight="1">
      <c r="A925" s="316"/>
      <c r="B925" s="316"/>
      <c r="C925" s="316"/>
      <c r="D925" s="316"/>
      <c r="E925" s="316"/>
      <c r="F925" s="316"/>
      <c r="G925" s="321"/>
      <c r="H925" s="316"/>
      <c r="I925" s="316"/>
      <c r="J925" s="316"/>
      <c r="K925" s="316"/>
      <c r="L925" s="316"/>
      <c r="M925" s="316"/>
      <c r="N925" s="316"/>
      <c r="O925" s="316"/>
      <c r="P925" s="316"/>
      <c r="Q925" s="316"/>
      <c r="R925" s="316"/>
      <c r="S925" s="316"/>
      <c r="T925" s="316"/>
      <c r="U925" s="316"/>
      <c r="V925" s="316"/>
      <c r="W925" s="316"/>
      <c r="X925" s="316"/>
      <c r="Y925" s="316"/>
      <c r="Z925" s="316"/>
      <c r="AA925" s="316"/>
      <c r="AB925" s="316"/>
      <c r="AC925" s="316"/>
    </row>
    <row r="926" spans="1:29" ht="15.75" customHeight="1">
      <c r="A926" s="316"/>
      <c r="B926" s="316"/>
      <c r="C926" s="316"/>
      <c r="D926" s="316"/>
      <c r="E926" s="316"/>
      <c r="F926" s="316"/>
      <c r="G926" s="321"/>
      <c r="H926" s="316"/>
      <c r="I926" s="316"/>
      <c r="J926" s="316"/>
      <c r="K926" s="316"/>
      <c r="L926" s="316"/>
      <c r="M926" s="316"/>
      <c r="N926" s="316"/>
      <c r="O926" s="316"/>
      <c r="P926" s="316"/>
      <c r="Q926" s="316"/>
      <c r="R926" s="316"/>
      <c r="S926" s="316"/>
      <c r="T926" s="316"/>
      <c r="U926" s="316"/>
      <c r="V926" s="316"/>
      <c r="W926" s="316"/>
      <c r="X926" s="316"/>
      <c r="Y926" s="316"/>
      <c r="Z926" s="316"/>
      <c r="AA926" s="316"/>
      <c r="AB926" s="316"/>
      <c r="AC926" s="316"/>
    </row>
    <row r="927" spans="1:29" ht="15.75" customHeight="1">
      <c r="A927" s="316"/>
      <c r="B927" s="316"/>
      <c r="C927" s="316"/>
      <c r="D927" s="316"/>
      <c r="E927" s="316"/>
      <c r="F927" s="316"/>
      <c r="G927" s="321"/>
      <c r="H927" s="316"/>
      <c r="I927" s="316"/>
      <c r="J927" s="316"/>
      <c r="K927" s="316"/>
      <c r="L927" s="316"/>
      <c r="M927" s="316"/>
      <c r="N927" s="316"/>
      <c r="O927" s="316"/>
      <c r="P927" s="316"/>
      <c r="Q927" s="316"/>
      <c r="R927" s="316"/>
      <c r="S927" s="316"/>
      <c r="T927" s="316"/>
      <c r="U927" s="316"/>
      <c r="V927" s="316"/>
      <c r="W927" s="316"/>
      <c r="X927" s="316"/>
      <c r="Y927" s="316"/>
      <c r="Z927" s="316"/>
      <c r="AA927" s="316"/>
      <c r="AB927" s="316"/>
      <c r="AC927" s="316"/>
    </row>
    <row r="928" spans="1:29" ht="15.75" customHeight="1">
      <c r="A928" s="316"/>
      <c r="B928" s="316"/>
      <c r="C928" s="316"/>
      <c r="D928" s="316"/>
      <c r="E928" s="316"/>
      <c r="F928" s="316"/>
      <c r="G928" s="321"/>
      <c r="H928" s="316"/>
      <c r="I928" s="316"/>
      <c r="J928" s="316"/>
      <c r="K928" s="316"/>
      <c r="L928" s="316"/>
      <c r="M928" s="316"/>
      <c r="N928" s="316"/>
      <c r="O928" s="316"/>
      <c r="P928" s="316"/>
      <c r="Q928" s="316"/>
      <c r="R928" s="316"/>
      <c r="S928" s="316"/>
      <c r="T928" s="316"/>
      <c r="U928" s="316"/>
      <c r="V928" s="316"/>
      <c r="W928" s="316"/>
      <c r="X928" s="316"/>
      <c r="Y928" s="316"/>
      <c r="Z928" s="316"/>
      <c r="AA928" s="316"/>
      <c r="AB928" s="316"/>
      <c r="AC928" s="316"/>
    </row>
    <row r="929" spans="1:29" ht="15.75" customHeight="1">
      <c r="A929" s="316"/>
      <c r="B929" s="316"/>
      <c r="C929" s="316"/>
      <c r="D929" s="316"/>
      <c r="E929" s="316"/>
      <c r="F929" s="316"/>
      <c r="G929" s="321"/>
      <c r="H929" s="316"/>
      <c r="I929" s="316"/>
      <c r="J929" s="316"/>
      <c r="K929" s="316"/>
      <c r="L929" s="316"/>
      <c r="M929" s="316"/>
      <c r="N929" s="316"/>
      <c r="O929" s="316"/>
      <c r="P929" s="316"/>
      <c r="Q929" s="316"/>
      <c r="R929" s="316"/>
      <c r="S929" s="316"/>
      <c r="T929" s="316"/>
      <c r="U929" s="316"/>
      <c r="V929" s="316"/>
      <c r="W929" s="316"/>
      <c r="X929" s="316"/>
      <c r="Y929" s="316"/>
      <c r="Z929" s="316"/>
      <c r="AA929" s="316"/>
      <c r="AB929" s="316"/>
      <c r="AC929" s="316"/>
    </row>
    <row r="930" spans="1:29" ht="15.75" customHeight="1">
      <c r="A930" s="316"/>
      <c r="B930" s="316"/>
      <c r="C930" s="316"/>
      <c r="D930" s="316"/>
      <c r="E930" s="316"/>
      <c r="F930" s="316"/>
      <c r="G930" s="321"/>
      <c r="H930" s="316"/>
      <c r="I930" s="316"/>
      <c r="J930" s="316"/>
      <c r="K930" s="316"/>
      <c r="L930" s="316"/>
      <c r="M930" s="316"/>
      <c r="N930" s="316"/>
      <c r="O930" s="316"/>
      <c r="P930" s="316"/>
      <c r="Q930" s="316"/>
      <c r="R930" s="316"/>
      <c r="S930" s="316"/>
      <c r="T930" s="316"/>
      <c r="U930" s="316"/>
      <c r="V930" s="316"/>
      <c r="W930" s="316"/>
      <c r="X930" s="316"/>
      <c r="Y930" s="316"/>
      <c r="Z930" s="316"/>
      <c r="AA930" s="316"/>
      <c r="AB930" s="316"/>
      <c r="AC930" s="316"/>
    </row>
    <row r="931" spans="1:29" ht="15.75" customHeight="1">
      <c r="A931" s="316"/>
      <c r="B931" s="316"/>
      <c r="C931" s="316"/>
      <c r="D931" s="316"/>
      <c r="E931" s="316"/>
      <c r="F931" s="316"/>
      <c r="G931" s="321"/>
      <c r="H931" s="316"/>
      <c r="I931" s="316"/>
      <c r="J931" s="316"/>
      <c r="K931" s="316"/>
      <c r="L931" s="316"/>
      <c r="M931" s="316"/>
      <c r="N931" s="316"/>
      <c r="O931" s="316"/>
      <c r="P931" s="316"/>
      <c r="Q931" s="316"/>
      <c r="R931" s="316"/>
      <c r="S931" s="316"/>
      <c r="T931" s="316"/>
      <c r="U931" s="316"/>
      <c r="V931" s="316"/>
      <c r="W931" s="316"/>
      <c r="X931" s="316"/>
      <c r="Y931" s="316"/>
      <c r="Z931" s="316"/>
      <c r="AA931" s="316"/>
      <c r="AB931" s="316"/>
      <c r="AC931" s="316"/>
    </row>
    <row r="932" spans="1:29" ht="15.75" customHeight="1">
      <c r="A932" s="316"/>
      <c r="B932" s="316"/>
      <c r="C932" s="316"/>
      <c r="D932" s="316"/>
      <c r="E932" s="316"/>
      <c r="F932" s="316"/>
      <c r="G932" s="321"/>
      <c r="H932" s="316"/>
      <c r="I932" s="316"/>
      <c r="J932" s="316"/>
      <c r="K932" s="316"/>
      <c r="L932" s="316"/>
      <c r="M932" s="316"/>
      <c r="N932" s="316"/>
      <c r="O932" s="316"/>
      <c r="P932" s="316"/>
      <c r="Q932" s="316"/>
      <c r="R932" s="316"/>
      <c r="S932" s="316"/>
      <c r="T932" s="316"/>
      <c r="U932" s="316"/>
      <c r="V932" s="316"/>
      <c r="W932" s="316"/>
      <c r="X932" s="316"/>
      <c r="Y932" s="316"/>
      <c r="Z932" s="316"/>
      <c r="AA932" s="316"/>
      <c r="AB932" s="316"/>
      <c r="AC932" s="316"/>
    </row>
    <row r="933" spans="1:29" ht="15.75" customHeight="1">
      <c r="A933" s="316"/>
      <c r="B933" s="316"/>
      <c r="C933" s="316"/>
      <c r="D933" s="316"/>
      <c r="E933" s="316"/>
      <c r="F933" s="316"/>
      <c r="G933" s="321"/>
      <c r="H933" s="316"/>
      <c r="I933" s="316"/>
      <c r="J933" s="316"/>
      <c r="K933" s="316"/>
      <c r="L933" s="316"/>
      <c r="M933" s="316"/>
      <c r="N933" s="316"/>
      <c r="O933" s="316"/>
      <c r="P933" s="316"/>
      <c r="Q933" s="316"/>
      <c r="R933" s="316"/>
      <c r="S933" s="316"/>
      <c r="T933" s="316"/>
      <c r="U933" s="316"/>
      <c r="V933" s="316"/>
      <c r="W933" s="316"/>
      <c r="X933" s="316"/>
      <c r="Y933" s="316"/>
      <c r="Z933" s="316"/>
      <c r="AA933" s="316"/>
      <c r="AB933" s="316"/>
      <c r="AC933" s="316"/>
    </row>
    <row r="934" spans="1:29" ht="15.75" customHeight="1">
      <c r="A934" s="316"/>
      <c r="B934" s="316"/>
      <c r="C934" s="316"/>
      <c r="D934" s="316"/>
      <c r="E934" s="316"/>
      <c r="F934" s="316"/>
      <c r="G934" s="321"/>
      <c r="H934" s="316"/>
      <c r="I934" s="316"/>
      <c r="J934" s="316"/>
      <c r="K934" s="316"/>
      <c r="L934" s="316"/>
      <c r="M934" s="316"/>
      <c r="N934" s="316"/>
      <c r="O934" s="316"/>
      <c r="P934" s="316"/>
      <c r="Q934" s="316"/>
      <c r="R934" s="316"/>
      <c r="S934" s="316"/>
      <c r="T934" s="316"/>
      <c r="U934" s="316"/>
      <c r="V934" s="316"/>
      <c r="W934" s="316"/>
      <c r="X934" s="316"/>
      <c r="Y934" s="316"/>
      <c r="Z934" s="316"/>
      <c r="AA934" s="316"/>
      <c r="AB934" s="316"/>
      <c r="AC934" s="316"/>
    </row>
    <row r="935" spans="1:29" ht="15.75" customHeight="1">
      <c r="A935" s="316"/>
      <c r="B935" s="316"/>
      <c r="C935" s="316"/>
      <c r="D935" s="316"/>
      <c r="E935" s="316"/>
      <c r="F935" s="316"/>
      <c r="G935" s="321"/>
      <c r="H935" s="316"/>
      <c r="I935" s="316"/>
      <c r="J935" s="316"/>
      <c r="K935" s="316"/>
      <c r="L935" s="316"/>
      <c r="M935" s="316"/>
      <c r="N935" s="316"/>
      <c r="O935" s="316"/>
      <c r="P935" s="316"/>
      <c r="Q935" s="316"/>
      <c r="R935" s="316"/>
      <c r="S935" s="316"/>
      <c r="T935" s="316"/>
      <c r="U935" s="316"/>
      <c r="V935" s="316"/>
      <c r="W935" s="316"/>
      <c r="X935" s="316"/>
      <c r="Y935" s="316"/>
      <c r="Z935" s="316"/>
      <c r="AA935" s="316"/>
      <c r="AB935" s="316"/>
      <c r="AC935" s="316"/>
    </row>
    <row r="936" spans="1:29" ht="15.75" customHeight="1">
      <c r="A936" s="316"/>
      <c r="B936" s="316"/>
      <c r="C936" s="316"/>
      <c r="D936" s="316"/>
      <c r="E936" s="316"/>
      <c r="F936" s="316"/>
      <c r="G936" s="321"/>
      <c r="H936" s="316"/>
      <c r="I936" s="316"/>
      <c r="J936" s="316"/>
      <c r="K936" s="316"/>
      <c r="L936" s="316"/>
      <c r="M936" s="316"/>
      <c r="N936" s="316"/>
      <c r="O936" s="316"/>
      <c r="P936" s="316"/>
      <c r="Q936" s="316"/>
      <c r="R936" s="316"/>
      <c r="S936" s="316"/>
      <c r="T936" s="316"/>
      <c r="U936" s="316"/>
      <c r="V936" s="316"/>
      <c r="W936" s="316"/>
      <c r="X936" s="316"/>
      <c r="Y936" s="316"/>
      <c r="Z936" s="316"/>
      <c r="AA936" s="316"/>
      <c r="AB936" s="316"/>
      <c r="AC936" s="316"/>
    </row>
    <row r="937" spans="1:29" ht="15.75" customHeight="1">
      <c r="A937" s="316"/>
      <c r="B937" s="316"/>
      <c r="C937" s="316"/>
      <c r="D937" s="316"/>
      <c r="E937" s="316"/>
      <c r="F937" s="316"/>
      <c r="G937" s="321"/>
      <c r="H937" s="316"/>
      <c r="I937" s="316"/>
      <c r="J937" s="316"/>
      <c r="K937" s="316"/>
      <c r="L937" s="316"/>
      <c r="M937" s="316"/>
      <c r="N937" s="316"/>
      <c r="O937" s="316"/>
      <c r="P937" s="316"/>
      <c r="Q937" s="316"/>
      <c r="R937" s="316"/>
      <c r="S937" s="316"/>
      <c r="T937" s="316"/>
      <c r="U937" s="316"/>
      <c r="V937" s="316"/>
      <c r="W937" s="316"/>
      <c r="X937" s="316"/>
      <c r="Y937" s="316"/>
      <c r="Z937" s="316"/>
      <c r="AA937" s="316"/>
      <c r="AB937" s="316"/>
      <c r="AC937" s="316"/>
    </row>
    <row r="938" spans="1:29" ht="15.75" customHeight="1">
      <c r="A938" s="316"/>
      <c r="B938" s="316"/>
      <c r="C938" s="316"/>
      <c r="D938" s="316"/>
      <c r="E938" s="316"/>
      <c r="F938" s="316"/>
      <c r="G938" s="321"/>
      <c r="H938" s="316"/>
      <c r="I938" s="316"/>
      <c r="J938" s="316"/>
      <c r="K938" s="316"/>
      <c r="L938" s="316"/>
      <c r="M938" s="316"/>
      <c r="N938" s="316"/>
      <c r="O938" s="316"/>
      <c r="P938" s="316"/>
      <c r="Q938" s="316"/>
      <c r="R938" s="316"/>
      <c r="S938" s="316"/>
      <c r="T938" s="316"/>
      <c r="U938" s="316"/>
      <c r="V938" s="316"/>
      <c r="W938" s="316"/>
      <c r="X938" s="316"/>
      <c r="Y938" s="316"/>
      <c r="Z938" s="316"/>
      <c r="AA938" s="316"/>
      <c r="AB938" s="316"/>
      <c r="AC938" s="316"/>
    </row>
    <row r="939" spans="1:29" ht="15.75" customHeight="1">
      <c r="A939" s="316"/>
      <c r="B939" s="316"/>
      <c r="C939" s="316"/>
      <c r="D939" s="316"/>
      <c r="E939" s="316"/>
      <c r="F939" s="316"/>
      <c r="G939" s="321"/>
      <c r="H939" s="316"/>
      <c r="I939" s="316"/>
      <c r="J939" s="316"/>
      <c r="K939" s="316"/>
      <c r="L939" s="316"/>
      <c r="M939" s="316"/>
      <c r="N939" s="316"/>
      <c r="O939" s="316"/>
      <c r="P939" s="316"/>
      <c r="Q939" s="316"/>
      <c r="R939" s="316"/>
      <c r="S939" s="316"/>
      <c r="T939" s="316"/>
      <c r="U939" s="316"/>
      <c r="V939" s="316"/>
      <c r="W939" s="316"/>
      <c r="X939" s="316"/>
      <c r="Y939" s="316"/>
      <c r="Z939" s="316"/>
      <c r="AA939" s="316"/>
      <c r="AB939" s="316"/>
      <c r="AC939" s="316"/>
    </row>
    <row r="940" spans="1:29" ht="15.75" customHeight="1">
      <c r="A940" s="316"/>
      <c r="B940" s="316"/>
      <c r="C940" s="316"/>
      <c r="D940" s="316"/>
      <c r="E940" s="316"/>
      <c r="F940" s="316"/>
      <c r="G940" s="321"/>
      <c r="H940" s="316"/>
      <c r="I940" s="316"/>
      <c r="J940" s="316"/>
      <c r="K940" s="316"/>
      <c r="L940" s="316"/>
      <c r="M940" s="316"/>
      <c r="N940" s="316"/>
      <c r="O940" s="316"/>
      <c r="P940" s="316"/>
      <c r="Q940" s="316"/>
      <c r="R940" s="316"/>
      <c r="S940" s="316"/>
      <c r="T940" s="316"/>
      <c r="U940" s="316"/>
      <c r="V940" s="316"/>
      <c r="W940" s="316"/>
      <c r="X940" s="316"/>
      <c r="Y940" s="316"/>
      <c r="Z940" s="316"/>
      <c r="AA940" s="316"/>
      <c r="AB940" s="316"/>
      <c r="AC940" s="316"/>
    </row>
    <row r="941" spans="1:29" ht="15.75" customHeight="1">
      <c r="A941" s="316"/>
      <c r="B941" s="316"/>
      <c r="C941" s="316"/>
      <c r="D941" s="316"/>
      <c r="E941" s="316"/>
      <c r="F941" s="316"/>
      <c r="G941" s="321"/>
      <c r="H941" s="316"/>
      <c r="I941" s="316"/>
      <c r="J941" s="316"/>
      <c r="K941" s="316"/>
      <c r="L941" s="316"/>
      <c r="M941" s="316"/>
      <c r="N941" s="316"/>
      <c r="O941" s="316"/>
      <c r="P941" s="316"/>
      <c r="Q941" s="316"/>
      <c r="R941" s="316"/>
      <c r="S941" s="316"/>
      <c r="T941" s="316"/>
      <c r="U941" s="316"/>
      <c r="V941" s="316"/>
      <c r="W941" s="316"/>
      <c r="X941" s="316"/>
      <c r="Y941" s="316"/>
      <c r="Z941" s="316"/>
      <c r="AA941" s="316"/>
      <c r="AB941" s="316"/>
      <c r="AC941" s="316"/>
    </row>
    <row r="942" spans="1:29" ht="15.75" customHeight="1">
      <c r="A942" s="316"/>
      <c r="B942" s="316"/>
      <c r="C942" s="316"/>
      <c r="D942" s="316"/>
      <c r="E942" s="316"/>
      <c r="F942" s="316"/>
      <c r="G942" s="321"/>
      <c r="H942" s="316"/>
      <c r="I942" s="316"/>
      <c r="J942" s="316"/>
      <c r="K942" s="316"/>
      <c r="L942" s="316"/>
      <c r="M942" s="316"/>
      <c r="N942" s="316"/>
      <c r="O942" s="316"/>
      <c r="P942" s="316"/>
      <c r="Q942" s="316"/>
      <c r="R942" s="316"/>
      <c r="S942" s="316"/>
      <c r="T942" s="316"/>
      <c r="U942" s="316"/>
      <c r="V942" s="316"/>
      <c r="W942" s="316"/>
      <c r="X942" s="316"/>
      <c r="Y942" s="316"/>
      <c r="Z942" s="316"/>
      <c r="AA942" s="316"/>
      <c r="AB942" s="316"/>
      <c r="AC942" s="316"/>
    </row>
    <row r="943" spans="1:29" ht="15.75" customHeight="1">
      <c r="A943" s="316"/>
      <c r="B943" s="316"/>
      <c r="C943" s="316"/>
      <c r="D943" s="316"/>
      <c r="E943" s="316"/>
      <c r="F943" s="316"/>
      <c r="G943" s="321"/>
      <c r="H943" s="316"/>
      <c r="I943" s="316"/>
      <c r="J943" s="316"/>
      <c r="K943" s="316"/>
      <c r="L943" s="316"/>
      <c r="M943" s="316"/>
      <c r="N943" s="316"/>
      <c r="O943" s="316"/>
      <c r="P943" s="316"/>
      <c r="Q943" s="316"/>
      <c r="R943" s="316"/>
      <c r="S943" s="316"/>
      <c r="T943" s="316"/>
      <c r="U943" s="316"/>
      <c r="V943" s="316"/>
      <c r="W943" s="316"/>
      <c r="X943" s="316"/>
      <c r="Y943" s="316"/>
      <c r="Z943" s="316"/>
      <c r="AA943" s="316"/>
      <c r="AB943" s="316"/>
      <c r="AC943" s="316"/>
    </row>
    <row r="944" spans="1:29" ht="15.75" customHeight="1">
      <c r="A944" s="316"/>
      <c r="B944" s="316"/>
      <c r="C944" s="316"/>
      <c r="D944" s="316"/>
      <c r="E944" s="316"/>
      <c r="F944" s="316"/>
      <c r="G944" s="321"/>
      <c r="H944" s="316"/>
      <c r="I944" s="316"/>
      <c r="J944" s="316"/>
      <c r="K944" s="316"/>
      <c r="L944" s="316"/>
      <c r="M944" s="316"/>
      <c r="N944" s="316"/>
      <c r="O944" s="316"/>
      <c r="P944" s="316"/>
      <c r="Q944" s="316"/>
      <c r="R944" s="316"/>
      <c r="S944" s="316"/>
      <c r="T944" s="316"/>
      <c r="U944" s="316"/>
      <c r="V944" s="316"/>
      <c r="W944" s="316"/>
      <c r="X944" s="316"/>
      <c r="Y944" s="316"/>
      <c r="Z944" s="316"/>
      <c r="AA944" s="316"/>
      <c r="AB944" s="316"/>
      <c r="AC944" s="316"/>
    </row>
    <row r="945" spans="1:29" ht="15.75" customHeight="1">
      <c r="A945" s="316"/>
      <c r="B945" s="316"/>
      <c r="C945" s="316"/>
      <c r="D945" s="316"/>
      <c r="E945" s="316"/>
      <c r="F945" s="316"/>
      <c r="G945" s="321"/>
      <c r="H945" s="316"/>
      <c r="I945" s="316"/>
      <c r="J945" s="316"/>
      <c r="K945" s="316"/>
      <c r="L945" s="316"/>
      <c r="M945" s="316"/>
      <c r="N945" s="316"/>
      <c r="O945" s="316"/>
      <c r="P945" s="316"/>
      <c r="Q945" s="316"/>
      <c r="R945" s="316"/>
      <c r="S945" s="316"/>
      <c r="T945" s="316"/>
      <c r="U945" s="316"/>
      <c r="V945" s="316"/>
      <c r="W945" s="316"/>
      <c r="X945" s="316"/>
      <c r="Y945" s="316"/>
      <c r="Z945" s="316"/>
      <c r="AA945" s="316"/>
      <c r="AB945" s="316"/>
      <c r="AC945" s="316"/>
    </row>
    <row r="946" spans="1:29" ht="15.75" customHeight="1">
      <c r="A946" s="316"/>
      <c r="B946" s="316"/>
      <c r="C946" s="316"/>
      <c r="D946" s="316"/>
      <c r="E946" s="316"/>
      <c r="F946" s="316"/>
      <c r="G946" s="321"/>
      <c r="H946" s="316"/>
      <c r="I946" s="316"/>
      <c r="J946" s="316"/>
      <c r="K946" s="316"/>
      <c r="L946" s="316"/>
      <c r="M946" s="316"/>
      <c r="N946" s="316"/>
      <c r="O946" s="316"/>
      <c r="P946" s="316"/>
      <c r="Q946" s="316"/>
      <c r="R946" s="316"/>
      <c r="S946" s="316"/>
      <c r="T946" s="316"/>
      <c r="U946" s="316"/>
      <c r="V946" s="316"/>
      <c r="W946" s="316"/>
      <c r="X946" s="316"/>
      <c r="Y946" s="316"/>
      <c r="Z946" s="316"/>
      <c r="AA946" s="316"/>
      <c r="AB946" s="316"/>
      <c r="AC946" s="316"/>
    </row>
    <row r="947" spans="1:29" ht="15.75" customHeight="1">
      <c r="A947" s="316"/>
      <c r="B947" s="316"/>
      <c r="C947" s="316"/>
      <c r="D947" s="316"/>
      <c r="E947" s="316"/>
      <c r="F947" s="316"/>
      <c r="G947" s="321"/>
      <c r="H947" s="316"/>
      <c r="I947" s="316"/>
      <c r="J947" s="316"/>
      <c r="K947" s="316"/>
      <c r="L947" s="316"/>
      <c r="M947" s="316"/>
      <c r="N947" s="316"/>
      <c r="O947" s="316"/>
      <c r="P947" s="316"/>
      <c r="Q947" s="316"/>
      <c r="R947" s="316"/>
      <c r="S947" s="316"/>
      <c r="T947" s="316"/>
      <c r="U947" s="316"/>
      <c r="V947" s="316"/>
      <c r="W947" s="316"/>
      <c r="X947" s="316"/>
      <c r="Y947" s="316"/>
      <c r="Z947" s="316"/>
      <c r="AA947" s="316"/>
      <c r="AB947" s="316"/>
      <c r="AC947" s="316"/>
    </row>
    <row r="948" spans="1:29" ht="15.75" customHeight="1">
      <c r="A948" s="316"/>
      <c r="B948" s="316"/>
      <c r="C948" s="316"/>
      <c r="D948" s="316"/>
      <c r="E948" s="316"/>
      <c r="F948" s="316"/>
      <c r="G948" s="321"/>
      <c r="H948" s="316"/>
      <c r="I948" s="316"/>
      <c r="J948" s="316"/>
      <c r="K948" s="316"/>
      <c r="L948" s="316"/>
      <c r="M948" s="316"/>
      <c r="N948" s="316"/>
      <c r="O948" s="316"/>
      <c r="P948" s="316"/>
      <c r="Q948" s="316"/>
      <c r="R948" s="316"/>
      <c r="S948" s="316"/>
      <c r="T948" s="316"/>
      <c r="U948" s="316"/>
      <c r="V948" s="316"/>
      <c r="W948" s="316"/>
      <c r="X948" s="316"/>
      <c r="Y948" s="316"/>
      <c r="Z948" s="316"/>
      <c r="AA948" s="316"/>
      <c r="AB948" s="316"/>
      <c r="AC948" s="316"/>
    </row>
    <row r="949" spans="1:29" ht="15.75" customHeight="1">
      <c r="A949" s="316"/>
      <c r="B949" s="316"/>
      <c r="C949" s="316"/>
      <c r="D949" s="316"/>
      <c r="E949" s="316"/>
      <c r="F949" s="316"/>
      <c r="G949" s="321"/>
      <c r="H949" s="316"/>
      <c r="I949" s="316"/>
      <c r="J949" s="316"/>
      <c r="K949" s="316"/>
      <c r="L949" s="316"/>
      <c r="M949" s="316"/>
      <c r="N949" s="316"/>
      <c r="O949" s="316"/>
      <c r="P949" s="316"/>
      <c r="Q949" s="316"/>
      <c r="R949" s="316"/>
      <c r="S949" s="316"/>
      <c r="T949" s="316"/>
      <c r="U949" s="316"/>
      <c r="V949" s="316"/>
      <c r="W949" s="316"/>
      <c r="X949" s="316"/>
      <c r="Y949" s="316"/>
      <c r="Z949" s="316"/>
      <c r="AA949" s="316"/>
      <c r="AB949" s="316"/>
      <c r="AC949" s="316"/>
    </row>
    <row r="950" spans="1:29" ht="15.75" customHeight="1">
      <c r="A950" s="316"/>
      <c r="B950" s="316"/>
      <c r="C950" s="316"/>
      <c r="D950" s="316"/>
      <c r="E950" s="316"/>
      <c r="F950" s="316"/>
      <c r="G950" s="321"/>
      <c r="H950" s="316"/>
      <c r="I950" s="316"/>
      <c r="J950" s="316"/>
      <c r="K950" s="316"/>
      <c r="L950" s="316"/>
      <c r="M950" s="316"/>
      <c r="N950" s="316"/>
      <c r="O950" s="316"/>
      <c r="P950" s="316"/>
      <c r="Q950" s="316"/>
      <c r="R950" s="316"/>
      <c r="S950" s="316"/>
      <c r="T950" s="316"/>
      <c r="U950" s="316"/>
      <c r="V950" s="316"/>
      <c r="W950" s="316"/>
      <c r="X950" s="316"/>
      <c r="Y950" s="316"/>
      <c r="Z950" s="316"/>
      <c r="AA950" s="316"/>
      <c r="AB950" s="316"/>
      <c r="AC950" s="316"/>
    </row>
    <row r="951" spans="1:29" ht="15.75" customHeight="1">
      <c r="A951" s="316"/>
      <c r="B951" s="316"/>
      <c r="C951" s="316"/>
      <c r="D951" s="316"/>
      <c r="E951" s="316"/>
      <c r="F951" s="316"/>
      <c r="G951" s="321"/>
      <c r="H951" s="316"/>
      <c r="I951" s="316"/>
      <c r="J951" s="316"/>
      <c r="K951" s="316"/>
      <c r="L951" s="316"/>
      <c r="M951" s="316"/>
      <c r="N951" s="316"/>
      <c r="O951" s="316"/>
      <c r="P951" s="316"/>
      <c r="Q951" s="316"/>
      <c r="R951" s="316"/>
      <c r="S951" s="316"/>
      <c r="T951" s="316"/>
      <c r="U951" s="316"/>
      <c r="V951" s="316"/>
      <c r="W951" s="316"/>
      <c r="X951" s="316"/>
      <c r="Y951" s="316"/>
      <c r="Z951" s="316"/>
      <c r="AA951" s="316"/>
      <c r="AB951" s="316"/>
      <c r="AC951" s="316"/>
    </row>
    <row r="952" spans="1:29" ht="15.75" customHeight="1">
      <c r="A952" s="316"/>
      <c r="B952" s="316"/>
      <c r="C952" s="316"/>
      <c r="D952" s="316"/>
      <c r="E952" s="316"/>
      <c r="F952" s="316"/>
      <c r="G952" s="321"/>
      <c r="H952" s="316"/>
      <c r="I952" s="316"/>
      <c r="J952" s="316"/>
      <c r="K952" s="316"/>
      <c r="L952" s="316"/>
      <c r="M952" s="316"/>
      <c r="N952" s="316"/>
      <c r="O952" s="316"/>
      <c r="P952" s="316"/>
      <c r="Q952" s="316"/>
      <c r="R952" s="316"/>
      <c r="S952" s="316"/>
      <c r="T952" s="316"/>
      <c r="U952" s="316"/>
      <c r="V952" s="316"/>
      <c r="W952" s="316"/>
      <c r="X952" s="316"/>
      <c r="Y952" s="316"/>
      <c r="Z952" s="316"/>
      <c r="AA952" s="316"/>
      <c r="AB952" s="316"/>
      <c r="AC952" s="316"/>
    </row>
    <row r="953" spans="1:29" ht="15.75" customHeight="1">
      <c r="A953" s="316"/>
      <c r="B953" s="316"/>
      <c r="C953" s="316"/>
      <c r="D953" s="316"/>
      <c r="E953" s="316"/>
      <c r="F953" s="316"/>
      <c r="G953" s="321"/>
      <c r="H953" s="316"/>
      <c r="I953" s="316"/>
      <c r="J953" s="316"/>
      <c r="K953" s="316"/>
      <c r="L953" s="316"/>
      <c r="M953" s="316"/>
      <c r="N953" s="316"/>
      <c r="O953" s="316"/>
      <c r="P953" s="316"/>
      <c r="Q953" s="316"/>
      <c r="R953" s="316"/>
      <c r="S953" s="316"/>
      <c r="T953" s="316"/>
      <c r="U953" s="316"/>
      <c r="V953" s="316"/>
      <c r="W953" s="316"/>
      <c r="X953" s="316"/>
      <c r="Y953" s="316"/>
      <c r="Z953" s="316"/>
      <c r="AA953" s="316"/>
      <c r="AB953" s="316"/>
      <c r="AC953" s="316"/>
    </row>
    <row r="954" spans="1:29" ht="15.75" customHeight="1">
      <c r="A954" s="316"/>
      <c r="B954" s="316"/>
      <c r="C954" s="316"/>
      <c r="D954" s="316"/>
      <c r="E954" s="316"/>
      <c r="F954" s="316"/>
      <c r="G954" s="321"/>
      <c r="H954" s="316"/>
      <c r="I954" s="316"/>
      <c r="J954" s="316"/>
      <c r="K954" s="316"/>
      <c r="L954" s="316"/>
      <c r="M954" s="316"/>
      <c r="N954" s="316"/>
      <c r="O954" s="316"/>
      <c r="P954" s="316"/>
      <c r="Q954" s="316"/>
      <c r="R954" s="316"/>
      <c r="S954" s="316"/>
      <c r="T954" s="316"/>
      <c r="U954" s="316"/>
      <c r="V954" s="316"/>
      <c r="W954" s="316"/>
      <c r="X954" s="316"/>
      <c r="Y954" s="316"/>
      <c r="Z954" s="316"/>
      <c r="AA954" s="316"/>
      <c r="AB954" s="316"/>
      <c r="AC954" s="316"/>
    </row>
    <row r="955" spans="1:29" ht="15.75" customHeight="1">
      <c r="A955" s="316"/>
      <c r="B955" s="316"/>
      <c r="C955" s="316"/>
      <c r="D955" s="316"/>
      <c r="E955" s="316"/>
      <c r="F955" s="316"/>
      <c r="G955" s="321"/>
      <c r="H955" s="316"/>
      <c r="I955" s="316"/>
      <c r="J955" s="316"/>
      <c r="K955" s="316"/>
      <c r="L955" s="316"/>
      <c r="M955" s="316"/>
      <c r="N955" s="316"/>
      <c r="O955" s="316"/>
      <c r="P955" s="316"/>
      <c r="Q955" s="316"/>
      <c r="R955" s="316"/>
      <c r="S955" s="316"/>
      <c r="T955" s="316"/>
      <c r="U955" s="316"/>
      <c r="V955" s="316"/>
      <c r="W955" s="316"/>
      <c r="X955" s="316"/>
      <c r="Y955" s="316"/>
      <c r="Z955" s="316"/>
      <c r="AA955" s="316"/>
      <c r="AB955" s="316"/>
      <c r="AC955" s="316"/>
    </row>
    <row r="956" spans="1:29" ht="15.75" customHeight="1">
      <c r="A956" s="316"/>
      <c r="B956" s="316"/>
      <c r="C956" s="316"/>
      <c r="D956" s="316"/>
      <c r="E956" s="316"/>
      <c r="F956" s="316"/>
      <c r="G956" s="321"/>
      <c r="H956" s="316"/>
      <c r="I956" s="316"/>
      <c r="J956" s="316"/>
      <c r="K956" s="316"/>
      <c r="L956" s="316"/>
      <c r="M956" s="316"/>
      <c r="N956" s="316"/>
      <c r="O956" s="316"/>
      <c r="P956" s="316"/>
      <c r="Q956" s="316"/>
      <c r="R956" s="316"/>
      <c r="S956" s="316"/>
      <c r="T956" s="316"/>
      <c r="U956" s="316"/>
      <c r="V956" s="316"/>
      <c r="W956" s="316"/>
      <c r="X956" s="316"/>
      <c r="Y956" s="316"/>
      <c r="Z956" s="316"/>
      <c r="AA956" s="316"/>
      <c r="AB956" s="316"/>
      <c r="AC956" s="316"/>
    </row>
    <row r="957" spans="1:29" ht="15.75" customHeight="1">
      <c r="A957" s="316"/>
      <c r="B957" s="316"/>
      <c r="C957" s="316"/>
      <c r="D957" s="316"/>
      <c r="E957" s="316"/>
      <c r="F957" s="316"/>
      <c r="G957" s="321"/>
      <c r="H957" s="316"/>
      <c r="I957" s="316"/>
      <c r="J957" s="316"/>
      <c r="K957" s="316"/>
      <c r="L957" s="316"/>
      <c r="M957" s="316"/>
      <c r="N957" s="316"/>
      <c r="O957" s="316"/>
      <c r="P957" s="316"/>
      <c r="Q957" s="316"/>
      <c r="R957" s="316"/>
      <c r="S957" s="316"/>
      <c r="T957" s="316"/>
      <c r="U957" s="316"/>
      <c r="V957" s="316"/>
      <c r="W957" s="316"/>
      <c r="X957" s="316"/>
      <c r="Y957" s="316"/>
      <c r="Z957" s="316"/>
      <c r="AA957" s="316"/>
      <c r="AB957" s="316"/>
      <c r="AC957" s="316"/>
    </row>
    <row r="958" spans="1:29" ht="15.75" customHeight="1">
      <c r="A958" s="316"/>
      <c r="B958" s="316"/>
      <c r="C958" s="316"/>
      <c r="D958" s="316"/>
      <c r="E958" s="316"/>
      <c r="F958" s="316"/>
      <c r="G958" s="321"/>
      <c r="H958" s="316"/>
      <c r="I958" s="316"/>
      <c r="J958" s="316"/>
      <c r="K958" s="316"/>
      <c r="L958" s="316"/>
      <c r="M958" s="316"/>
      <c r="N958" s="316"/>
      <c r="O958" s="316"/>
      <c r="P958" s="316"/>
      <c r="Q958" s="316"/>
      <c r="R958" s="316"/>
      <c r="S958" s="316"/>
      <c r="T958" s="316"/>
      <c r="U958" s="316"/>
      <c r="V958" s="316"/>
      <c r="W958" s="316"/>
      <c r="X958" s="316"/>
      <c r="Y958" s="316"/>
      <c r="Z958" s="316"/>
      <c r="AA958" s="316"/>
      <c r="AB958" s="316"/>
      <c r="AC958" s="316"/>
    </row>
    <row r="959" spans="1:29" ht="15.75" customHeight="1">
      <c r="A959" s="316"/>
      <c r="B959" s="316"/>
      <c r="C959" s="316"/>
      <c r="D959" s="316"/>
      <c r="E959" s="316"/>
      <c r="F959" s="316"/>
      <c r="G959" s="321"/>
      <c r="H959" s="316"/>
      <c r="I959" s="316"/>
      <c r="J959" s="316"/>
      <c r="K959" s="316"/>
      <c r="L959" s="316"/>
      <c r="M959" s="316"/>
      <c r="N959" s="316"/>
      <c r="O959" s="316"/>
      <c r="P959" s="316"/>
      <c r="Q959" s="316"/>
      <c r="R959" s="316"/>
      <c r="S959" s="316"/>
      <c r="T959" s="316"/>
      <c r="U959" s="316"/>
      <c r="V959" s="316"/>
      <c r="W959" s="316"/>
      <c r="X959" s="316"/>
      <c r="Y959" s="316"/>
      <c r="Z959" s="316"/>
      <c r="AA959" s="316"/>
      <c r="AB959" s="316"/>
      <c r="AC959" s="316"/>
    </row>
    <row r="960" spans="1:29" ht="15.75" customHeight="1">
      <c r="A960" s="316"/>
      <c r="B960" s="316"/>
      <c r="C960" s="316"/>
      <c r="D960" s="316"/>
      <c r="E960" s="316"/>
      <c r="F960" s="316"/>
      <c r="G960" s="321"/>
      <c r="H960" s="316"/>
      <c r="I960" s="316"/>
      <c r="J960" s="316"/>
      <c r="K960" s="316"/>
      <c r="L960" s="316"/>
      <c r="M960" s="316"/>
      <c r="N960" s="316"/>
      <c r="O960" s="316"/>
      <c r="P960" s="316"/>
      <c r="Q960" s="316"/>
      <c r="R960" s="316"/>
      <c r="S960" s="316"/>
      <c r="T960" s="316"/>
      <c r="U960" s="316"/>
      <c r="V960" s="316"/>
      <c r="W960" s="316"/>
      <c r="X960" s="316"/>
      <c r="Y960" s="316"/>
      <c r="Z960" s="316"/>
      <c r="AA960" s="316"/>
      <c r="AB960" s="316"/>
      <c r="AC960" s="316"/>
    </row>
    <row r="961" spans="1:29" ht="15.75" customHeight="1">
      <c r="A961" s="316"/>
      <c r="B961" s="316"/>
      <c r="C961" s="316"/>
      <c r="D961" s="316"/>
      <c r="E961" s="316"/>
      <c r="F961" s="316"/>
      <c r="G961" s="321"/>
      <c r="H961" s="316"/>
      <c r="I961" s="316"/>
      <c r="J961" s="316"/>
      <c r="K961" s="316"/>
      <c r="L961" s="316"/>
      <c r="M961" s="316"/>
      <c r="N961" s="316"/>
      <c r="O961" s="316"/>
      <c r="P961" s="316"/>
      <c r="Q961" s="316"/>
      <c r="R961" s="316"/>
      <c r="S961" s="316"/>
      <c r="T961" s="316"/>
      <c r="U961" s="316"/>
      <c r="V961" s="316"/>
      <c r="W961" s="316"/>
      <c r="X961" s="316"/>
      <c r="Y961" s="316"/>
      <c r="Z961" s="316"/>
      <c r="AA961" s="316"/>
      <c r="AB961" s="316"/>
      <c r="AC961" s="316"/>
    </row>
    <row r="962" spans="1:29" ht="15.75" customHeight="1">
      <c r="A962" s="316"/>
      <c r="B962" s="316"/>
      <c r="C962" s="316"/>
      <c r="D962" s="316"/>
      <c r="E962" s="316"/>
      <c r="F962" s="316"/>
      <c r="G962" s="321"/>
      <c r="H962" s="316"/>
      <c r="I962" s="316"/>
      <c r="J962" s="316"/>
      <c r="K962" s="316"/>
      <c r="L962" s="316"/>
      <c r="M962" s="316"/>
      <c r="N962" s="316"/>
      <c r="O962" s="316"/>
      <c r="P962" s="316"/>
      <c r="Q962" s="316"/>
      <c r="R962" s="316"/>
      <c r="S962" s="316"/>
      <c r="T962" s="316"/>
      <c r="U962" s="316"/>
      <c r="V962" s="316"/>
      <c r="W962" s="316"/>
      <c r="X962" s="316"/>
      <c r="Y962" s="316"/>
      <c r="Z962" s="316"/>
      <c r="AA962" s="316"/>
      <c r="AB962" s="316"/>
      <c r="AC962" s="316"/>
    </row>
    <row r="963" spans="1:29" ht="15.75" customHeight="1">
      <c r="A963" s="316"/>
      <c r="B963" s="316"/>
      <c r="C963" s="316"/>
      <c r="D963" s="316"/>
      <c r="E963" s="316"/>
      <c r="F963" s="316"/>
      <c r="G963" s="321"/>
      <c r="H963" s="316"/>
      <c r="I963" s="316"/>
      <c r="J963" s="316"/>
      <c r="K963" s="316"/>
      <c r="L963" s="316"/>
      <c r="M963" s="316"/>
      <c r="N963" s="316"/>
      <c r="O963" s="316"/>
      <c r="P963" s="316"/>
      <c r="Q963" s="316"/>
      <c r="R963" s="316"/>
      <c r="S963" s="316"/>
      <c r="T963" s="316"/>
      <c r="U963" s="316"/>
      <c r="V963" s="316"/>
      <c r="W963" s="316"/>
      <c r="X963" s="316"/>
      <c r="Y963" s="316"/>
      <c r="Z963" s="316"/>
      <c r="AA963" s="316"/>
      <c r="AB963" s="316"/>
      <c r="AC963" s="316"/>
    </row>
    <row r="964" spans="1:29" ht="15.75" customHeight="1">
      <c r="A964" s="316"/>
      <c r="B964" s="316"/>
      <c r="C964" s="316"/>
      <c r="D964" s="316"/>
      <c r="E964" s="316"/>
      <c r="F964" s="316"/>
      <c r="G964" s="321"/>
      <c r="H964" s="316"/>
      <c r="I964" s="316"/>
      <c r="J964" s="316"/>
      <c r="K964" s="316"/>
      <c r="L964" s="316"/>
      <c r="M964" s="316"/>
      <c r="N964" s="316"/>
      <c r="O964" s="316"/>
      <c r="P964" s="316"/>
      <c r="Q964" s="316"/>
      <c r="R964" s="316"/>
      <c r="S964" s="316"/>
      <c r="T964" s="316"/>
      <c r="U964" s="316"/>
      <c r="V964" s="316"/>
      <c r="W964" s="316"/>
      <c r="X964" s="316"/>
      <c r="Y964" s="316"/>
      <c r="Z964" s="316"/>
      <c r="AA964" s="316"/>
      <c r="AB964" s="316"/>
      <c r="AC964" s="316"/>
    </row>
    <row r="965" spans="1:29" ht="15.75" customHeight="1">
      <c r="A965" s="316"/>
      <c r="B965" s="316"/>
      <c r="C965" s="316"/>
      <c r="D965" s="316"/>
      <c r="E965" s="316"/>
      <c r="F965" s="316"/>
      <c r="G965" s="321"/>
      <c r="H965" s="316"/>
      <c r="I965" s="316"/>
      <c r="J965" s="316"/>
      <c r="K965" s="316"/>
      <c r="L965" s="316"/>
      <c r="M965" s="316"/>
      <c r="N965" s="316"/>
      <c r="O965" s="316"/>
      <c r="P965" s="316"/>
      <c r="Q965" s="316"/>
      <c r="R965" s="316"/>
      <c r="S965" s="316"/>
      <c r="T965" s="316"/>
      <c r="U965" s="316"/>
      <c r="V965" s="316"/>
      <c r="W965" s="316"/>
      <c r="X965" s="316"/>
      <c r="Y965" s="316"/>
      <c r="Z965" s="316"/>
      <c r="AA965" s="316"/>
      <c r="AB965" s="316"/>
      <c r="AC965" s="316"/>
    </row>
    <row r="966" spans="1:29" ht="15.75" customHeight="1">
      <c r="A966" s="316"/>
      <c r="B966" s="316"/>
      <c r="C966" s="316"/>
      <c r="D966" s="316"/>
      <c r="E966" s="316"/>
      <c r="F966" s="316"/>
      <c r="G966" s="321"/>
      <c r="H966" s="316"/>
      <c r="I966" s="316"/>
      <c r="J966" s="316"/>
      <c r="K966" s="316"/>
      <c r="L966" s="316"/>
      <c r="M966" s="316"/>
      <c r="N966" s="316"/>
      <c r="O966" s="316"/>
      <c r="P966" s="316"/>
      <c r="Q966" s="316"/>
      <c r="R966" s="316"/>
      <c r="S966" s="316"/>
      <c r="T966" s="316"/>
      <c r="U966" s="316"/>
      <c r="V966" s="316"/>
      <c r="W966" s="316"/>
      <c r="X966" s="316"/>
      <c r="Y966" s="316"/>
      <c r="Z966" s="316"/>
      <c r="AA966" s="316"/>
      <c r="AB966" s="316"/>
      <c r="AC966" s="316"/>
    </row>
    <row r="967" spans="1:29" ht="15.75" customHeight="1">
      <c r="A967" s="316"/>
      <c r="B967" s="316"/>
      <c r="C967" s="316"/>
      <c r="D967" s="316"/>
      <c r="E967" s="316"/>
      <c r="F967" s="316"/>
      <c r="G967" s="321"/>
      <c r="H967" s="316"/>
      <c r="I967" s="316"/>
      <c r="J967" s="316"/>
      <c r="K967" s="316"/>
      <c r="L967" s="316"/>
      <c r="M967" s="316"/>
      <c r="N967" s="316"/>
      <c r="O967" s="316"/>
      <c r="P967" s="316"/>
      <c r="Q967" s="316"/>
      <c r="R967" s="316"/>
      <c r="S967" s="316"/>
      <c r="T967" s="316"/>
      <c r="U967" s="316"/>
      <c r="V967" s="316"/>
      <c r="W967" s="316"/>
      <c r="X967" s="316"/>
      <c r="Y967" s="316"/>
      <c r="Z967" s="316"/>
      <c r="AA967" s="316"/>
      <c r="AB967" s="316"/>
      <c r="AC967" s="316"/>
    </row>
    <row r="968" spans="1:29" ht="15.75" customHeight="1">
      <c r="A968" s="316"/>
      <c r="B968" s="316"/>
      <c r="C968" s="316"/>
      <c r="D968" s="316"/>
      <c r="E968" s="316"/>
      <c r="F968" s="316"/>
      <c r="G968" s="321"/>
      <c r="H968" s="316"/>
      <c r="I968" s="316"/>
      <c r="J968" s="316"/>
      <c r="K968" s="316"/>
      <c r="L968" s="316"/>
      <c r="M968" s="316"/>
      <c r="N968" s="316"/>
      <c r="O968" s="316"/>
      <c r="P968" s="316"/>
      <c r="Q968" s="316"/>
      <c r="R968" s="316"/>
      <c r="S968" s="316"/>
      <c r="T968" s="316"/>
      <c r="U968" s="316"/>
      <c r="V968" s="316"/>
      <c r="W968" s="316"/>
      <c r="X968" s="316"/>
      <c r="Y968" s="316"/>
      <c r="Z968" s="316"/>
      <c r="AA968" s="316"/>
      <c r="AB968" s="316"/>
      <c r="AC968" s="316"/>
    </row>
    <row r="969" spans="1:29" ht="15.75" customHeight="1">
      <c r="A969" s="316"/>
      <c r="B969" s="316"/>
      <c r="C969" s="316"/>
      <c r="D969" s="316"/>
      <c r="E969" s="316"/>
      <c r="F969" s="316"/>
      <c r="G969" s="321"/>
      <c r="H969" s="316"/>
      <c r="I969" s="316"/>
      <c r="J969" s="316"/>
      <c r="K969" s="316"/>
      <c r="L969" s="316"/>
      <c r="M969" s="316"/>
      <c r="N969" s="316"/>
      <c r="O969" s="316"/>
      <c r="P969" s="316"/>
      <c r="Q969" s="316"/>
      <c r="R969" s="316"/>
      <c r="S969" s="316"/>
      <c r="T969" s="316"/>
      <c r="U969" s="316"/>
      <c r="V969" s="316"/>
      <c r="W969" s="316"/>
      <c r="X969" s="316"/>
      <c r="Y969" s="316"/>
      <c r="Z969" s="316"/>
      <c r="AA969" s="316"/>
      <c r="AB969" s="316"/>
      <c r="AC969" s="316"/>
    </row>
    <row r="970" spans="1:29" ht="15.75" customHeight="1">
      <c r="A970" s="316"/>
      <c r="B970" s="316"/>
      <c r="C970" s="316"/>
      <c r="D970" s="316"/>
      <c r="E970" s="316"/>
      <c r="F970" s="316"/>
      <c r="G970" s="321"/>
      <c r="H970" s="316"/>
      <c r="I970" s="316"/>
      <c r="J970" s="316"/>
      <c r="K970" s="316"/>
      <c r="L970" s="316"/>
      <c r="M970" s="316"/>
      <c r="N970" s="316"/>
      <c r="O970" s="316"/>
      <c r="P970" s="316"/>
      <c r="Q970" s="316"/>
      <c r="R970" s="316"/>
      <c r="S970" s="316"/>
      <c r="T970" s="316"/>
      <c r="U970" s="316"/>
      <c r="V970" s="316"/>
      <c r="W970" s="316"/>
      <c r="X970" s="316"/>
      <c r="Y970" s="316"/>
      <c r="Z970" s="316"/>
      <c r="AA970" s="316"/>
      <c r="AB970" s="316"/>
      <c r="AC970" s="316"/>
    </row>
    <row r="971" spans="1:29" ht="15.75" customHeight="1">
      <c r="A971" s="316"/>
      <c r="B971" s="316"/>
      <c r="C971" s="316"/>
      <c r="D971" s="316"/>
      <c r="E971" s="316"/>
      <c r="F971" s="316"/>
      <c r="G971" s="321"/>
      <c r="H971" s="316"/>
      <c r="I971" s="316"/>
      <c r="J971" s="316"/>
      <c r="K971" s="316"/>
      <c r="L971" s="316"/>
      <c r="M971" s="316"/>
      <c r="N971" s="316"/>
      <c r="O971" s="316"/>
      <c r="P971" s="316"/>
      <c r="Q971" s="316"/>
      <c r="R971" s="316"/>
      <c r="S971" s="316"/>
      <c r="T971" s="316"/>
      <c r="U971" s="316"/>
      <c r="V971" s="316"/>
      <c r="W971" s="316"/>
      <c r="X971" s="316"/>
      <c r="Y971" s="316"/>
      <c r="Z971" s="316"/>
      <c r="AA971" s="316"/>
      <c r="AB971" s="316"/>
      <c r="AC971" s="316"/>
    </row>
    <row r="972" spans="1:29" ht="15.75" customHeight="1">
      <c r="A972" s="316"/>
      <c r="B972" s="316"/>
      <c r="C972" s="316"/>
      <c r="D972" s="316"/>
      <c r="E972" s="316"/>
      <c r="F972" s="316"/>
      <c r="G972" s="321"/>
      <c r="H972" s="316"/>
      <c r="I972" s="316"/>
      <c r="J972" s="316"/>
      <c r="K972" s="316"/>
      <c r="L972" s="316"/>
      <c r="M972" s="316"/>
      <c r="N972" s="316"/>
      <c r="O972" s="316"/>
      <c r="P972" s="316"/>
      <c r="Q972" s="316"/>
      <c r="R972" s="316"/>
      <c r="S972" s="316"/>
      <c r="T972" s="316"/>
      <c r="U972" s="316"/>
      <c r="V972" s="316"/>
      <c r="W972" s="316"/>
      <c r="X972" s="316"/>
      <c r="Y972" s="316"/>
      <c r="Z972" s="316"/>
      <c r="AA972" s="316"/>
      <c r="AB972" s="316"/>
      <c r="AC972" s="316"/>
    </row>
    <row r="973" spans="1:29" ht="15.75" customHeight="1">
      <c r="A973" s="316"/>
      <c r="B973" s="316"/>
      <c r="C973" s="316"/>
      <c r="D973" s="316"/>
      <c r="E973" s="316"/>
      <c r="F973" s="316"/>
      <c r="G973" s="321"/>
      <c r="H973" s="316"/>
      <c r="I973" s="316"/>
      <c r="J973" s="316"/>
      <c r="K973" s="316"/>
      <c r="L973" s="316"/>
      <c r="M973" s="316"/>
      <c r="N973" s="316"/>
      <c r="O973" s="316"/>
      <c r="P973" s="316"/>
      <c r="Q973" s="316"/>
      <c r="R973" s="316"/>
      <c r="S973" s="316"/>
      <c r="T973" s="316"/>
      <c r="U973" s="316"/>
      <c r="V973" s="316"/>
      <c r="W973" s="316"/>
      <c r="X973" s="316"/>
      <c r="Y973" s="316"/>
      <c r="Z973" s="316"/>
      <c r="AA973" s="316"/>
      <c r="AB973" s="316"/>
      <c r="AC973" s="316"/>
    </row>
    <row r="974" spans="1:29" ht="15.75" customHeight="1">
      <c r="A974" s="316"/>
      <c r="B974" s="316"/>
      <c r="C974" s="316"/>
      <c r="D974" s="316"/>
      <c r="E974" s="316"/>
      <c r="F974" s="316"/>
      <c r="G974" s="321"/>
      <c r="H974" s="316"/>
      <c r="I974" s="316"/>
      <c r="J974" s="316"/>
      <c r="K974" s="316"/>
      <c r="L974" s="316"/>
      <c r="M974" s="316"/>
      <c r="N974" s="316"/>
      <c r="O974" s="316"/>
      <c r="P974" s="316"/>
      <c r="Q974" s="316"/>
      <c r="R974" s="316"/>
      <c r="S974" s="316"/>
      <c r="T974" s="316"/>
      <c r="U974" s="316"/>
      <c r="V974" s="316"/>
      <c r="W974" s="316"/>
      <c r="X974" s="316"/>
      <c r="Y974" s="316"/>
      <c r="Z974" s="316"/>
      <c r="AA974" s="316"/>
      <c r="AB974" s="316"/>
      <c r="AC974" s="316"/>
    </row>
    <row r="975" spans="1:29" ht="15.75" customHeight="1">
      <c r="A975" s="316"/>
      <c r="B975" s="316"/>
      <c r="C975" s="316"/>
      <c r="D975" s="316"/>
      <c r="E975" s="316"/>
      <c r="F975" s="316"/>
      <c r="G975" s="321"/>
      <c r="H975" s="316"/>
      <c r="I975" s="316"/>
      <c r="J975" s="316"/>
      <c r="K975" s="316"/>
      <c r="L975" s="316"/>
      <c r="M975" s="316"/>
      <c r="N975" s="316"/>
      <c r="O975" s="316"/>
      <c r="P975" s="316"/>
      <c r="Q975" s="316"/>
      <c r="R975" s="316"/>
      <c r="S975" s="316"/>
      <c r="T975" s="316"/>
      <c r="U975" s="316"/>
      <c r="V975" s="316"/>
      <c r="W975" s="316"/>
      <c r="X975" s="316"/>
      <c r="Y975" s="316"/>
      <c r="Z975" s="316"/>
      <c r="AA975" s="316"/>
      <c r="AB975" s="316"/>
      <c r="AC975" s="316"/>
    </row>
    <row r="976" spans="1:29" ht="15.75" customHeight="1">
      <c r="A976" s="316"/>
      <c r="B976" s="316"/>
      <c r="C976" s="316"/>
      <c r="D976" s="316"/>
      <c r="E976" s="316"/>
      <c r="F976" s="316"/>
      <c r="G976" s="321"/>
      <c r="H976" s="316"/>
      <c r="I976" s="316"/>
      <c r="J976" s="316"/>
      <c r="K976" s="316"/>
      <c r="L976" s="316"/>
      <c r="M976" s="316"/>
      <c r="N976" s="316"/>
      <c r="O976" s="316"/>
      <c r="P976" s="316"/>
      <c r="Q976" s="316"/>
      <c r="R976" s="316"/>
      <c r="S976" s="316"/>
      <c r="T976" s="316"/>
      <c r="U976" s="316"/>
      <c r="V976" s="316"/>
      <c r="W976" s="316"/>
      <c r="X976" s="316"/>
      <c r="Y976" s="316"/>
      <c r="Z976" s="316"/>
      <c r="AA976" s="316"/>
      <c r="AB976" s="316"/>
      <c r="AC976" s="316"/>
    </row>
    <row r="977" spans="1:29" ht="15.75" customHeight="1">
      <c r="A977" s="316"/>
      <c r="B977" s="316"/>
      <c r="C977" s="316"/>
      <c r="D977" s="316"/>
      <c r="E977" s="316"/>
      <c r="F977" s="316"/>
      <c r="G977" s="321"/>
      <c r="H977" s="316"/>
      <c r="I977" s="316"/>
      <c r="J977" s="316"/>
      <c r="K977" s="316"/>
      <c r="L977" s="316"/>
      <c r="M977" s="316"/>
      <c r="N977" s="316"/>
      <c r="O977" s="316"/>
      <c r="P977" s="316"/>
      <c r="Q977" s="316"/>
      <c r="R977" s="316"/>
      <c r="S977" s="316"/>
      <c r="T977" s="316"/>
      <c r="U977" s="316"/>
      <c r="V977" s="316"/>
      <c r="W977" s="316"/>
      <c r="X977" s="316"/>
      <c r="Y977" s="316"/>
      <c r="Z977" s="316"/>
      <c r="AA977" s="316"/>
      <c r="AB977" s="316"/>
      <c r="AC977" s="316"/>
    </row>
    <row r="978" spans="1:29" ht="15.75" customHeight="1">
      <c r="A978" s="316"/>
      <c r="B978" s="316"/>
      <c r="C978" s="316"/>
      <c r="D978" s="316"/>
      <c r="E978" s="316"/>
      <c r="F978" s="316"/>
      <c r="G978" s="321"/>
      <c r="H978" s="316"/>
      <c r="I978" s="316"/>
      <c r="J978" s="316"/>
      <c r="K978" s="316"/>
      <c r="L978" s="316"/>
      <c r="M978" s="316"/>
      <c r="N978" s="316"/>
      <c r="O978" s="316"/>
      <c r="P978" s="316"/>
      <c r="Q978" s="316"/>
      <c r="R978" s="316"/>
      <c r="S978" s="316"/>
      <c r="T978" s="316"/>
      <c r="U978" s="316"/>
      <c r="V978" s="316"/>
      <c r="W978" s="316"/>
      <c r="X978" s="316"/>
      <c r="Y978" s="316"/>
      <c r="Z978" s="316"/>
      <c r="AA978" s="316"/>
      <c r="AB978" s="316"/>
      <c r="AC978" s="316"/>
    </row>
    <row r="979" spans="1:29" ht="15.75" customHeight="1">
      <c r="A979" s="316"/>
      <c r="B979" s="316"/>
      <c r="C979" s="316"/>
      <c r="D979" s="316"/>
      <c r="E979" s="316"/>
      <c r="F979" s="316"/>
      <c r="G979" s="321"/>
      <c r="H979" s="316"/>
      <c r="I979" s="316"/>
      <c r="J979" s="316"/>
      <c r="K979" s="316"/>
      <c r="L979" s="316"/>
      <c r="M979" s="316"/>
      <c r="N979" s="316"/>
      <c r="O979" s="316"/>
      <c r="P979" s="316"/>
      <c r="Q979" s="316"/>
      <c r="R979" s="316"/>
      <c r="S979" s="316"/>
      <c r="T979" s="316"/>
      <c r="U979" s="316"/>
      <c r="V979" s="316"/>
      <c r="W979" s="316"/>
      <c r="X979" s="316"/>
      <c r="Y979" s="316"/>
      <c r="Z979" s="316"/>
      <c r="AA979" s="316"/>
      <c r="AB979" s="316"/>
      <c r="AC979" s="316"/>
    </row>
    <row r="980" spans="1:29" ht="15.75" customHeight="1">
      <c r="A980" s="316"/>
      <c r="B980" s="316"/>
      <c r="C980" s="316"/>
      <c r="D980" s="316"/>
      <c r="E980" s="316"/>
      <c r="F980" s="316"/>
      <c r="G980" s="321"/>
      <c r="H980" s="316"/>
      <c r="I980" s="316"/>
      <c r="J980" s="316"/>
      <c r="K980" s="316"/>
      <c r="L980" s="316"/>
      <c r="M980" s="316"/>
      <c r="N980" s="316"/>
      <c r="O980" s="316"/>
      <c r="P980" s="316"/>
      <c r="Q980" s="316"/>
      <c r="R980" s="316"/>
      <c r="S980" s="316"/>
      <c r="T980" s="316"/>
      <c r="U980" s="316"/>
      <c r="V980" s="316"/>
      <c r="W980" s="316"/>
      <c r="X980" s="316"/>
      <c r="Y980" s="316"/>
      <c r="Z980" s="316"/>
      <c r="AA980" s="316"/>
      <c r="AB980" s="316"/>
      <c r="AC980" s="316"/>
    </row>
    <row r="981" spans="1:29" ht="15.75" customHeight="1">
      <c r="A981" s="316"/>
      <c r="B981" s="316"/>
      <c r="C981" s="316"/>
      <c r="D981" s="316"/>
      <c r="E981" s="316"/>
      <c r="F981" s="316"/>
      <c r="G981" s="321"/>
      <c r="H981" s="316"/>
      <c r="I981" s="316"/>
      <c r="J981" s="316"/>
      <c r="K981" s="316"/>
      <c r="L981" s="316"/>
      <c r="M981" s="316"/>
      <c r="N981" s="316"/>
      <c r="O981" s="316"/>
      <c r="P981" s="316"/>
      <c r="Q981" s="316"/>
      <c r="R981" s="316"/>
      <c r="S981" s="316"/>
      <c r="T981" s="316"/>
      <c r="U981" s="316"/>
      <c r="V981" s="316"/>
      <c r="W981" s="316"/>
      <c r="X981" s="316"/>
      <c r="Y981" s="316"/>
      <c r="Z981" s="316"/>
      <c r="AA981" s="316"/>
      <c r="AB981" s="316"/>
      <c r="AC981" s="316"/>
    </row>
    <row r="982" spans="1:29" ht="15" customHeight="1">
      <c r="G982" s="321"/>
    </row>
    <row r="983" spans="1:29" ht="15" customHeight="1">
      <c r="G983" s="321"/>
    </row>
    <row r="984" spans="1:29" ht="15" customHeight="1">
      <c r="G984" s="321"/>
    </row>
    <row r="985" spans="1:29" ht="15" customHeight="1">
      <c r="G985" s="321"/>
    </row>
    <row r="986" spans="1:29" ht="15" customHeight="1">
      <c r="G986" s="321"/>
    </row>
    <row r="987" spans="1:29" ht="15" customHeight="1">
      <c r="G987" s="321"/>
    </row>
    <row r="988" spans="1:29" ht="15" customHeight="1">
      <c r="G988" s="321"/>
    </row>
    <row r="989" spans="1:29" ht="15" customHeight="1">
      <c r="G989" s="321"/>
    </row>
    <row r="990" spans="1:29" ht="15" customHeight="1">
      <c r="G990" s="321"/>
    </row>
    <row r="991" spans="1:29" ht="15" customHeight="1">
      <c r="G991" s="321"/>
    </row>
    <row r="992" spans="1:29" ht="15" customHeight="1">
      <c r="G992" s="321"/>
    </row>
    <row r="993" spans="7:7" ht="15" customHeight="1">
      <c r="G993" s="321"/>
    </row>
    <row r="994" spans="7:7" ht="15" customHeight="1">
      <c r="G994" s="321"/>
    </row>
    <row r="995" spans="7:7" ht="15" customHeight="1">
      <c r="G995" s="321"/>
    </row>
    <row r="996" spans="7:7" ht="15" customHeight="1">
      <c r="G996" s="321"/>
    </row>
    <row r="997" spans="7:7" ht="15" customHeight="1">
      <c r="G997" s="321"/>
    </row>
    <row r="998" spans="7:7" ht="15" customHeight="1">
      <c r="G998" s="321"/>
    </row>
    <row r="999" spans="7:7" ht="15" customHeight="1">
      <c r="G999" s="321"/>
    </row>
    <row r="1000" spans="7:7" ht="15" customHeight="1">
      <c r="G1000" s="322"/>
    </row>
  </sheetData>
  <hyperlinks>
    <hyperlink ref="F2" r:id="rId1" display="https://upload.wikimedia.org/wikipedia/commons/c/cc/Very-long-police-report.jpg" xr:uid="{00000000-0004-0000-0400-000000000000}"/>
    <hyperlink ref="H2" r:id="rId2" display="https://www.statesman.com/NEWS/20160903/Victim-tries-to-buy-gun-sniper-used" xr:uid="{00000000-0004-0000-0400-000001000000}"/>
    <hyperlink ref="K2" r:id="rId3" display="https://www.theguardian.com/us-news/2017/oct/02/las-vegas-shooting-university-of-texas-tower" xr:uid="{00000000-0004-0000-0400-000002000000}"/>
    <hyperlink ref="Q2" r:id="rId4" display="https://www.theguardian.com/us-news/2017/oct/02/las-vegas-shooting-university-of-texas-tower" xr:uid="{00000000-0004-0000-0400-000003000000}"/>
    <hyperlink ref="F3" r:id="rId5" display="https://upload.wikimedia.org/wikipedia/commons/c/cc/Very-long-police-report.jpg" xr:uid="{00000000-0004-0000-0400-000004000000}"/>
    <hyperlink ref="K3" r:id="rId6" display="https://www.theguardian.com/us-news/2017/oct/02/las-vegas-shooting-university-of-texas-tower" xr:uid="{00000000-0004-0000-0400-000005000000}"/>
    <hyperlink ref="F4" r:id="rId7" display="https://upload.wikimedia.org/wikipedia/commons/c/cc/Very-long-police-report.jpg" xr:uid="{00000000-0004-0000-0400-000006000000}"/>
    <hyperlink ref="H4" r:id="rId8" display="https://www.statesman.com/NEWS/20160903/Victim-tries-to-buy-gun-sniper-used" xr:uid="{00000000-0004-0000-0400-000007000000}"/>
    <hyperlink ref="K4" r:id="rId9" display="https://www.theguardian.com/us-news/2017/oct/02/las-vegas-shooting-university-of-texas-tower" xr:uid="{00000000-0004-0000-0400-000008000000}"/>
    <hyperlink ref="F5" r:id="rId10" display="https://upload.wikimedia.org/wikipedia/commons/c/cc/Very-long-police-report.jpg" xr:uid="{00000000-0004-0000-0400-000009000000}"/>
    <hyperlink ref="K5" r:id="rId11" display="https://www.theguardian.com/us-news/2017/oct/02/las-vegas-shooting-university-of-texas-tower" xr:uid="{00000000-0004-0000-0400-00000A000000}"/>
    <hyperlink ref="F6" r:id="rId12" display="https://upload.wikimedia.org/wikipedia/commons/c/cc/Very-long-police-report.jpg" xr:uid="{00000000-0004-0000-0400-00000B000000}"/>
    <hyperlink ref="K6" r:id="rId13" display="https://www.theguardian.com/us-news/2017/oct/02/las-vegas-shooting-university-of-texas-tower" xr:uid="{00000000-0004-0000-0400-00000C000000}"/>
    <hyperlink ref="F7" r:id="rId14" display="https://upload.wikimedia.org/wikipedia/commons/c/cc/Very-long-police-report.jpg" xr:uid="{00000000-0004-0000-0400-00000D000000}"/>
    <hyperlink ref="K7" r:id="rId15" display="https://www.theguardian.com/us-news/2017/oct/02/las-vegas-shooting-university-of-texas-tower" xr:uid="{00000000-0004-0000-0400-00000E000000}"/>
    <hyperlink ref="F8" r:id="rId16" display="https://upload.wikimedia.org/wikipedia/commons/c/cc/Very-long-police-report.jpg" xr:uid="{00000000-0004-0000-0400-00000F000000}"/>
    <hyperlink ref="I8" r:id="rId17" display="https://www.statesman.com/NEWS/20160903/Victim-tries-to-buy-gun-sniper-used" xr:uid="{00000000-0004-0000-0400-000010000000}"/>
    <hyperlink ref="K8" r:id="rId18" display="https://www.theguardian.com/us-news/2017/oct/02/las-vegas-shooting-university-of-texas-tower" xr:uid="{00000000-0004-0000-0400-000011000000}"/>
    <hyperlink ref="H9" r:id="rId19" display="http://www.nydailynews.com/news/crime/beauty-salon-massacre-article-1.273663" xr:uid="{00000000-0004-0000-0400-000012000000}"/>
    <hyperlink ref="K9" r:id="rId20" display="https://www.nydailynews.com/news/crime/beauty-salon-massacre-article-1.273663" xr:uid="{00000000-0004-0000-0400-000013000000}"/>
    <hyperlink ref="F10" r:id="rId21" display="https://timesmachine.nytimes.com/timesmachine/1967/10/25/issue.html" xr:uid="{00000000-0004-0000-0400-000014000000}"/>
    <hyperlink ref="H10" r:id="rId22" location="v=onepage&amp;q=leo%20held%20guns&amp;f=false" display="https://books.google.com/books?id=LEgSiLnmgYoC&amp;pg=PA12&amp;lpg=PA12&amp;dq=leo+held+guns&amp;source=bl&amp;ots=lYWojMB3hZ&amp;sig=ACfU3U3QcP6YU2TfjX8MqJ_S-Tk3S0T6eg&amp;hl=en&amp;sa=X&amp;ved=2ahUKEwjLnbCX5-PpAhXpoFsKHWx2CRwQ6AEwAnoECAcQAQ - v=onepage&amp;q=leo%20held%20guns&amp;f=false" xr:uid="{00000000-0004-0000-0400-000015000000}"/>
    <hyperlink ref="L10" r:id="rId23" location="v=onepage&amp;q=leo%20held%20guns&amp;f=false" display="https://books.google.com/books?id=LEgSiLnmgYoC&amp;pg=PA12&amp;lpg=PA12&amp;dq=leo+held+guns&amp;source=bl&amp;ots=lYWojMB3hZ&amp;sig=ACfU3U3QcP6YU2TfjX8MqJ_S-Tk3S0T6eg&amp;hl=en&amp;sa=X&amp;ved=2ahUKEwjLnbCX5-PpAhXpoFsKHWx2CRwQ6AEwAnoECAcQAQ - v=onepage&amp;q=leo%20held%20guns&amp;f=false" xr:uid="{00000000-0004-0000-0400-000016000000}"/>
    <hyperlink ref="F11" r:id="rId24" display="https://newspaperarchive.com/lock-haven-express-nov-04-1967-p-9/" xr:uid="{00000000-0004-0000-0400-000017000000}"/>
    <hyperlink ref="H11" r:id="rId25" location="v=onepage&amp;q=leo%20held%20guns&amp;f=false" display="https://books.google.com/books?id=LEgSiLnmgYoC&amp;pg=PA12&amp;lpg=PA12&amp;dq=leo+held+guns&amp;source=bl&amp;ots=lYWojMB3hZ&amp;sig=ACfU3U3QcP6YU2TfjX8MqJ_S-Tk3S0T6eg&amp;hl=en&amp;sa=X&amp;ved=2ahUKEwjLnbCX5-PpAhXpoFsKHWx2CRwQ6AEwAnoECAcQAQ - v=onepage&amp;q=leo%20held%20guns&amp;f=false" xr:uid="{00000000-0004-0000-0400-000018000000}"/>
    <hyperlink ref="L11" r:id="rId26" location="v=onepage&amp;q=leo%20held%20guns&amp;f=false" display="https://books.google.com/books?id=LEgSiLnmgYoC&amp;pg=PA12&amp;lpg=PA12&amp;dq=leo+held+guns&amp;source=bl&amp;ots=lYWojMB3hZ&amp;sig=ACfU3U3QcP6YU2TfjX8MqJ_S-Tk3S0T6eg&amp;hl=en&amp;sa=X&amp;ved=2ahUKEwjLnbCX5-PpAhXpoFsKHWx2CRwQ6AEwAnoECAcQAQ - v=onepage&amp;q=leo%20held%20guns&amp;f=false" xr:uid="{00000000-0004-0000-0400-000019000000}"/>
    <hyperlink ref="F13" r:id="rId27" display="https://news.google.com/newspapers?id=G8daAAAAIBAJ&amp;sjid=z2wDAAAAIBAJ&amp;pg=6070,782221" xr:uid="{00000000-0004-0000-0400-00001A000000}"/>
    <hyperlink ref="F14" r:id="rId28" display="https://news.google.com/newspapers?id=G8daAAAAIBAJ&amp;sjid=z2wDAAAAIBAJ&amp;pg=6070,782221" xr:uid="{00000000-0004-0000-0400-00001B000000}"/>
    <hyperlink ref="H14" r:id="rId29" display="https://cdnc.ucr.edu/cgi-bin/cdnc?a=d&amp;d=DS19690407.2.35&amp;e=-------en--20--1--txt-txIN--------1" xr:uid="{00000000-0004-0000-0400-00001C000000}"/>
    <hyperlink ref="H15" r:id="rId30" display="https://www.nytimes.com/1970/09/24/archives/state-employe-kills-4-coworkers-and-himself-in-albany-office.html" xr:uid="{00000000-0004-0000-0400-00001D000000}"/>
    <hyperlink ref="K15" r:id="rId31" display="https://newspaperarchive.com/daily-review-oct-23-1970-p-20/" xr:uid="{00000000-0004-0000-0400-00001E000000}"/>
    <hyperlink ref="M16" r:id="rId32" display="https://legeros.com/history/stories/north-hills/" xr:uid="{00000000-0004-0000-0400-00001F000000}"/>
    <hyperlink ref="F21" r:id="rId33" display="https://www.latimes.com/archives/la-xpm-1986-07-06-me-23088-story.html" xr:uid="{00000000-0004-0000-0400-000020000000}"/>
    <hyperlink ref="M21" r:id="rId34" display="https://www.latimes.com/archives/la-xpm-1986-07-06-me-23088-story.html" xr:uid="{00000000-0004-0000-0400-000021000000}"/>
    <hyperlink ref="F22" r:id="rId35" display="https://www.washingtonpost.com/archive/politics/1977/02/15/vengeful-nazi-follower-kills-5-commits-suicide/3ff6cfb8-81bf-4620-b90b-20962fb17232/" xr:uid="{00000000-0004-0000-0400-000022000000}"/>
    <hyperlink ref="H22" r:id="rId36" display="http://www.nydailynews.com/news/crime/rochelle-sniper-kills-1977-article-1.2973348" xr:uid="{00000000-0004-0000-0400-000023000000}"/>
    <hyperlink ref="F23" r:id="rId37" display="https://www.nydailynews.com/news/crime/rochelle-sniper-kills-1977-article-1.2973348" xr:uid="{00000000-0004-0000-0400-000024000000}"/>
    <hyperlink ref="H23" r:id="rId38" display="https://www.nytimes.com/1977/02/15/archives/nazi-admirer-also-wounds-5-in-wild-attack-followed-by-a-siege-at.html" xr:uid="{00000000-0004-0000-0400-000025000000}"/>
    <hyperlink ref="K23" r:id="rId39" display="https://www.washingtonpost.com/archive/politics/1977/02/15/vengeful-nazi-follower-kills-5-commits-suicide/3ff6cfb8-81bf-4620-b90b-20962fb17232/" xr:uid="{00000000-0004-0000-0400-000026000000}"/>
    <hyperlink ref="M23" r:id="rId40" display="https://www.nytimes.com/1977/02/16/archives/cowan-had-4-pistols-but-not-one-permit.html" xr:uid="{00000000-0004-0000-0400-000027000000}"/>
    <hyperlink ref="F24" r:id="rId41" display="https://www.nydailynews.com/news/crime/rochelle-sniper-kills-1977-article-1.2973348" xr:uid="{00000000-0004-0000-0400-000028000000}"/>
    <hyperlink ref="H24" r:id="rId42" display="http://www.nydailynews.com/news/crime/rochelle-sniper-kills-1977-article-1.2973348" xr:uid="{00000000-0004-0000-0400-000029000000}"/>
    <hyperlink ref="K24" r:id="rId43" display="https://www.washingtonpost.com/archive/politics/1977/02/15/vengeful-nazi-follower-kills-5-commits-suicide/3ff6cfb8-81bf-4620-b90b-20962fb17232/" xr:uid="{00000000-0004-0000-0400-00002A000000}"/>
    <hyperlink ref="M24" r:id="rId44" display="https://www.nytimes.com/1977/02/16/archives/cowan-had-4-pistols-but-not-one-permit.html" xr:uid="{00000000-0004-0000-0400-00002B000000}"/>
    <hyperlink ref="H25" r:id="rId45" display="http://www.nydailynews.com/news/crime/rochelle-sniper-kills-1977-article-1.2973348" xr:uid="{00000000-0004-0000-0400-00002C000000}"/>
    <hyperlink ref="K25" r:id="rId46" display="https://www.washingtonpost.com/archive/politics/1977/02/15/vengeful-nazi-follower-kills-5-commits-suicide/3ff6cfb8-81bf-4620-b90b-20962fb17232/" xr:uid="{00000000-0004-0000-0400-00002D000000}"/>
    <hyperlink ref="M25" r:id="rId47" display="https://www.nytimes.com/1977/02/16/archives/cowan-had-4-pistols-but-not-one-permit.html" xr:uid="{00000000-0004-0000-0400-00002E000000}"/>
    <hyperlink ref="H26" r:id="rId48" display="http://www.nydailynews.com/news/crime/rochelle-sniper-kills-1977-article-1.2973348" xr:uid="{00000000-0004-0000-0400-00002F000000}"/>
    <hyperlink ref="K26" r:id="rId49" display="https://www.washingtonpost.com/archive/politics/1977/02/15/vengeful-nazi-follower-kills-5-commits-suicide/3ff6cfb8-81bf-4620-b90b-20962fb17232/" xr:uid="{00000000-0004-0000-0400-000030000000}"/>
    <hyperlink ref="M26" r:id="rId50" display="https://www.nytimes.com/1977/02/16/archives/cowan-had-4-pistols-but-not-one-permit.html" xr:uid="{00000000-0004-0000-0400-000031000000}"/>
    <hyperlink ref="F28" r:id="rId51" display="https://www.nytimes.com/1977/08/28/archives/police-feel-sniper-killed-6-at-random-authorities-at-loss-for-a.html" xr:uid="{00000000-0004-0000-0400-000032000000}"/>
    <hyperlink ref="M28" r:id="rId52" display="https://www.nytimes.com/1977/08/29/archives/quarrels-at-home-cited-as-cause-in-jersey-shootings.html" xr:uid="{00000000-0004-0000-0400-000033000000}"/>
    <hyperlink ref="P28" r:id="rId53" display="https://www.nytimes.com/1977/08/29/archives/quarrels-at-home-cited-as-cause-in-jersey-shootings.html" xr:uid="{00000000-0004-0000-0400-000034000000}"/>
    <hyperlink ref="F30" r:id="rId54" display="https://media.kxan.com/nxs-kxantv-media-us-east-1/catalyst/mass-violence/story.html" xr:uid="{00000000-0004-0000-0400-000035000000}"/>
    <hyperlink ref="F31" r:id="rId55" display="http://content.time.com/time/magazine/article/0,9171,952699,00.html" xr:uid="{00000000-0004-0000-0400-000036000000}"/>
    <hyperlink ref="J31" r:id="rId56" location="v=onepage&amp;q&amp;f=false" display="https://books.google.com/books?id=zSwEAAAAMBAJ&amp;pg=PA140 - v=onepage&amp;q&amp;f=false" xr:uid="{00000000-0004-0000-0400-000037000000}"/>
    <hyperlink ref="F32" r:id="rId57" display="http://content.time.com/time/magazine/article/0,9171,952699,00.html" xr:uid="{00000000-0004-0000-0400-000038000000}"/>
    <hyperlink ref="J32" r:id="rId58" location="v=onepage&amp;q&amp;f=false" display="https://books.google.com/books?id=zSwEAAAAMBAJ&amp;pg=PA140 - v=onepage&amp;q&amp;f=false" xr:uid="{00000000-0004-0000-0400-000039000000}"/>
    <hyperlink ref="L33" r:id="rId59" location="v=onepage&amp;q&amp;f=false" display="https://books.google.com/books?id=zSwEAAAAMBAJ&amp;pg=PA140 - v=onepage&amp;q&amp;f=false" xr:uid="{00000000-0004-0000-0400-00003A000000}"/>
    <hyperlink ref="H34" r:id="rId60" location="v=onepage&amp;q&amp;f=false" display="https://books.google.com/books?id=zSwEAAAAMBAJ&amp;pg=PA140 - v=onepage&amp;q&amp;f=false" xr:uid="{00000000-0004-0000-0400-00003B000000}"/>
    <hyperlink ref="L34" r:id="rId61" location="v=onepage&amp;q&amp;f=false" display="https://books.google.com/books?id=zSwEAAAAMBAJ&amp;pg=PA140 - v=onepage&amp;q&amp;f=false" xr:uid="{00000000-0004-0000-0400-00003C000000}"/>
    <hyperlink ref="F37" r:id="rId62" display="https://www.upi.com/Archives/1981/10/19/Prosecutor-will-seek-death-penalty-in-five-murders/7047372312000/" xr:uid="{00000000-0004-0000-0400-00003D000000}"/>
    <hyperlink ref="L38" r:id="rId63" location="v=onepage&amp;q=charles%20meach%20murder%20at%2040%20below&amp;f=false" display="https://books.google.com/books?id=DIG_9oBssrAC&amp;pg=PA140&amp;lpg=PA62&amp;focus=viewport&amp;dq=charles+meach+murder+at+40+below - v=onepage&amp;q=charles%20meach%20murder%20at%2040%20below&amp;f=false" xr:uid="{00000000-0004-0000-0400-00003E000000}"/>
    <hyperlink ref="F39" r:id="rId64" display="https://www.upi.com/Archives/1982/08/09/Yes-I-know-hes-killing-people/2899397713600/" xr:uid="{00000000-0004-0000-0400-00003F000000}"/>
    <hyperlink ref="H39" r:id="rId65" display="https://www.upi.com/Archives/1982/08/09/Yes-I-know-hes-killing-people/2899397713600/" xr:uid="{00000000-0004-0000-0400-000040000000}"/>
    <hyperlink ref="H40" r:id="rId66" display="https://www.upi.com/Archives/1982/08/09/Yes-I-know-hes-killing-people/2899397713600/" xr:uid="{00000000-0004-0000-0400-000041000000}"/>
    <hyperlink ref="H41" r:id="rId67" display="https://www.upi.com/Archives/1982/08/09/Yes-I-know-hes-killing-people/2899397713600/" xr:uid="{00000000-0004-0000-0400-000042000000}"/>
    <hyperlink ref="F42" r:id="rId68" display="https://www.nytimes.com/1982/08/22/us/around-the-nation-police-say-killer-of-8-had-just-purchased-gun.html" xr:uid="{00000000-0004-0000-0400-000043000000}"/>
    <hyperlink ref="L42" r:id="rId69" display="https://www.nytimes.com/1982/08/22/us/around-the-nation-police-say-killer-of-8-had-just-purchased-gun.html" xr:uid="{00000000-0004-0000-0400-000044000000}"/>
    <hyperlink ref="M43" r:id="rId70" display="https://www.nytimes.com/1983/02/04/nyregion/gunman-kills-four-and-wounds-a-fifth-at-a-west-side-hotel.html" xr:uid="{00000000-0004-0000-0400-000045000000}"/>
    <hyperlink ref="F44" r:id="rId71" location="v=onepage&amp;q=louis%20hastings%20sh%22&amp;f=false" display="https://books.google.com/books?id=DIG_9oBssrAC&amp;pg=PA172&amp;lpg=PA172&amp;dq=louis+hastings+shooting&amp;source=bl&amp;ots=fgzBCtAqod&amp;sig=ACfU3U21h7KG-aA-JpBFEfRVx_ylGhnNEQ&amp;hl=en&amp;sa=X&amp;ved=2ahUKEwjG1veU6MPhAhUFQ6wKHYJHBIQ4ChDoATALegQIBhAB - v=onepage&amp;q=louis%20hastings%20sh%22&amp;f=false" xr:uid="{00000000-0004-0000-0400-000046000000}"/>
    <hyperlink ref="F45" r:id="rId72" display="https://www.washingtonpost.com/archive/politics/1983/12/15/after-murder-rampage-a-test-of-survival/08bb8578-7f36-4dde-b3ce-076fbcb61aff/" xr:uid="{00000000-0004-0000-0400-000047000000}"/>
    <hyperlink ref="I45" r:id="rId73" display="https://www.washingtonpost.com/archive/politics/1983/12/15/after-murder-rampage-a-test-of-survival/08bb8578-7f36-4dde-b3ce-076fbcb61aff/" xr:uid="{00000000-0004-0000-0400-000048000000}"/>
    <hyperlink ref="H46" r:id="rId74" location="v=onepage&amp;q=louis%20hastings%20sh%22&amp;f=false" display="https://books.google.com/books?id=DIG_9oBssrAC&amp;pg=PA172&amp;lpg=PA172&amp;dq=louis+hastings+shooting&amp;source=bl&amp;ots=fgzBCtAqod&amp;sig=ACfU3U21h7KG-aA-JpBFEfRVx_ylGhnNEQ&amp;hl=en&amp;sa=X&amp;ved=2ahUKEwjG1veU6MPhAhUFQ6wKHYJHBIQ4ChDoATALegQIBhAB - v=onepage&amp;q=louis%20hastings%20sh%22&amp;f=false" xr:uid="{00000000-0004-0000-0400-000049000000}"/>
    <hyperlink ref="H47" r:id="rId75" display="https://law.justia.com/cases/texas/court-of-criminal-appeals/1986/69268-4.html" xr:uid="{00000000-0004-0000-0400-00004A000000}"/>
    <hyperlink ref="K47" r:id="rId76" display="https://law.justia.com/cases/texas/court-of-criminal-appeals/1986/69268-4.html" xr:uid="{00000000-0004-0000-0400-00004B000000}"/>
    <hyperlink ref="P47" r:id="rId77" display="https://law.justia.com/cases/texas/court-of-criminal-appeals/1986/69268-4.html" xr:uid="{00000000-0004-0000-0400-00004C000000}"/>
    <hyperlink ref="H48" r:id="rId78" display="https://law.justia.com/cases/texas/court-of-criminal-appeals/1986/69268-4.html" xr:uid="{00000000-0004-0000-0400-00004D000000}"/>
    <hyperlink ref="K48" r:id="rId79" display="https://law.justia.com/cases/texas/court-of-criminal-appeals/1986/69268-4.html" xr:uid="{00000000-0004-0000-0400-00004E000000}"/>
    <hyperlink ref="L48" r:id="rId80" display="https://law.justia.com/cases/texas/court-of-criminal-appeals/1986/69268-4.html" xr:uid="{00000000-0004-0000-0400-00004F000000}"/>
    <hyperlink ref="H49" r:id="rId81" display="https://law.justia.com/cases/texas/court-of-criminal-appeals/1986/69268-4.html" xr:uid="{00000000-0004-0000-0400-000050000000}"/>
    <hyperlink ref="K49" r:id="rId82" display="https://law.justia.com/cases/texas/court-of-criminal-appeals/1986/69268-4.html" xr:uid="{00000000-0004-0000-0400-000051000000}"/>
    <hyperlink ref="L49" r:id="rId83" display="https://law.justia.com/cases/texas/court-of-criminal-appeals/1986/69268-4.html" xr:uid="{00000000-0004-0000-0400-000052000000}"/>
    <hyperlink ref="H50" r:id="rId84" display="https://law.justia.com/cases/texas/court-of-criminal-appeals/1986/69268-4.html" xr:uid="{00000000-0004-0000-0400-000053000000}"/>
    <hyperlink ref="K50" r:id="rId85" display="https://law.justia.com/cases/texas/court-of-criminal-appeals/1986/69268-4.html" xr:uid="{00000000-0004-0000-0400-000054000000}"/>
    <hyperlink ref="P50" r:id="rId86" display="https://law.justia.com/cases/texas/court-of-criminal-appeals/1986/69268-4.html" xr:uid="{00000000-0004-0000-0400-000055000000}"/>
    <hyperlink ref="H51" r:id="rId87" display="https://law.justia.com/cases/texas/court-of-criminal-appeals/1986/69268-4.html" xr:uid="{00000000-0004-0000-0400-000056000000}"/>
    <hyperlink ref="K51" r:id="rId88" display="https://law.justia.com/cases/texas/court-of-criminal-appeals/1986/69268-4.html" xr:uid="{00000000-0004-0000-0400-000057000000}"/>
    <hyperlink ref="P51" r:id="rId89" display="https://law.justia.com/cases/texas/court-of-criminal-appeals/1986/69268-4.html" xr:uid="{00000000-0004-0000-0400-000058000000}"/>
    <hyperlink ref="F52" r:id="rId90" location="v=onepage&amp;q=.30-06&amp;f=false" display="https://books.google.com/books?id=DIG_9oBssrAC&amp;pg=PA142&amp;lpg=PA142&amp;dq=michael+silka+alaska&amp;source=bl&amp;ots=fgvFwxGqgh&amp;sig=x3elyUFed0YQk8KxgELsRnPflcM&amp;hl=en&amp;sa=X&amp;ved=0ahUKEwipxKvP-ZvZAhUNUa0KHcinCvAQ6AEIRDAE - v=onepage&amp;q=.30-06&amp;f=false" xr:uid="{00000000-0004-0000-0400-000059000000}"/>
    <hyperlink ref="F53" r:id="rId91" display="https://www.newspapers.com/image/?clipping_id=36122038&amp;fcfToken=eyJhbGciOiJIUzI1NiIsInR5cCI6IkpXVCJ9.eyJmcmVlLXZpZXctaWQiOjQ4ODM3ODM0MSwiaWF0IjoxNTkyNTc2ODA3LCJleHAiOjE1OTI2NjMyMDd9.-j9Jnq3_5qxQTrA7SCwvPfsLbQ7ZozzrLF6DyWrmT2Y" xr:uid="{00000000-0004-0000-0400-00005A000000}"/>
    <hyperlink ref="H53" r:id="rId92" display="https://www.newspapers.com/image/?clipping_id=36122038&amp;fcfToken=eyJhbGciOiJIUzI1NiIsInR5cCI6IkpXVCJ9.eyJmcmVlLXZpZXctaWQiOjQ4ODM3ODM0MSwiaWF0IjoxNTkyNTc2ODA3LCJleHAiOjE1OTI2NjMyMDd9.-j9Jnq3_5qxQTrA7SCwvPfsLbQ7ZozzrLF6DyWrmT2Y" xr:uid="{00000000-0004-0000-0400-00005B000000}"/>
    <hyperlink ref="K53" r:id="rId93" location="v=onepage&amp;q=pawn%20shop&amp;f=false" display="https://books.google.com/books?id=Hr3OBwP-lbUC&amp;pg=PA232&amp;dq=abdelkrim+belachheb+no+formal+education&amp;hl=en&amp;sa=X&amp;ved=0ahUKEwjgtZ_68vXfAhXDpYMKHdLHAzYQ6AEIKDAA - v=onepage&amp;q=pawn%20shop&amp;f=false" xr:uid="{00000000-0004-0000-0400-00005C000000}"/>
    <hyperlink ref="M53" r:id="rId94" location="v=onepage&amp;q=pawn%20shop&amp;f=false" display="https://books.google.com/books?id=Hr3OBwP-lbUC&amp;pg=PA232&amp;dq=abdelkrim+belachheb+no+formal+education&amp;hl=en&amp;sa=X&amp;ved=0ahUKEwjgtZ_68vXfAhXDpYMKHdLHAzYQ6AEIKDAA - v=onepage&amp;q=pawn%20shop&amp;f=false" xr:uid="{00000000-0004-0000-0400-00005D000000}"/>
    <hyperlink ref="F54" r:id="rId95" display="https://www.vpc.org/studies/wgun840718.htm" xr:uid="{00000000-0004-0000-0400-00005E000000}"/>
    <hyperlink ref="L54" r:id="rId96" display="https://www.vpc.org/studies/wgun840718.htm" xr:uid="{00000000-0004-0000-0400-00005F000000}"/>
    <hyperlink ref="F55" r:id="rId97" display="https://www.vpc.org/studies/wgun840718.htm" xr:uid="{00000000-0004-0000-0400-000060000000}"/>
    <hyperlink ref="L55" r:id="rId98" display="https://www.vpc.org/studies/wgun840718.htm" xr:uid="{00000000-0004-0000-0400-000061000000}"/>
    <hyperlink ref="F56" r:id="rId99" display="https://www.vpc.org/studies/wgun840718.htm" xr:uid="{00000000-0004-0000-0400-000062000000}"/>
    <hyperlink ref="L56" r:id="rId100" display="https://www.vpc.org/studies/wgun840718.htm" xr:uid="{00000000-0004-0000-0400-000063000000}"/>
    <hyperlink ref="M57" r:id="rId101" display="https://casetext.com/case/travelers-indem-co-v-olives-spt-goods-inc" xr:uid="{00000000-0004-0000-0400-000064000000}"/>
    <hyperlink ref="M58" r:id="rId102" display="https://casetext.com/case/travelers-indem-co-v-olives-spt-goods-inc" xr:uid="{00000000-0004-0000-0400-000065000000}"/>
    <hyperlink ref="F59" r:id="rId103" display="https://www.newspapers.com/image/?clipping_id=13118445&amp;fcfToken=eyJhbGciOiJIUzI1NiIsInR5cCI6IkpXVCJ9.eyJmcmVlLXZpZXctaWQiOjE0NjU5NTc3NSwiaWF0IjoxNTkyNTA0MjcwLCJleHAiOjE1OTI1OTA2NzB9.pEQnfdvkGtl6uyf3-rLKDawTCGS3JDxSXmkMp7k_KpU" xr:uid="{00000000-0004-0000-0400-000066000000}"/>
    <hyperlink ref="F60" r:id="rId104" display="https://oklahoman.com/article/2157408/authorities-piece-together-tragedy-gunman-at-edmond-post-office-knew-where-to-shoot-people" xr:uid="{00000000-0004-0000-0400-000067000000}"/>
    <hyperlink ref="H60" r:id="rId105" display="https://www.chicagotribune.com/news/ct-xpm-1986-08-22-8603020853-story.html" xr:uid="{00000000-0004-0000-0400-000068000000}"/>
    <hyperlink ref="K60" r:id="rId106" display="https://oklahoman.com/article/2157408/authorities-piece-together-tragedy-gunman-at-edmond-post-office-knew-where-to-shoot-people" xr:uid="{00000000-0004-0000-0400-000069000000}"/>
    <hyperlink ref="O60" r:id="rId107" display="https://www.nytimes.com/1986/08/23/us/carier-got-guns-as-guard-member.html" xr:uid="{00000000-0004-0000-0400-00006A000000}"/>
    <hyperlink ref="F61" r:id="rId108" display="https://oklahoman.com/article/2157408/authorities-piece-together-tragedy-gunman-at-edmond-post-office-knew-where-to-shoot-people" xr:uid="{00000000-0004-0000-0400-00006B000000}"/>
    <hyperlink ref="I61" r:id="rId109" display="https://oklahoman.com/article/2157408/authorities-piece-together-tragedy-gunman-at-edmond-post-office-knew-where-to-shoot-people" xr:uid="{00000000-0004-0000-0400-00006C000000}"/>
    <hyperlink ref="H61" r:id="rId110" display="https://www.chicagotribune.com/news/ct-xpm-1986-08-22-8603020853-story.html" xr:uid="{00000000-0004-0000-0400-00006D000000}"/>
    <hyperlink ref="K61" r:id="rId111" display="https://oklahoman.com/article/2157408/authorities-piece-together-tragedy-gunman-at-edmond-post-office-knew-where-to-shoot-people" xr:uid="{00000000-0004-0000-0400-00006E000000}"/>
    <hyperlink ref="O61" r:id="rId112" display="https://www.nytimes.com/1986/08/23/us/carier-got-guns-as-guard-member.html" xr:uid="{00000000-0004-0000-0400-00006F000000}"/>
    <hyperlink ref="F62" r:id="rId113" display="https://www.nytimes.com/1986/08/21/us/mail-carrier-kills-14-in-post-office-then-himself.html" xr:uid="{00000000-0004-0000-0400-000070000000}"/>
    <hyperlink ref="H62" r:id="rId114" display="https://oklahoman.com/article/2157408/authorities-piece-together-tragedy-gunman-at-edmond-post-office-knew-where-to-shoot-people" xr:uid="{00000000-0004-0000-0400-000071000000}"/>
    <hyperlink ref="L62" r:id="rId115" display="https://www.vpc.org/studies/wgun860820.htm" xr:uid="{00000000-0004-0000-0400-000072000000}"/>
    <hyperlink ref="F63" r:id="rId116" display="https://www.orlandosentinel.com/news/os-xpm-1987-05-18-0130120064-story.html" xr:uid="{00000000-0004-0000-0400-000073000000}"/>
    <hyperlink ref="H63" r:id="rId117" display="https://www.nytimes.com/1987/04/25/us/florida-gunman-charged-with-killing-6.html" xr:uid="{00000000-0004-0000-0400-000074000000}"/>
    <hyperlink ref="K63" r:id="rId118" display="https://www.orlandosentinel.com/news/os-xpm-1987-04-28-0120380197-story.html" xr:uid="{00000000-0004-0000-0400-000075000000}"/>
    <hyperlink ref="L63" r:id="rId119" display="https://www.orlandosentinel.com/news/os-xpm-1987-05-18-0130120064-story.html" xr:uid="{00000000-0004-0000-0400-000076000000}"/>
    <hyperlink ref="F64" r:id="rId120" display="https://michellawyers.com/wp-content/uploads/2018/04/2018-04-09-Exhibits-16-19-ISO-Opp-to-MSJ.pdf" xr:uid="{00000000-0004-0000-0400-000077000000}"/>
    <hyperlink ref="H64" r:id="rId121" display="https://www.nytimes.com/1987/04/25/us/florida-gunman-charged-with-killing-6.html" xr:uid="{00000000-0004-0000-0400-000078000000}"/>
    <hyperlink ref="K64" r:id="rId122" display="https://www.orlandosentinel.com/news/os-xpm-1987-04-28-0120380197-story.html" xr:uid="{00000000-0004-0000-0400-000079000000}"/>
    <hyperlink ref="L64" r:id="rId123" display="https://www.orlandosentinel.com/news/os-xpm-1987-04-28-0120380197-story.html" xr:uid="{00000000-0004-0000-0400-00007A000000}"/>
    <hyperlink ref="F65" r:id="rId124" display="https://michellawyers.com/wp-content/uploads/2018/04/2018-04-09-Exhibits-16-19-ISO-Opp-to-MSJ.pdf" xr:uid="{00000000-0004-0000-0400-00007B000000}"/>
    <hyperlink ref="H65" r:id="rId125" display="https://www.theledger.com/article/LK/20070430/News/608097071/LL/" xr:uid="{00000000-0004-0000-0400-00007C000000}"/>
    <hyperlink ref="K65" r:id="rId126" display="https://www.orlandosentinel.com/news/os-xpm-1987-04-28-0120380197-story.html" xr:uid="{00000000-0004-0000-0400-00007D000000}"/>
    <hyperlink ref="L65" r:id="rId127" display="https://www.orlandosentinel.com/news/os-xpm-1987-04-28-0120380197-story.html" xr:uid="{00000000-0004-0000-0400-00007E000000}"/>
    <hyperlink ref="H66" r:id="rId128" display="https://www.washingtonpost.com/archive/politics/1988/02/18/sudden-death-in-sunnyvale/4f50e5d7-0804-4a56-a2af-ced693c3b577/" xr:uid="{00000000-0004-0000-0400-00007F000000}"/>
    <hyperlink ref="L66" r:id="rId129" display="https://www.leagle.com/decision/incaco20090702055" xr:uid="{00000000-0004-0000-0400-000080000000}"/>
    <hyperlink ref="H67" r:id="rId130" display="https://www.washingtonpost.com/archive/politics/1988/02/18/sudden-death-in-sunnyvale/4f50e5d7-0804-4a56-a2af-ced693c3b577/" xr:uid="{00000000-0004-0000-0400-000081000000}"/>
    <hyperlink ref="L67" r:id="rId131" display="https://www.leagle.com/decision/incaco20090702055" xr:uid="{00000000-0004-0000-0400-000082000000}"/>
    <hyperlink ref="F68" r:id="rId132" display="https://www.washingtonpost.com/archive/politics/1988/02/18/sudden-death-in-sunnyvale/4f50e5d7-0804-4a56-a2af-ced693c3b577/" xr:uid="{00000000-0004-0000-0400-000083000000}"/>
    <hyperlink ref="H68" r:id="rId133" display="https://www.washingtonpost.com/archive/politics/1988/02/18/sudden-death-in-sunnyvale/4f50e5d7-0804-4a56-a2af-ced693c3b577/" xr:uid="{00000000-0004-0000-0400-000084000000}"/>
    <hyperlink ref="L68" r:id="rId134" display="https://www.leagle.com/decision/incaco20090702055" xr:uid="{00000000-0004-0000-0400-000085000000}"/>
    <hyperlink ref="H69" r:id="rId135" display="https://www.washingtonpost.com/archive/politics/1988/02/18/sudden-death-in-sunnyvale/4f50e5d7-0804-4a56-a2af-ced693c3b577/" xr:uid="{00000000-0004-0000-0400-000086000000}"/>
    <hyperlink ref="K69" r:id="rId136" display="https://www.leagle.com/decision/incaco20090702055" xr:uid="{00000000-0004-0000-0400-000087000000}"/>
    <hyperlink ref="L69" r:id="rId137" display="https://www.leagle.com/decision/incaco20090702055" xr:uid="{00000000-0004-0000-0400-000088000000}"/>
    <hyperlink ref="H70" r:id="rId138" display="https://www.washingtonpost.com/archive/politics/1988/02/18/sudden-death-in-sunnyvale/4f50e5d7-0804-4a56-a2af-ced693c3b577/" xr:uid="{00000000-0004-0000-0400-000089000000}"/>
    <hyperlink ref="L70" r:id="rId139" display="https://www.leagle.com/decision/incaco20090702055" xr:uid="{00000000-0004-0000-0400-00008A000000}"/>
    <hyperlink ref="F71" r:id="rId140" display="https://www.leagle.com/decision/incaco20090702055" xr:uid="{00000000-0004-0000-0400-00008B000000}"/>
    <hyperlink ref="I71" r:id="rId141" display="https://www.leagle.com/decision/incaco20090702055" xr:uid="{00000000-0004-0000-0400-00008C000000}"/>
    <hyperlink ref="H71" r:id="rId142" display="https://www.washingtonpost.com/archive/politics/1988/02/18/sudden-death-in-sunnyvale/4f50e5d7-0804-4a56-a2af-ced693c3b577/" xr:uid="{00000000-0004-0000-0400-00008D000000}"/>
    <hyperlink ref="L71" r:id="rId143" display="https://www.leagle.com/decision/incaco20090702055" xr:uid="{00000000-0004-0000-0400-00008E000000}"/>
    <hyperlink ref="L72" r:id="rId144" display="https://www.leagle.com/decision/incaco20090702055" xr:uid="{00000000-0004-0000-0400-00008F000000}"/>
    <hyperlink ref="F73" r:id="rId145" display="https://www.leagle.com/decision/incaco20090702055" xr:uid="{00000000-0004-0000-0400-000090000000}"/>
    <hyperlink ref="H73" r:id="rId146" display="https://www.leagle.com/decision/incaco20090702055" xr:uid="{00000000-0004-0000-0400-000091000000}"/>
    <hyperlink ref="L73" r:id="rId147" display="https://www.leagle.com/decision/incaco20090702055" xr:uid="{00000000-0004-0000-0400-000092000000}"/>
    <hyperlink ref="H74" r:id="rId148" display="http://www.journalnow.com/news/local/for-first-time-in-years-michael-hayes-is-free-of/article_d5514c21-a980-5bf3-934e-53b3e76e8c05.html" xr:uid="{00000000-0004-0000-0400-000093000000}"/>
    <hyperlink ref="H75" r:id="rId149" display="https://www.chicagotribune.com/news/ct-xpm-1988-09-23-8802010552-story.html" xr:uid="{00000000-0004-0000-0400-000094000000}"/>
    <hyperlink ref="K75" r:id="rId150" display="https://www.chicagotribune.com/news/ct-xpm-1988-09-23-8802010546-story.html" xr:uid="{00000000-0004-0000-0400-000095000000}"/>
    <hyperlink ref="F76" r:id="rId151" display="https://schoolshooters.info/sites/default/files/Purdy - official report.pdf" xr:uid="{00000000-0004-0000-0400-000096000000}"/>
    <hyperlink ref="H76" r:id="rId152" display="https://schoolshooters.info/sites/default/files/Purdy - official report.pdf" xr:uid="{00000000-0004-0000-0400-000097000000}"/>
    <hyperlink ref="K76" r:id="rId153" display="https://www.nytimes.com/1989/01/18/us/five-children-killed-as-gunman-attacks-a-california-school.html" xr:uid="{00000000-0004-0000-0400-000098000000}"/>
    <hyperlink ref="M76" r:id="rId154" display="https://www.washingtonpost.com/archive/opinions/1989/01/19/patrick-purdys-gun/f0853587-d6de-42f4-9ba6-452f0e918262/" xr:uid="{00000000-0004-0000-0400-000099000000}"/>
    <hyperlink ref="F77" r:id="rId155" display="https://schoolshooters.info/sites/default/files/Purdy - official report.pdf" xr:uid="{00000000-0004-0000-0400-00009A000000}"/>
    <hyperlink ref="H77" r:id="rId156" display="https://schoolshooters.info/sites/default/files/Purdy - official report.pdf" xr:uid="{00000000-0004-0000-0400-00009B000000}"/>
    <hyperlink ref="K77" r:id="rId157" display="https://schoolshooters.info/sites/default/files/Purdy - official report.pdf" xr:uid="{00000000-0004-0000-0400-00009C000000}"/>
    <hyperlink ref="M77" r:id="rId158" display="https://www.washingtonpost.com/archive/opinions/1989/01/19/patrick-purdys-gun/f0853587-d6de-42f4-9ba6-452f0e918262/" xr:uid="{00000000-0004-0000-0400-00009D000000}"/>
    <hyperlink ref="F78" r:id="rId159" display="https://www.nytimes.com/1989/09/16/us/disturbed-past-of-killer-of-7-is-unraveled.html" xr:uid="{00000000-0004-0000-0400-00009E000000}"/>
    <hyperlink ref="K78" r:id="rId160" display="https://www.chicagotribune.com/news/ct-xpm-1989-09-16-8901130452-story.html" xr:uid="{00000000-0004-0000-0400-00009F000000}"/>
    <hyperlink ref="L78" r:id="rId161" display="https://www.chicagotribune.com/news/ct-xpm-1989-09-16-8901130452-story.html" xr:uid="{00000000-0004-0000-0400-0000A0000000}"/>
    <hyperlink ref="F79" r:id="rId162" display="https://www.nytimes.com/1989/09/16/us/disturbed-past-of-killer-of-7-is-unraveled.html" xr:uid="{00000000-0004-0000-0400-0000A1000000}"/>
    <hyperlink ref="K79" r:id="rId163" display="https://www.chicagotribune.com/news/ct-xpm-1989-09-16-8901130452-story.html" xr:uid="{00000000-0004-0000-0400-0000A2000000}"/>
    <hyperlink ref="L79" r:id="rId164" display="https://www.chicagotribune.com/news/ct-xpm-1989-09-16-8901130452-story.html" xr:uid="{00000000-0004-0000-0400-0000A3000000}"/>
    <hyperlink ref="K80" r:id="rId165" display="https://www.nytimes.com/1989/09/16/us/disturbed-past-of-killer-of-7-is-unraveled.html" xr:uid="{00000000-0004-0000-0400-0000A4000000}"/>
    <hyperlink ref="L80" r:id="rId166" display="https://www.chicagotribune.com/news/ct-xpm-1989-09-16-8901130452-story.html" xr:uid="{00000000-0004-0000-0400-0000A5000000}"/>
    <hyperlink ref="H81" r:id="rId167" display="https://www.nytimes.com/1989/09/16/us/disturbed-past-of-killer-of-7-is-unraveled.html" xr:uid="{00000000-0004-0000-0400-0000A6000000}"/>
    <hyperlink ref="K81" r:id="rId168" display="https://www.chicagotribune.com/news/ct-xpm-1989-09-16-8901130452-story.html" xr:uid="{00000000-0004-0000-0400-0000A7000000}"/>
    <hyperlink ref="L81" r:id="rId169" display="https://www.chicagotribune.com/news/ct-xpm-1989-09-16-8901130452-story.html" xr:uid="{00000000-0004-0000-0400-0000A8000000}"/>
    <hyperlink ref="I82" r:id="rId170" display="https://www.nytimes.com/1989/09/16/us/disturbed-past-of-killer-of-7-is-unraveled.html" xr:uid="{00000000-0004-0000-0400-0000A9000000}"/>
    <hyperlink ref="H82" r:id="rId171" display="https://apnews.com/d8fdf15390c4d3e614ca83a0d49ab018" xr:uid="{00000000-0004-0000-0400-0000AA000000}"/>
    <hyperlink ref="K82" r:id="rId172" display="https://www.nytimes.com/1989/09/16/us/disturbed-past-of-killer-of-7-is-unraveled.html" xr:uid="{00000000-0004-0000-0400-0000AB000000}"/>
    <hyperlink ref="L82" r:id="rId173" display="https://www.nytimes.com/1989/09/16/us/disturbed-past-of-killer-of-7-is-unraveled.html" xr:uid="{00000000-0004-0000-0400-0000AC000000}"/>
    <hyperlink ref="F83" r:id="rId174" display="https://www.vpc.org/studies/wgun900618.htm" xr:uid="{00000000-0004-0000-0400-0000AD000000}"/>
    <hyperlink ref="H83" r:id="rId175" display="https://news.google.com/newspapers?id=EPMRAAAAIBAJ&amp;sjid=PuoDAAAAIBAJ&amp;pg=6902,6441532&amp;dq=pough" xr:uid="{00000000-0004-0000-0400-0000AE000000}"/>
    <hyperlink ref="M83" r:id="rId176" display="https://news.google.com/newspapers?id=EPMRAAAAIBAJ&amp;sjid=PuoDAAAAIBAJ&amp;pg=6902,6441532&amp;dq=pough" xr:uid="{00000000-0004-0000-0400-0000AF000000}"/>
    <hyperlink ref="F84" r:id="rId177" display="https://www.jacksonville.com/photogallery/LK/20190410/NEWS/409009969/PH/1" xr:uid="{00000000-0004-0000-0400-0000B1000000}"/>
    <hyperlink ref="H84" r:id="rId178" display="https://news.google.com/newspapers?id=EPMRAAAAIBAJ&amp;sjid=PuoDAAAAIBAJ&amp;pg=6902,6441532&amp;dq=pough" xr:uid="{00000000-0004-0000-0400-0000B2000000}"/>
    <hyperlink ref="K84" r:id="rId179" display="https://www.nytimes.com/1990/06/19/us/florida-gunman-kills-8-and-wounds-6-in-office.html" xr:uid="{00000000-0004-0000-0400-0000B3000000}"/>
    <hyperlink ref="M84" r:id="rId180" display="https://news.google.com/newspapers?id=EPMRAAAAIBAJ&amp;sjid=PuoDAAAAIBAJ&amp;pg=6902,6441532&amp;dq=pough" xr:uid="{00000000-0004-0000-0400-0000B4000000}"/>
    <hyperlink ref="R84" r:id="rId181" xr:uid="{00000000-0004-0000-0400-0000B5000000}"/>
    <hyperlink ref="F85" r:id="rId182" display="https://news.google.com/newspapers?id=EPMRAAAAIBAJ&amp;sjid=PuoDAAAAIBAJ&amp;pg=6902,6441532&amp;dq=pough" xr:uid="{00000000-0004-0000-0400-0000B6000000}"/>
    <hyperlink ref="H85" r:id="rId183" display="https://www.nytimes.com/1990/06/19/us/florida-gunman-kills-8-and-wounds-6-in-office.html" xr:uid="{00000000-0004-0000-0400-0000B7000000}"/>
    <hyperlink ref="M85" r:id="rId184" display="https://news.google.com/newspapers?id=EPMRAAAAIBAJ&amp;sjid=PuoDAAAAIBAJ&amp;pg=6902,6441532&amp;dq=pough" xr:uid="{00000000-0004-0000-0400-0000B8000000}"/>
    <hyperlink ref="R85" r:id="rId185" xr:uid="{00000000-0004-0000-0400-0000B9000000}"/>
    <hyperlink ref="F86" r:id="rId186" display="https://apnews.com/6723698815d2b77dbf0bb5d583094b53" xr:uid="{00000000-0004-0000-0400-0000BA000000}"/>
    <hyperlink ref="I86" r:id="rId187" display="https://journaltimes.com/news/national/texas-killer-hated-women-officials-say/article_6280aabc-4369-59d3-950e-0d5519021dcf.html" xr:uid="{00000000-0004-0000-0400-0000BB000000}"/>
    <hyperlink ref="K86" r:id="rId188" display="http://www.crimemagazine.com/joseph-harris-goes-postal-new-jersey-october-10-1991" xr:uid="{00000000-0004-0000-0400-0000BC000000}"/>
    <hyperlink ref="F87" r:id="rId189" display="https://www.nytimes.com/1991/10/11/nyregion/4-slain-in-2-new-jersey-attacks-and-former-postal-clerk-is-held.html?pagewanted=all" xr:uid="{00000000-0004-0000-0400-0000BD000000}"/>
    <hyperlink ref="K87" r:id="rId190" display="http://www.crimemagazine.com/joseph-harris-goes-postal-new-jersey-october-10-1991" xr:uid="{00000000-0004-0000-0400-0000BE000000}"/>
    <hyperlink ref="F88" r:id="rId191" display="https://www.orlandosentinel.com/news/os-xpm-1991-10-18-9110181036-story.html" xr:uid="{00000000-0004-0000-0400-0000BF000000}"/>
    <hyperlink ref="J88" r:id="rId192" display="https://journaltimes.com/news/national/texas-killer-hated-women-officials-say/article_6280aabc-4369-59d3-950e-0d5519021dcf.html" xr:uid="{00000000-0004-0000-0400-0000C0000000}"/>
    <hyperlink ref="H88" r:id="rId193" display="https://journaltimes.com/news/national/texas-killer-hated-women-officials-say/article_6280aabc-4369-59d3-950e-0d5519021dcf.html" xr:uid="{00000000-0004-0000-0400-0000C1000000}"/>
    <hyperlink ref="K88" r:id="rId194" display="https://journaltimes.com/news/national/texas-killer-hated-women-officials-say/article_6280aabc-4369-59d3-950e-0d5519021dcf.html" xr:uid="{00000000-0004-0000-0400-0000C2000000}"/>
    <hyperlink ref="L88" r:id="rId195" display="https://www.nytimes.com/1991/10/18/us/portrait-of-texas-killer-impatient-and-troubled.html?pagewanted=all" xr:uid="{00000000-0004-0000-0400-0000C3000000}"/>
    <hyperlink ref="F89" r:id="rId196" display="https://journaltimes.com/news/national/texas-killer-hated-women-officials-say/article_6280aabc-4369-59d3-950e-0d5519021dcf.html" xr:uid="{00000000-0004-0000-0400-0000C4000000}"/>
    <hyperlink ref="J89" r:id="rId197" display="https://journaltimes.com/news/national/texas-killer-hated-women-officials-say/article_6280aabc-4369-59d3-950e-0d5519021dcf.html" xr:uid="{00000000-0004-0000-0400-0000C5000000}"/>
    <hyperlink ref="H89" r:id="rId198" display="https://journaltimes.com/news/national/texas-killer-hated-women-officials-say/article_6280aabc-4369-59d3-950e-0d5519021dcf.html" xr:uid="{00000000-0004-0000-0400-0000C6000000}"/>
    <hyperlink ref="K89" r:id="rId199" display="https://journaltimes.com/news/national/texas-killer-hated-women-officials-say/article_6280aabc-4369-59d3-950e-0d5519021dcf.html" xr:uid="{00000000-0004-0000-0400-0000C7000000}"/>
    <hyperlink ref="L89" r:id="rId200" display="https://www.nytimes.com/1991/10/18/us/portrait-of-texas-killer-impatient-and-troubled.html?pagewanted=all" xr:uid="{00000000-0004-0000-0400-0000C8000000}"/>
    <hyperlink ref="F90" r:id="rId201" display="https://www.desmoinesregister.com/story/news/2016/10/28/nov-1-1991-day-university-shooting-rampage-shocked-iowa/92053548/" xr:uid="{00000000-0004-0000-0400-0000C9000000}"/>
    <hyperlink ref="H90" r:id="rId202" display="https://www.nytimes.com/1991/11/03/us/gunman-in-iowa-wrote-of-plans-in-five-letters.html" xr:uid="{00000000-0004-0000-0400-0000CA000000}"/>
    <hyperlink ref="K90" r:id="rId203" display="https://www.nytimes.com/1991/11/04/us/iowa-gunman-was-torn-by-academic-challenge.html?ref=michelmarriott" xr:uid="{00000000-0004-0000-0400-0000CB000000}"/>
    <hyperlink ref="L90" r:id="rId204" display="https://www.nytimes.com/1991/11/04/us/iowa-gunman-was-torn-by-academic-challenge.html?ref=michelmarriott" xr:uid="{00000000-0004-0000-0400-0000CC000000}"/>
    <hyperlink ref="H91" r:id="rId205" display="https://www.nytimes.com/1991/11/03/us/gunman-in-iowa-wrote-of-plans-in-five-letters.html" xr:uid="{00000000-0004-0000-0400-0000CD000000}"/>
    <hyperlink ref="K91" r:id="rId206" display="https://www.latimes.com/archives/la-xpm-1992-06-07-tm-411-story.html" xr:uid="{00000000-0004-0000-0400-0000CE000000}"/>
    <hyperlink ref="L91" r:id="rId207" display="https://www.latimes.com/archives/la-xpm-1992-06-07-tm-411-story.html" xr:uid="{00000000-0004-0000-0400-0000CF000000}"/>
    <hyperlink ref="H92" r:id="rId208" display="https://www.washingtonpost.com/archive/politics/1991/11/11/gunman-kills-four-and-self-in-kentucky/c3111990-c0ec-48f8-9200-4fa837a1dba4/" xr:uid="{00000000-0004-0000-0400-0000D0000000}"/>
    <hyperlink ref="L92" r:id="rId209" display="http://hrb.stparchive.com/Archive/HRB/HRB01032013p24.php" xr:uid="{00000000-0004-0000-0400-0000D1000000}"/>
    <hyperlink ref="I93" r:id="rId210" display="https://www.latimes.com/archives/la-xpm-1991-11-15-mn-1435-story.html" xr:uid="{00000000-0004-0000-0400-0000D2000000}"/>
    <hyperlink ref="H93" r:id="rId211" display="https://www.latimes.com/archives/la-xpm-1991-11-15-mn-1435-story.html" xr:uid="{00000000-0004-0000-0400-0000D3000000}"/>
    <hyperlink ref="K93" r:id="rId212" display="https://www.latimes.com/archives/la-xpm-1991-11-15-mn-1435-story.html" xr:uid="{00000000-0004-0000-0400-0000D4000000}"/>
    <hyperlink ref="M93" r:id="rId213" display="https://www.vpc.org/studies/wgun911114.htm" xr:uid="{00000000-0004-0000-0400-0000D5000000}"/>
    <hyperlink ref="H94" r:id="rId214" display="https://caselaw.findlaw.com/az-supreme-court/1250801.html" xr:uid="{00000000-0004-0000-0400-0000D6000000}"/>
    <hyperlink ref="I95" r:id="rId215" display="https://scocal.stanford.edu/opinion/people-v-houston-34117" xr:uid="{00000000-0004-0000-0400-0000D7000000}"/>
    <hyperlink ref="H95" r:id="rId216" display="https://schoolshooters.info/sites/default/files/California-v-Houston-2007.pdf" xr:uid="{00000000-0004-0000-0400-0000D8000000}"/>
    <hyperlink ref="K95" r:id="rId217" display="https://schoolshooters.info/sites/default/files/California-v-Houston-2007.pdf" xr:uid="{00000000-0004-0000-0400-0000D9000000}"/>
    <hyperlink ref="L95" r:id="rId218" display="https://www.csgv.org/mass-shootings-by-good-guys/" xr:uid="{00000000-0004-0000-0400-0000DA000000}"/>
    <hyperlink ref="F96" r:id="rId219" display="https://schoolshooters.info/sites/default/files/California-v-Houston-2007.pdf" xr:uid="{00000000-0004-0000-0400-0000DB000000}"/>
    <hyperlink ref="H96" r:id="rId220" display="https://scocal.stanford.edu/opinion/people-v-houston-34117" xr:uid="{00000000-0004-0000-0400-0000DC000000}"/>
    <hyperlink ref="K96" r:id="rId221" display="https://schoolshooters.info/sites/default/files/California-v-Houston-2007.pdf" xr:uid="{00000000-0004-0000-0400-0000DD000000}"/>
    <hyperlink ref="L96" r:id="rId222" display="https://www.csgv.org/mass-shootings-by-good-guys/" xr:uid="{00000000-0004-0000-0400-0000DE000000}"/>
    <hyperlink ref="F97" r:id="rId223" display="https://www.nytimes.com/1992/10/24/nyregion/watkins-glen-killings-called-planned.html" xr:uid="{00000000-0004-0000-0400-0000DF000000}"/>
    <hyperlink ref="H97" r:id="rId224" display="https://www.nytimes.com/1992/10/17/nyregion/shooting-followed-tougher-efforts-to-collect-child-support.html" xr:uid="{00000000-0004-0000-0400-0000E0000000}"/>
    <hyperlink ref="K97" r:id="rId225" display="https://www.nytimes.com/1992/10/24/nyregion/watkins-glen-killings-called-planned.html" xr:uid="{00000000-0004-0000-0400-0000E1000000}"/>
    <hyperlink ref="M97" r:id="rId226" display="https://www.nytimes.com/1992/10/24/nyregion/watkins-glen-killings-called-planned.html" xr:uid="{00000000-0004-0000-0400-0000E2000000}"/>
    <hyperlink ref="H98" r:id="rId227" location="v=onepa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ge&amp;q=lynwood%20drake&amp;f=false" xr:uid="{00000000-0004-0000-0400-0000E3000000}"/>
    <hyperlink ref="K98" r:id="rId228" display="https://www.sanluisobispo.com/news/local/news-columns-blogs/photos-from-the-vault/article217891420.html" xr:uid="{00000000-0004-0000-0400-0000E4000000}"/>
    <hyperlink ref="H99" r:id="rId229" location="v=onepa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ge&amp;q=lynwood%20drake&amp;f=false" xr:uid="{00000000-0004-0000-0400-0000E5000000}"/>
    <hyperlink ref="K99" r:id="rId230" display="https://www.sanluisobispo.com/news/local/news-columns-blogs/photos-from-the-vault/article217891420.html" xr:uid="{00000000-0004-0000-0400-0000E6000000}"/>
    <hyperlink ref="F100" r:id="rId231" display="https://law.justia.com/cases/california/supreme-court/4th/26/465.html" xr:uid="{00000000-0004-0000-0400-0000E7000000}"/>
    <hyperlink ref="H100" r:id="rId232" display="https://www.nytimes.com/1993/07/03/us/the-broker-who-killed-8-gunman-s-motives-a-puzzle.html" xr:uid="{00000000-0004-0000-0400-0000E8000000}"/>
    <hyperlink ref="M100" r:id="rId233" display="https://www.vpc.org/studies/wgun930701.htm" xr:uid="{00000000-0004-0000-0400-0000E9000000}"/>
    <hyperlink ref="F101" r:id="rId234" display="https://www.nytimes.com/1993/07/03/us/the-broker-who-killed-8-gunman-s-motives-a-puzzle.html" xr:uid="{00000000-0004-0000-0400-0000EA000000}"/>
    <hyperlink ref="I101" r:id="rId235" display="https://law.justia.com/cases/california/supreme-court/4th/26/465.html" xr:uid="{00000000-0004-0000-0400-0000EB000000}"/>
    <hyperlink ref="J101" r:id="rId236" display="https://www.nytimes.com/1993/07/03/us/the-broker-who-killed-8-gunman-s-motives-a-puzzle.html" xr:uid="{00000000-0004-0000-0400-0000EC000000}"/>
    <hyperlink ref="H101" r:id="rId237" display="https://www.nytimes.com/1993/07/03/us/the-broker-who-killed-8-gunman-s-motives-a-puzzle.html" xr:uid="{00000000-0004-0000-0400-0000ED000000}"/>
    <hyperlink ref="K101" r:id="rId238" display="https://www.nytimes.com/1993/07/03/us/the-broker-who-killed-8-gunman-s-motives-a-puzzle.html" xr:uid="{00000000-0004-0000-0400-0000EE000000}"/>
    <hyperlink ref="M101" r:id="rId239" display="https://www.washingtonpost.com/archive/opinions/1993/07/27/death-over-the-counter/5432f0dc-40a2-42a1-aaa3-f7488996c779/" xr:uid="{00000000-0004-0000-0400-0000EF000000}"/>
    <hyperlink ref="F102" r:id="rId240" display="https://www.nytimes.com/1993/07/03/us/the-broker-who-killed-8-gunman-s-motives-a-puzzle.html" xr:uid="{00000000-0004-0000-0400-0000F0000000}"/>
    <hyperlink ref="I102" r:id="rId241" display="https://law.justia.com/cases/california/supreme-court/4th/26/465.html" xr:uid="{00000000-0004-0000-0400-0000F1000000}"/>
    <hyperlink ref="J102" r:id="rId242" display="https://www.nytimes.com/1993/07/03/us/the-broker-who-killed-8-gunman-s-motives-a-puzzle.html" xr:uid="{00000000-0004-0000-0400-0000F2000000}"/>
    <hyperlink ref="H102" r:id="rId243" display="https://www.nytimes.com/1993/07/03/us/the-broker-who-killed-8-gunman-s-motives-a-puzzle.html" xr:uid="{00000000-0004-0000-0400-0000F3000000}"/>
    <hyperlink ref="K102" r:id="rId244" display="https://www.nytimes.com/1993/07/03/us/the-broker-who-killed-8-gunman-s-motives-a-puzzle.html" xr:uid="{00000000-0004-0000-0400-0000F4000000}"/>
    <hyperlink ref="M102" r:id="rId245" display="https://www.washingtonpost.com/archive/opinions/1993/07/27/death-over-the-counter/5432f0dc-40a2-42a1-aaa3-f7488996c779/" xr:uid="{00000000-0004-0000-0400-0000F5000000}"/>
    <hyperlink ref="F103" r:id="rId246" display="https://www.fayobserver.com/news/20190806/from-archives-26-years-ago-today-tragedy-at-luigis" xr:uid="{00000000-0004-0000-0400-0000F6000000}"/>
    <hyperlink ref="H103" r:id="rId247" display="https://apnews.com/2b512c3b87b4dd2f14cee792f510bb24" xr:uid="{00000000-0004-0000-0400-0000F7000000}"/>
    <hyperlink ref="F104" r:id="rId248" display="https://www.fayobserver.com/news/20190806/from-archives-26-years-ago-today-tragedy-at-luigis" xr:uid="{00000000-0004-0000-0400-0000F8000000}"/>
    <hyperlink ref="F105" r:id="rId249" display="https://apnews.com/2b512c3b87b4dd2f14cee792f510bb24" xr:uid="{00000000-0004-0000-0400-0000F9000000}"/>
    <hyperlink ref="H106" r:id="rId250" display="https://www.upi.com/Archives/1993/10/15/Five-dead-in-health-club-shootings/4365750657600/" xr:uid="{00000000-0004-0000-0400-0000FA000000}"/>
    <hyperlink ref="K106" r:id="rId251" display="https://www.newspapers.com/clip/36644551/the-californian-salinas/" xr:uid="{00000000-0004-0000-0400-0000FB000000}"/>
    <hyperlink ref="L106" r:id="rId252" display="https://www.latimes.com/archives/la-xpm-1993-10-17-mn-46854-story.html" xr:uid="{00000000-0004-0000-0400-0000FC000000}"/>
    <hyperlink ref="F107" r:id="rId253" display="https://www.wired.com/1994/06/rage/" xr:uid="{00000000-0004-0000-0400-0000FD000000}"/>
    <hyperlink ref="H107" r:id="rId254" display="https://www.wired.com/1994/06/rage/" xr:uid="{00000000-0004-0000-0400-0000FE000000}"/>
    <hyperlink ref="K107" r:id="rId255" display="https://www.latimes.com/archives/la-xpm-1993-12-08-me-65133-story.html" xr:uid="{00000000-0004-0000-0400-0000FF000000}"/>
    <hyperlink ref="L107" r:id="rId256" display="https://www.latimes.com/archives/la-xpm-1993-12-08-me-65133-story.html" xr:uid="{00000000-0004-0000-0400-000000010000}"/>
    <hyperlink ref="F108" r:id="rId257" display="https://www.wired.com/1994/06/rage/" xr:uid="{00000000-0004-0000-0400-000001010000}"/>
    <hyperlink ref="H108" r:id="rId258" display="https://www.wired.com/1994/06/rage/" xr:uid="{00000000-0004-0000-0400-000002010000}"/>
    <hyperlink ref="K108" r:id="rId259" display="https://www.wired.com/1994/06/rage/" xr:uid="{00000000-0004-0000-0400-000003010000}"/>
    <hyperlink ref="L108" r:id="rId260" display="https://www.wired.com/1994/06/rage/" xr:uid="{00000000-0004-0000-0400-000004010000}"/>
    <hyperlink ref="F109" r:id="rId261" display="https://www.wired.com/1994/06/rage/" xr:uid="{00000000-0004-0000-0400-000005010000}"/>
    <hyperlink ref="I109" r:id="rId262" display="https://www.latimes.com/archives/la-xpm-1993-12-08-me-65133-story.html" xr:uid="{00000000-0004-0000-0400-000006010000}"/>
    <hyperlink ref="H109" r:id="rId263" display="https://www.wired.com/1994/06/rage/" xr:uid="{00000000-0004-0000-0400-000007010000}"/>
    <hyperlink ref="K109" r:id="rId264" display="https://www.latimes.com/archives/la-xpm-1993-12-08-me-65133-story.html" xr:uid="{00000000-0004-0000-0400-000008010000}"/>
    <hyperlink ref="L109" r:id="rId265" display="https://www.latimes.com/archives/la-xpm-1993-12-08-me-65133-story.html" xr:uid="{00000000-0004-0000-0400-000009010000}"/>
    <hyperlink ref="F110" r:id="rId266" display="https://www.wired.com/1994/06/rage/" xr:uid="{00000000-0004-0000-0400-00000A010000}"/>
    <hyperlink ref="H110" r:id="rId267" display="https://www.wired.com/1994/06/rage/" xr:uid="{00000000-0004-0000-0400-00000B010000}"/>
    <hyperlink ref="K110" r:id="rId268" display="https://www.latimes.com/archives/la-xpm-1993-12-08-me-65133-story.html" xr:uid="{00000000-0004-0000-0400-00000C010000}"/>
    <hyperlink ref="L110" r:id="rId269" display="https://www.latimes.com/archives/la-xpm-1993-12-08-me-65133-story.html" xr:uid="{00000000-0004-0000-0400-00000D010000}"/>
    <hyperlink ref="L111" r:id="rId270" display="https://www.nytimes.com/1993/12/12/nyregion/tormented-life-special-report-long-slide-privilege-ends-slaughter-train.html" xr:uid="{00000000-0004-0000-0400-00000E010000}"/>
    <hyperlink ref="F112" r:id="rId271" display="https://www.denverpost.com/2013/02/21/dunlaps-cash-bundle-described/" xr:uid="{00000000-0004-0000-0400-00000F010000}"/>
    <hyperlink ref="K112" r:id="rId272" display="https://web.archive.org/web/20150421030616/http:/www.cofpd.org/docs-dun/final-clemency-petition-5-6.pdf" xr:uid="{00000000-0004-0000-0400-000010010000}"/>
    <hyperlink ref="J113" r:id="rId273" display="https://archive.seattletimes.com/archive/?date=19940621&amp;slug=1916667" xr:uid="{00000000-0004-0000-0400-000011010000}"/>
    <hyperlink ref="H113" r:id="rId274" display="https://www.nytimes.com/1994/06/22/us/an-airman-s-revenge-5-minutes-of-terror.html?mtrref=undefined" xr:uid="{00000000-0004-0000-0400-000012010000}"/>
    <hyperlink ref="F115" r:id="rId275" display="https://www.vpc.org/studies/wgun950403.htm" xr:uid="{00000000-0004-0000-0400-000013010000}"/>
    <hyperlink ref="H115" r:id="rId276" display="https://www.nytimes.com/1995/04/04/us/6-die-in-texas-office-shooting.html" xr:uid="{00000000-0004-0000-0400-000014010000}"/>
    <hyperlink ref="L115" r:id="rId277" display="https://www.vpc.org/studies/wgun950403.htm" xr:uid="{00000000-0004-0000-0400-000015010000}"/>
    <hyperlink ref="H116" r:id="rId278" display="https://www.nytimes.com/1995/04/04/us/6-die-in-texas-office-shooting.html" xr:uid="{00000000-0004-0000-0400-000016010000}"/>
    <hyperlink ref="L116" r:id="rId279" display="https://www.vpc.org/studies/wgun950403.htm" xr:uid="{00000000-0004-0000-0400-000017010000}"/>
    <hyperlink ref="F117" r:id="rId280" display="https://www.upi.com/Archives/1995/07/19/Four-LA-city-workers-shot-to-death/3373806126400/" xr:uid="{00000000-0004-0000-0400-000018010000}"/>
    <hyperlink ref="J117" r:id="rId281" display="https://www.upi.com/Archives/1995/07/19/Four-LA-city-workers-shot-to-death/3373806126400/" xr:uid="{00000000-0004-0000-0400-000019010000}"/>
    <hyperlink ref="H117" r:id="rId282" display="https://www.nytimes.com/1995/07/20/us/9-fatally-shot-in-california-in-2-incidents-over-2-days.html" xr:uid="{00000000-0004-0000-0400-00001A010000}"/>
    <hyperlink ref="K117" r:id="rId283" location="v=onepage&amp;q=willie%20woods%20gun%20obtained&amp;f=false" display="https://books.google.com/books?id=dw6vDwAAQBAJ&amp;pg=PT120&amp;lpg=PT120&amp;dq=willie+woods+gun+obtained&amp;source=bl&amp;ots=vuLlcouRXL&amp;sig=ACfU3U0XOR-WR_Ch3uBudRTLM3RGN_Kq4A&amp;hl=en&amp;sa=X&amp;ved=2ahUKEwjfwfSqk4nqAhWQRTABHal-AAoQ6AEwB3oECAoQAQ - v=onepage&amp;q=willie%20woods%20gun%20obtained&amp;f=false" xr:uid="{00000000-0004-0000-0400-00001B010000}"/>
    <hyperlink ref="L117" r:id="rId284" location="v=onepage&amp;q=willie%20woods%20gun%20obtained&amp;f=false" display="https://books.google.com/books?id=dw6vDwAAQBAJ&amp;pg=PT120&amp;lpg=PT120&amp;dq=willie+woods+gun+obtained&amp;source=bl&amp;ots=vuLlcouRXL&amp;sig=ACfU3U0XOR-WR_Ch3uBudRTLM3RGN_Kq4A&amp;hl=en&amp;sa=X&amp;ved=2ahUKEwjfwfSqk4nqAhWQRTABHal-AAoQ6AEwB3oECAoQAQ - v=onepage&amp;q=willie%20woods%20gun%20obtained&amp;f=false" xr:uid="{00000000-0004-0000-0400-00001C010000}"/>
    <hyperlink ref="F118" r:id="rId285" display="https://www.nydailynews.com/new-york/bronx/day-mass-killer-struck-boro-article-1.213350" xr:uid="{00000000-0004-0000-0400-00001D010000}"/>
    <hyperlink ref="J118" r:id="rId286" display="https://www.nydailynews.com/archives/boroughs/5th-anniversary-shoe-store-massacre-article-1.883148" xr:uid="{00000000-0004-0000-0400-00001E010000}"/>
    <hyperlink ref="H118" r:id="rId287" display="https://archive.seattletimes.com/archive/?date=19951220&amp;slug=2158611" xr:uid="{00000000-0004-0000-0400-00001F010000}"/>
    <hyperlink ref="K118" r:id="rId288" display="https://www.nydailynews.com/new-york/bronx/day-mass-killer-struck-boro-article-1.213350" xr:uid="{00000000-0004-0000-0400-000020010000}"/>
    <hyperlink ref="M118" r:id="rId289" display="https://www.nydailynews.com/new-york/bronx/day-mass-killer-struck-boro-article-1.213350" xr:uid="{00000000-0004-0000-0400-000021010000}"/>
    <hyperlink ref="F119" r:id="rId290" display="https://www.upi.com/Archives/1996/02/09/Several-dead-in-Florida-shooting/3712823842000/" xr:uid="{00000000-0004-0000-0400-000022010000}"/>
    <hyperlink ref="J119" r:id="rId291" display="https://www.upi.com/Archives/1996/02/09/Several-dead-in-Florida-shooting/3712823842000/" xr:uid="{00000000-0004-0000-0400-000023010000}"/>
    <hyperlink ref="H119" r:id="rId292" display="https://apnews.com/cec11122f0b4c232725599b3ae3d7bcf" xr:uid="{00000000-0004-0000-0400-000024010000}"/>
    <hyperlink ref="K119" r:id="rId293" display="https://www.sun-sentinel.com/news/fl-xpm-1996-02-10-9602090635-story.html" xr:uid="{00000000-0004-0000-0400-000025010000}"/>
    <hyperlink ref="L119" r:id="rId294" display="https://www.sun-sentinel.com/news/fl-xpm-1996-02-10-9602090635-story.html" xr:uid="{00000000-0004-0000-0400-000026010000}"/>
    <hyperlink ref="F120" r:id="rId295" display="https://www.upi.com/Archives/1996/02/09/Several-dead-in-Florida-shooting/3712823842000/" xr:uid="{00000000-0004-0000-0400-000027010000}"/>
    <hyperlink ref="H120" r:id="rId296" display="https://apnews.com/cec11122f0b4c232725599b3ae3d7bcf" xr:uid="{00000000-0004-0000-0400-000028010000}"/>
    <hyperlink ref="H122" r:id="rId297" location="v=onepage&amp;q=kenneth%20tornes&amp;f=false" display="https://books.google.com/books?id=GJ2WyZhE3PgC&amp;pg=PA113&amp;lpg=PA113&amp;dq=kenneth+tornes&amp;source=bl&amp;ots=OBukLgUfT_&amp;sig=ACfU3U033kkWO-B7S955dpAQcYuwRR7LUA&amp;hl=en&amp;sa=X&amp;ved=2ahUKEwjDisPgk-LjAhVKeawKHa22Ai44ChDoATAEegQIChAB - v=onepage&amp;q=kenneth%20tornes&amp;f=false" xr:uid="{00000000-0004-0000-0400-000029010000}"/>
    <hyperlink ref="F123" r:id="rId298" display="https://www.newspapers.com/image/542542939/?terms=victoria%2Bminor%2Bkenneth%2Btornes" xr:uid="{00000000-0004-0000-0400-00002A010000}"/>
    <hyperlink ref="H124" r:id="rId299" location=":~:text=Drega%2C%20armed%20with%20a%20now,battle%20with%20police%2C%20authorities%20said.&amp;text=%22When%20his%20wife%20died%2C%20he,just%20never%20got%20over%20it.%22" display="https://www.chicagotribune.com/news/ct-xpm-1997-08-21-9708210178-story.html - :~:text=Drega%2C%20armed%20with%20a%20now,battle%20with%20police%2C%20authorities%20said.&amp;text=%22When%20his%20wife%20died%2C%20he,just%20never%20got%20over%20it.%22" xr:uid="{00000000-0004-0000-0400-00002B010000}"/>
    <hyperlink ref="K124" r:id="rId300" display="https://www.concordmonitor.com/Archive/2015/09/dregabook-cmforum-091315" xr:uid="{00000000-0004-0000-0400-00002C010000}"/>
    <hyperlink ref="L124" r:id="rId301" display="https://www.concordmonitor.com/Archive/2015/09/dregabook-cmforum-091315" xr:uid="{00000000-0004-0000-0400-00002D010000}"/>
    <hyperlink ref="F125" r:id="rId302" display="https://www.concordmonitor.com/Archive/2015/09/dregabook-cmforum-091315" xr:uid="{00000000-0004-0000-0400-00002E010000}"/>
    <hyperlink ref="H125" r:id="rId303" location=":~:text=Drega%2C%20armed%20with%20a%20now,battle%20with%20police%2C%20authorities%20said.&amp;text=%22When%20his%20wife%20died%2C%20he,just%20never%20got%20over%20it.%22" display="https://www.chicagotribune.com/news/ct-xpm-1997-08-21-9708210178-story.html - :~:text=Drega%2C%20armed%20with%20a%20now,battle%20with%20police%2C%20authorities%20said.&amp;text=%22When%20his%20wife%20died%2C%20he,just%20never%20got%20over%20it.%22" xr:uid="{00000000-0004-0000-0400-00002F010000}"/>
    <hyperlink ref="J126" r:id="rId304" display="http://www.clarkprosecutor.org/html/death/US/wise992.htm" xr:uid="{00000000-0004-0000-0400-000030010000}"/>
    <hyperlink ref="M126" r:id="rId305" display="https://www.vpc.org/studies/wgun970915.htm" xr:uid="{00000000-0004-0000-0400-000031010000}"/>
    <hyperlink ref="H127" r:id="rId306" display="https://caselaw.findlaw.com/fl-supreme-court/1559835.html" xr:uid="{00000000-0004-0000-0400-000032010000}"/>
    <hyperlink ref="K127" r:id="rId307" display="https://caselaw.findlaw.com/fl-supreme-court/1559835.html" xr:uid="{00000000-0004-0000-0400-000033010000}"/>
    <hyperlink ref="H128" r:id="rId308" display="https://caselaw.findlaw.com/fl-supreme-court/1559835.html" xr:uid="{00000000-0004-0000-0400-000034010000}"/>
    <hyperlink ref="F129" r:id="rId309" display="https://www.latimes.com/archives/la-xpm-1998-jan-25-mn-12112-story.html" xr:uid="{00000000-0004-0000-0400-000035010000}"/>
    <hyperlink ref="I129" r:id="rId310" display="https://www.latimes.com/archives/la-xpm-1997-dec-20-mn-431-story.html" xr:uid="{00000000-0004-0000-0400-000036010000}"/>
    <hyperlink ref="J129" r:id="rId311" display="https://www.latimes.com/archives/la-xpm-1998-jan-25-mn-12112-story.html" xr:uid="{00000000-0004-0000-0400-000037010000}"/>
    <hyperlink ref="H129" r:id="rId312" display="https://www.latimes.com/archives/la-xpm-1998-jan-25-mn-12112-story.html" xr:uid="{00000000-0004-0000-0400-000038010000}"/>
    <hyperlink ref="K129" r:id="rId313" display="https://www.latimes.com/archives/la-xpm-1997-dec-20-mn-431-story.html" xr:uid="{00000000-0004-0000-0400-000039010000}"/>
    <hyperlink ref="L129" r:id="rId314" display="https://www.latimes.com/archives/la-xpm-1998-jan-25-mn-12112-story.html" xr:uid="{00000000-0004-0000-0400-00003A010000}"/>
    <hyperlink ref="H130" r:id="rId315" display="https://www.latimes.com/archives/la-xpm-1997-dec-20-mn-431-story.html" xr:uid="{00000000-0004-0000-0400-00003B010000}"/>
    <hyperlink ref="K130" r:id="rId316" display="https://www.vpc.org/studies/wgun971218.htm" xr:uid="{00000000-0004-0000-0400-00003C010000}"/>
    <hyperlink ref="L130" r:id="rId317" display="https://www.latimes.com/archives/la-xpm-1998-jan-25-mn-12112-story.html" xr:uid="{00000000-0004-0000-0400-00003D010000}"/>
    <hyperlink ref="H131" r:id="rId318" display="https://www.latimes.com/archives/la-xpm-1997-dec-20-mn-431-story.html" xr:uid="{00000000-0004-0000-0400-00003E010000}"/>
    <hyperlink ref="K131" r:id="rId319" display="https://www.vpc.org/studies/wgun971218.htm" xr:uid="{00000000-0004-0000-0400-00003F010000}"/>
    <hyperlink ref="L131" r:id="rId320" display="https://www.latimes.com/archives/la-xpm-1998-jan-25-mn-12112-story.html" xr:uid="{00000000-0004-0000-0400-000040010000}"/>
    <hyperlink ref="K132" r:id="rId321" display="https://www.vpc.org/studies/wgun980306.htm" xr:uid="{00000000-0004-0000-0400-000041010000}"/>
    <hyperlink ref="L132" r:id="rId322" display="https://www.vpc.org/studies/wgun980306.htm" xr:uid="{00000000-0004-0000-0400-000042010000}"/>
    <hyperlink ref="F133" r:id="rId323" display="https://www.vpc.org/studies/wgun980324.htm" xr:uid="{00000000-0004-0000-0400-000043010000}"/>
    <hyperlink ref="K133" r:id="rId324" display="https://www.nytimes.com/1998/03/29/us/from-wild-talk-and-friendship-to-five-deaths-in-a-schoolyard.html?mcubz=0" xr:uid="{00000000-0004-0000-0400-000044010000}"/>
    <hyperlink ref="P133" r:id="rId325" display="https://www.nytimes.com/1998/03/29/us/from-wild-talk-and-friendship-to-five-deaths-in-a-schoolyard.html?mcubz=0" xr:uid="{00000000-0004-0000-0400-000045010000}"/>
    <hyperlink ref="F134" r:id="rId326" display="https://www.vpc.org/studies/wgun980324.htm" xr:uid="{00000000-0004-0000-0400-000046010000}"/>
    <hyperlink ref="I134" r:id="rId327" display="https://www.nytimes.com/1998/03/29/us/from-wild-talk-and-friendship-to-five-deaths-in-a-schoolyard.html?mcubz=0" xr:uid="{00000000-0004-0000-0400-000047010000}"/>
    <hyperlink ref="H134" r:id="rId328" display="https://www.arkansasonline.com/news/2017/aug/16/school-shooters-swapped-blame-20170816/" xr:uid="{00000000-0004-0000-0400-000048010000}"/>
    <hyperlink ref="K134" r:id="rId329" display="https://www.nytimes.com/1998/03/29/us/from-wild-talk-and-friendship-to-five-deaths-in-a-schoolyard.html?mcubz=0" xr:uid="{00000000-0004-0000-0400-000049010000}"/>
    <hyperlink ref="P134" r:id="rId330" display="https://www.nytimes.com/1998/03/29/us/from-wild-talk-and-friendship-to-five-deaths-in-a-schoolyard.html?mcubz=0" xr:uid="{00000000-0004-0000-0400-00004A010000}"/>
    <hyperlink ref="F135" r:id="rId331" display="https://www.vpc.org/studies/wgun980324.htm" xr:uid="{00000000-0004-0000-0400-00004B010000}"/>
    <hyperlink ref="K135" r:id="rId332" display="https://www.nytimes.com/1998/03/29/us/from-wild-talk-and-friendship-to-five-deaths-in-a-schoolyard.html?mcubz=0" xr:uid="{00000000-0004-0000-0400-00004C010000}"/>
    <hyperlink ref="P135" r:id="rId333" display="https://www.nytimes.com/1998/03/29/us/from-wild-talk-and-friendship-to-five-deaths-in-a-schoolyard.html?mcubz=0" xr:uid="{00000000-0004-0000-0400-00004D010000}"/>
    <hyperlink ref="F136" r:id="rId334" display="https://www.vpc.org/studies/wgun980324.htm" xr:uid="{00000000-0004-0000-0400-00004E010000}"/>
    <hyperlink ref="K136" r:id="rId335" display="https://www.nytimes.com/1998/03/29/us/from-wild-talk-and-friendship-to-five-deaths-in-a-schoolyard.html?mcubz=0" xr:uid="{00000000-0004-0000-0400-00004F010000}"/>
    <hyperlink ref="P136" r:id="rId336" display="https://www.nytimes.com/1998/03/29/us/from-wild-talk-and-friendship-to-five-deaths-in-a-schoolyard.html?mcubz=0" xr:uid="{00000000-0004-0000-0400-000050010000}"/>
    <hyperlink ref="F137" r:id="rId337" display="https://www.vpc.org/studies/wgun980324.htm" xr:uid="{00000000-0004-0000-0400-000051010000}"/>
    <hyperlink ref="K137" r:id="rId338" display="https://www.nytimes.com/1998/03/29/us/from-wild-talk-and-friendship-to-five-deaths-in-a-schoolyard.html?mcubz=0" xr:uid="{00000000-0004-0000-0400-000052010000}"/>
    <hyperlink ref="P137" r:id="rId339" display="https://www.nytimes.com/1998/03/29/us/from-wild-talk-and-friendship-to-five-deaths-in-a-schoolyard.html?mcubz=0" xr:uid="{00000000-0004-0000-0400-000053010000}"/>
    <hyperlink ref="F138" r:id="rId340" display="https://www.vpc.org/studies/wgun980324.htm" xr:uid="{00000000-0004-0000-0400-000054010000}"/>
    <hyperlink ref="H138" r:id="rId341" display="https://www.nytimes.com/1998/03/29/us/from-wild-talk-and-friendship-to-five-deaths-in-a-schoolyard.html?mcubz=0" xr:uid="{00000000-0004-0000-0400-000055010000}"/>
    <hyperlink ref="K138" r:id="rId342" display="https://www.nytimes.com/1998/03/29/us/from-wild-talk-and-friendship-to-five-deaths-in-a-schoolyard.html?mcubz=0" xr:uid="{00000000-0004-0000-0400-000056010000}"/>
    <hyperlink ref="P138" r:id="rId343" display="https://www.nytimes.com/1998/03/29/us/from-wild-talk-and-friendship-to-five-deaths-in-a-schoolyard.html?mcubz=0" xr:uid="{00000000-0004-0000-0400-000057010000}"/>
    <hyperlink ref="F139" r:id="rId344" display="https://www.vpc.org/studies/wgun980324.htm" xr:uid="{00000000-0004-0000-0400-000058010000}"/>
    <hyperlink ref="K139" r:id="rId345" display="https://www.nytimes.com/1998/03/29/us/from-wild-talk-and-friendship-to-five-deaths-in-a-schoolyard.html?mcubz=0" xr:uid="{00000000-0004-0000-0400-000059010000}"/>
    <hyperlink ref="P139" r:id="rId346" display="https://www.nytimes.com/1998/03/29/us/from-wild-talk-and-friendship-to-five-deaths-in-a-schoolyard.html?mcubz=0" xr:uid="{00000000-0004-0000-0400-00005A010000}"/>
    <hyperlink ref="F140" r:id="rId347" display="https://www.vpc.org/studies/wgun980324.htm" xr:uid="{00000000-0004-0000-0400-00005B010000}"/>
    <hyperlink ref="K140" r:id="rId348" display="https://www.nytimes.com/1998/03/29/us/from-wild-talk-and-friendship-to-five-deaths-in-a-schoolyard.html?mcubz=0" xr:uid="{00000000-0004-0000-0400-00005C010000}"/>
    <hyperlink ref="P140" r:id="rId349" display="https://www.nytimes.com/1998/03/29/us/from-wild-talk-and-friendship-to-five-deaths-in-a-schoolyard.html?mcubz=0" xr:uid="{00000000-0004-0000-0400-00005D010000}"/>
    <hyperlink ref="H141" r:id="rId350" display="https://www.nytimes.com/1998/03/29/us/from-wild-talk-and-friendship-to-five-deaths-in-a-schoolyard.html?mcubz=0" xr:uid="{00000000-0004-0000-0400-00005E010000}"/>
    <hyperlink ref="K141" r:id="rId351" display="https://www.nytimes.com/1998/03/29/us/from-wild-talk-and-friendship-to-five-deaths-in-a-schoolyard.html?mcubz=0" xr:uid="{00000000-0004-0000-0400-00005F010000}"/>
    <hyperlink ref="P141" r:id="rId352" display="https://www.nytimes.com/1998/03/29/us/from-wild-talk-and-friendship-to-five-deaths-in-a-schoolyard.html?mcubz=0" xr:uid="{00000000-0004-0000-0400-000060010000}"/>
    <hyperlink ref="F142" r:id="rId353" display="https://www.vpc.org/studies/wgun980324.htm" xr:uid="{00000000-0004-0000-0400-000061010000}"/>
    <hyperlink ref="K142" r:id="rId354" display="https://www.nytimes.com/1998/03/29/us/from-wild-talk-and-friendship-to-five-deaths-in-a-schoolyard.html?mcubz=0" xr:uid="{00000000-0004-0000-0400-000062010000}"/>
    <hyperlink ref="P142" r:id="rId355" display="https://www.nytimes.com/1998/03/29/us/from-wild-talk-and-friendship-to-five-deaths-in-a-schoolyard.html?mcubz=0" xr:uid="{00000000-0004-0000-0400-000063010000}"/>
    <hyperlink ref="J143" r:id="rId356" display="https://www.pbs.org/wgbh/pages/frontline/shows/kinkel/kip/cron.html" xr:uid="{00000000-0004-0000-0400-000064010000}"/>
    <hyperlink ref="H143" r:id="rId357" display="https://www.pbs.org/wgbh/pages/frontline/shows/kinkel/kip/cron.html" xr:uid="{00000000-0004-0000-0400-000065010000}"/>
    <hyperlink ref="K143" r:id="rId358" display="https://www.pbs.org/wgbh/pages/frontline/shows/kinkel/kip/cron.html" xr:uid="{00000000-0004-0000-0400-000066010000}"/>
    <hyperlink ref="O143" r:id="rId359" display="https://www.pbs.org/wgbh/pages/frontline/shows/kinkel/kip/cron.html" xr:uid="{00000000-0004-0000-0400-000067010000}"/>
    <hyperlink ref="H144" r:id="rId360" display="https://www.pbs.org/wgbh/pages/frontline/shows/kinkel/kip/cron.html" xr:uid="{00000000-0004-0000-0400-000068010000}"/>
    <hyperlink ref="K144" r:id="rId361" display="https://www.pbs.org/wgbh/pages/frontline/shows/kinkel/kip/cron.html" xr:uid="{00000000-0004-0000-0400-000069010000}"/>
    <hyperlink ref="M144" r:id="rId362" display="https://www.pbs.org/wgbh/pages/frontline/shows/kinkel/kip/cron.html" xr:uid="{00000000-0004-0000-0400-00006A010000}"/>
    <hyperlink ref="H145" r:id="rId363" display="https://www.pbs.org/wgbh/pages/frontline/shows/kinkel/kip/cron.html" xr:uid="{00000000-0004-0000-0400-00006B010000}"/>
    <hyperlink ref="K145" r:id="rId364" display="https://www.pbs.org/wgbh/pages/frontline/shows/kinkel/kip/cron.html" xr:uid="{00000000-0004-0000-0400-00006C010000}"/>
    <hyperlink ref="P145" r:id="rId365" display="https://www.pbs.org/wgbh/pages/frontline/shows/kinkel/kip/cron.html" xr:uid="{00000000-0004-0000-0400-00006D010000}"/>
    <hyperlink ref="F146" r:id="rId366" display="https://www.weeklycitizen.com/article/20080610/NEWS/306109986" xr:uid="{00000000-0004-0000-0400-00006E010000}"/>
    <hyperlink ref="H146" r:id="rId367" display="https://www.nytimes.com/1999/03/12/us/louisiana-shooting-kills-3-at-church-and-one-at-home.html" xr:uid="{00000000-0004-0000-0400-00006F010000}"/>
    <hyperlink ref="I147" r:id="rId368" display="http://www.cnn.com/SPECIALS/2000/columbine.cd/Pages/EQUIPMENT_TEXT.htm" xr:uid="{00000000-0004-0000-0400-000070010000}"/>
    <hyperlink ref="H147" r:id="rId369" display="http://www.cnn.com/SPECIALS/2000/columbine.cd/Pages/EQUIPMENT_TEXT.htm" xr:uid="{00000000-0004-0000-0400-000071010000}"/>
    <hyperlink ref="K147" r:id="rId370" display="https://www.latimes.com/archives/la-xpm-1999-aug-19-mn-1611-story.html" xr:uid="{00000000-0004-0000-0400-000072010000}"/>
    <hyperlink ref="M147" r:id="rId371" display="https://www.denverpost.com/1999/04/27/columbine-high-school-shooting-guns/" xr:uid="{00000000-0004-0000-0400-000073010000}"/>
    <hyperlink ref="I148" r:id="rId372" display="http://www.cnn.com/SPECIALS/2000/columbine.cd/Pages/EQUIPMENT_TEXT.htm" xr:uid="{00000000-0004-0000-0400-000074010000}"/>
    <hyperlink ref="H148" r:id="rId373" display="http://www.cnn.com/SPECIALS/2000/columbine.cd/Pages/EQUIPMENT_TEXT.htm" xr:uid="{00000000-0004-0000-0400-000075010000}"/>
    <hyperlink ref="K148" r:id="rId374" display="https://www.latimes.com/archives/la-xpm-1999-aug-19-mn-1611-story.html" xr:uid="{00000000-0004-0000-0400-000076010000}"/>
    <hyperlink ref="M148" r:id="rId375" display="https://www.denverpost.com/1999/04/27/columbine-high-school-shooting-guns/" xr:uid="{00000000-0004-0000-0400-000077010000}"/>
    <hyperlink ref="F149" r:id="rId376" display="https://www.cga.ct.gov/2013/rpt/2013-R-0057.htm" xr:uid="{00000000-0004-0000-0400-000078010000}"/>
    <hyperlink ref="H149" r:id="rId377" display="http://www.cnn.com/SPECIALS/2000/columbine.cd/Pages/EQUIPMENT_TEXT.htm" xr:uid="{00000000-0004-0000-0400-000079010000}"/>
    <hyperlink ref="K149" r:id="rId378" display="https://www.latimes.com/archives/la-xpm-1999-aug-19-mn-1611-story.html" xr:uid="{00000000-0004-0000-0400-00007A010000}"/>
    <hyperlink ref="M149" r:id="rId379" display="https://www.denverpost.com/1999/04/27/columbine-high-school-shooting-guns/" xr:uid="{00000000-0004-0000-0400-00007B010000}"/>
    <hyperlink ref="F150" r:id="rId380" display="https://www.rollingstone.com/culture/culture-features/how-they-got-the-guns-175676/" xr:uid="{00000000-0004-0000-0400-00007C010000}"/>
    <hyperlink ref="H150" r:id="rId381" display="http://www.cnn.com/SPECIALS/2000/columbine.cd/Pages/EQUIPMENT_TEXT.htm" xr:uid="{00000000-0004-0000-0400-00007D010000}"/>
    <hyperlink ref="K150" r:id="rId382" display="https://www.latimes.com/archives/la-xpm-1999-aug-19-mn-1611-story.html" xr:uid="{00000000-0004-0000-0400-00007E010000}"/>
    <hyperlink ref="M150" r:id="rId383" display="https://www.latimes.com/archives/la-xpm-1999-aug-19-mn-1611-story.html" xr:uid="{00000000-0004-0000-0400-00007F010000}"/>
    <hyperlink ref="F152" r:id="rId384" display="https://www.vpc.org/studies/wgun990729.htm" xr:uid="{00000000-0004-0000-0400-000080010000}"/>
    <hyperlink ref="H152" r:id="rId385" display="https://www.nytimes.com/1999/07/31/us/shootings-in-atlanta-the-overview-killer-confessed-in-a-letter-spiked-with-rage.html" xr:uid="{00000000-0004-0000-0400-000081010000}"/>
    <hyperlink ref="L152" r:id="rId386" display="https://www.vpc.org/studies/wgun990729.htm" xr:uid="{00000000-0004-0000-0400-000082010000}"/>
    <hyperlink ref="H153" r:id="rId387" display="https://www.washingtonpost.com/archive/politics/1999/07/31/killer-wrote-of-fear-hopelessness/af33786a-de37-45cd-9d5f-1098379892dd/?noredirect=on" xr:uid="{00000000-0004-0000-0400-000083010000}"/>
    <hyperlink ref="K153" r:id="rId388" display="https://www.washingtonpost.com/archive/politics/1999/07/31/killer-wrote-of-fear-hopelessness/af33786a-de37-45cd-9d5f-1098379892dd/?noredirect=on" xr:uid="{00000000-0004-0000-0400-000084010000}"/>
    <hyperlink ref="L153" r:id="rId389" display="https://www.washingtonpost.com/archive/politics/1999/07/31/killer-wrote-of-fear-hopelessness/af33786a-de37-45cd-9d5f-1098379892dd/?noredirect=on" xr:uid="{00000000-0004-0000-0400-000085010000}"/>
    <hyperlink ref="F154" r:id="rId390" display="https://www.vpc.org/studies/wgun990729.htm" xr:uid="{00000000-0004-0000-0400-000086010000}"/>
    <hyperlink ref="H154" r:id="rId391" display="https://www.nytimes.com/1999/07/31/us/shootings-in-atlanta-the-overview-killer-confessed-in-a-letter-spiked-with-rage.html" xr:uid="{00000000-0004-0000-0400-000087010000}"/>
    <hyperlink ref="K154" r:id="rId392" display="https://www.washingtonpost.com/archive/politics/1999/07/31/killer-wrote-of-fear-hopelessness/af33786a-de37-45cd-9d5f-1098379892dd/?noredirect=on" xr:uid="{00000000-0004-0000-0400-000088010000}"/>
    <hyperlink ref="L154" r:id="rId393" display="https://www.nytimes.com/1999/07/31/us/shootings-in-atlanta-the-overview-killer-confessed-in-a-letter-spiked-with-rage.html" xr:uid="{00000000-0004-0000-0400-000089010000}"/>
    <hyperlink ref="H155" r:id="rId394" display="https://www.washingtonpost.com/archive/politics/1999/07/31/killer-wrote-of-fear-hopelessness/af33786a-de37-45cd-9d5f-1098379892dd/?noredirect=on" xr:uid="{00000000-0004-0000-0400-00008A010000}"/>
    <hyperlink ref="Q155" r:id="rId395" display="https://www.nytimes.com/1999/07/31/us/shootings-in-atlanta-the-overview-killer-confessed-in-a-letter-spiked-with-rage.html" xr:uid="{00000000-0004-0000-0400-00008B010000}"/>
    <hyperlink ref="H156" r:id="rId396" display="https://www.washingtonpost.com/archive/politics/1999/09/18/on-tape-a-methodical-massacre/1b53e0f8-cf9f-455c-9398-a10ab3c4e04d/" xr:uid="{00000000-0004-0000-0400-00008C010000}"/>
    <hyperlink ref="K156" r:id="rId397" display="https://www.nytimes.com/1999/09/17/us/deaths-in-a-church-the-overview-an-angry-mystery-man-who-brought-death.html" xr:uid="{00000000-0004-0000-0400-00008D010000}"/>
    <hyperlink ref="L156" r:id="rId398" display="https://www.nytimes.com/1999/09/17/us/deaths-in-a-church-the-overview-an-angry-mystery-man-who-brought-death.html" xr:uid="{00000000-0004-0000-0400-00008E010000}"/>
    <hyperlink ref="F157" r:id="rId399" display="https://www.washingtonpost.com/archive/politics/1999/09/18/on-tape-a-methodical-massacre/1b53e0f8-cf9f-455c-9398-a10ab3c4e04d/" xr:uid="{00000000-0004-0000-0400-00008F010000}"/>
    <hyperlink ref="H157" r:id="rId400" display="https://www.washingtonpost.com/archive/politics/1999/09/18/on-tape-a-methodical-massacre/1b53e0f8-cf9f-455c-9398-a10ab3c4e04d/" xr:uid="{00000000-0004-0000-0400-000090010000}"/>
    <hyperlink ref="K157" r:id="rId401" display="https://www.nytimes.com/1999/09/17/us/deaths-in-a-church-the-overview-an-angry-mystery-man-who-brought-death.html" xr:uid="{00000000-0004-0000-0400-000091010000}"/>
    <hyperlink ref="L157" r:id="rId402" display="https://www.nytimes.com/1999/09/17/us/deaths-in-a-church-the-overview-an-angry-mystery-man-who-brought-death.html" xr:uid="{00000000-0004-0000-0400-000092010000}"/>
    <hyperlink ref="F158" r:id="rId403" display="https://casetext.com/case/state-v-uyesugi" xr:uid="{00000000-0004-0000-0400-000093010000}"/>
    <hyperlink ref="J158" r:id="rId404" display="https://casetext.com/case/state-v-uyesugi" xr:uid="{00000000-0004-0000-0400-000094010000}"/>
    <hyperlink ref="K158" r:id="rId405" location="jump" display="http://archives.starbulletin.com/1999/11/11/news/story3.html - jump" xr:uid="{00000000-0004-0000-0400-000095010000}"/>
    <hyperlink ref="L158" r:id="rId406" location="jump" display="http://archives.starbulletin.com/1999/11/11/news/story3.html - jump" xr:uid="{00000000-0004-0000-0400-000096010000}"/>
    <hyperlink ref="F159" r:id="rId407" display="https://www.upi.com/Archives/2000/06/09/Charges-dropped-against-Fla-gun-shop/3025960523200/" xr:uid="{00000000-0004-0000-0400-000097010000}"/>
    <hyperlink ref="H159" r:id="rId408" display="https://archive.seattletimes.com/archive/?date=19991231&amp;slug=A20000102010146" xr:uid="{00000000-0004-0000-0400-000098010000}"/>
    <hyperlink ref="K159" r:id="rId409" display="https://www.upi.com/Archives/2000/06/09/Charges-dropped-against-Fla-gun-shop/3025960523200/" xr:uid="{00000000-0004-0000-0400-000099010000}"/>
    <hyperlink ref="M159" r:id="rId410" display="https://www.upi.com/Archives/2000/06/09/Charges-dropped-against-Fla-gun-shop/3025960523200/" xr:uid="{00000000-0004-0000-0400-00009A010000}"/>
    <hyperlink ref="F160" r:id="rId411" display="https://www.tampabay.com/archive/2000/01/01/common-legal-weapons-used-in-hotel-slayings/" xr:uid="{00000000-0004-0000-0400-00009B010000}"/>
    <hyperlink ref="H160" r:id="rId412" display="https://archive.seattletimes.com/archive/?date=19991231&amp;slug=A20000102010146" xr:uid="{00000000-0004-0000-0400-00009C010000}"/>
    <hyperlink ref="L160" r:id="rId413" display="https://www.tampabay.com/archive/2000/01/01/common-legal-weapons-used-in-hotel-slayings/" xr:uid="{00000000-0004-0000-0400-00009D010000}"/>
    <hyperlink ref="F161" r:id="rId414" display="https://abcnews.go.com/US/story?id=95636&amp;page=1" xr:uid="{00000000-0004-0000-0400-00009E010000}"/>
    <hyperlink ref="K161" r:id="rId415" display="https://abcnews.go.com/US/story?id=95636&amp;page=1" xr:uid="{00000000-0004-0000-0400-00009F010000}"/>
    <hyperlink ref="P161" r:id="rId416" display="http://www.txexecutions.org/reports/485.asp" xr:uid="{00000000-0004-0000-0400-0000A0010000}"/>
    <hyperlink ref="F162" r:id="rId417" display="https://old.post-gazette.com/regionstate/20000502gun2.asp" xr:uid="{00000000-0004-0000-0400-0000A1010000}"/>
    <hyperlink ref="L162" r:id="rId418" display="https://old.post-gazette.com/regionstate/20000502gun2.asp" xr:uid="{00000000-0004-0000-0400-0000A2010000}"/>
    <hyperlink ref="H163" r:id="rId419" display="https://caselaw.findlaw.com/ma-supreme-judicial-court/1448833.html" xr:uid="{00000000-0004-0000-0400-0000A3010000}"/>
    <hyperlink ref="K163" r:id="rId420" display="http://content.time.com/time/magazine/article/0,9171,93313-1,00.html" xr:uid="{00000000-0004-0000-0400-0000A4010000}"/>
    <hyperlink ref="M163" r:id="rId421" display="https://caselaw.findlaw.com/ma-supreme-judicial-court/1448833.html" xr:uid="{00000000-0004-0000-0400-0000A5010000}"/>
    <hyperlink ref="H164" r:id="rId422" display="https://caselaw.findlaw.com/ma-supreme-judicial-court/1448833.html" xr:uid="{00000000-0004-0000-0400-0000A6010000}"/>
    <hyperlink ref="K164" r:id="rId423" display="http://content.time.com/time/magazine/article/0,9171,93313-1,00.html" xr:uid="{00000000-0004-0000-0400-0000A7010000}"/>
    <hyperlink ref="M164" r:id="rId424" display="https://caselaw.findlaw.com/ma-supreme-judicial-court/1448833.html" xr:uid="{00000000-0004-0000-0400-0000A8010000}"/>
    <hyperlink ref="H165" r:id="rId425" display="https://caselaw.findlaw.com/ma-supreme-judicial-court/1448833.html" xr:uid="{00000000-0004-0000-0400-0000A9010000}"/>
    <hyperlink ref="K165" r:id="rId426" display="https://caselaw.findlaw.com/ma-supreme-judicial-court/1448833.html" xr:uid="{00000000-0004-0000-0400-0000AA010000}"/>
    <hyperlink ref="M165" r:id="rId427" display="https://caselaw.findlaw.com/ma-supreme-judicial-court/1448833.html" xr:uid="{00000000-0004-0000-0400-0000AB010000}"/>
    <hyperlink ref="F166" r:id="rId428" display="https://caselaw.findlaw.com/ma-supreme-judicial-court/1448833.html" xr:uid="{00000000-0004-0000-0400-0000AC010000}"/>
    <hyperlink ref="I166" r:id="rId429" display="https://www.nytimes.com/2000/12/28/us/man-charged-in-killings-evaded-strict-gun-laws.html" xr:uid="{00000000-0004-0000-0400-0000AD010000}"/>
    <hyperlink ref="H166" r:id="rId430" display="https://caselaw.findlaw.com/ma-supreme-judicial-court/1448833.html" xr:uid="{00000000-0004-0000-0400-0000AE010000}"/>
    <hyperlink ref="K166" r:id="rId431" display="http://content.time.com/time/magazine/article/0,9171,93313-1,00.html" xr:uid="{00000000-0004-0000-0400-0000AF010000}"/>
    <hyperlink ref="M166" r:id="rId432" display="https://caselaw.findlaw.com/ma-supreme-judicial-court/1448833.html" xr:uid="{00000000-0004-0000-0400-0000B0010000}"/>
    <hyperlink ref="H167" r:id="rId433" display="https://www.latimes.com/archives/la-xpm-2001-jan-10-mn-10586-story.html" xr:uid="{00000000-0004-0000-0400-0000B1010000}"/>
    <hyperlink ref="H168" r:id="rId434" display="https://www.latimes.com/archives/la-xpm-2001-jan-10-mn-10586-story.html" xr:uid="{00000000-0004-0000-0400-0000B2010000}"/>
    <hyperlink ref="F169" r:id="rId435" display="https://www.cnn.com/2001/US/02/07/plant.shootings/" xr:uid="{00000000-0004-0000-0400-0000B3010000}"/>
    <hyperlink ref="I169" r:id="rId436" display="https://www.chicagotribune.com/news/ct-xpm-2001-02-06-0102060231-story.html" xr:uid="{00000000-0004-0000-0400-0000B4010000}"/>
    <hyperlink ref="H169" r:id="rId437" display="https://www.cnn.com/2001/US/02/07/plant.shootings/" xr:uid="{00000000-0004-0000-0400-0000B5010000}"/>
    <hyperlink ref="K169" r:id="rId438" display="https://www.cnn.com/2001/US/02/07/plant.shootings/" xr:uid="{00000000-0004-0000-0400-0000B6010000}"/>
    <hyperlink ref="L169" r:id="rId439" display="https://www.chicagotribune.com/news/ct-xpm-2001-02-07-0102070122-story.html" xr:uid="{00000000-0004-0000-0400-0000B7010000}"/>
    <hyperlink ref="F170" r:id="rId440" display="https://www.washingtonpost.com/archive/politics/2001/02/07/ill-shooter-had-gun-owner-id-was-a-felon/51353d19-8945-4702-8292-13859bab3d10/" xr:uid="{00000000-0004-0000-0400-0000B8010000}"/>
    <hyperlink ref="J170" r:id="rId441" display="https://www.cnn.com/2001/US/02/07/plant.shootings/" xr:uid="{00000000-0004-0000-0400-0000B9010000}"/>
    <hyperlink ref="H170" r:id="rId442" display="https://www.chicagotribune.com/news/ct-xpm-2001-02-06-0102060231-story.html" xr:uid="{00000000-0004-0000-0400-0000BA010000}"/>
    <hyperlink ref="Q170" r:id="rId443" display="https://www.chicagotribune.com/news/ct-xpm-2001-02-07-0102070122-story.html" xr:uid="{00000000-0004-0000-0400-0000BB010000}"/>
    <hyperlink ref="H171" r:id="rId444" display="https://www.cnn.com/2001/US/02/07/plant.shootings/" xr:uid="{00000000-0004-0000-0400-0000BC010000}"/>
    <hyperlink ref="Q171" r:id="rId445" display="https://www.chicagotribune.com/news/ct-xpm-2001-02-07-0102070122-story.html" xr:uid="{00000000-0004-0000-0400-0000BD010000}"/>
    <hyperlink ref="H172" r:id="rId446" display="https://www.cnn.com/2001/US/02/07/plant.shootings/" xr:uid="{00000000-0004-0000-0400-0000BE010000}"/>
    <hyperlink ref="K172" r:id="rId447" display="https://www.cnn.com/2001/US/02/07/plant.shootings/" xr:uid="{00000000-0004-0000-0400-0000BF010000}"/>
    <hyperlink ref="L172" r:id="rId448" display="https://www.chicagotribune.com/news/ct-xpm-2001-02-07-0102070122-story.html" xr:uid="{00000000-0004-0000-0400-0000C0010000}"/>
    <hyperlink ref="I174" r:id="rId449" display="https://www.latimes.com/archives/la-xpm-2001-sep-11-mn-44550-story.html" xr:uid="{00000000-0004-0000-0400-0000C1010000}"/>
    <hyperlink ref="H174" r:id="rId450" display="https://www.cnn.com/2001/US/09/10/sacramento.shooting/" xr:uid="{00000000-0004-0000-0400-0000C2010000}"/>
    <hyperlink ref="K174" r:id="rId451" display="https://www.latimes.com/archives/la-xpm-2001-sep-11-mn-44550-story.html" xr:uid="{00000000-0004-0000-0400-0000C3010000}"/>
    <hyperlink ref="P174" r:id="rId452" display="https://www.sfgate.com/news/article/Sacramento-rampage-5-shot-dead-Slayer-kills-2881164.php" xr:uid="{00000000-0004-0000-0400-0000C4010000}"/>
    <hyperlink ref="H175" r:id="rId453" display="https://www.wired.com/2001/09/co-worker-slaying-suspect-sought/" xr:uid="{00000000-0004-0000-0400-0000C5010000}"/>
    <hyperlink ref="K175" r:id="rId454" display="https://www.latimes.com/archives/la-xpm-2001-sep-11-mn-44550-story.html" xr:uid="{00000000-0004-0000-0400-0000C6010000}"/>
    <hyperlink ref="P175" r:id="rId455" display="https://www.sfgate.com/news/article/Sacramento-rampage-5-shot-dead-Slayer-kills-2881164.php" xr:uid="{00000000-0004-0000-0400-0000C7010000}"/>
    <hyperlink ref="K176" r:id="rId456" display="https://www.latimes.com/archives/la-xpm-2001-sep-11-mn-44550-story.html" xr:uid="{00000000-0004-0000-0400-0000C8010000}"/>
    <hyperlink ref="P176" r:id="rId457" display="https://www.sfgate.com/news/article/Sacramento-rampage-5-shot-dead-Slayer-kills-2881164.php" xr:uid="{00000000-0004-0000-0400-0000C9010000}"/>
    <hyperlink ref="H177" r:id="rId458" display="https://www.wired.com/2001/09/co-worker-slaying-suspect-sought/" xr:uid="{00000000-0004-0000-0400-0000CA010000}"/>
    <hyperlink ref="K177" r:id="rId459" display="https://www.latimes.com/archives/la-xpm-2001-sep-11-mn-44550-story.html" xr:uid="{00000000-0004-0000-0400-0000CB010000}"/>
    <hyperlink ref="P177" r:id="rId460" display="https://www.sfgate.com/news/article/Sacramento-rampage-5-shot-dead-Slayer-kills-2881164.php" xr:uid="{00000000-0004-0000-0400-0000CC010000}"/>
    <hyperlink ref="I178" r:id="rId461" display="https://www.latimes.com/archives/la-xpm-2001-sep-11-mn-44550-story.html" xr:uid="{00000000-0004-0000-0400-0000CD010000}"/>
    <hyperlink ref="K178" r:id="rId462" display="https://www.latimes.com/archives/la-xpm-2001-sep-11-mn-44550-story.html" xr:uid="{00000000-0004-0000-0400-0000CE010000}"/>
    <hyperlink ref="P178" r:id="rId463" display="https://www.sfgate.com/news/article/Sacramento-rampage-5-shot-dead-Slayer-kills-2881164.php" xr:uid="{00000000-0004-0000-0400-0000CF010000}"/>
    <hyperlink ref="I179" r:id="rId464" display="https://www.southbendtribune.com/news/local/bertrand-survivor-still-lives-with-nightmare/article_a1bf5e98-ee34-11e2-81df-0019bb30f31a.html" xr:uid="{00000000-0004-0000-0400-0000D0010000}"/>
    <hyperlink ref="H179" r:id="rId465" display="https://www.ourmidland.com/news/article/Gunman-had-history-of-mental-illness-7103532.php" xr:uid="{00000000-0004-0000-0400-0000D1010000}"/>
    <hyperlink ref="K179" r:id="rId466" display="https://www.nwitimes.com/uncategorized/south-bend-factory-worker-kills-then-himself/article_f9510908-20ec-5629-8891-42c83bb776f3.html" xr:uid="{00000000-0004-0000-0400-0000D2010000}"/>
    <hyperlink ref="L179" r:id="rId467" display="https://www.nwitimes.com/uncategorized/south-bend-factory-worker-kills-then-himself/article_f9510908-20ec-5629-8891-42c83bb776f3.html" xr:uid="{00000000-0004-0000-0400-0000D3010000}"/>
    <hyperlink ref="H180" r:id="rId468" display="https://www.ourmidland.com/news/article/Gunman-had-history-of-mental-illness-7103532.php" xr:uid="{00000000-0004-0000-0400-0000D4010000}"/>
    <hyperlink ref="K180" r:id="rId469" display="https://www.nwitimes.com/uncategorized/south-bend-factory-worker-kills-then-himself/article_f9510908-20ec-5629-8891-42c83bb776f3.html" xr:uid="{00000000-0004-0000-0400-0000D5010000}"/>
    <hyperlink ref="L180" r:id="rId470" display="https://www.nwitimes.com/uncategorized/south-bend-factory-worker-kills-then-himself/article_f9510908-20ec-5629-8891-42c83bb776f3.html" xr:uid="{00000000-0004-0000-0400-0000D6010000}"/>
    <hyperlink ref="F181" r:id="rId471" display="https://www1.nyc.gov/assets/nypd/downloads/pdf/counterterrorism/active-shooter-analysis2016.pdf" xr:uid="{00000000-0004-0000-0400-0000D7010000}"/>
    <hyperlink ref="H182" r:id="rId472" display="https://www.nytimes.com/2003/07/09/us/man-kills-5-co-workers-at-plant-and-himself.html" xr:uid="{00000000-0004-0000-0400-0000D8010000}"/>
    <hyperlink ref="L182" r:id="rId473" display="https://www.csgv.org/mass-shootings-by-good-guys/" xr:uid="{00000000-0004-0000-0400-0000D9010000}"/>
    <hyperlink ref="H183" r:id="rId474" display="https://www.nytimes.com/2003/07/09/us/man-kills-5-co-workers-at-plant-and-himself.html" xr:uid="{00000000-0004-0000-0400-0000DA010000}"/>
    <hyperlink ref="L183" r:id="rId475" display="https://www.csgv.org/mass-shootings-by-good-guys/" xr:uid="{00000000-0004-0000-0400-0000DB010000}"/>
    <hyperlink ref="H184" r:id="rId476" display="https://www.nytimes.com/2003/07/09/us/man-kills-5-co-workers-at-plant-and-himself.html" xr:uid="{00000000-0004-0000-0400-0000DC010000}"/>
    <hyperlink ref="L184" r:id="rId477" display="https://www.csgv.org/mass-shootings-by-good-guys/" xr:uid="{00000000-0004-0000-0400-0000DD010000}"/>
    <hyperlink ref="H185" r:id="rId478" display="https://www.nytimes.com/2003/07/09/us/man-kills-5-co-workers-at-plant-and-himself.html" xr:uid="{00000000-0004-0000-0400-0000DE010000}"/>
    <hyperlink ref="L185" r:id="rId479" display="https://www.csgv.org/mass-shootings-by-good-guys/" xr:uid="{00000000-0004-0000-0400-0000DF010000}"/>
    <hyperlink ref="I186" r:id="rId480" display="https://www.chicagotribune.com/news/ct-xpm-2003-08-30-0308300258-story.html" xr:uid="{00000000-0004-0000-0400-0000E0010000}"/>
    <hyperlink ref="H186" r:id="rId481" display="https://www.nytimes.com/2003/07/09/us/man-kills-5-co-workers-at-plant-and-himself.html" xr:uid="{00000000-0004-0000-0400-0000E1010000}"/>
    <hyperlink ref="L186" r:id="rId482" display="https://www.csgv.org/mass-shootings-by-good-guys/" xr:uid="{00000000-0004-0000-0400-0000E2010000}"/>
    <hyperlink ref="F189" r:id="rId483" display="https://www2.ljworld.com/news/2004/jul/04/chaos_reigned_at/" xr:uid="{00000000-0004-0000-0400-0000E3010000}"/>
    <hyperlink ref="H189" r:id="rId484" display="https://www.nytimes.com/2004/07/04/us/death-toll-rises-to-six-after-workplace-shooting.html" xr:uid="{00000000-0004-0000-0400-0000E4010000}"/>
    <hyperlink ref="F190" r:id="rId485" display="https://www2.ljworld.com/news/2004/jul/04/chaos_reigned_at/" xr:uid="{00000000-0004-0000-0400-0000E5010000}"/>
    <hyperlink ref="H190" r:id="rId486" display="https://www.nytimes.com/2004/07/04/us/death-toll-rises-to-six-after-workplace-shooting.html" xr:uid="{00000000-0004-0000-0400-0000E6010000}"/>
    <hyperlink ref="F191" r:id="rId487" display="https://www.cnn.com/2004/LAW/11/23/hunters.shot/index.html" xr:uid="{00000000-0004-0000-0400-0000E7010000}"/>
    <hyperlink ref="J191" r:id="rId488" display="http://news.minnesota.publicradio.org/features/2004/11/22_kelleherb_huntershooting/" xr:uid="{00000000-0004-0000-0400-0000E8010000}"/>
    <hyperlink ref="H193" r:id="rId489" display="https://www.cnn.com/2013/10/31/us/atlanta-courthouse-shootings-fast-facts/index.html" xr:uid="{00000000-0004-0000-0400-0000E9010000}"/>
    <hyperlink ref="K193" r:id="rId490" display="https://www.cnn.com/2013/10/31/us/atlanta-courthouse-shootings-fast-facts/index.html" xr:uid="{00000000-0004-0000-0400-0000EA010000}"/>
    <hyperlink ref="K194" r:id="rId491" display="https://www.cnn.com/2013/10/31/us/atlanta-courthouse-shootings-fast-facts/index.html" xr:uid="{00000000-0004-0000-0400-0000EB010000}"/>
    <hyperlink ref="F195" r:id="rId492" display="https://www.latimes.com/archives/la-xpm-2005-mar-13-na-atlanta13-story.html" xr:uid="{00000000-0004-0000-0400-0000EC010000}"/>
    <hyperlink ref="K195" r:id="rId493" display="https://www.cnn.com/2013/10/31/us/atlanta-courthouse-shootings-fast-facts/index.html" xr:uid="{00000000-0004-0000-0400-0000ED010000}"/>
    <hyperlink ref="F197" r:id="rId494" display="http://www.indexjournal.com/news/movingbeyond/where-did-they-get-the-guns/article_bc17a854-ed76-5604-9d3b-dc3212b84ef0.html" xr:uid="{00000000-0004-0000-0400-0000EE010000}"/>
    <hyperlink ref="H197" r:id="rId495" display="https://www.seattletimes.com/nation-world/slain-security-guard-prevented-more-red-lake-deaths-officials-say/" xr:uid="{00000000-0004-0000-0400-0000EF010000}"/>
    <hyperlink ref="K197" r:id="rId496" display="https://www.mprnews.org/story/2015/03/18/red-lake-shooting-explained" xr:uid="{00000000-0004-0000-0400-0000F0010000}"/>
    <hyperlink ref="P197" r:id="rId497" display="https://www.mprnews.org/story/2015/03/18/red-lake-shooting-explained" xr:uid="{00000000-0004-0000-0400-0000F1010000}"/>
    <hyperlink ref="F198" r:id="rId498" display="http://www.indexjournal.com/news/movingbeyond/where-did-they-get-the-guns/article_bc17a854-ed76-5604-9d3b-dc3212b84ef0.html" xr:uid="{00000000-0004-0000-0400-0000F2010000}"/>
    <hyperlink ref="H198" r:id="rId499" display="https://www.seattletimes.com/nation-world/slain-security-guard-prevented-more-red-lake-deaths-officials-say/" xr:uid="{00000000-0004-0000-0400-0000F3010000}"/>
    <hyperlink ref="K198" r:id="rId500" display="https://www.mprnews.org/story/2015/03/18/red-lake-shooting-explained" xr:uid="{00000000-0004-0000-0400-0000F4010000}"/>
    <hyperlink ref="P198" r:id="rId501" display="https://www.mprnews.org/story/2015/03/18/red-lake-shooting-explained" xr:uid="{00000000-0004-0000-0400-0000F5010000}"/>
    <hyperlink ref="F199" r:id="rId502" display="http://www.indexjournal.com/news/movingbeyond/where-did-they-get-the-guns/article_bc17a854-ed76-5604-9d3b-dc3212b84ef0.html" xr:uid="{00000000-0004-0000-0400-0000F6010000}"/>
    <hyperlink ref="H199" r:id="rId503" display="https://www.nytimes.com/2005/03/23/us/behind-the-why-of-a-rampage-loner-with-a-taste-for-nazism.html" xr:uid="{00000000-0004-0000-0400-0000F7010000}"/>
    <hyperlink ref="K199" r:id="rId504" location="v=onepage&amp;q=jeff%20weise%20.22-caliber%20gun&amp;f=false" display="https://books.google.com/books?id=ZW5vDwAAQBAJ&amp;pg=PA375&amp;lpg=PA375&amp;dq=jeff+weise+.22-caliber+gun&amp;source=bl&amp;ots=PhEi6phYAG&amp;sig=ACfU3U1MhVSS2MOjLmUMDsbMfmAdNSluSA&amp;hl=en&amp;sa=X&amp;ved=2ahUKEwjv9qGDroTqAhUpQzABHUzFDLs4ChDoATAAegQIChAB - v=onepage&amp;q=jeff%20weise%20.22-caliber%20gun&amp;f=false" xr:uid="{00000000-0004-0000-0400-0000F8010000}"/>
    <hyperlink ref="M199" r:id="rId505" location="v=onepage&amp;q=jeff%20weise%20.22-caliber%20gun&amp;f=false" display="https://books.google.com/books?id=ZW5vDwAAQBAJ&amp;pg=PA375&amp;lpg=PA375&amp;dq=jeff+weise+.22-caliber+gun&amp;source=bl&amp;ots=PhEi6phYAG&amp;sig=ACfU3U1MhVSS2MOjLmUMDsbMfmAdNSluSA&amp;hl=en&amp;sa=X&amp;ved=2ahUKEwjv9qGDroTqAhUpQzABHUzFDLs4ChDoATAAegQIChAB - v=onepage&amp;q=jeff%20weise%20.22-caliber%20gun&amp;f=false" xr:uid="{00000000-0004-0000-0400-0000F9010000}"/>
    <hyperlink ref="H200" r:id="rId506" display="https://www.chron.com/news/houston-texas/article/Gunman-kills-himself-after-deadly-rampage-1916640.php" xr:uid="{00000000-0004-0000-0400-0000FA010000}"/>
    <hyperlink ref="H201" r:id="rId507" display="https://www.chron.com/news/houston-texas/article/Gunman-kills-himself-after-deadly-rampage-1916640.php" xr:uid="{00000000-0004-0000-0400-0000FB010000}"/>
    <hyperlink ref="F203" r:id="rId508" display="https://pdfs.semanticscholar.org/3cc9/9a09b5e86ac095439ac15b0278c7ab45f2f9.pdf" xr:uid="{00000000-0004-0000-0400-0000FC010000}"/>
    <hyperlink ref="H203" r:id="rId509" display="https://pdfs.semanticscholar.org/3cc9/9a09b5e86ac095439ac15b0278c7ab45f2f9.pdf" xr:uid="{00000000-0004-0000-0400-0000FD010000}"/>
    <hyperlink ref="K203" r:id="rId510" display="https://web.archive.org/web/20141203154553/http:/seattletimes.com/html/localnews/2002893027_webshooter27.html" xr:uid="{00000000-0004-0000-0400-0000FE010000}"/>
    <hyperlink ref="L203" r:id="rId511" display="https://archive.seattletimes.com/archive/?date=20060327&amp;slug=webshooter27" xr:uid="{00000000-0004-0000-0400-0000FF010000}"/>
    <hyperlink ref="F204" r:id="rId512" display="https://web.archive.org/web/20060329185249/seattlepi.nwsource.com/local/264597_huffarsenal28.html" xr:uid="{00000000-0004-0000-0400-000000020000}"/>
    <hyperlink ref="H204" r:id="rId513" display="https://web.archive.org/web/20060329185249/seattlepi.nwsource.com/local/264597_huffarsenal28.html" xr:uid="{00000000-0004-0000-0400-000001020000}"/>
    <hyperlink ref="F205" r:id="rId514" display="https://web.archive.org/web/20060329185249/seattlepi.nwsource.com/local/264597_huffarsenal28.html" xr:uid="{00000000-0004-0000-0400-000002020000}"/>
    <hyperlink ref="I205" r:id="rId515" display="https://web.archive.org/web/20060329185249/seattlepi.nwsource.com/local/264597_huffarsenal28.html" xr:uid="{00000000-0004-0000-0400-000003020000}"/>
    <hyperlink ref="H205" r:id="rId516" display="https://pdfs.semanticscholar.org/3cc9/9a09b5e86ac095439ac15b0278c7ab45f2f9.pdf" xr:uid="{00000000-0004-0000-0400-000004020000}"/>
    <hyperlink ref="K205" r:id="rId517" display="https://web.archive.org/web/20141203154553/http:/seattletimes.com/html/localnews/2002893027_webshooter27.html" xr:uid="{00000000-0004-0000-0400-000005020000}"/>
    <hyperlink ref="L205" r:id="rId518" display="https://web.archive.org/web/20060329185249/seattlepi.nwsource.com/local/264597_huffarsenal28.html" xr:uid="{00000000-0004-0000-0400-000006020000}"/>
    <hyperlink ref="F207" r:id="rId519" display="https://www.standard.co.uk/news/amish-school-assassin-told-wife-he-had-molested-children-before-7270928.html" xr:uid="{00000000-0004-0000-0400-000007020000}"/>
    <hyperlink ref="H207" r:id="rId520" display="https://www.nytimes.com/2006/10/03/us/03amish.html" xr:uid="{00000000-0004-0000-0400-000008020000}"/>
    <hyperlink ref="L207" r:id="rId521" display="https://www.nytimes.com/2006/10/03/us/03amish.html" xr:uid="{00000000-0004-0000-0400-000009020000}"/>
    <hyperlink ref="F208" r:id="rId522" display="https://www.standard.co.uk/news/amish-school-assassin-told-wife-he-had-molested-children-before-7270928.html" xr:uid="{00000000-0004-0000-0400-00000A020000}"/>
    <hyperlink ref="H208" r:id="rId523" display="https://www.nytimes.com/2006/10/03/us/03amish.html" xr:uid="{00000000-0004-0000-0400-00000B020000}"/>
    <hyperlink ref="K208" r:id="rId524" display="https://www.nytimes.com/2006/10/03/us/03amish.html" xr:uid="{00000000-0004-0000-0400-00000C020000}"/>
    <hyperlink ref="L208" r:id="rId525" display="https://www.nytimes.com/2006/10/03/us/03amish.html" xr:uid="{00000000-0004-0000-0400-00000D020000}"/>
    <hyperlink ref="F209" r:id="rId526" display="https://lancasteronline.com/news/a-killer-s-life-an-in-depth-look-at-nickel/article_d302e19f-a0df-5c4f-8fe7-2fa6b31a0dbf.html" xr:uid="{00000000-0004-0000-0400-00000E020000}"/>
    <hyperlink ref="I209" r:id="rId527" display="https://www.standard.co.uk/news/amish-school-assassin-told-wife-he-had-molested-children-before-7270928.html" xr:uid="{00000000-0004-0000-0400-00000F020000}"/>
    <hyperlink ref="L209" r:id="rId528" display="https://www.nytimes.com/2006/10/03/us/03amish.html" xr:uid="{00000000-0004-0000-0400-000010020000}"/>
    <hyperlink ref="F210" r:id="rId529" display="https://www.ksl.com/article/2086836/man-accused-of-lying-about-weapon-reaches-plea-deal" xr:uid="{00000000-0004-0000-0400-000011020000}"/>
    <hyperlink ref="I210" r:id="rId530" display="https://www.ksl.com/article/2086836/man-accused-of-lying-about-weapon-reaches-plea-deal" xr:uid="{00000000-0004-0000-0400-000012020000}"/>
    <hyperlink ref="H210" r:id="rId531" display="https://web.archive.org/web/20141006080559/http:/extras.mnginteractive.com/live/media/site297/2008/0129/20080129_023518_trolleyreport.pdf" xr:uid="{00000000-0004-0000-0400-000013020000}"/>
    <hyperlink ref="K210" r:id="rId532" display="https://www.deseret.com/2008/1/30/20067487/final-report-finds-no-motive-for-trolley-square-massacre" xr:uid="{00000000-0004-0000-0400-000014020000}"/>
    <hyperlink ref="M210" r:id="rId533" display="https://www.heraldextra.com/news/state-and-regional/lawyer-pawn-shop-sold-gun-used-in-shooting-spree-illegally/article_5d18cc65-f216-5fa1-a367-2fe34dc0dd54.html" xr:uid="{00000000-0004-0000-0400-000015020000}"/>
    <hyperlink ref="F211" r:id="rId534" location="gallery-carousel-446996" display="https://archive.sltrib.com/story.php?ref=/ci_5918823 - gallery-carousel-446996" xr:uid="{00000000-0004-0000-0400-000016020000}"/>
    <hyperlink ref="H211" r:id="rId535" display="https://web.archive.org/web/20141006080559/http:/extras.mnginteractive.com/live/media/site297/2008/0129/20080129_023518_trolleyreport.pdf" xr:uid="{00000000-0004-0000-0400-000017020000}"/>
    <hyperlink ref="K211" r:id="rId536" location="matthew-hautala" display="https://www.deseret.com/2007/5/19/20019706/2-gun-suspects-appear-in-court - matthew-hautala" xr:uid="{00000000-0004-0000-0400-000018020000}"/>
    <hyperlink ref="M211" r:id="rId537" location="matthew-hautala" display="https://www.deseret.com/2007/5/19/20019706/2-gun-suspects-appear-in-court - matthew-hautala" xr:uid="{00000000-0004-0000-0400-000019020000}"/>
    <hyperlink ref="F212" r:id="rId538" display="https://scholar.lib.vt.edu/prevail/docs/VTReviewPanelReport.pdf" xr:uid="{00000000-0004-0000-0400-00001A020000}"/>
    <hyperlink ref="H212" r:id="rId539" display="https://scholar.lib.vt.edu/prevail/docs/VTReviewPanelReport.pdf" xr:uid="{00000000-0004-0000-0400-00001B020000}"/>
    <hyperlink ref="K212" r:id="rId540" display="https://scholar.lib.vt.edu/prevail/docs/VTReviewPanelReport.pdf" xr:uid="{00000000-0004-0000-0400-00001C020000}"/>
    <hyperlink ref="M212" r:id="rId541" display="https://www.nytimes.com/2007/04/20/us/20cnd-guns.html" xr:uid="{00000000-0004-0000-0400-00001D020000}"/>
    <hyperlink ref="R212" r:id="rId542" xr:uid="{00000000-0004-0000-0400-00001E020000}"/>
    <hyperlink ref="F213" r:id="rId543" display="https://scholar.lib.vt.edu/prevail/docs/VTReviewPanelReport.pdf" xr:uid="{00000000-0004-0000-0400-00001F020000}"/>
    <hyperlink ref="H213" r:id="rId544" display="https://scholar.lib.vt.edu/prevail/docs/VTReviewPanelReport.pdf" xr:uid="{00000000-0004-0000-0400-000020020000}"/>
    <hyperlink ref="K213" r:id="rId545" display="https://scholar.lib.vt.edu/prevail/docs/VTReviewPanelReport.pdf" xr:uid="{00000000-0004-0000-0400-000021020000}"/>
    <hyperlink ref="M213" r:id="rId546" display="https://www.nytimes.com/2007/04/20/us/20cnd-guns.html" xr:uid="{00000000-0004-0000-0400-000022020000}"/>
    <hyperlink ref="R213" r:id="rId547" xr:uid="{00000000-0004-0000-0400-000023020000}"/>
    <hyperlink ref="F214" r:id="rId548" display="https://www.sacbee.com/news/california/article233266349.html" xr:uid="{00000000-0004-0000-0400-000024020000}"/>
    <hyperlink ref="H214" r:id="rId549" display="https://www.denverpost.com/2007/12/07/images-suicide-note-released-in-mall-massacre/" xr:uid="{00000000-0004-0000-0400-000025020000}"/>
    <hyperlink ref="F215" r:id="rId550" display="https://www.9news.com/article/news/local/police-trace-origins-of-gunmans-weapons/73-343084618" xr:uid="{00000000-0004-0000-0400-000026020000}"/>
    <hyperlink ref="H215" r:id="rId551" display="https://web.archive.org/web/20071214043017/http:/hosted.ap.org/dynamic/stories/C/CHURCH_SHOOTINGS?SITE=TXBEA&amp;SECTION=HOME&amp;TEMPLATE=DEFAULT&amp;CTIME=2007-12-09-23-11-41%3A" xr:uid="{00000000-0004-0000-0400-000027020000}"/>
    <hyperlink ref="K215" r:id="rId552" display="https://www.denverpost.com/2007/12/12/gunman-legally-amassed-weaponry-in-years-time/" xr:uid="{00000000-0004-0000-0400-000028020000}"/>
    <hyperlink ref="L215" r:id="rId553" display="https://www.denverpost.com/2007/12/12/gunman-legally-amassed-weaponry-in-years-time/" xr:uid="{00000000-0004-0000-0400-000029020000}"/>
    <hyperlink ref="F216" r:id="rId554" display="https://web.archive.org/web/20071214043017/http:/hosted.ap.org/dynamic/stories/C/CHURCH_SHOOTINGS?SITE=TXBEA&amp;SECTION=HOME&amp;TEMPLATE=DEFAULT&amp;CTIME=2007-12-09-23-11-41%3A" xr:uid="{00000000-0004-0000-0400-00002A020000}"/>
    <hyperlink ref="H216" r:id="rId555" display="https://web.archive.org/web/20071214043017/http:/hosted.ap.org/dynamic/stories/C/CHURCH_SHOOTINGS?SITE=TXBEA&amp;SECTION=HOME&amp;TEMPLATE=DEFAULT&amp;CTIME=2007-12-09-23-11-41%3A" xr:uid="{00000000-0004-0000-0400-00002B020000}"/>
    <hyperlink ref="K216" r:id="rId556" display="https://www.denverpost.com/2007/12/12/gunman-legally-amassed-weaponry-in-years-time/" xr:uid="{00000000-0004-0000-0400-00002C020000}"/>
    <hyperlink ref="L216" r:id="rId557" display="https://www.denverpost.com/2007/12/12/gunman-legally-amassed-weaponry-in-years-time/" xr:uid="{00000000-0004-0000-0400-00002D020000}"/>
    <hyperlink ref="H217" r:id="rId558" display="https://web.archive.org/web/20071214043017/http:/hosted.ap.org/dynamic/stories/C/CHURCH_SHOOTINGS?SITE=TXBEA&amp;SECTION=HOME&amp;TEMPLATE=DEFAULT&amp;CTIME=2007-12-09-23-11-41%3A" xr:uid="{00000000-0004-0000-0400-00002E020000}"/>
    <hyperlink ref="K217" r:id="rId559" display="https://www.denverpost.com/2007/12/12/gunman-legally-amassed-weaponry-in-years-time/" xr:uid="{00000000-0004-0000-0400-00002F020000}"/>
    <hyperlink ref="L217" r:id="rId560" display="https://www.denverpost.com/2007/12/12/gunman-legally-amassed-weaponry-in-years-time/" xr:uid="{00000000-0004-0000-0400-000030020000}"/>
    <hyperlink ref="H218" r:id="rId561" display="https://web.archive.org/web/20071214043017/http:/hosted.ap.org/dynamic/stories/C/CHURCH_SHOOTINGS?SITE=TXBEA&amp;SECTION=HOME&amp;TEMPLATE=DEFAULT&amp;CTIME=2007-12-09-23-11-41%3A" xr:uid="{00000000-0004-0000-0400-000031020000}"/>
    <hyperlink ref="K218" r:id="rId562" display="https://www.denverpost.com/2007/12/12/gunman-legally-amassed-weaponry-in-years-time/" xr:uid="{00000000-0004-0000-0400-000032020000}"/>
    <hyperlink ref="L218" r:id="rId563" display="https://www.denverpost.com/2007/12/12/gunman-legally-amassed-weaponry-in-years-time/" xr:uid="{00000000-0004-0000-0400-000033020000}"/>
    <hyperlink ref="F219" r:id="rId564" display="https://commonreader.wustl.edu/c/tragic-convergence-race-mental-health-violence/" xr:uid="{00000000-0004-0000-0400-000034020000}"/>
    <hyperlink ref="P219" r:id="rId565" display="https://www.lakeexpo.com/news/top_stories/thornton-used-stolen-gun-in-kirkwood-killings/article_59696954-4d4c-5052-91c6-ac18d02a2e27.html" xr:uid="{00000000-0004-0000-0400-000035020000}"/>
    <hyperlink ref="F220" r:id="rId566" display="https://www.timesnewspapers.com/webster-kirkwoodtimes/news/prosecutor-releases-report-on-kirkwood-city-hall-shootings/article_8afc118f-4d9e-5e87-bf71-5876da11eb2a.html" xr:uid="{00000000-0004-0000-0400-000036020000}"/>
    <hyperlink ref="K220" r:id="rId567" display="https://www.lakeexpo.com/news/top_stories/thornton-used-stolen-gun-in-kirkwood-killings/article_59696954-4d4c-5052-91c6-ac18d02a2e27.html" xr:uid="{00000000-0004-0000-0400-000037020000}"/>
    <hyperlink ref="Q220" r:id="rId568" display="https://www.lakeexpo.com/news/top_stories/thornton-used-stolen-gun-in-kirkwood-killings/article_59696954-4d4c-5052-91c6-ac18d02a2e27.html" xr:uid="{00000000-0004-0000-0400-000038020000}"/>
    <hyperlink ref="F221" r:id="rId569" display="https://www.niu.edu/forward/_pdfs/archives/feb14report.pdf" xr:uid="{00000000-0004-0000-0400-000039020000}"/>
    <hyperlink ref="H221" r:id="rId570" display="https://www.niu.edu/forward/_pdfs/archives/feb14report.pdf" xr:uid="{00000000-0004-0000-0400-00003A020000}"/>
    <hyperlink ref="K221" r:id="rId571" display="http://content.time.com/time/nation/article/0,8599,1714069,00.html" xr:uid="{00000000-0004-0000-0400-00003B020000}"/>
    <hyperlink ref="L221" r:id="rId572" display="https://www.niu.edu/forward/_pdfs/archives/feb14report.pdf" xr:uid="{00000000-0004-0000-0400-00003C020000}"/>
    <hyperlink ref="F222" r:id="rId573" display="https://www.niu.edu/forward/_pdfs/archives/feb14report.pdf" xr:uid="{00000000-0004-0000-0400-00003D020000}"/>
    <hyperlink ref="H222" r:id="rId574" display="http://content.time.com/time/nation/article/0,8599,1714069,00.html" xr:uid="{00000000-0004-0000-0400-00003E020000}"/>
    <hyperlink ref="K222" r:id="rId575" display="http://content.time.com/time/nation/article/0,8599,1714069,00.html" xr:uid="{00000000-0004-0000-0400-00003F020000}"/>
    <hyperlink ref="L222" r:id="rId576" display="https://www.niu.edu/forward/_pdfs/archives/feb14report.pdf" xr:uid="{00000000-0004-0000-0400-000040020000}"/>
    <hyperlink ref="F223" r:id="rId577" display="https://www.niu.edu/forward/_pdfs/archives/feb14report.pdf" xr:uid="{00000000-0004-0000-0400-000041020000}"/>
    <hyperlink ref="I223" r:id="rId578" display="https://www.esquire.com/news-politics/a4863/steven-kazmierczak-0808/" xr:uid="{00000000-0004-0000-0400-000042020000}"/>
    <hyperlink ref="H223" r:id="rId579" display="https://www.niu.edu/forward/_pdfs/archives/feb14report.pdf" xr:uid="{00000000-0004-0000-0400-000043020000}"/>
    <hyperlink ref="K223" r:id="rId580" display="http://content.time.com/time/nation/article/0,8599,1714069,00.html" xr:uid="{00000000-0004-0000-0400-000044020000}"/>
    <hyperlink ref="L223" r:id="rId581" display="https://www.niu.edu/forward/_pdfs/archives/feb14report.pdf" xr:uid="{00000000-0004-0000-0400-000045020000}"/>
    <hyperlink ref="F224" r:id="rId582" display="https://www.niu.edu/forward/_pdfs/archives/feb14report.pdf" xr:uid="{00000000-0004-0000-0400-000046020000}"/>
    <hyperlink ref="H224" r:id="rId583" display="http://content.time.com/time/nation/article/0,8599,1714069,00.html" xr:uid="{00000000-0004-0000-0400-000047020000}"/>
    <hyperlink ref="K224" r:id="rId584" display="http://content.time.com/time/nation/article/0,8599,1714069,00.html" xr:uid="{00000000-0004-0000-0400-000048020000}"/>
    <hyperlink ref="L224" r:id="rId585" display="https://www.niu.edu/forward/_pdfs/archives/feb14report.pdf" xr:uid="{00000000-0004-0000-0400-000049020000}"/>
    <hyperlink ref="P225" r:id="rId586" xr:uid="{00000000-0004-0000-0400-00004A020000}"/>
    <hyperlink ref="F226" r:id="rId587" display="https://www.nytimes.com/2008/06/25/us/26kentuckycnd.html" xr:uid="{00000000-0004-0000-0400-00004B020000}"/>
    <hyperlink ref="H226" r:id="rId588" display="https://www.nytimes.com/2008/06/25/us/26kentuckycnd.html" xr:uid="{00000000-0004-0000-0400-00004C020000}"/>
    <hyperlink ref="K226" r:id="rId589" location=".XuPBVBNKhQL" display="http://www.nbcnews.com/id/25361852/ns/us_news-crime_and_courts/t/dead-argument-boss-ends-rampage/ - .XuPBVBNKhQL" xr:uid="{00000000-0004-0000-0400-00004D020000}"/>
    <hyperlink ref="L226" r:id="rId590" display="https://www.csgv.org/guns-workplace/" xr:uid="{00000000-0004-0000-0400-00004E020000}"/>
    <hyperlink ref="F227" r:id="rId591" display="https://www.seattlepi.com/local/article/Skagit-killing-spree-detailed-1284812.php" xr:uid="{00000000-0004-0000-0400-00004F020000}"/>
    <hyperlink ref="H227" r:id="rId592" display="https://www.oregonlive.com/news/2008/09/court_documents_detail_washing.html" xr:uid="{00000000-0004-0000-0400-000050020000}"/>
    <hyperlink ref="K227" r:id="rId593" display="https://www.seattlepi.com/seattlenews/article/Isaac-Zamora-10781621.php" xr:uid="{00000000-0004-0000-0400-000051020000}"/>
    <hyperlink ref="P227" r:id="rId594" display="https://www.seattlepi.com/seattlenews/article/Isaac-Zamora-10781621.php" xr:uid="{00000000-0004-0000-0400-000052020000}"/>
    <hyperlink ref="F228" r:id="rId595" display="https://www.seattlepi.com/local/article/Skagit-killing-spree-detailed-1284812.php" xr:uid="{00000000-0004-0000-0400-000053020000}"/>
    <hyperlink ref="H228" r:id="rId596" display="https://www.heraldnet.com/news/guns-used-in-skagit-county-shooting-rampage-were-stolen/" xr:uid="{00000000-0004-0000-0400-000054020000}"/>
    <hyperlink ref="K228" r:id="rId597" display="https://www.seattlepi.com/seattlenews/article/Isaac-Zamora-10781621.php" xr:uid="{00000000-0004-0000-0400-000055020000}"/>
    <hyperlink ref="P228" r:id="rId598" display="https://www.seattlepi.com/seattlenews/article/Isaac-Zamora-10781621.php" xr:uid="{00000000-0004-0000-0400-000056020000}"/>
    <hyperlink ref="F229" r:id="rId599" display="https://caselaw.findlaw.com/nc-court-of-appeals/1651398.html" xr:uid="{00000000-0004-0000-0400-000057020000}"/>
    <hyperlink ref="H229" r:id="rId600" display="https://www.thepilot.com/news/pinelake-at-a-decade-in-the-shadow-of-north-carolina/article_33d2be06-522a-11e9-b3d5-230b8a7f488f.html" xr:uid="{00000000-0004-0000-0400-000058020000}"/>
    <hyperlink ref="K229" r:id="rId601" display="https://www.thepilot.com/news/pinelake-at-a-decade-in-the-shadow-of-north-carolina/article_33d2be06-522a-11e9-b3d5-230b8a7f488f.html" xr:uid="{00000000-0004-0000-0400-000059020000}"/>
    <hyperlink ref="L229" r:id="rId602" display="https://www.thepilot.com/news/pinelake-at-a-decade-in-the-shadow-of-north-carolina/article_33d2be06-522a-11e9-b3d5-230b8a7f488f.html" xr:uid="{00000000-0004-0000-0400-00005A020000}"/>
    <hyperlink ref="F230" r:id="rId603" display="https://everytownresearch.org/wp-content/uploads/2015/08/MassShooting-081715-13-APPENDIX-1.pdf" xr:uid="{00000000-0004-0000-0400-00005B020000}"/>
    <hyperlink ref="H230" r:id="rId604" display="https://www.thepilot.com/news/pinelake-at-a-decade-in-the-shadow-of-north-carolina/article_33d2be06-522a-11e9-b3d5-230b8a7f488f.html" xr:uid="{00000000-0004-0000-0400-00005C020000}"/>
    <hyperlink ref="K230" r:id="rId605" display="https://www.thepilot.com/news/pinelake-at-a-decade-in-the-shadow-of-north-carolina/article_33d2be06-522a-11e9-b3d5-230b8a7f488f.html" xr:uid="{00000000-0004-0000-0400-00005D020000}"/>
    <hyperlink ref="L230" r:id="rId606" display="https://www.thepilot.com/news/pinelake-at-a-decade-in-the-shadow-of-north-carolina/article_33d2be06-522a-11e9-b3d5-230b8a7f488f.html" xr:uid="{00000000-0004-0000-0400-00005E020000}"/>
    <hyperlink ref="H231" r:id="rId607" display="https://www.thepilot.com/news/pinelake-at-a-decade-in-the-shadow-of-north-carolina/article_33d2be06-522a-11e9-b3d5-230b8a7f488f.html" xr:uid="{00000000-0004-0000-0400-00005F020000}"/>
    <hyperlink ref="K231" r:id="rId608" display="https://www.thepilot.com/news/pinelake-at-a-decade-in-the-shadow-of-north-carolina/article_33d2be06-522a-11e9-b3d5-230b8a7f488f.html" xr:uid="{00000000-0004-0000-0400-000060020000}"/>
    <hyperlink ref="L231" r:id="rId609" display="https://www.thepilot.com/news/pinelake-at-a-decade-in-the-shadow-of-north-carolina/article_33d2be06-522a-11e9-b3d5-230b8a7f488f.html" xr:uid="{00000000-0004-0000-0400-000061020000}"/>
    <hyperlink ref="H232" r:id="rId610" display="https://www.thepilot.com/news/pinelake-at-a-decade-in-the-shadow-of-north-carolina/article_33d2be06-522a-11e9-b3d5-230b8a7f488f.html" xr:uid="{00000000-0004-0000-0400-000062020000}"/>
    <hyperlink ref="K232" r:id="rId611" display="https://www.thepilot.com/news/pinelake-at-a-decade-in-the-shadow-of-north-carolina/article_33d2be06-522a-11e9-b3d5-230b8a7f488f.html" xr:uid="{00000000-0004-0000-0400-000063020000}"/>
    <hyperlink ref="L232" r:id="rId612" display="https://www.thepilot.com/news/pinelake-at-a-decade-in-the-shadow-of-north-carolina/article_33d2be06-522a-11e9-b3d5-230b8a7f488f.html" xr:uid="{00000000-0004-0000-0400-000064020000}"/>
    <hyperlink ref="F233" r:id="rId613" display="https://schoolshooters.info/sites/default/files/Al-Salihi_v_Gander_Mountain.pdf" xr:uid="{00000000-0004-0000-0400-000065020000}"/>
    <hyperlink ref="I233" r:id="rId614" display="https://www.nytimes.com/2009/04/09/nyregion/09binghamton.html" xr:uid="{00000000-0004-0000-0400-000066020000}"/>
    <hyperlink ref="J233" r:id="rId615" display="https://www.seattletimes.com/nation-world/ny-mass-shooting-survivor-wants-magazine-limits/" xr:uid="{00000000-0004-0000-0400-000067020000}"/>
    <hyperlink ref="H233" r:id="rId616" display="https://www.nytimes.com/2009/04/09/nyregion/09binghamton.html" xr:uid="{00000000-0004-0000-0400-000068020000}"/>
    <hyperlink ref="K233" r:id="rId617" display="https://schoolshooters.info/sites/default/files/Al-Salihi_v_Gander_Mountain.pdf" xr:uid="{00000000-0004-0000-0400-000069020000}"/>
    <hyperlink ref="L233" r:id="rId618" display="https://schoolshooters.info/sites/default/files/Al-Salihi_v_Gander_Mountain.pdf" xr:uid="{00000000-0004-0000-0400-00006A020000}"/>
    <hyperlink ref="F234" r:id="rId619" display="https://schoolshooters.info/sites/default/files/Al-Salihi_v_Gander_Mountain.pdf" xr:uid="{00000000-0004-0000-0400-00006B020000}"/>
    <hyperlink ref="J234" r:id="rId620" display="https://www.seattletimes.com/nation-world/ny-mass-shooting-survivor-wants-magazine-limits/" xr:uid="{00000000-0004-0000-0400-00006C020000}"/>
    <hyperlink ref="H234" r:id="rId621" display="https://www.nytimes.com/2009/04/09/nyregion/09binghamton.html" xr:uid="{00000000-0004-0000-0400-00006D020000}"/>
    <hyperlink ref="K234" r:id="rId622" display="https://schoolshooters.info/sites/default/files/Al-Salihi_v_Gander_Mountain.pdf" xr:uid="{00000000-0004-0000-0400-00006E020000}"/>
    <hyperlink ref="L234" r:id="rId623" display="https://schoolshooters.info/sites/default/files/Civil_Action_Al-Salihi_v_Gander_Mountain.PDF" xr:uid="{00000000-0004-0000-0400-00006F020000}"/>
    <hyperlink ref="F236" r:id="rId624" display="https://abcnews.go.com/Blotter/cop-killer-gun-thought-ft-hood-shooting/story?id=9019521" xr:uid="{00000000-0004-0000-0400-000070020000}"/>
    <hyperlink ref="I236" r:id="rId625" display="https://www.cnn.com/2013/08/06/justice/hasan-court-martial/index.html" xr:uid="{00000000-0004-0000-0400-000071020000}"/>
    <hyperlink ref="J236" r:id="rId626" display="https://www.usatoday.com/story/news/nation/2013/08/06/fort-hood-trial/2622503/" xr:uid="{00000000-0004-0000-0400-000072020000}"/>
    <hyperlink ref="H236" r:id="rId627" display="https://extremism.gwu.edu/sites/g/files/zaxdzs2191/f/Nidal Hasan.pdf" xr:uid="{00000000-0004-0000-0400-000073020000}"/>
    <hyperlink ref="K236" r:id="rId628" display="https://extremism.gwu.edu/sites/g/files/zaxdzs2191/f/Nidal Hasan.pdf" xr:uid="{00000000-0004-0000-0400-000074020000}"/>
    <hyperlink ref="L236" r:id="rId629" display="https://extremism.gwu.edu/sites/g/files/zaxdzs2191/f/Nidal Hasan.pdf" xr:uid="{00000000-0004-0000-0400-000075020000}"/>
    <hyperlink ref="F237" r:id="rId630" display="https://abcnews.go.com/Blotter/cop-killer-gun-thought-ft-hood-shooting/story?id=9019521" xr:uid="{00000000-0004-0000-0400-000076020000}"/>
    <hyperlink ref="H237" r:id="rId631" display="https://www.usatoday.com/story/news/nation/2013/08/06/fort-hood-trial/2622503/" xr:uid="{00000000-0004-0000-0400-000077020000}"/>
    <hyperlink ref="F238" r:id="rId632" display="https://www.courts.wa.gov/content/petitions/89448-5 Answer to Petition for Review Cross Petition for Review.pdf" xr:uid="{00000000-0004-0000-0400-000078020000}"/>
    <hyperlink ref="H238" r:id="rId633" display="https://www.latimes.com/archives/la-xpm-2009-dec-02-la-na-police-shooting2-2009dec02-story.html" xr:uid="{00000000-0004-0000-0400-000079020000}"/>
    <hyperlink ref="Q238" r:id="rId634" display="https://www.latimes.com/archives/la-xpm-2009-dec-02-la-na-police-shooting2-2009dec02-story.html" xr:uid="{00000000-0004-0000-0400-00007A020000}"/>
    <hyperlink ref="F239" r:id="rId635" display="https://www.courts.wa.gov/content/petitions/89448-5 Answer to Petition for Review Cross Petition for Review.pdf" xr:uid="{00000000-0004-0000-0400-00007B020000}"/>
    <hyperlink ref="H239" r:id="rId636" display="https://www.latimes.com/archives/la-xpm-2009-dec-02-la-na-police-shooting2-2009dec02-story.html" xr:uid="{00000000-0004-0000-0400-00007C020000}"/>
    <hyperlink ref="Q239" r:id="rId637" display="https://www.latimes.com/archives/la-xpm-2009-dec-02-la-na-police-shooting2-2009dec02-story.html" xr:uid="{00000000-0004-0000-0400-00007D020000}"/>
    <hyperlink ref="F240" r:id="rId638" display="https://www.courts.wa.gov/content/petitions/89448-5 Answer to Petition for Review Cross Petition for Review.pdf" xr:uid="{00000000-0004-0000-0400-00007E020000}"/>
    <hyperlink ref="H240" r:id="rId639" display="https://www.courts.wa.gov/content/petitions/89448-5 Answer to Petition for Review Cross Petition for Review.pdf" xr:uid="{00000000-0004-0000-0400-00007F020000}"/>
    <hyperlink ref="K240" r:id="rId640" display="https://www.latimes.com/archives/la-xpm-2009-dec-02-la-na-police-shooting2-2009dec02-story.html" xr:uid="{00000000-0004-0000-0400-000080020000}"/>
    <hyperlink ref="P240" r:id="rId641" display="https://www.latimes.com/archives/la-xpm-2009-dec-02-la-na-police-shooting2-2009dec02-story.html" xr:uid="{00000000-0004-0000-0400-000081020000}"/>
    <hyperlink ref="F241" r:id="rId642" display="https://casetext.com/case/people-v-galstyan" xr:uid="{00000000-0004-0000-0400-000082020000}"/>
    <hyperlink ref="J241" r:id="rId643" display="https://www.leagle.com/decision/incaco20191104021" xr:uid="{00000000-0004-0000-0400-000083020000}"/>
    <hyperlink ref="H241" r:id="rId644" display="https://www.latimes.com/local/lanow/la-me-ln-valley-village-sentencing-20161220-story.html" xr:uid="{00000000-0004-0000-0400-000084020000}"/>
    <hyperlink ref="H242" r:id="rId645" display="https://www.cbsnews.com/news/florida-man-kills-four-women-in-restaurant-shooting-police-say/" xr:uid="{00000000-0004-0000-0400-000085020000}"/>
    <hyperlink ref="F243" r:id="rId646" display="https://www.courant.com/community/manchester/hc-connecticut-shooting-heroes-0805-20100804-story.html" xr:uid="{00000000-0004-0000-0400-000087020000}"/>
    <hyperlink ref="H243" r:id="rId647" display="https://abcnews.go.com/US/connecticut-shooter-omar-thornton-chased-victims-beer-distributor/story?id=11322281" xr:uid="{00000000-0004-0000-0400-000088020000}"/>
    <hyperlink ref="K243" r:id="rId648" display="https://www.cnn.com/2010/CRIME/08/03/connecticut.business.shootings/index.html" xr:uid="{00000000-0004-0000-0400-000089020000}"/>
    <hyperlink ref="L243" r:id="rId649" display="https://abcnews.go.com/US/connecticut-shooter-omar-thornton-chased-victims-beer-distributor/story?id=11322281" xr:uid="{00000000-0004-0000-0400-00008A020000}"/>
    <hyperlink ref="F244" r:id="rId650" display="https://www.courant.com/community/manchester/hc-connecticut-shooting-heroes-0805-20100804-story.html" xr:uid="{00000000-0004-0000-0400-00008B020000}"/>
    <hyperlink ref="H244" r:id="rId651" display="https://abcnews.go.com/US/connecticut-shooter-omar-thornton-chased-victims-beer-distributor/story?id=11322281" xr:uid="{00000000-0004-0000-0400-00008C020000}"/>
    <hyperlink ref="L244" r:id="rId652" display="https://abcnews.go.com/US/connecticut-shooter-omar-thornton-chased-victims-beer-distributor/story?id=11322281" xr:uid="{00000000-0004-0000-0400-00008D020000}"/>
    <hyperlink ref="H245" r:id="rId653" display="https://abcnews.go.com/US/connecticut-shooter-omar-thornton-chased-victims-beer-distributor/story?id=11322281" xr:uid="{00000000-0004-0000-0400-00008E020000}"/>
    <hyperlink ref="L245" r:id="rId654" display="https://abcnews.go.com/US/connecticut-shooter-omar-thornton-chased-victims-beer-distributor/story?id=11322281" xr:uid="{00000000-0004-0000-0400-00008F020000}"/>
    <hyperlink ref="K247" r:id="rId655" display="https://www.theguardian.com/world/2010/sep/12/man-shot-wife-cooked-eggs" xr:uid="{00000000-0004-0000-0400-000090020000}"/>
    <hyperlink ref="J248" r:id="rId656" display="https://abcnews.go.com/Business/questions-remain-jared-loughner-paid-expensive-firearm/story?id=12585290" xr:uid="{00000000-0004-0000-0400-000091020000}"/>
    <hyperlink ref="L248" r:id="rId657" display="https://www.washingtonpost.com/national/reno-era-policy-kept-jared-loughner-off-fbi-gun-list/2011/01/18/ABo9tRR_story.html" xr:uid="{00000000-0004-0000-0400-000092020000}"/>
    <hyperlink ref="F249" r:id="rId658" display="https://everytownresearch.org/wp-content/uploads/2014/10/analysis-of-recent-mass-shootings.pdf" xr:uid="{00000000-0004-0000-0400-000093020000}"/>
    <hyperlink ref="H249" r:id="rId659" display="http://edition.cnn.com/2011/CRIME/08/08/ohio.shooting/" xr:uid="{00000000-0004-0000-0400-000094020000}"/>
    <hyperlink ref="K249" r:id="rId660" display="https://everytownresearch.org/wp-content/uploads/2014/10/analysis-of-recent-mass-shootings.pdf" xr:uid="{00000000-0004-0000-0400-000095020000}"/>
    <hyperlink ref="L249" r:id="rId661" display="https://www.cbsnews.com/news/ohio-rampage-suspect-bought-gun-from-pawn-shop/" xr:uid="{00000000-0004-0000-0400-000096020000}"/>
    <hyperlink ref="F250" r:id="rId662" display="https://everytownresearch.org/wp-content/uploads/2014/10/analysis-of-recent-mass-shootings.pdf" xr:uid="{00000000-0004-0000-0400-000097020000}"/>
    <hyperlink ref="H250" r:id="rId663" display="http://edition.cnn.com/2011/CRIME/08/08/ohio.shooting/" xr:uid="{00000000-0004-0000-0400-000098020000}"/>
    <hyperlink ref="K250" r:id="rId664" display="https://everytownresearch.org/wp-content/uploads/2014/10/analysis-of-recent-mass-shootings.pdf" xr:uid="{00000000-0004-0000-0400-000099020000}"/>
    <hyperlink ref="L250" r:id="rId665" display="https://everytownresearch.org/wp-content/uploads/2014/10/analysis-of-recent-mass-shootings.pdf" xr:uid="{00000000-0004-0000-0400-00009A020000}"/>
    <hyperlink ref="F251" r:id="rId666" display="https://www.leg.state.nv.us/App/NELIS/REL/77th2013/ExhibitDocument/OpenExhibitDocument?exhibitId=2560&amp;fileDownloadName=Power%20Point-Ken%20Furlong.pdf" xr:uid="{00000000-0004-0000-0400-00009B020000}"/>
    <hyperlink ref="I251" r:id="rId667" display="https://sacramento.cbslocal.com/2011/10/05/rifle-in-ihop-shooting-was-illegally-altered/" xr:uid="{00000000-0004-0000-0400-00009C020000}"/>
    <hyperlink ref="H251" r:id="rId668" display="https://sacramento.cbslocal.com/2011/10/05/rifle-in-ihop-shooting-was-illegally-altered/" xr:uid="{00000000-0004-0000-0400-00009D020000}"/>
    <hyperlink ref="L251" r:id="rId669" display="https://www.leg.state.nv.us/App/NELIS/REL/77th2013/ExhibitDocument/OpenExhibitDocument?exhibitId=2560&amp;fileDownloadName=Power%20Point-Ken%20Furlong.pdf" xr:uid="{00000000-0004-0000-0400-00009E020000}"/>
    <hyperlink ref="F252" r:id="rId670" display="https://www.leg.state.nv.us/App/NELIS/REL/77th2013/ExhibitDocument/OpenExhibitDocument?exhibitId=2560&amp;fileDownloadName=Power%20Point-Ken%20Furlong.pdf" xr:uid="{00000000-0004-0000-0400-00009F020000}"/>
    <hyperlink ref="I252" r:id="rId671" display="https://www.leg.state.nv.us/App/NELIS/REL/77th2013/ExhibitDocument/OpenExhibitDocument?exhibitId=2560&amp;fileDownloadName=Power%20Point-Ken%20Furlong.pdf" xr:uid="{00000000-0004-0000-0400-0000A0020000}"/>
    <hyperlink ref="H252" r:id="rId672" display="https://www.leg.state.nv.us/App/NELIS/REL/77th2013/ExhibitDocument/OpenExhibitDocument?exhibitId=2560&amp;fileDownloadName=Power%20Point-Ken%20Furlong.pdf" xr:uid="{00000000-0004-0000-0400-0000A1020000}"/>
    <hyperlink ref="H253" r:id="rId673" display="https://www.tahoedailytribune.com/news/warrant-receipt-details-items-removed-from-ihop-shooters-home-vehicle/" xr:uid="{00000000-0004-0000-0400-0000A2020000}"/>
    <hyperlink ref="K253" r:id="rId674" display="https://www.leg.state.nv.us/App/NELIS/REL/77th2013/ExhibitDocument/OpenExhibitDocument?exhibitId=2560&amp;fileDownloadName=Power%20Point-Ken%20Furlong.pdf" xr:uid="{00000000-0004-0000-0400-0000A3020000}"/>
    <hyperlink ref="L253" r:id="rId675" display="https://www.leg.state.nv.us/App/NELIS/REL/77th2013/ExhibitDocument/OpenExhibitDocument?exhibitId=2560&amp;fileDownloadName=Power%20Point-Ken%20Furlong.pdf" xr:uid="{00000000-0004-0000-0400-0000A4020000}"/>
    <hyperlink ref="H254" r:id="rId676" display="https://www.leg.state.nv.us/App/NELIS/REL/77th2013/ExhibitDocument/OpenExhibitDocument?exhibitId=2560&amp;fileDownloadName=Power%20Point-Ken%20Furlong.pdf" xr:uid="{00000000-0004-0000-0400-0000A5020000}"/>
    <hyperlink ref="L254" r:id="rId677" display="https://www.leg.state.nv.us/App/NELIS/REL/77th2013/ExhibitDocument/OpenExhibitDocument?exhibitId=2560&amp;fileDownloadName=Power%20Point-Ken%20Furlong.pdf" xr:uid="{00000000-0004-0000-0400-0000A6020000}"/>
    <hyperlink ref="K255" r:id="rId678" display="https://www.presstelegram.com/2012/10/11/seal-beach-shooting-anniversary-searching-for-solace-fighting-for-gun-law-change/" xr:uid="{00000000-0004-0000-0400-0000A7020000}"/>
    <hyperlink ref="L255" r:id="rId679" display="https://www.nbclosangeles.com/news/local/murder-charges-seal-beach-killer-shooting-scott-evans-dekraii-2/2105027/" xr:uid="{00000000-0004-0000-0400-0000A8020000}"/>
    <hyperlink ref="K256" r:id="rId680" display="https://www.presstelegram.com/2012/10/11/seal-beach-shooting-anniversary-searching-for-solace-fighting-for-gun-law-change/" xr:uid="{00000000-0004-0000-0400-0000A9020000}"/>
    <hyperlink ref="L256" r:id="rId681" display="https://www.nbclosangeles.com/news/local/murder-charges-seal-beach-killer-shooting-scott-evans-dekraii-2/2105027/" xr:uid="{00000000-0004-0000-0400-0000AA020000}"/>
    <hyperlink ref="K257" r:id="rId682" display="https://www.presstelegram.com/2012/10/11/seal-beach-shooting-anniversary-searching-for-solace-fighting-for-gun-law-change/" xr:uid="{00000000-0004-0000-0400-0000AB020000}"/>
    <hyperlink ref="L257" r:id="rId683" display="https://www.nbclosangeles.com/news/local/murder-charges-seal-beach-killer-shooting-scott-evans-dekraii-2/2105027/" xr:uid="{00000000-0004-0000-0400-0000AC020000}"/>
    <hyperlink ref="F258" r:id="rId684" display="https://www.theguardian.com/us-news/2015/dec/05/oakland-shooting-hearing-oikos-university-psychiatrist-one-goh" xr:uid="{00000000-0004-0000-0400-0000AD020000}"/>
    <hyperlink ref="J258" r:id="rId685" display="https://www.sfgate.com/crime/article/Oakland-school-massacre-Jury-told-of-5-minutes-5760283.php" xr:uid="{00000000-0004-0000-0400-0000AE020000}"/>
    <hyperlink ref="L258" r:id="rId686" display="https://www.nytimes.com/interactive/2015/10/03/us/how-mass-shooters-got-their-guns.html" xr:uid="{00000000-0004-0000-0400-0000AF020000}"/>
    <hyperlink ref="F259" r:id="rId687" display="https://www.seattlepi.com/local/article/Police-Seattle-shootings-were-like-an-execution-3599900.php" xr:uid="{00000000-0004-0000-0400-0000B0020000}"/>
    <hyperlink ref="H259" r:id="rId688" display="https://www.seattlepi.com/local/article/Seattle-shooting-two-killed-three-wounded-3595992.php" xr:uid="{00000000-0004-0000-0400-0000B1020000}"/>
    <hyperlink ref="K259" r:id="rId689" display="https://www.seattletimes.com/seattle-news/gunman-a-life-full-of-rage-a-shocking-final-act/" xr:uid="{00000000-0004-0000-0400-0000B2020000}"/>
    <hyperlink ref="L259" r:id="rId690" display="https://www.seattletimes.com/seattle-news/gunman-a-life-full-of-rage-a-shocking-final-act/" xr:uid="{00000000-0004-0000-0400-0000B3020000}"/>
    <hyperlink ref="F260" r:id="rId691" display="https://www.seattlepi.com/local/article/Police-Seattle-shootings-were-like-an-execution-3599900.php" xr:uid="{00000000-0004-0000-0400-0000B4020000}"/>
    <hyperlink ref="H260" r:id="rId692" display="https://www.seattlepi.com/local/article/Seattle-shooting-two-killed-three-wounded-3595992.php" xr:uid="{00000000-0004-0000-0400-0000B5020000}"/>
    <hyperlink ref="K260" r:id="rId693" display="https://www.seattletimes.com/seattle-news/gunman-a-life-full-of-rage-a-shocking-final-act/" xr:uid="{00000000-0004-0000-0400-0000B6020000}"/>
    <hyperlink ref="L260" r:id="rId694" display="https://www.seattletimes.com/seattle-news/gunman-a-life-full-of-rage-a-shocking-final-act/" xr:uid="{00000000-0004-0000-0400-0000B7020000}"/>
    <hyperlink ref="F261" r:id="rId695" display="https://www.nytimes.com/2012/07/24/us/aurora-gunmans-lethal-arsenal.html" xr:uid="{00000000-0004-0000-0400-0000B8020000}"/>
    <hyperlink ref="H261" r:id="rId696" display="https://www.nytimes.com/2012/07/24/us/aurora-gunmans-lethal-arsenal.html" xr:uid="{00000000-0004-0000-0400-0000B9020000}"/>
    <hyperlink ref="K261" r:id="rId697" display="https://web.archive.org/web/20120722041017/http:/abcnews.go.com/US/wireStory/police-colo-shooting-suspect-bought-guns-legally-16826588" xr:uid="{00000000-0004-0000-0400-0000BA020000}"/>
    <hyperlink ref="L261" r:id="rId698" display="https://www.cbsnews.com/news/colo-shooter-purchased-guns-legally-from-3-different-stores/" xr:uid="{00000000-0004-0000-0400-0000BB020000}"/>
    <hyperlink ref="F262" r:id="rId699" display="https://www.nytimes.com/2012/07/24/us/aurora-gunmans-lethal-arsenal.html" xr:uid="{00000000-0004-0000-0400-0000BC020000}"/>
    <hyperlink ref="H262" r:id="rId700" display="https://www.nytimes.com/2012/07/24/us/aurora-gunmans-lethal-arsenal.html" xr:uid="{00000000-0004-0000-0400-0000BD020000}"/>
    <hyperlink ref="K262" r:id="rId701" display="https://web.archive.org/web/20120722041017/http:/abcnews.go.com/US/wireStory/police-colo-shooting-suspect-bought-guns-legally-16826588" xr:uid="{00000000-0004-0000-0400-0000BE020000}"/>
    <hyperlink ref="L262" r:id="rId702" display="https://www.cbsnews.com/news/colo-shooter-purchased-guns-legally-from-3-different-stores/" xr:uid="{00000000-0004-0000-0400-0000BF020000}"/>
    <hyperlink ref="F263" r:id="rId703" display="https://www.nytimes.com/2012/07/24/us/aurora-gunmans-lethal-arsenal.html" xr:uid="{00000000-0004-0000-0400-0000C0020000}"/>
    <hyperlink ref="H263" r:id="rId704" display="https://www.cbsnews.com/news/colo-shooter-purchased-guns-legally-from-3-different-stores/" xr:uid="{00000000-0004-0000-0400-0000C1020000}"/>
    <hyperlink ref="K263" r:id="rId705" display="https://web.archive.org/web/20120722041017/http:/abcnews.go.com/US/wireStory/police-colo-shooting-suspect-bought-guns-legally-16826588" xr:uid="{00000000-0004-0000-0400-0000C2020000}"/>
    <hyperlink ref="L263" r:id="rId706" display="https://www.cbsnews.com/news/colo-shooter-purchased-guns-legally-from-3-different-stores/" xr:uid="{00000000-0004-0000-0400-0000C3020000}"/>
    <hyperlink ref="F264" r:id="rId707" display="https://www.nytimes.com/2012/07/24/us/aurora-gunmans-lethal-arsenal.html" xr:uid="{00000000-0004-0000-0400-0000C4020000}"/>
    <hyperlink ref="J264" r:id="rId708" display="https://web.archive.org/web/20120722041017/http:/abcnews.go.com/US/wireStory/police-colo-shooting-suspect-bought-guns-legally-16826588" xr:uid="{00000000-0004-0000-0400-0000C5020000}"/>
    <hyperlink ref="H264" r:id="rId709" display="https://www.nytimes.com/2012/07/24/us/aurora-gunmans-lethal-arsenal.html" xr:uid="{00000000-0004-0000-0400-0000C6020000}"/>
    <hyperlink ref="K264" r:id="rId710" display="https://web.archive.org/web/20120722041017/http:/abcnews.go.com/US/wireStory/police-colo-shooting-suspect-bought-guns-legally-16826588" xr:uid="{00000000-0004-0000-0400-0000C7020000}"/>
    <hyperlink ref="L264" r:id="rId711" display="https://www.cbsnews.com/news/colo-shooter-purchased-guns-legally-from-3-different-stores/" xr:uid="{00000000-0004-0000-0400-0000C8020000}"/>
    <hyperlink ref="F265" r:id="rId712" display="https://www.latimes.com/nation/la-xpm-2012-aug-08-la-na-nn-sikh-shooting-guns-20120807-story.html" xr:uid="{00000000-0004-0000-0400-0000C9020000}"/>
    <hyperlink ref="L266" r:id="rId713" display="https://www.mprnews.org/story/2013/09/27/a-year-after-accent-signage-shootings-debate-shifts-from-gun-control-to-mental-health" xr:uid="{00000000-0004-0000-0400-0000CA020000}"/>
    <hyperlink ref="F267" r:id="rId714" display="https://web.archive.org/web/20131223225701/http:/www.ct.gov/csao/lib/csao/Sandy_Hook_Final_Report.pdf" xr:uid="{00000000-0004-0000-0400-0000CB020000}"/>
    <hyperlink ref="H267" r:id="rId715" display="https://www.csgv.org/adam-lanza-took-didnt-take-sandy-hook-elementary/" xr:uid="{00000000-0004-0000-0400-0000CC020000}"/>
    <hyperlink ref="K267" r:id="rId716" display="https://newyork.cbslocal.com/2012/12/16/friends-newtown-gunmans-mother-home-schooled-son-kept-arsenal-of-guns/" xr:uid="{00000000-0004-0000-0400-0000CD020000}"/>
    <hyperlink ref="P267" r:id="rId717" display="https://newyork.cbslocal.com/2012/12/16/friends-newtown-gunmans-mother-home-schooled-son-kept-arsenal-of-guns/" xr:uid="{00000000-0004-0000-0400-0000CE020000}"/>
    <hyperlink ref="H268" r:id="rId718" display="https://www.ct.gov/oca/lib/oca/sandyhook11212014.pdf" xr:uid="{00000000-0004-0000-0400-0000CF020000}"/>
    <hyperlink ref="K268" r:id="rId719" display="https://newyork.cbslocal.com/2012/12/16/friends-newtown-gunmans-mother-home-schooled-son-kept-arsenal-of-guns/" xr:uid="{00000000-0004-0000-0400-0000D0020000}"/>
    <hyperlink ref="P268" r:id="rId720" display="https://newyork.cbslocal.com/2012/12/16/friends-newtown-gunmans-mother-home-schooled-son-kept-arsenal-of-guns/" xr:uid="{00000000-0004-0000-0400-0000D1020000}"/>
    <hyperlink ref="H269" r:id="rId721" display="https://web.archive.org/web/20131223225701/http:/www.ct.gov/csao/lib/csao/Sandy_Hook_Final_Report.pdf" xr:uid="{00000000-0004-0000-0400-0000D2020000}"/>
    <hyperlink ref="K269" r:id="rId722" display="https://newyork.cbslocal.com/2012/12/16/friends-newtown-gunmans-mother-home-schooled-son-kept-arsenal-of-guns/" xr:uid="{00000000-0004-0000-0400-0000D3020000}"/>
    <hyperlink ref="P269" r:id="rId723" display="https://newyork.cbslocal.com/2012/12/16/friends-newtown-gunmans-mother-home-schooled-son-kept-arsenal-of-guns/" xr:uid="{00000000-0004-0000-0400-0000D4020000}"/>
    <hyperlink ref="H270" r:id="rId724" display="https://web.archive.org/web/20131223225701/http:/www.ct.gov/csao/lib/csao/Sandy_Hook_Final_Report.pdf" xr:uid="{00000000-0004-0000-0400-0000D5020000}"/>
    <hyperlink ref="K270" r:id="rId725" display="https://newyork.cbslocal.com/2012/12/16/friends-newtown-gunmans-mother-home-schooled-son-kept-arsenal-of-guns/" xr:uid="{00000000-0004-0000-0400-0000D6020000}"/>
    <hyperlink ref="P270" r:id="rId726" display="https://newyork.cbslocal.com/2012/12/16/friends-newtown-gunmans-mother-home-schooled-son-kept-arsenal-of-guns/" xr:uid="{00000000-0004-0000-0400-0000D7020000}"/>
    <hyperlink ref="H271" r:id="rId727" display="https://web.archive.org/web/20131223225701/http:/www.ct.gov/csao/lib/csao/Sandy_Hook_Final_Report.pdf" xr:uid="{00000000-0004-0000-0400-0000D8020000}"/>
    <hyperlink ref="K271" r:id="rId728" display="https://newyork.cbslocal.com/2012/12/16/friends-newtown-gunmans-mother-home-schooled-son-kept-arsenal-of-guns/" xr:uid="{00000000-0004-0000-0400-0000D9020000}"/>
    <hyperlink ref="P271" r:id="rId729" display="https://newyork.cbslocal.com/2012/12/16/friends-newtown-gunmans-mother-home-schooled-son-kept-arsenal-of-guns/" xr:uid="{00000000-0004-0000-0400-0000DA020000}"/>
    <hyperlink ref="H273" r:id="rId730" display="https://www.seattletimes.com/seattle-news/witnesses-among-5-dead-in-federal-way/" xr:uid="{00000000-0004-0000-0400-0000DB020000}"/>
    <hyperlink ref="K273" r:id="rId731" display="https://www.seattletimes.com/seattle-news/witnesses-among-5-dead-in-federal-way/" xr:uid="{00000000-0004-0000-0400-0000DC020000}"/>
    <hyperlink ref="L273" r:id="rId732" display="https://www.seattletimes.com/seattle-news/witnesses-among-5-dead-in-federal-way/" xr:uid="{00000000-0004-0000-0400-0000DD020000}"/>
    <hyperlink ref="I274" r:id="rId733" display="https://www.federalwaymirror.com/news/names-of-victims-emerge-after-deadly-federal-way-shooting/" xr:uid="{00000000-0004-0000-0400-0000DE020000}"/>
    <hyperlink ref="I275" r:id="rId734" display="https://www.latimes.com/local/la-xpm-2013-jun-12-la-me-santa-monica-gun-20130613-story.html" xr:uid="{00000000-0004-0000-0400-0000DF020000}"/>
    <hyperlink ref="H275" r:id="rId735" display="https://www.nydailynews.com/news/national/short-article-1.1372515" xr:uid="{00000000-0004-0000-0400-0000E0020000}"/>
    <hyperlink ref="K275" r:id="rId736" display="https://abc7.com/archive/9138446/" xr:uid="{00000000-0004-0000-0400-0000E1020000}"/>
    <hyperlink ref="N275" r:id="rId737" display="https://www.nydailynews.com/news/national/short-article-1.1372515" xr:uid="{00000000-0004-0000-0400-0000E2020000}"/>
    <hyperlink ref="F276" r:id="rId738" display="https://www.latimes.com/local/la-xpm-2013-jun-12-la-me-santa-monica-gun-20130613-story.html" xr:uid="{00000000-0004-0000-0400-0000E3020000}"/>
    <hyperlink ref="H276" r:id="rId739" display="https://www.nydailynews.com/news/national/short-article-1.1372515" xr:uid="{00000000-0004-0000-0400-0000E4020000}"/>
    <hyperlink ref="K276" r:id="rId740" display="https://www.latimes.com/local/lanow/la-xpm-2013-jun-10-la-me-ln-santa-monica-shooting-fbi-probes-how-gunman-got-weapons-20130610-story.html" xr:uid="{00000000-0004-0000-0400-0000E5020000}"/>
    <hyperlink ref="O276" r:id="rId741" display="https://www.latimes.com/local/lanow/la-xpm-2013-jun-10-la-me-ln-santa-monica-shooting-fbi-probes-how-gunman-got-weapons-20130610-story.html" xr:uid="{00000000-0004-0000-0400-0000E6020000}"/>
    <hyperlink ref="F277" r:id="rId742" display="https://www.miamiherald.com/news/special-reports/hialeah-mass-shooting/article1953653.html" xr:uid="{00000000-0004-0000-0400-0000E7020000}"/>
    <hyperlink ref="L277" r:id="rId743" display="https://www.miamiherald.com/news/special-reports/hialeah-mass-shooting/article1953653.html" xr:uid="{00000000-0004-0000-0400-0000E8020000}"/>
    <hyperlink ref="F278" r:id="rId744" display="https://www.nytimes.com/2013/09/18/us/state-law-stopped-gunman-from-buying-rifle-officials-say.html" xr:uid="{00000000-0004-0000-0400-0000E9020000}"/>
    <hyperlink ref="L278" r:id="rId745" display="https://www.nytimes.com/2013/09/18/us/state-law-stopped-gunman-from-buying-rifle-officials-say.html" xr:uid="{00000000-0004-0000-0400-0000EA020000}"/>
    <hyperlink ref="F279" r:id="rId746" display="https://www.washingtonpost.com/wp-srv/special/local/navy-yard-shooting/scene-at-building-197/" xr:uid="{00000000-0004-0000-0400-0000EB020000}"/>
    <hyperlink ref="H279" r:id="rId747" display="https://www.washingtonpost.com/wp-srv/special/local/navy-yard-shooting/scene-at-building-197/" xr:uid="{00000000-0004-0000-0400-0000EC020000}"/>
    <hyperlink ref="P279" r:id="rId748" display="https://www.washingtonpost.com/wp-srv/special/local/navy-yard-shooting/scene-at-building-197/" xr:uid="{00000000-0004-0000-0400-0000ED020000}"/>
    <hyperlink ref="H280" r:id="rId749" display="https://www.latimes.com/local/la-xpm-2014-feb-21-la-me-tribal-slayings-20140222-story.html" xr:uid="{00000000-0004-0000-0400-0000EE020000}"/>
    <hyperlink ref="H281" r:id="rId750" display="https://www.latimes.com/local/la-xpm-2014-feb-21-la-me-tribal-slayings-20140222-story.html" xr:uid="{00000000-0004-0000-0400-0000EF020000}"/>
    <hyperlink ref="J282" r:id="rId751" display="https://www.nbcnews.com/storyline/isla-vista-rampage/california-gunman-still-had-hundreds-rounds-sheriff-n113961" xr:uid="{00000000-0004-0000-0400-0000F0020000}"/>
    <hyperlink ref="H282" r:id="rId752" display="https://documents.latimes.com/isla-vista-investigative-summary/" xr:uid="{00000000-0004-0000-0400-0000F1020000}"/>
    <hyperlink ref="K282" r:id="rId753" display="https://documents.latimes.com/isla-vista-investigative-summary/" xr:uid="{00000000-0004-0000-0400-0000F2020000}"/>
    <hyperlink ref="L282" r:id="rId754" display="https://www.theguardian.com/world/2014/may/25/elliot-rodger-suspect-california-mass-murder-shooting-stabbing" xr:uid="{00000000-0004-0000-0400-0000F3020000}"/>
    <hyperlink ref="F283" r:id="rId755" display="https://documents.latimes.com/isla-vista-investigative-summary/" xr:uid="{00000000-0004-0000-0400-0000F4020000}"/>
    <hyperlink ref="J283" r:id="rId756" display="https://www.nbcnews.com/storyline/isla-vista-rampage/california-gunman-still-had-hundreds-rounds-sheriff-n113961" xr:uid="{00000000-0004-0000-0400-0000F5020000}"/>
    <hyperlink ref="H283" r:id="rId757" display="https://documents.latimes.com/isla-vista-investigative-summary/" xr:uid="{00000000-0004-0000-0400-0000F6020000}"/>
    <hyperlink ref="K283" r:id="rId758" display="https://documents.latimes.com/isla-vista-investigative-summary/" xr:uid="{00000000-0004-0000-0400-0000F7020000}"/>
    <hyperlink ref="L283" r:id="rId759" display="https://www.theguardian.com/world/2014/may/25/elliot-rodger-suspect-california-mass-murder-shooting-stabbing" xr:uid="{00000000-0004-0000-0400-0000F8020000}"/>
    <hyperlink ref="F284" r:id="rId760" display="https://documents.latimes.com/isla-vista-investigative-summary/" xr:uid="{00000000-0004-0000-0400-0000F9020000}"/>
    <hyperlink ref="J284" r:id="rId761" display="https://www.nbcnews.com/storyline/isla-vista-rampage/california-gunman-still-had-hundreds-rounds-sheriff-n113961" xr:uid="{00000000-0004-0000-0400-0000FA020000}"/>
    <hyperlink ref="H284" r:id="rId762" display="https://documents.latimes.com/isla-vista-investigative-summary/" xr:uid="{00000000-0004-0000-0400-0000FB020000}"/>
    <hyperlink ref="K284" r:id="rId763" display="https://documents.latimes.com/isla-vista-investigative-summary/" xr:uid="{00000000-0004-0000-0400-0000FC020000}"/>
    <hyperlink ref="L284" r:id="rId764" display="https://www.theguardian.com/world/2014/may/25/elliot-rodger-suspect-california-mass-murder-shooting-stabbing" xr:uid="{00000000-0004-0000-0400-0000FD020000}"/>
    <hyperlink ref="F285" r:id="rId765" display="https://www.nbcnews.com/storyline/marysville-school-shooting/washington-school-shooter-wanted-friends-him-other-side-n419961" xr:uid="{00000000-0004-0000-0400-0000FE020000}"/>
    <hyperlink ref="K285" r:id="rId766" display="https://www.newsweek.com/2015/09/25/jaylen-ray-fryberg-marysville-pilchuck-high-school-shooting-372669.html" xr:uid="{00000000-0004-0000-0400-0000FF020000}"/>
    <hyperlink ref="P285" r:id="rId767" display="https://apnews.com/05b209441c3247389eb2af3790c3df41" xr:uid="{00000000-0004-0000-0400-000000030000}"/>
    <hyperlink ref="F286" r:id="rId768" display="https://www.postandcourier.com/church_shooting/fbi-had-resources-to-halt-dylann-roofs-gun-buy-but-it-didnt-use-them-and/article_452b95ea-0705-11e8-8bc9-8723f84ce9dd.html" xr:uid="{00000000-0004-0000-0400-000001030000}"/>
    <hyperlink ref="K286" r:id="rId769" display="https://www.nytimes.com/2018/06/20/us/dylann-roof-fbi-lawsuits.html" xr:uid="{00000000-0004-0000-0400-000002030000}"/>
    <hyperlink ref="F287" r:id="rId770" display="https://www.nbcnews.com/storyline/chattanooga-shooting/chattanooga-shooting-attacker-had-least-three-guns-authorities-say-n394046" xr:uid="{00000000-0004-0000-0400-000003030000}"/>
    <hyperlink ref="I287" r:id="rId771" display="https://abcnews.go.com/US/chattanooga-shooting-fbi-reveals-details/story?id=32619426" xr:uid="{00000000-0004-0000-0400-000004030000}"/>
    <hyperlink ref="H287" r:id="rId772" display="https://abcnews.go.com/US/chattanooga-shooting-fbi-reveals-details/story?id=32619426" xr:uid="{00000000-0004-0000-0400-000005030000}"/>
    <hyperlink ref="K287" r:id="rId773" display="https://www.washingtonpost.com/politics/chattanooga-shooter-an-aimless-young-man-who-smoked-dope-and-shot-guns/2015/07/18/c213f6a6-2d7d-11e5-a5ea-cf74396e59ec_story.html" xr:uid="{00000000-0004-0000-0400-000006030000}"/>
    <hyperlink ref="L287" r:id="rId774" display="https://www.cnn.com/2015/07/18/us/tennessee-naval-reserve-shooting/index.html" xr:uid="{00000000-0004-0000-0400-000007030000}"/>
    <hyperlink ref="F288" r:id="rId775" display="https://www.washingtonpost.com/politics/chattanooga-shooter-an-aimless-young-man-who-smoked-dope-and-shot-guns/2015/07/18/c213f6a6-2d7d-11e5-a5ea-cf74396e59ec_story.html" xr:uid="{00000000-0004-0000-0400-000008030000}"/>
    <hyperlink ref="I288" r:id="rId776" display="https://www.washingtonpost.com/politics/chattanooga-shooter-an-aimless-young-man-who-smoked-dope-and-shot-guns/2015/07/18/c213f6a6-2d7d-11e5-a5ea-cf74396e59ec_story.html" xr:uid="{00000000-0004-0000-0400-000009030000}"/>
    <hyperlink ref="H288" r:id="rId777" display="https://abcnews.go.com/US/chattanooga-shooting-fbi-reveals-details/story?id=32619426" xr:uid="{00000000-0004-0000-0400-00000A030000}"/>
    <hyperlink ref="K288" r:id="rId778" display="https://www.washingtonpost.com/politics/chattanooga-shooter-an-aimless-young-man-who-smoked-dope-and-shot-guns/2015/07/18/c213f6a6-2d7d-11e5-a5ea-cf74396e59ec_story.html" xr:uid="{00000000-0004-0000-0400-00000B030000}"/>
    <hyperlink ref="L288" r:id="rId779" display="https://www.cnn.com/2015/07/18/us/tennessee-naval-reserve-shooting/index.html" xr:uid="{00000000-0004-0000-0400-00000C030000}"/>
    <hyperlink ref="F289" r:id="rId780" display="https://www.washingtonpost.com/world/national-security/marine-in-chattanooga-shooting-might-have-been-armed-officials-say/2015/07/20/1787a027-bbc4-429b-a8cc-9730d73b96a4_story.html" xr:uid="{00000000-0004-0000-0400-00000D030000}"/>
    <hyperlink ref="I289" r:id="rId781" display="https://abcnews.go.com/US/chattanooga-shooting-fbi-reveals-details/story?id=32619426" xr:uid="{00000000-0004-0000-0400-00000E030000}"/>
    <hyperlink ref="J289" r:id="rId782" display="https://www.nbcnews.com/storyline/chattanooga-shooting/chattanooga-shooting-attacker-had-least-three-guns-authorities-say-n394046" xr:uid="{00000000-0004-0000-0400-00000F030000}"/>
    <hyperlink ref="H289" r:id="rId783" display="https://abcnews.go.com/US/chattanooga-shooting-fbi-reveals-details/story?id=32619426" xr:uid="{00000000-0004-0000-0400-000010030000}"/>
    <hyperlink ref="L289" r:id="rId784" display="https://www.cnn.com/2015/07/18/us/tennessee-naval-reserve-shooting/index.html" xr:uid="{00000000-0004-0000-0400-000011030000}"/>
    <hyperlink ref="F290" r:id="rId785" display="https://www.registerguard.com/rg/opinion/35940634-78/an-arsenal-at-ucc.html.csp" xr:uid="{00000000-0004-0000-0400-000012030000}"/>
    <hyperlink ref="H290" r:id="rId786" display="https://www.oregonlive.com/pacific-northwest-news/2017/09/umpqua_community_college_inves.html" xr:uid="{00000000-0004-0000-0400-000013030000}"/>
    <hyperlink ref="L290" r:id="rId787" display="https://www.thetrace.org/2015/10/oregon-college-shooter-guns/" xr:uid="{00000000-0004-0000-0400-000014030000}"/>
    <hyperlink ref="F291" r:id="rId788" display="https://www.registerguard.com/rg/opinion/35940634-78/an-arsenal-at-ucc.html.csp" xr:uid="{00000000-0004-0000-0400-000015030000}"/>
    <hyperlink ref="H291" r:id="rId789" display="https://www.oregonlive.com/pacific-northwest-news/2017/09/umpqua_community_college_inves.html" xr:uid="{00000000-0004-0000-0400-000016030000}"/>
    <hyperlink ref="L291" r:id="rId790" display="https://www.thetrace.org/2015/10/oregon-college-shooter-guns/" xr:uid="{00000000-0004-0000-0400-000017030000}"/>
    <hyperlink ref="F292" r:id="rId791" display="https://www.registerguard.com/rg/opinion/35940634-78/an-arsenal-at-ucc.html.csp" xr:uid="{00000000-0004-0000-0400-000018030000}"/>
    <hyperlink ref="H292" r:id="rId792" display="https://www.oregonlive.com/pacific-northwest-news/2017/09/umpqua_community_college_inves.html" xr:uid="{00000000-0004-0000-0400-000019030000}"/>
    <hyperlink ref="K292" r:id="rId793" display="https://www.nytimes.com/2015/10/06/us/mother-of-oregon-gunman-wrote-of-keeping-firearms.html" xr:uid="{00000000-0004-0000-0400-00001A030000}"/>
    <hyperlink ref="L292" r:id="rId794" display="https://www.nytimes.com/2015/10/06/us/mother-of-oregon-gunman-wrote-of-keeping-firearms.html" xr:uid="{00000000-0004-0000-0400-00001B030000}"/>
    <hyperlink ref="P292" r:id="rId795" display="https://www.nytimes.com/2015/10/06/us/mother-of-oregon-gunman-wrote-of-keeping-firearms.html" xr:uid="{00000000-0004-0000-0400-00001C030000}"/>
    <hyperlink ref="F293" r:id="rId796" display="https://www.registerguard.com/rg/opinion/35940634-78/an-arsenal-at-ucc.html.csp" xr:uid="{00000000-0004-0000-0400-00001D030000}"/>
    <hyperlink ref="H293" r:id="rId797" display="https://www.oregonlive.com/pacific-northwest-news/2017/09/umpqua_community_college_inves.html" xr:uid="{00000000-0004-0000-0400-00001E030000}"/>
    <hyperlink ref="F294" r:id="rId798" display="https://www.registerguard.com/rg/opinion/35940634-78/an-arsenal-at-ucc.html.csp" xr:uid="{00000000-0004-0000-0400-00001F030000}"/>
    <hyperlink ref="H294" r:id="rId799" display="https://www.oregonlive.com/pacific-northwest-news/2017/09/umpqua_community_college_inves.html" xr:uid="{00000000-0004-0000-0400-000020030000}"/>
    <hyperlink ref="L294" r:id="rId800" display="https://www.thetrace.org/2015/10/oregon-college-shooter-guns/" xr:uid="{00000000-0004-0000-0400-000021030000}"/>
    <hyperlink ref="F295" r:id="rId801" display="https://www.registerguard.com/rg/opinion/35940634-78/an-arsenal-at-ucc.html.csp" xr:uid="{00000000-0004-0000-0400-000022030000}"/>
    <hyperlink ref="H295" r:id="rId802" display="https://www.oregonlive.com/pacific-northwest-news/2017/09/umpqua_community_college_inves.html" xr:uid="{00000000-0004-0000-0400-000023030000}"/>
    <hyperlink ref="K295" r:id="rId803" display="https://www.oregonlive.com/pacific-northwest-news/2017/09/umpqua_community_college_inves.html" xr:uid="{00000000-0004-0000-0400-000024030000}"/>
    <hyperlink ref="H296" r:id="rId804" display="https://www.theeagle.com/news/local/crime-scene-photos-shown-in-second-day-of-hudson-capital/article_9868e9bf-1308-569a-b9ac-214e64797d53.html" xr:uid="{00000000-0004-0000-0400-000025030000}"/>
    <hyperlink ref="F297" r:id="rId805" display="https://www.theeagle.com/news/crime/jurors-in-hudson-capital-murder-trial-watch-video-of-interrogation/article_c26c9a38-c0c7-11e7-888c-07336468f0dc.html" xr:uid="{00000000-0004-0000-0400-000026030000}"/>
    <hyperlink ref="K297" r:id="rId806" display="https://www.theeagle.com/news/crime/jurors-in-hudson-capital-murder-trial-watch-video-of-interrogation/article_c26c9a38-c0c7-11e7-888c-07336468f0dc.html" xr:uid="{00000000-0004-0000-0400-000027030000}"/>
    <hyperlink ref="L297" r:id="rId807" display="https://www.theeagle.com/news/crime/jurors-in-hudson-capital-murder-trial-watch-video-of-interrogation/article_c26c9a38-c0c7-11e7-888c-07336468f0dc.html" xr:uid="{00000000-0004-0000-0400-000028030000}"/>
    <hyperlink ref="H298" r:id="rId808" display="https://www.theeagle.com/news/local/dna-medical-experts-give-testimony-in-third-day-of-hudson-capital-murder-trial/article_17c9ced0-0c85-5c34-820a-088cf7d50764.html" xr:uid="{00000000-0004-0000-0400-000029030000}"/>
    <hyperlink ref="F299" r:id="rId809" display="https://www.nytimes.com/2015/12/04/us/weapons-in-san-bernardino-shootings-were-legally-obtained.html" xr:uid="{00000000-0004-0000-0400-00002A030000}"/>
    <hyperlink ref="I299" r:id="rId810" display="https://www.scpr.org/news/2015/12/04/56040/san-bernardino-shooting-update-rifles-used-in-atta/" xr:uid="{00000000-0004-0000-0400-00002B030000}"/>
    <hyperlink ref="J299" r:id="rId811" display="https://www.scpr.org/news/2015/12/04/56040/san-bernardino-shooting-update-rifles-used-in-atta/" xr:uid="{00000000-0004-0000-0400-00002C030000}"/>
    <hyperlink ref="H299" r:id="rId812" display="https://www.latimes.com/local/lanow/la-me-san-bernardino-terror-attack-video-20161201-story.html" xr:uid="{00000000-0004-0000-0400-00002D030000}"/>
    <hyperlink ref="K299" r:id="rId813" display="https://www.cnn.com/2015/12/03/us/syed-farook-tashfeen-malik-mass-shooting-profile/index.html" xr:uid="{00000000-0004-0000-0400-00002E030000}"/>
    <hyperlink ref="M299" r:id="rId814" display="https://www.npr.org/sections/thetwo-way/2017/02/15/515326881/man-to-plead-guilty-to-buying-weapons-used-in-san-bernardino-attack" xr:uid="{00000000-0004-0000-0400-00002F030000}"/>
    <hyperlink ref="I300" r:id="rId815" display="https://www.scpr.org/news/2015/12/04/56040/san-bernardino-shooting-update-rifles-used-in-atta/" xr:uid="{00000000-0004-0000-0400-000030030000}"/>
    <hyperlink ref="J300" r:id="rId816" display="https://www.scpr.org/news/2015/12/04/56040/san-bernardino-shooting-update-rifles-used-in-atta/" xr:uid="{00000000-0004-0000-0400-000031030000}"/>
    <hyperlink ref="H300" r:id="rId817" display="https://www.latimes.com/local/lanow/la-me-san-bernardino-terror-attack-video-20161201-story.html" xr:uid="{00000000-0004-0000-0400-000032030000}"/>
    <hyperlink ref="K300" r:id="rId818" display="https://www.cnn.com/2015/12/03/us/syed-farook-tashfeen-malik-mass-shooting-profile/index.html" xr:uid="{00000000-0004-0000-0400-000033030000}"/>
    <hyperlink ref="M300" r:id="rId819" display="https://www.npr.org/sections/thetwo-way/2017/02/15/515326881/man-to-plead-guilty-to-buying-weapons-used-in-san-bernardino-attack" xr:uid="{00000000-0004-0000-0400-000034030000}"/>
    <hyperlink ref="F301" r:id="rId820" display="https://www.nbcsandiego.com/news/local/2-guns-from-san-bernardino-shooting-came-from-turners-outdoorsman-store/61594/" xr:uid="{00000000-0004-0000-0400-000035030000}"/>
    <hyperlink ref="I301" r:id="rId821" display="https://www.scpr.org/news/2015/12/04/56040/san-bernardino-shooting-update-rifles-used-in-atta/" xr:uid="{00000000-0004-0000-0400-000036030000}"/>
    <hyperlink ref="H301" r:id="rId822" display="https://www.justice.gov/usao-cdca/file/891996/download" xr:uid="{00000000-0004-0000-0400-000037030000}"/>
    <hyperlink ref="K301" r:id="rId823" display="https://www.cnn.com/2015/12/03/us/syed-farook-tashfeen-malik-mass-shooting-profile/index.html" xr:uid="{00000000-0004-0000-0400-000038030000}"/>
    <hyperlink ref="L301" r:id="rId824" display="https://www.cnn.com/2015/12/03/us/syed-farook-tashfeen-malik-mass-shooting-profile/index.html" xr:uid="{00000000-0004-0000-0400-000039030000}"/>
    <hyperlink ref="F302" r:id="rId825" display="https://www.wsj.com/articles/rifles-used-in-san-bernardino-shooting-illegal-under-state-law-1449201057" xr:uid="{00000000-0004-0000-0400-00003A030000}"/>
    <hyperlink ref="I302" r:id="rId826" display="https://www.scpr.org/news/2015/12/04/56040/san-bernardino-shooting-update-rifles-used-in-atta/'" xr:uid="{00000000-0004-0000-0400-00003B030000}"/>
    <hyperlink ref="J302" r:id="rId827" display="https://www.sbsun.com/2017/05/25/a-new-report-on-the-san-bernardino-terrorist-attack-details-the-shootout-with-police/" xr:uid="{00000000-0004-0000-0400-00003C030000}"/>
    <hyperlink ref="H302" r:id="rId828" display="https://www.justice.gov/usao-cdca/file/891996/download" xr:uid="{00000000-0004-0000-0400-00003D030000}"/>
    <hyperlink ref="K302" r:id="rId829" display="https://www.cnn.com/2015/12/03/us/syed-farook-tashfeen-malik-mass-shooting-profile/index.html" xr:uid="{00000000-0004-0000-0400-00003E030000}"/>
    <hyperlink ref="L302" r:id="rId830" display="https://www.cnn.com/2015/12/03/us/syed-farook-tashfeen-malik-mass-shooting-profile/index.html" xr:uid="{00000000-0004-0000-0400-00003F030000}"/>
    <hyperlink ref="J303" r:id="rId831" display="https://www.mlive.com/news/kalamazoo/2016/03/police_believe_jason_dalton_us.html" xr:uid="{00000000-0004-0000-0400-000040030000}"/>
    <hyperlink ref="H303" r:id="rId832" display="https://www.mlive.com/news/kalamazoo/2016/03/police_believe_jason_dalton_us.html" xr:uid="{00000000-0004-0000-0400-000041030000}"/>
    <hyperlink ref="K303" r:id="rId833" display="https://www.mlive.com/news/kalamazoo/2016/03/police_believe_jason_dalton_us.html" xr:uid="{00000000-0004-0000-0400-000042030000}"/>
    <hyperlink ref="L303" r:id="rId834" display="https://www.mlive.com/news/kalamazoo/2016/03/police_believe_jason_dalton_us.html" xr:uid="{00000000-0004-0000-0400-000043030000}"/>
    <hyperlink ref="H304" r:id="rId835" display="https://www.mlive.com/news/kalamazoo/2016/03/police_believe_jason_dalton_us.html" xr:uid="{00000000-0004-0000-0400-000044030000}"/>
    <hyperlink ref="K304" r:id="rId836" display="https://www.mlive.com/news/kalamazoo/2016/03/police_believe_jason_dalton_us.html" xr:uid="{00000000-0004-0000-0400-000045030000}"/>
    <hyperlink ref="L304" r:id="rId837" display="https://www.mlive.com/news/kalamazoo/2016/03/police_believe_jason_dalton_us.html" xr:uid="{00000000-0004-0000-0400-000046030000}"/>
    <hyperlink ref="F306" r:id="rId838" display="https://abcnews.go.com/US/orlando-shooter-bought-weapons-nearby-gun-shop/story?id=39817471" xr:uid="{00000000-0004-0000-0400-000047030000}"/>
    <hyperlink ref="H306" r:id="rId839" display="https://abcnews.go.com/US/orlando-shooter-bought-weapons-nearby-gun-shop/story?id=39817471" xr:uid="{00000000-0004-0000-0400-000048030000}"/>
    <hyperlink ref="K306" r:id="rId840" display="https://time.com/4367592/orlando-shooting-gun-store-owner/" xr:uid="{00000000-0004-0000-0400-000049030000}"/>
    <hyperlink ref="L306" r:id="rId841" display="https://time.com/4367592/orlando-shooting-gun-store-owner/" xr:uid="{00000000-0004-0000-0400-00004A030000}"/>
    <hyperlink ref="F307" r:id="rId842" display="https://abcnews.go.com/US/orlando-shooter-bought-weapons-nearby-gun-shop/story?id=39817471" xr:uid="{00000000-0004-0000-0400-00004B030000}"/>
    <hyperlink ref="I307" r:id="rId843" display="https://www.businessinsider.com/how-did-orlando-shooter-enter-pulse-club-2016-6" xr:uid="{00000000-0004-0000-0400-00004C030000}"/>
    <hyperlink ref="J307" r:id="rId844" display="https://abcnews.go.com/US/orlando-shooter-bought-weapons-nearby-gun-shop/story?id=39817471" xr:uid="{00000000-0004-0000-0400-00004D030000}"/>
    <hyperlink ref="H307" r:id="rId845" display="https://www.bbc.com/news/world-us-canada-36511778" xr:uid="{00000000-0004-0000-0400-00004E030000}"/>
    <hyperlink ref="K307" r:id="rId846" display="https://time.com/4367592/orlando-shooting-gun-store-owner/" xr:uid="{00000000-0004-0000-0400-00004F030000}"/>
    <hyperlink ref="L307" r:id="rId847" display="https://time.com/4367592/orlando-shooting-gun-store-owner/" xr:uid="{00000000-0004-0000-0400-000050030000}"/>
    <hyperlink ref="I308" r:id="rId848" display="https://www.nbcnews.com/storyline/dallas-police-ambush/dallas-gunman-micah-johnson-used-saiga-ak-74-assault-style-n608311" xr:uid="{00000000-0004-0000-0400-000051030000}"/>
    <hyperlink ref="J308" r:id="rId849" display="https://www.nbcnews.com/storyline/dallas-police-ambush/dallas-gunman-micah-johnson-used-saiga-ak-74-assault-style-n608311" xr:uid="{00000000-0004-0000-0400-000052030000}"/>
    <hyperlink ref="H308" r:id="rId850" display="https://www.nytimes.com/2016/07/10/us/dallas-quiet-after-police-shooting-but-protests-flare-elsewhere.html" xr:uid="{00000000-0004-0000-0400-000053030000}"/>
    <hyperlink ref="K308" r:id="rId851" display="https://www.cbsnews.com/news/dallas-guman-shooting-micah-johnson-sks-rifle/" xr:uid="{00000000-0004-0000-0400-000054030000}"/>
    <hyperlink ref="L308" r:id="rId852" display="https://www.wsj.com/articles/dallas-chief-david-brown-urges-protesters-to-join-police-force-1468273328" xr:uid="{00000000-0004-0000-0400-000055030000}"/>
    <hyperlink ref="H309" r:id="rId853" display="https://www.wsj.com/articles/dallas-chief-david-brown-urges-protesters-to-join-police-force-1468273328" xr:uid="{00000000-0004-0000-0400-000056030000}"/>
    <hyperlink ref="K309" r:id="rId854" display="https://www.cbsnews.com/news/dallas-guman-shooting-micah-johnson-sks-rifle/" xr:uid="{00000000-0004-0000-0400-000057030000}"/>
    <hyperlink ref="L309" r:id="rId855" display="https://www.wsj.com/articles/dallas-chief-david-brown-urges-protesters-to-join-police-force-1468273328" xr:uid="{00000000-0004-0000-0400-000058030000}"/>
    <hyperlink ref="H310" r:id="rId856" display="https://www.wsj.com/articles/dallas-chief-david-brown-urges-protesters-to-join-police-force-1468273328" xr:uid="{00000000-0004-0000-0400-000059030000}"/>
    <hyperlink ref="K310" r:id="rId857" display="https://www.cbsnews.com/news/dallas-guman-shooting-micah-johnson-sks-rifle/" xr:uid="{00000000-0004-0000-0400-00005A030000}"/>
    <hyperlink ref="L310" r:id="rId858" display="https://www.wsj.com/articles/dallas-chief-david-brown-urges-protesters-to-join-police-force-1468273328" xr:uid="{00000000-0004-0000-0400-00005B030000}"/>
    <hyperlink ref="F311" r:id="rId859" display="https://www.cbsnews.com/news/washington-mall-shooting-suspect-arcan-cetin-confessed-documents/" xr:uid="{00000000-0004-0000-0400-00005C030000}"/>
    <hyperlink ref="J311" r:id="rId860" display="https://www.washingtonpost.com/news/post-nation/wp/2016/09/25/after-day-long-manhunt-police-arrest-20-year-old-in-washington-state-mall-killings/" xr:uid="{00000000-0004-0000-0400-00005D030000}"/>
    <hyperlink ref="J312" r:id="rId861" display="https://www.usatoday.com/story/news/2017/01/09/esteban-santiago-fort-lauderdale-hollywood-airport-suspect-what-we-know/96342512/" xr:uid="{00000000-0004-0000-0400-00005E030000}"/>
    <hyperlink ref="H312" r:id="rId862" display="https://www.nbcnews.com/news/us-news/gun-used-airport-shooting-suspect-was-once-taken-away-him-n704501" xr:uid="{00000000-0004-0000-0400-00005F030000}"/>
    <hyperlink ref="H314" r:id="rId863" display="https://www.wausaudailyherald.com/story/news/2017/08/29/report-mass-shooter-nengmy-vang-admitted-killings-demanded-tell-his-side/611830001/" xr:uid="{00000000-0004-0000-0400-000060030000}"/>
    <hyperlink ref="K314" r:id="rId864" display="https://fox11online.com/news/state/suspect-identified-in-quadruple-wisconsin-shooting" xr:uid="{00000000-0004-0000-0400-000061030000}"/>
    <hyperlink ref="H315" r:id="rId865" display="https://www.wausaudailyherald.com/story/news/2017/05/08/wife-details-troubles-before-her-husband-gunned-down-4-people/100164526/" xr:uid="{00000000-0004-0000-0400-000062030000}"/>
    <hyperlink ref="K315" r:id="rId866" display="https://www.wausaudailyherald.com/story/news/2017/05/08/wife-details-troubles-before-her-husband-gunned-down-4-people/100164526/" xr:uid="{00000000-0004-0000-0400-000063030000}"/>
    <hyperlink ref="F317" r:id="rId867" display="https://www.lvmpd.com/en-us/Documents/1-October-FIT-Criminal-Investigative-Report-FINAL_080318.pdf" xr:uid="{00000000-0004-0000-0400-000064030000}"/>
    <hyperlink ref="I317" r:id="rId868" display="https://www.lvmpd.com/en-us/Documents/1-October-FIT-Criminal-Investigative-Report-FINAL_080318.pdf" xr:uid="{00000000-0004-0000-0400-000065030000}"/>
    <hyperlink ref="J317" r:id="rId869" display="https://www.lvmpd.com/en-us/Documents/1-October-FIT-Criminal-Investigative-Report-FINAL_080318.pdf" xr:uid="{00000000-0004-0000-0400-000066030000}"/>
    <hyperlink ref="H317" r:id="rId870" display="https://www.lvmpd.com/en-us/Documents/1-October-FIT-Criminal-Investigative-Report-FINAL_080318.pdf" xr:uid="{00000000-0004-0000-0400-000067030000}"/>
    <hyperlink ref="K317" r:id="rId871" display="https://www.lvmpd.com/en-us/Documents/1-October-FIT-Criminal-Investigative-Report-FINAL_080318.pdf" xr:uid="{00000000-0004-0000-0400-000068030000}"/>
    <hyperlink ref="L317" r:id="rId872" display="https://www.lvmpd.com/en-us/Documents/1-October-FIT-Criminal-Investigative-Report-FINAL_080318.pdf" xr:uid="{00000000-0004-0000-0400-000069030000}"/>
    <hyperlink ref="F318" r:id="rId873" display="https://www.lvmpd.com/en-us/Documents/1-October-FIT-Criminal-Investigative-Report-FINAL_080318.pdf" xr:uid="{00000000-0004-0000-0400-00006A030000}"/>
    <hyperlink ref="I318" r:id="rId874" display="https://www.lvmpd.com/en-us/Documents/1-October-FIT-Criminal-Investigative-Report-FINAL_080318.pdf" xr:uid="{00000000-0004-0000-0400-00006B030000}"/>
    <hyperlink ref="J318" r:id="rId875" display="https://www.lvmpd.com/en-us/Documents/1-October-FIT-Criminal-Investigative-Report-FINAL_080318.pdf" xr:uid="{00000000-0004-0000-0400-00006C030000}"/>
    <hyperlink ref="H318" r:id="rId876" display="https://www.lvmpd.com/en-us/Documents/1-October-FIT-Criminal-Investigative-Report-FINAL_080318.pdf" xr:uid="{00000000-0004-0000-0400-00006D030000}"/>
    <hyperlink ref="K318" r:id="rId877" display="https://www.lvmpd.com/en-us/Documents/1-October-FIT-Criminal-Investigative-Report-FINAL_080318.pdf" xr:uid="{00000000-0004-0000-0400-00006E030000}"/>
    <hyperlink ref="L318" r:id="rId878" display="https://www.lvmpd.com/en-us/Documents/1-October-FIT-Criminal-Investigative-Report-FINAL_080318.pdf" xr:uid="{00000000-0004-0000-0400-00006F030000}"/>
    <hyperlink ref="F319" r:id="rId879" display="https://www.lvmpd.com/en-us/Documents/1-October-FIT-Criminal-Investigative-Report-FINAL_080318.pdf" xr:uid="{00000000-0004-0000-0400-000070030000}"/>
    <hyperlink ref="I319" r:id="rId880" display="https://www.lvmpd.com/en-us/Documents/1-October-FIT-Criminal-Investigative-Report-FINAL_080318.pdf" xr:uid="{00000000-0004-0000-0400-000071030000}"/>
    <hyperlink ref="J319" r:id="rId881" display="https://www.lvmpd.com/en-us/Documents/1-October-FIT-Criminal-Investigative-Report-FINAL_080318.pdf" xr:uid="{00000000-0004-0000-0400-000072030000}"/>
    <hyperlink ref="H319" r:id="rId882" display="https://www.lvmpd.com/en-us/Documents/1-October-FIT-Criminal-Investigative-Report-FINAL_080318.pdf" xr:uid="{00000000-0004-0000-0400-000073030000}"/>
    <hyperlink ref="K319" r:id="rId883" display="https://www.lvmpd.com/en-us/Documents/1-October-FIT-Criminal-Investigative-Report-FINAL_080318.pdf" xr:uid="{00000000-0004-0000-0400-000074030000}"/>
    <hyperlink ref="L319" r:id="rId884" display="https://www.lvmpd.com/en-us/Documents/1-October-FIT-Criminal-Investigative-Report-FINAL_080318.pdf" xr:uid="{00000000-0004-0000-0400-000075030000}"/>
    <hyperlink ref="F320" r:id="rId885" display="https://www.lvmpd.com/en-us/Documents/1-October-FIT-Criminal-Investigative-Report-FINAL_080318.pdf" xr:uid="{00000000-0004-0000-0400-000076030000}"/>
    <hyperlink ref="I320" r:id="rId886" display="https://www.lvmpd.com/en-us/Documents/1-October-FIT-Criminal-Investigative-Report-FINAL_080318.pdf" xr:uid="{00000000-0004-0000-0400-000077030000}"/>
    <hyperlink ref="J320" r:id="rId887" display="https://www.lvmpd.com/en-us/Documents/1-October-FIT-Criminal-Investigative-Report-FINAL_080318.pdf" xr:uid="{00000000-0004-0000-0400-000078030000}"/>
    <hyperlink ref="H320" r:id="rId888" display="https://www.lvmpd.com/en-us/Documents/1-October-FIT-Criminal-Investigative-Report-FINAL_080318.pdf" xr:uid="{00000000-0004-0000-0400-000079030000}"/>
    <hyperlink ref="K320" r:id="rId889" display="https://www.lvmpd.com/en-us/Documents/1-October-FIT-Criminal-Investigative-Report-FINAL_080318.pdf" xr:uid="{00000000-0004-0000-0400-00007A030000}"/>
    <hyperlink ref="L320" r:id="rId890" display="https://www.lvmpd.com/en-us/Documents/1-October-FIT-Criminal-Investigative-Report-FINAL_080318.pdf" xr:uid="{00000000-0004-0000-0400-00007B030000}"/>
    <hyperlink ref="F321" r:id="rId891" display="https://www.lvmpd.com/en-us/Documents/1-October-FIT-Criminal-Investigative-Report-FINAL_080318.pdf" xr:uid="{00000000-0004-0000-0400-00007C030000}"/>
    <hyperlink ref="I321" r:id="rId892" display="https://www.lvmpd.com/en-us/Documents/1-October-FIT-Criminal-Investigative-Report-FINAL_080318.pdf" xr:uid="{00000000-0004-0000-0400-00007D030000}"/>
    <hyperlink ref="J321" r:id="rId893" display="https://www.lvmpd.com/en-us/Documents/1-October-FIT-Criminal-Investigative-Report-FINAL_080318.pdf" xr:uid="{00000000-0004-0000-0400-00007E030000}"/>
    <hyperlink ref="H321" r:id="rId894" display="https://www.lvmpd.com/en-us/Documents/1-October-FIT-Criminal-Investigative-Report-FINAL_080318.pdf" xr:uid="{00000000-0004-0000-0400-00007F030000}"/>
    <hyperlink ref="K321" r:id="rId895" display="https://www.lvmpd.com/en-us/Documents/1-October-FIT-Criminal-Investigative-Report-FINAL_080318.pdf" xr:uid="{00000000-0004-0000-0400-000080030000}"/>
    <hyperlink ref="L321" r:id="rId896" display="https://www.lvmpd.com/en-us/Documents/1-October-FIT-Criminal-Investigative-Report-FINAL_080318.pdf" xr:uid="{00000000-0004-0000-0400-000081030000}"/>
    <hyperlink ref="F322" r:id="rId897" display="https://www.lvmpd.com/en-us/Documents/1-October-FIT-Criminal-Investigative-Report-FINAL_080318.pdf" xr:uid="{00000000-0004-0000-0400-000082030000}"/>
    <hyperlink ref="I322" r:id="rId898" display="https://www.lvmpd.com/en-us/Documents/1-October-FIT-Criminal-Investigative-Report-FINAL_080318.pdf" xr:uid="{00000000-0004-0000-0400-000083030000}"/>
    <hyperlink ref="J322" r:id="rId899" display="https://www.lvmpd.com/en-us/Documents/1-October-FIT-Criminal-Investigative-Report-FINAL_080318.pdf" xr:uid="{00000000-0004-0000-0400-000084030000}"/>
    <hyperlink ref="H322" r:id="rId900" display="https://www.lvmpd.com/en-us/Documents/1-October-FIT-Criminal-Investigative-Report-FINAL_080318.pdf" xr:uid="{00000000-0004-0000-0400-000085030000}"/>
    <hyperlink ref="K322" r:id="rId901" display="https://www.lvmpd.com/en-us/Documents/1-October-FIT-Criminal-Investigative-Report-FINAL_080318.pdf" xr:uid="{00000000-0004-0000-0400-000086030000}"/>
    <hyperlink ref="L322" r:id="rId902" display="https://www.lvmpd.com/en-us/Documents/1-October-FIT-Criminal-Investigative-Report-FINAL_080318.pdf" xr:uid="{00000000-0004-0000-0400-000087030000}"/>
    <hyperlink ref="F323" r:id="rId903" display="https://www.lvmpd.com/en-us/Documents/1-October-FIT-Criminal-Investigative-Report-FINAL_080318.pdf" xr:uid="{00000000-0004-0000-0400-000088030000}"/>
    <hyperlink ref="I323" r:id="rId904" display="https://www.lvmpd.com/en-us/Documents/1-October-FIT-Criminal-Investigative-Report-FINAL_080318.pdf" xr:uid="{00000000-0004-0000-0400-000089030000}"/>
    <hyperlink ref="H323" r:id="rId905" display="https://www.lvmpd.com/en-us/Documents/1-October-FIT-Criminal-Investigative-Report-FINAL_080318.pdf" xr:uid="{00000000-0004-0000-0400-00008A030000}"/>
    <hyperlink ref="K323" r:id="rId906" display="https://www.lvmpd.com/en-us/Documents/1-October-FIT-Criminal-Investigative-Report-FINAL_080318.pdf" xr:uid="{00000000-0004-0000-0400-00008B030000}"/>
    <hyperlink ref="L323" r:id="rId907" display="https://www.lvmpd.com/en-us/Documents/1-October-FIT-Criminal-Investigative-Report-FINAL_080318.pdf" xr:uid="{00000000-0004-0000-0400-00008C030000}"/>
    <hyperlink ref="F324" r:id="rId908" display="https://www.lvmpd.com/en-us/Documents/1-October-FIT-Criminal-Investigative-Report-FINAL_080318.pdf" xr:uid="{00000000-0004-0000-0400-00008D030000}"/>
    <hyperlink ref="I324" r:id="rId909" display="https://www.lvmpd.com/en-us/Documents/1-October-FIT-Criminal-Investigative-Report-FINAL_080318.pdf" xr:uid="{00000000-0004-0000-0400-00008E030000}"/>
    <hyperlink ref="H324" r:id="rId910" display="https://www.lvmpd.com/en-us/Documents/1-October-FIT-Criminal-Investigative-Report-FINAL_080318.pdf" xr:uid="{00000000-0004-0000-0400-00008F030000}"/>
    <hyperlink ref="K324" r:id="rId911" display="https://www.lvmpd.com/en-us/Documents/1-October-FIT-Criminal-Investigative-Report-FINAL_080318.pdf" xr:uid="{00000000-0004-0000-0400-000090030000}"/>
    <hyperlink ref="L324" r:id="rId912" display="https://www.lvmpd.com/en-us/Documents/1-October-FIT-Criminal-Investigative-Report-FINAL_080318.pdf" xr:uid="{00000000-0004-0000-0400-000091030000}"/>
    <hyperlink ref="F325" r:id="rId913" display="https://www.lvmpd.com/en-us/Documents/1-October-FIT-Criminal-Investigative-Report-FINAL_080318.pdf" xr:uid="{00000000-0004-0000-0400-000092030000}"/>
    <hyperlink ref="I325" r:id="rId914" display="https://www.lvmpd.com/en-us/Documents/1-October-FIT-Criminal-Investigative-Report-FINAL_080318.pdf" xr:uid="{00000000-0004-0000-0400-000093030000}"/>
    <hyperlink ref="J325" r:id="rId915" display="https://www.lvmpd.com/en-us/Documents/1-October-FIT-Criminal-Investigative-Report-FINAL_080318.pdf" xr:uid="{00000000-0004-0000-0400-000094030000}"/>
    <hyperlink ref="H325" r:id="rId916" display="https://www.lvmpd.com/en-us/Documents/1-October-FIT-Criminal-Investigative-Report-FINAL_080318.pdf" xr:uid="{00000000-0004-0000-0400-000095030000}"/>
    <hyperlink ref="K325" r:id="rId917" display="https://www.lvmpd.com/en-us/Documents/1-October-FIT-Criminal-Investigative-Report-FINAL_080318.pdf" xr:uid="{00000000-0004-0000-0400-000096030000}"/>
    <hyperlink ref="L325" r:id="rId918" display="https://www.lvmpd.com/en-us/Documents/1-October-FIT-Criminal-Investigative-Report-FINAL_080318.pdf" xr:uid="{00000000-0004-0000-0400-000097030000}"/>
    <hyperlink ref="F326" r:id="rId919" display="https://www.lvmpd.com/en-us/Documents/1-October-FIT-Criminal-Investigative-Report-FINAL_080318.pdf" xr:uid="{00000000-0004-0000-0400-000098030000}"/>
    <hyperlink ref="I326" r:id="rId920" display="https://www.lvmpd.com/en-us/Documents/1-October-FIT-Criminal-Investigative-Report-FINAL_080318.pdf" xr:uid="{00000000-0004-0000-0400-000099030000}"/>
    <hyperlink ref="J326" r:id="rId921" display="https://www.lvmpd.com/en-us/Documents/1-October-FIT-Criminal-Investigative-Report-FINAL_080318.pdf" xr:uid="{00000000-0004-0000-0400-00009A030000}"/>
    <hyperlink ref="H326" r:id="rId922" display="https://www.lvmpd.com/en-us/Documents/1-October-FIT-Criminal-Investigative-Report-FINAL_080318.pdf" xr:uid="{00000000-0004-0000-0400-00009B030000}"/>
    <hyperlink ref="K326" r:id="rId923" display="https://www.lvmpd.com/en-us/Documents/1-October-FIT-Criminal-Investigative-Report-FINAL_080318.pdf" xr:uid="{00000000-0004-0000-0400-00009C030000}"/>
    <hyperlink ref="L326" r:id="rId924" display="https://www.lvmpd.com/en-us/Documents/1-October-FIT-Criminal-Investigative-Report-FINAL_080318.pdf" xr:uid="{00000000-0004-0000-0400-00009D030000}"/>
    <hyperlink ref="F327" r:id="rId925" display="https://www.lvmpd.com/en-us/Documents/1-October-FIT-Criminal-Investigative-Report-FINAL_080318.pdf" xr:uid="{00000000-0004-0000-0400-00009E030000}"/>
    <hyperlink ref="I327" r:id="rId926" display="https://www.lvmpd.com/en-us/Documents/1-October-FIT-Criminal-Investigative-Report-FINAL_080318.pdf" xr:uid="{00000000-0004-0000-0400-00009F030000}"/>
    <hyperlink ref="H327" r:id="rId927" display="https://www.lvmpd.com/en-us/Documents/1-October-FIT-Criminal-Investigative-Report-FINAL_080318.pdf" xr:uid="{00000000-0004-0000-0400-0000A0030000}"/>
    <hyperlink ref="K327" r:id="rId928" display="https://www.lvmpd.com/en-us/Documents/1-October-FIT-Criminal-Investigative-Report-FINAL_080318.pdf" xr:uid="{00000000-0004-0000-0400-0000A1030000}"/>
    <hyperlink ref="L327" r:id="rId929" display="https://www.lvmpd.com/en-us/Documents/1-October-FIT-Criminal-Investigative-Report-FINAL_080318.pdf" xr:uid="{00000000-0004-0000-0400-0000A2030000}"/>
    <hyperlink ref="F328" r:id="rId930" display="https://www.lvmpd.com/en-us/Documents/1-October-FIT-Criminal-Investigative-Report-FINAL_080318.pdf" xr:uid="{00000000-0004-0000-0400-0000A3030000}"/>
    <hyperlink ref="I328" r:id="rId931" display="https://www.lvmpd.com/en-us/Documents/1-October-FIT-Criminal-Investigative-Report-FINAL_080318.pdf" xr:uid="{00000000-0004-0000-0400-0000A4030000}"/>
    <hyperlink ref="H328" r:id="rId932" display="https://www.lvmpd.com/en-us/Documents/1-October-FIT-Criminal-Investigative-Report-FINAL_080318.pdf" xr:uid="{00000000-0004-0000-0400-0000A5030000}"/>
    <hyperlink ref="K328" r:id="rId933" display="https://www.lvmpd.com/en-us/Documents/1-October-FIT-Criminal-Investigative-Report-FINAL_080318.pdf" xr:uid="{00000000-0004-0000-0400-0000A6030000}"/>
    <hyperlink ref="L328" r:id="rId934" display="https://www.lvmpd.com/en-us/Documents/1-October-FIT-Criminal-Investigative-Report-FINAL_080318.pdf" xr:uid="{00000000-0004-0000-0400-0000A7030000}"/>
    <hyperlink ref="F329" r:id="rId935" display="https://www.lvmpd.com/en-us/Documents/1-October-FIT-Criminal-Investigative-Report-FINAL_080318.pdf" xr:uid="{00000000-0004-0000-0400-0000A8030000}"/>
    <hyperlink ref="I329" r:id="rId936" display="https://www.lvmpd.com/en-us/Documents/1-October-FIT-Criminal-Investigative-Report-FINAL_080318.pdf" xr:uid="{00000000-0004-0000-0400-0000A9030000}"/>
    <hyperlink ref="J329" r:id="rId937" display="https://www.lvmpd.com/en-us/Documents/1-October-FIT-Criminal-Investigative-Report-FINAL_080318.pdf" xr:uid="{00000000-0004-0000-0400-0000AA030000}"/>
    <hyperlink ref="H329" r:id="rId938" display="https://www.lvmpd.com/en-us/Documents/1-October-FIT-Criminal-Investigative-Report-FINAL_080318.pdf" xr:uid="{00000000-0004-0000-0400-0000AB030000}"/>
    <hyperlink ref="K329" r:id="rId939" display="https://www.lvmpd.com/en-us/Documents/1-October-FIT-Criminal-Investigative-Report-FINAL_080318.pdf" xr:uid="{00000000-0004-0000-0400-0000AC030000}"/>
    <hyperlink ref="L329" r:id="rId940" display="https://www.lvmpd.com/en-us/Documents/1-October-FIT-Criminal-Investigative-Report-FINAL_080318.pdf" xr:uid="{00000000-0004-0000-0400-0000AD030000}"/>
    <hyperlink ref="F330" r:id="rId941" display="https://www.lvmpd.com/en-us/Documents/1-October-FIT-Criminal-Investigative-Report-FINAL_080318.pdf" xr:uid="{00000000-0004-0000-0400-0000AE030000}"/>
    <hyperlink ref="I330" r:id="rId942" display="https://www.lvmpd.com/en-us/Documents/1-October-FIT-Criminal-Investigative-Report-FINAL_080318.pdf" xr:uid="{00000000-0004-0000-0400-0000AF030000}"/>
    <hyperlink ref="H330" r:id="rId943" display="https://www.lvmpd.com/en-us/Documents/1-October-FIT-Criminal-Investigative-Report-FINAL_080318.pdf" xr:uid="{00000000-0004-0000-0400-0000B0030000}"/>
    <hyperlink ref="K330" r:id="rId944" display="https://www.lvmpd.com/en-us/Documents/1-October-FIT-Criminal-Investigative-Report-FINAL_080318.pdf" xr:uid="{00000000-0004-0000-0400-0000B1030000}"/>
    <hyperlink ref="L330" r:id="rId945" display="https://www.lvmpd.com/en-us/Documents/1-October-FIT-Criminal-Investigative-Report-FINAL_080318.pdf" xr:uid="{00000000-0004-0000-0400-0000B2030000}"/>
    <hyperlink ref="F331" r:id="rId946" display="https://www.lvmpd.com/en-us/Documents/1-October-FIT-Criminal-Investigative-Report-FINAL_080318.pdf" xr:uid="{00000000-0004-0000-0400-0000B3030000}"/>
    <hyperlink ref="I331" r:id="rId947" display="https://www.lvmpd.com/en-us/Documents/1-October-FIT-Criminal-Investigative-Report-FINAL_080318.pdf" xr:uid="{00000000-0004-0000-0400-0000B4030000}"/>
    <hyperlink ref="J331" r:id="rId948" display="https://www.lvmpd.com/en-us/Documents/1-October-FIT-Criminal-Investigative-Report-FINAL_080318.pdf" xr:uid="{00000000-0004-0000-0400-0000B5030000}"/>
    <hyperlink ref="H331" r:id="rId949" display="https://www.lvmpd.com/en-us/Documents/1-October-FIT-Criminal-Investigative-Report-FINAL_080318.pdf" xr:uid="{00000000-0004-0000-0400-0000B6030000}"/>
    <hyperlink ref="K331" r:id="rId950" display="https://www.lvmpd.com/en-us/Documents/1-October-FIT-Criminal-Investigative-Report-FINAL_080318.pdf" xr:uid="{00000000-0004-0000-0400-0000B7030000}"/>
    <hyperlink ref="L331" r:id="rId951" display="https://www.lvmpd.com/en-us/Documents/1-October-FIT-Criminal-Investigative-Report-FINAL_080318.pdf" xr:uid="{00000000-0004-0000-0400-0000B8030000}"/>
    <hyperlink ref="F332" r:id="rId952" display="https://www.lvmpd.com/en-us/Documents/1-October-FIT-Criminal-Investigative-Report-FINAL_080318.pdf" xr:uid="{00000000-0004-0000-0400-0000B9030000}"/>
    <hyperlink ref="I332" r:id="rId953" display="https://www.lvmpd.com/en-us/Documents/1-October-FIT-Criminal-Investigative-Report-FINAL_080318.pdf" xr:uid="{00000000-0004-0000-0400-0000BA030000}"/>
    <hyperlink ref="J332" r:id="rId954" display="https://www.lvmpd.com/en-us/Documents/1-October-FIT-Criminal-Investigative-Report-FINAL_080318.pdf" xr:uid="{00000000-0004-0000-0400-0000BB030000}"/>
    <hyperlink ref="H332" r:id="rId955" display="https://www.lvmpd.com/en-us/Documents/1-October-FIT-Criminal-Investigative-Report-FINAL_080318.pdf" xr:uid="{00000000-0004-0000-0400-0000BC030000}"/>
    <hyperlink ref="K332" r:id="rId956" display="https://www.lvmpd.com/en-us/Documents/1-October-FIT-Criminal-Investigative-Report-FINAL_080318.pdf" xr:uid="{00000000-0004-0000-0400-0000BD030000}"/>
    <hyperlink ref="L332" r:id="rId957" display="https://www.lvmpd.com/en-us/Documents/1-October-FIT-Criminal-Investigative-Report-FINAL_080318.pdf" xr:uid="{00000000-0004-0000-0400-0000BE030000}"/>
    <hyperlink ref="F333" r:id="rId958" display="https://www.lvmpd.com/en-us/Documents/1-October-FIT-Criminal-Investigative-Report-FINAL_080318.pdf" xr:uid="{00000000-0004-0000-0400-0000BF030000}"/>
    <hyperlink ref="I333" r:id="rId959" display="https://www.lvmpd.com/en-us/Documents/1-October-FIT-Criminal-Investigative-Report-FINAL_080318.pdf" xr:uid="{00000000-0004-0000-0400-0000C0030000}"/>
    <hyperlink ref="J333" r:id="rId960" display="https://www.lvmpd.com/en-us/Documents/1-October-FIT-Criminal-Investigative-Report-FINAL_080318.pdf" xr:uid="{00000000-0004-0000-0400-0000C1030000}"/>
    <hyperlink ref="H333" r:id="rId961" display="https://www.lvmpd.com/en-us/Documents/1-October-FIT-Criminal-Investigative-Report-FINAL_080318.pdf" xr:uid="{00000000-0004-0000-0400-0000C2030000}"/>
    <hyperlink ref="K333" r:id="rId962" display="https://www.lvmpd.com/en-us/Documents/1-October-FIT-Criminal-Investigative-Report-FINAL_080318.pdf" xr:uid="{00000000-0004-0000-0400-0000C3030000}"/>
    <hyperlink ref="L333" r:id="rId963" display="https://www.lvmpd.com/en-us/Documents/1-October-FIT-Criminal-Investigative-Report-FINAL_080318.pdf" xr:uid="{00000000-0004-0000-0400-0000C4030000}"/>
    <hyperlink ref="F334" r:id="rId964" display="https://www.lvmpd.com/en-us/Documents/1-October-FIT-Criminal-Investigative-Report-FINAL_080318.pdf" xr:uid="{00000000-0004-0000-0400-0000C5030000}"/>
    <hyperlink ref="I334" r:id="rId965" display="https://www.lvmpd.com/en-us/Documents/1-October-FIT-Criminal-Investigative-Report-FINAL_080318.pdf" xr:uid="{00000000-0004-0000-0400-0000C6030000}"/>
    <hyperlink ref="J334" r:id="rId966" display="https://www.lvmpd.com/en-us/Documents/1-October-FIT-Criminal-Investigative-Report-FINAL_080318.pdf" xr:uid="{00000000-0004-0000-0400-0000C7030000}"/>
    <hyperlink ref="H334" r:id="rId967" display="https://www.lvmpd.com/en-us/Documents/1-October-FIT-Criminal-Investigative-Report-FINAL_080318.pdf" xr:uid="{00000000-0004-0000-0400-0000C8030000}"/>
    <hyperlink ref="K334" r:id="rId968" display="https://www.lvmpd.com/en-us/Documents/1-October-FIT-Criminal-Investigative-Report-FINAL_080318.pdf" xr:uid="{00000000-0004-0000-0400-0000C9030000}"/>
    <hyperlink ref="L334" r:id="rId969" display="https://www.lvmpd.com/en-us/Documents/1-October-FIT-Criminal-Investigative-Report-FINAL_080318.pdf" xr:uid="{00000000-0004-0000-0400-0000CA030000}"/>
    <hyperlink ref="F335" r:id="rId970" display="https://www.lvmpd.com/en-us/Documents/1-October-FIT-Criminal-Investigative-Report-FINAL_080318.pdf" xr:uid="{00000000-0004-0000-0400-0000CB030000}"/>
    <hyperlink ref="I335" r:id="rId971" display="https://www.lvmpd.com/en-us/Documents/1-October-FIT-Criminal-Investigative-Report-FINAL_080318.pdf" xr:uid="{00000000-0004-0000-0400-0000CC030000}"/>
    <hyperlink ref="J335" r:id="rId972" display="https://www.lvmpd.com/en-us/Documents/1-October-FIT-Criminal-Investigative-Report-FINAL_080318.pdf" xr:uid="{00000000-0004-0000-0400-0000CD030000}"/>
    <hyperlink ref="H335" r:id="rId973" display="https://www.lvmpd.com/en-us/Documents/1-October-FIT-Criminal-Investigative-Report-FINAL_080318.pdf" xr:uid="{00000000-0004-0000-0400-0000CE030000}"/>
    <hyperlink ref="K335" r:id="rId974" display="https://www.lvmpd.com/en-us/Documents/1-October-FIT-Criminal-Investigative-Report-FINAL_080318.pdf" xr:uid="{00000000-0004-0000-0400-0000CF030000}"/>
    <hyperlink ref="L335" r:id="rId975" display="https://www.lvmpd.com/en-us/Documents/1-October-FIT-Criminal-Investigative-Report-FINAL_080318.pdf" xr:uid="{00000000-0004-0000-0400-0000D0030000}"/>
    <hyperlink ref="F336" r:id="rId976" display="https://www.lvmpd.com/en-us/Documents/1-October-FIT-Criminal-Investigative-Report-FINAL_080318.pdf" xr:uid="{00000000-0004-0000-0400-0000D1030000}"/>
    <hyperlink ref="I336" r:id="rId977" display="https://www.lvmpd.com/en-us/Documents/1-October-FIT-Criminal-Investigative-Report-FINAL_080318.pdf" xr:uid="{00000000-0004-0000-0400-0000D2030000}"/>
    <hyperlink ref="H336" r:id="rId978" display="https://www.lvmpd.com/en-us/Documents/1-October-FIT-Criminal-Investigative-Report-FINAL_080318.pdf" xr:uid="{00000000-0004-0000-0400-0000D3030000}"/>
    <hyperlink ref="K336" r:id="rId979" display="https://www.lvmpd.com/en-us/Documents/1-October-FIT-Criminal-Investigative-Report-FINAL_080318.pdf" xr:uid="{00000000-0004-0000-0400-0000D4030000}"/>
    <hyperlink ref="L336" r:id="rId980" display="https://www.lvmpd.com/en-us/Documents/1-October-FIT-Criminal-Investigative-Report-FINAL_080318.pdf" xr:uid="{00000000-0004-0000-0400-0000D5030000}"/>
    <hyperlink ref="F337" r:id="rId981" display="https://www.lvmpd.com/en-us/Documents/1-October-FIT-Criminal-Investigative-Report-FINAL_080318.pdf" xr:uid="{00000000-0004-0000-0400-0000D6030000}"/>
    <hyperlink ref="I337" r:id="rId982" display="https://www.lvmpd.com/en-us/Documents/1-October-FIT-Criminal-Investigative-Report-FINAL_080318.pdf" xr:uid="{00000000-0004-0000-0400-0000D7030000}"/>
    <hyperlink ref="H337" r:id="rId983" display="https://www.lvmpd.com/en-us/Documents/1-October-FIT-Criminal-Investigative-Report-FINAL_080318.pdf" xr:uid="{00000000-0004-0000-0400-0000D8030000}"/>
    <hyperlink ref="K337" r:id="rId984" display="https://www.lvmpd.com/en-us/Documents/1-October-FIT-Criminal-Investigative-Report-FINAL_080318.pdf" xr:uid="{00000000-0004-0000-0400-0000D9030000}"/>
    <hyperlink ref="L337" r:id="rId985" display="https://www.lvmpd.com/en-us/Documents/1-October-FIT-Criminal-Investigative-Report-FINAL_080318.pdf" xr:uid="{00000000-0004-0000-0400-0000DA030000}"/>
    <hyperlink ref="F338" r:id="rId986" display="https://www.lvmpd.com/en-us/Documents/1-October-FIT-Criminal-Investigative-Report-FINAL_080318.pdf" xr:uid="{00000000-0004-0000-0400-0000DB030000}"/>
    <hyperlink ref="I338" r:id="rId987" display="https://www.lvmpd.com/en-us/Documents/1-October-FIT-Criminal-Investigative-Report-FINAL_080318.pdf" xr:uid="{00000000-0004-0000-0400-0000DC030000}"/>
    <hyperlink ref="H338" r:id="rId988" display="https://www.lvmpd.com/en-us/Documents/1-October-FIT-Criminal-Investigative-Report-FINAL_080318.pdf" xr:uid="{00000000-0004-0000-0400-0000DD030000}"/>
    <hyperlink ref="K338" r:id="rId989" display="https://www.lvmpd.com/en-us/Documents/1-October-FIT-Criminal-Investigative-Report-FINAL_080318.pdf" xr:uid="{00000000-0004-0000-0400-0000DE030000}"/>
    <hyperlink ref="L338" r:id="rId990" display="https://www.lvmpd.com/en-us/Documents/1-October-FIT-Criminal-Investigative-Report-FINAL_080318.pdf" xr:uid="{00000000-0004-0000-0400-0000DF030000}"/>
    <hyperlink ref="F339" r:id="rId991" display="https://www.lvmpd.com/en-us/Documents/1-October-FIT-Criminal-Investigative-Report-FINAL_080318.pdf" xr:uid="{00000000-0004-0000-0400-0000E0030000}"/>
    <hyperlink ref="I339" r:id="rId992" display="https://www.lvmpd.com/en-us/Documents/1-October-FIT-Criminal-Investigative-Report-FINAL_080318.pdf" xr:uid="{00000000-0004-0000-0400-0000E1030000}"/>
    <hyperlink ref="H339" r:id="rId993" display="https://www.lvmpd.com/en-us/Documents/1-October-FIT-Criminal-Investigative-Report-FINAL_080318.pdf" xr:uid="{00000000-0004-0000-0400-0000E2030000}"/>
    <hyperlink ref="K339" r:id="rId994" display="https://www.lvmpd.com/en-us/Documents/1-October-FIT-Criminal-Investigative-Report-FINAL_080318.pdf" xr:uid="{00000000-0004-0000-0400-0000E3030000}"/>
    <hyperlink ref="L339" r:id="rId995" display="https://www.lvmpd.com/en-us/Documents/1-October-FIT-Criminal-Investigative-Report-FINAL_080318.pdf" xr:uid="{00000000-0004-0000-0400-0000E4030000}"/>
    <hyperlink ref="F340" r:id="rId996" display="https://www.lvmpd.com/en-us/Documents/1-October-FIT-Criminal-Investigative-Report-FINAL_080318.pdf" xr:uid="{00000000-0004-0000-0400-0000E5030000}"/>
    <hyperlink ref="I340" r:id="rId997" display="https://www.lvmpd.com/en-us/Documents/1-October-FIT-Criminal-Investigative-Report-FINAL_080318.pdf" xr:uid="{00000000-0004-0000-0400-0000E6030000}"/>
    <hyperlink ref="H340" r:id="rId998" display="https://www.lvmpd.com/en-us/Documents/1-October-FIT-Criminal-Investigative-Report-FINAL_080318.pdf" xr:uid="{00000000-0004-0000-0400-0000E7030000}"/>
    <hyperlink ref="K340" r:id="rId999" display="https://www.lvmpd.com/en-us/Documents/1-October-FIT-Criminal-Investigative-Report-FINAL_080318.pdf" xr:uid="{00000000-0004-0000-0400-0000E8030000}"/>
    <hyperlink ref="L340" r:id="rId1000" display="https://www.lvmpd.com/en-us/Documents/1-October-FIT-Criminal-Investigative-Report-FINAL_080318.pdf" xr:uid="{00000000-0004-0000-0400-0000E9030000}"/>
    <hyperlink ref="F341" r:id="rId1001" display="https://www.star-telegram.com/news/state/article183055101.html" xr:uid="{00000000-0004-0000-0400-0000EA030000}"/>
    <hyperlink ref="K341" r:id="rId1002" display="https://media.defense.gov/2018/Dec/07/2002070069/-1/-1/1/DODIG-2019-030_REDACTED.PDF" xr:uid="{00000000-0004-0000-0400-0000EB030000}"/>
    <hyperlink ref="M341" r:id="rId1003" display="https://www.statesman.com/news/20171107/hundreds-of-shell-casings-15-empty-magazines-found-at-church" xr:uid="{00000000-0004-0000-0400-0000EC030000}"/>
    <hyperlink ref="F342" r:id="rId1004" display="https://money.cnn.com/2017/11/06/news/companies/ruger-ar-556-ar-15/index.html" xr:uid="{00000000-0004-0000-0400-0000ED030000}"/>
    <hyperlink ref="J342" r:id="rId1005" display="https://apnews.com/ea643fecb4f9467caa59834354ca495f" xr:uid="{00000000-0004-0000-0400-0000EE030000}"/>
    <hyperlink ref="H342" r:id="rId1006" display="https://www.washingtonpost.com/news/checkpoint/wp/2017/11/06/the-air-force-says-it-failed-to-follow-procedures-allowing-texas-church-shooter-to-obtain-firearms/" xr:uid="{00000000-0004-0000-0400-0000EF030000}"/>
    <hyperlink ref="K342" r:id="rId1007" display="https://media.defense.gov/2018/Dec/07/2002070069/-1/-1/1/DODIG-2019-030_REDACTED.PDF" xr:uid="{00000000-0004-0000-0400-0000F0030000}"/>
    <hyperlink ref="M342" r:id="rId1008" display="https://www.washingtonpost.com/news/checkpoint/wp/2017/11/06/the-air-force-says-it-failed-to-follow-procedures-allowing-texas-church-shooter-to-obtain-firearms/" xr:uid="{00000000-0004-0000-0400-0000F1030000}"/>
    <hyperlink ref="F343" r:id="rId1009" display="https://www.star-telegram.com/news/state/article183055101.html" xr:uid="{00000000-0004-0000-0400-0000F2030000}"/>
    <hyperlink ref="K343" r:id="rId1010" display="https://media.defense.gov/2018/Dec/07/2002070069/-1/-1/1/DODIG-2019-030_REDACTED.PDF" xr:uid="{00000000-0004-0000-0400-0000F3030000}"/>
    <hyperlink ref="M343" r:id="rId1011" display="https://www.statesman.com/news/20171107/hundreds-of-shell-casings-15-empty-magazines-found-at-church" xr:uid="{00000000-0004-0000-0400-0000F4030000}"/>
    <hyperlink ref="F344" r:id="rId1012" display="https://www.latimes.com/local/lanow/la-me-ln-tehama-shooter-guns-20171121-story.html" xr:uid="{00000000-0004-0000-0400-0000F5030000}"/>
    <hyperlink ref="K344" r:id="rId1013" display="https://www.latimes.com/local/lanow/la-me-ln-tehama-shooter-guns-20171121-story.html" xr:uid="{00000000-0004-0000-0400-0000F6030000}"/>
    <hyperlink ref="M344" r:id="rId1014" display="https://www.latimes.com/local/lanow/la-me-ln-tehama-shooter-guns-20171121-story.html" xr:uid="{00000000-0004-0000-0400-0000F7030000}"/>
    <hyperlink ref="P344" r:id="rId1015" display="https://www.latimes.com/local/lanow/la-me-ln-tehama-shooter-guns-20171121-story.html" xr:uid="{00000000-0004-0000-0400-0000F8030000}"/>
    <hyperlink ref="F345" r:id="rId1016" display="https://www.latimes.com/local/lanow/la-me-ln-tehama-shooter-guns-20171121-story.html" xr:uid="{00000000-0004-0000-0400-0000F9030000}"/>
    <hyperlink ref="H345" r:id="rId1017" display="https://www.sacbee.com/news/local/crime/article188850419.html" xr:uid="{00000000-0004-0000-0400-0000FA030000}"/>
    <hyperlink ref="K345" r:id="rId1018" display="https://www.latimes.com/local/lanow/la-me-ln-tehama-shooter-guns-20171121-story.html" xr:uid="{00000000-0004-0000-0400-0000FB030000}"/>
    <hyperlink ref="M345" r:id="rId1019" display="https://www.latimes.com/local/lanow/la-me-ln-tehama-shooter-guns-20171121-story.html" xr:uid="{00000000-0004-0000-0400-0000FC030000}"/>
    <hyperlink ref="F346" r:id="rId1020" display="https://www.aol.com/article/news/2017/11/17/california-mass-shooter-made-his-own-rifles/23280600/" xr:uid="{00000000-0004-0000-0400-0000FD030000}"/>
    <hyperlink ref="I346" r:id="rId1021" display="https://www.aol.com/article/news/2017/11/17/california-mass-shooter-made-his-own-rifles/23280600/" xr:uid="{00000000-0004-0000-0400-0000FE030000}"/>
    <hyperlink ref="H346" r:id="rId1022" display="https://www.aol.com/article/news/2017/11/17/california-mass-shooter-made-his-own-rifles/23280600/" xr:uid="{00000000-0004-0000-0400-0000FF030000}"/>
    <hyperlink ref="M346" r:id="rId1023" display="https://www.latimes.com/local/lanow/la-me-ln-tehama-shooter-guns-20171121-story.html" xr:uid="{00000000-0004-0000-0400-000000040000}"/>
    <hyperlink ref="N346" r:id="rId1024" display="https://www.aol.com/article/news/2017/11/17/california-mass-shooter-made-his-own-rifles/23280600/" xr:uid="{00000000-0004-0000-0400-000001040000}"/>
    <hyperlink ref="F347" r:id="rId1025" display="https://www.aol.com/article/news/2017/11/17/california-mass-shooter-made-his-own-rifles/23280600/" xr:uid="{00000000-0004-0000-0400-000002040000}"/>
    <hyperlink ref="I347" r:id="rId1026" display="https://www.aol.com/article/news/2017/11/17/california-mass-shooter-made-his-own-rifles/23280600/" xr:uid="{00000000-0004-0000-0400-000003040000}"/>
    <hyperlink ref="H347" r:id="rId1027" display="https://www.aol.com/article/news/2017/11/17/california-mass-shooter-made-his-own-rifles/23280600/" xr:uid="{00000000-0004-0000-0400-000004040000}"/>
    <hyperlink ref="M347" r:id="rId1028" display="https://www.latimes.com/local/lanow/la-me-ln-tehama-shooter-guns-20171121-story.html" xr:uid="{00000000-0004-0000-0400-000005040000}"/>
    <hyperlink ref="N347" r:id="rId1029" display="https://www.aol.com/article/news/2017/11/17/california-mass-shooter-made-his-own-rifles/23280600/" xr:uid="{00000000-0004-0000-0400-000006040000}"/>
    <hyperlink ref="F348" r:id="rId1030" display="https://www.washingtonpost.com/news/post-nation/wp/2018/01/29/jealousy-and-obsession-may-have-led-carwash-shooting-suspect-to-kill-four-relatives-say/" xr:uid="{00000000-0004-0000-0400-000007040000}"/>
    <hyperlink ref="H348" r:id="rId1031" display="https://www.washingtonpost.com/news/post-nation/wp/2018/01/29/jealousy-and-obsession-may-have-led-carwash-shooting-suspect-to-kill-four-relatives-say/" xr:uid="{00000000-0004-0000-0400-000008040000}"/>
    <hyperlink ref="K348" r:id="rId1032" display="https://www.washingtonpost.com/news/post-nation/wp/2018/01/29/jealousy-and-obsession-may-have-led-carwash-shooting-suspect-to-kill-four-relatives-say/" xr:uid="{00000000-0004-0000-0400-000009040000}"/>
    <hyperlink ref="H349" r:id="rId1033" display="https://www.washingtonpost.com/news/post-nation/wp/2018/01/29/jealousy-and-obsession-may-have-led-carwash-shooting-suspect-to-kill-four-relatives-say/" xr:uid="{00000000-0004-0000-0400-00000A040000}"/>
    <hyperlink ref="K349" r:id="rId1034" display="https://www.washingtonpost.com/news/post-nation/wp/2018/01/29/jealousy-and-obsession-may-have-led-carwash-shooting-suspect-to-kill-four-relatives-say/" xr:uid="{00000000-0004-0000-0400-00000B040000}"/>
    <hyperlink ref="F350" r:id="rId1035" display="https://www.washingtonpost.com/news/post-nation/wp/2018/01/29/jealousy-and-obsession-may-have-led-carwash-shooting-suspect-to-kill-four-relatives-say/" xr:uid="{00000000-0004-0000-0400-00000C040000}"/>
    <hyperlink ref="H350" r:id="rId1036" display="https://www.washingtonpost.com/news/post-nation/wp/2018/01/29/jealousy-and-obsession-may-have-led-carwash-shooting-suspect-to-kill-four-relatives-say/" xr:uid="{00000000-0004-0000-0400-00000D040000}"/>
    <hyperlink ref="K350" r:id="rId1037" display="https://www.washingtonpost.com/news/post-nation/wp/2018/01/29/jealousy-and-obsession-may-have-led-carwash-shooting-suspect-to-kill-four-relatives-say/" xr:uid="{00000000-0004-0000-0400-00000E040000}"/>
    <hyperlink ref="F351" r:id="rId1038" display="https://www.usatoday.com/story/news/2018/02/15/florida-shooting-suspect-bought-gun-legally-authorities-say/340606002/" xr:uid="{00000000-0004-0000-0400-00000F040000}"/>
    <hyperlink ref="J351" r:id="rId1039" display="https://www.miamiherald.com/news/local/community/broward/article202486304.html" xr:uid="{00000000-0004-0000-0400-000010040000}"/>
    <hyperlink ref="K351" r:id="rId1040" display="https://www.wsj.com/articles/ar-15-style-rifles-popular-and-easily-customized-1518796536" xr:uid="{00000000-0004-0000-0400-000011040000}"/>
    <hyperlink ref="L351" r:id="rId1041" display="https://www.wsj.com/articles/ar-15-style-rifles-popular-and-easily-customized-1518796536" xr:uid="{00000000-0004-0000-0400-000012040000}"/>
    <hyperlink ref="F353" r:id="rId1042" display="https://chicago.cbslocal.com/2019/03/14/waffle-house-shooting-father-charged-reinking/" xr:uid="{00000000-0004-0000-0400-000013040000}"/>
    <hyperlink ref="M353" r:id="rId1043" display="https://chicago.cbslocal.com/2019/03/14/waffle-house-shooting-father-charged-reinking/" xr:uid="{00000000-0004-0000-0400-000014040000}"/>
    <hyperlink ref="F354" r:id="rId1044" display="https://www.chicagotribune.com/news/breaking/ct-met-waffle-house-shooting-suspect-morton-20180423-story.html" xr:uid="{00000000-0004-0000-0400-000015040000}"/>
    <hyperlink ref="H354" r:id="rId1045" display="https://www.nytimes.com/2018/04/23/us/waffle-house-shooting-nashville.html" xr:uid="{00000000-0004-0000-0400-000016040000}"/>
    <hyperlink ref="K354" r:id="rId1046" display="https://www.tennessean.com/story/news/crime/2019/03/14/travis-reinking-father-jeffrey-waffle-house-shooting/3016158002/" xr:uid="{00000000-0004-0000-0400-000017040000}"/>
    <hyperlink ref="M354" r:id="rId1047" display="https://chicago.cbslocal.com/2019/03/14/waffle-house-shooting-father-charged-reinking/" xr:uid="{00000000-0004-0000-0400-000018040000}"/>
    <hyperlink ref="F355" r:id="rId1048" display="https://www.nbcnews.com/news/us-news/some-santa-fe-shooting-victims-may-have-been-caught-crossfire-n876171" xr:uid="{00000000-0004-0000-0400-000019040000}"/>
    <hyperlink ref="H355" r:id="rId1049" display="https://www.usatoday.com/story/news/2018/05/18/gun-used-texas-shooting-explosives/623202002/" xr:uid="{00000000-0004-0000-0400-00001A040000}"/>
    <hyperlink ref="K355" r:id="rId1050" display="https://www.newyorker.com/news/news-desk/this-is-a-dream-i-cant-wake-up-from" xr:uid="{00000000-0004-0000-0400-00001B040000}"/>
    <hyperlink ref="P355" r:id="rId1051" display="https://www.newyorker.com/news/news-desk/this-is-a-dream-i-cant-wake-up-from" xr:uid="{00000000-0004-0000-0400-00001C040000}"/>
    <hyperlink ref="F356" r:id="rId1052" display="https://www.nbcnews.com/news/us-news/some-santa-fe-shooting-victims-may-have-been-caught-crossfire-n876171" xr:uid="{00000000-0004-0000-0400-00001D040000}"/>
    <hyperlink ref="H356" r:id="rId1053" display="https://www.usatoday.com/story/news/2018/05/18/gun-used-texas-shooting-explosives/623202002/" xr:uid="{00000000-0004-0000-0400-00001E040000}"/>
    <hyperlink ref="K356" r:id="rId1054" display="https://www.newyorker.com/news/news-desk/this-is-a-dream-i-cant-wake-up-from" xr:uid="{00000000-0004-0000-0400-00001F040000}"/>
    <hyperlink ref="P356" r:id="rId1055" display="https://www.newyorker.com/news/news-desk/this-is-a-dream-i-cant-wake-up-from" xr:uid="{00000000-0004-0000-0400-000020040000}"/>
    <hyperlink ref="F357" r:id="rId1056" display="https://www.washingtonpost.com/local/public-safety/attorneys-for-capital-gazette-shooter-demand-more-case-details-as-they-consider-possible-insanity-defense/2019/02/28/e25e6a38-3b96-11e9-a2cd-307b06d0257b_story.html" xr:uid="{00000000-0004-0000-0400-000021040000}"/>
    <hyperlink ref="L357" r:id="rId1057" display="https://time.com/5326056/capital-gazette-shooter-jarrod-w-ramos/" xr:uid="{00000000-0004-0000-0400-000022040000}"/>
    <hyperlink ref="L358" r:id="rId1058" display="https://www.bakersfield.com/ex-wife-in-mass-shooting-had-just-filed-for-child/article_8d7510c2-bc38-11e8-bc73-c3793e2ec681.html" xr:uid="{00000000-0004-0000-0400-000023040000}"/>
    <hyperlink ref="H359" r:id="rId1059" display="https://www.post-gazette.com/news/crime-courts/2018/10/28/TIMELINE-20-minutes-of-terror-gripped-Squirrel-Hill-during-Saturday-synagogue-attack/stories/201810280197" xr:uid="{00000000-0004-0000-0400-000024040000}"/>
    <hyperlink ref="K359" r:id="rId1060" display="https://www.nytimes.com/2018/10/27/us/robert-bowers-pittsburgh-synagogue-shooter.html" xr:uid="{00000000-0004-0000-0400-000025040000}"/>
    <hyperlink ref="Q359" r:id="rId1061" display="https://apnews.com/d1beacd8581b426e8555954f70c4c783" xr:uid="{00000000-0004-0000-0400-000026040000}"/>
    <hyperlink ref="K360" r:id="rId1062" display="https://www.nytimes.com/2018/10/27/us/robert-bowers-pittsburgh-synagogue-shooter.html" xr:uid="{00000000-0004-0000-0400-000027040000}"/>
    <hyperlink ref="Q360" r:id="rId1063" display="https://apnews.com/d1beacd8581b426e8555954f70c4c783" xr:uid="{00000000-0004-0000-0400-000028040000}"/>
    <hyperlink ref="K361" r:id="rId1064" display="https://www.nytimes.com/2018/10/27/us/robert-bowers-pittsburgh-synagogue-shooter.html" xr:uid="{00000000-0004-0000-0400-000029040000}"/>
    <hyperlink ref="Q361" r:id="rId1065" display="https://apnews.com/d1beacd8581b426e8555954f70c4c783" xr:uid="{00000000-0004-0000-0400-00002A040000}"/>
    <hyperlink ref="K362" r:id="rId1066" display="https://www.nytimes.com/2018/10/27/us/robert-bowers-pittsburgh-synagogue-shooter.html" xr:uid="{00000000-0004-0000-0400-00002B040000}"/>
    <hyperlink ref="Q362" r:id="rId1067" display="https://apnews.com/d1beacd8581b426e8555954f70c4c783" xr:uid="{00000000-0004-0000-0400-00002C040000}"/>
    <hyperlink ref="F363" r:id="rId1068" display="https://www.nytimes.com/2018/10/30/us/ar15-gun-pittsburgh-shooting.html" xr:uid="{00000000-0004-0000-0400-00002D040000}"/>
    <hyperlink ref="H363" r:id="rId1069" display="https://www.nytimes.com/2018/10/30/us/ar15-gun-pittsburgh-shooting.html" xr:uid="{00000000-0004-0000-0400-00002E040000}"/>
    <hyperlink ref="K363" r:id="rId1070" display="https://www.nytimes.com/2018/10/27/us/robert-bowers-pittsburgh-synagogue-shooter.html" xr:uid="{00000000-0004-0000-0400-00002F040000}"/>
    <hyperlink ref="Q363" r:id="rId1071" display="https://apnews.com/d1beacd8581b426e8555954f70c4c783" xr:uid="{00000000-0004-0000-0400-000030040000}"/>
    <hyperlink ref="J364" r:id="rId1072" display="https://www.cnn.com/2018/11/08/us/thousands-oaks-california-bar-shooting/index.html" xr:uid="{00000000-0004-0000-0400-000031040000}"/>
    <hyperlink ref="L364" r:id="rId1073" display="https://www.washingtonpost.com/nation/2018/11/27/investigators-still-seeking-motive-thousand-oaks-shooting/?noredirect=on" xr:uid="{00000000-0004-0000-0400-000032040000}"/>
    <hyperlink ref="L365" r:id="rId1074" display="https://www.wfla.com/news/local-news/sheriffs-office-police-zephen-xaver-bought-gun-days-before-sebring-bank-shooting/" xr:uid="{00000000-0004-0000-0400-000033040000}"/>
    <hyperlink ref="H366" r:id="rId1075" display="https://chicago.cbslocal.com/2019/04/29/gary-martin-henry-pratt-shooting-report-police-justified/" xr:uid="{00000000-0004-0000-0400-000034040000}"/>
    <hyperlink ref="M366" r:id="rId1076" display="https://www.washingtonpost.com/nation/2019/02/16/man-kills-five-warehouse-shooting-spree-shortly-after-being-fired-illinois-police-say/" xr:uid="{00000000-0004-0000-0400-000035040000}"/>
    <hyperlink ref="F367" r:id="rId1077" display="https://www.vbgov.com/government/departments/city-auditors-office/Documents/Hillard Heintze Final Report for Virginia Beach 11-13-2019.pdf" xr:uid="{00000000-0004-0000-0400-000036040000}"/>
    <hyperlink ref="J367" r:id="rId1078" display="https://www.nbcnews.com/news/us-news/four-hospital-three-critical-after-12-killed-virginia-beach-shooting-n1012801" xr:uid="{00000000-0004-0000-0400-000037040000}"/>
    <hyperlink ref="H367" r:id="rId1079" display="https://www.nbcnews.com/news/us-news/four-hospital-three-critical-after-12-killed-virginia-beach-shooting-n1012801" xr:uid="{00000000-0004-0000-0400-000038040000}"/>
    <hyperlink ref="K367" r:id="rId1080" display="https://www.washingtonpost.com/local/public-safety/dewayne-craddock-a-longtime-virginia-beach-employee-identified-as-shooter-who-killed-12-in-city-building/2019/06/01/0fe20766-840e-11e9-95a9-e2c830afe24f_story.html" xr:uid="{00000000-0004-0000-0400-000039040000}"/>
    <hyperlink ref="L367" r:id="rId1081" display="https://www.washingtonpost.com/local/public-safety/dewayne-craddock-a-longtime-virginia-beach-employee-identified-as-shooter-who-killed-12-in-city-building/2019/06/01/0fe20766-840e-11e9-95a9-e2c830afe24f_story.html" xr:uid="{00000000-0004-0000-0400-00003A040000}"/>
    <hyperlink ref="F368" r:id="rId1082" display="https://www.vbgov.com/government/departments/city-auditors-office/Documents/Hillard Heintze Final Report for Virginia Beach 11-13-2019.pdf" xr:uid="{00000000-0004-0000-0400-00003B040000}"/>
    <hyperlink ref="J368" r:id="rId1083" display="https://www.nbcnews.com/news/us-news/four-hospital-three-critical-after-12-killed-virginia-beach-shooting-n1012801" xr:uid="{00000000-0004-0000-0400-00003C040000}"/>
    <hyperlink ref="H368" r:id="rId1084" display="https://www.nbcnews.com/news/us-news/four-hospital-three-critical-after-12-killed-virginia-beach-shooting-n1012801" xr:uid="{00000000-0004-0000-0400-00003D040000}"/>
    <hyperlink ref="K368" r:id="rId1085" display="https://www.washingtonpost.com/local/public-safety/dewayne-craddock-a-longtime-virginia-beach-employee-identified-as-shooter-who-killed-12-in-city-building/2019/06/01/0fe20766-840e-11e9-95a9-e2c830afe24f_story.html" xr:uid="{00000000-0004-0000-0400-00003E040000}"/>
    <hyperlink ref="L368" r:id="rId1086" display="https://www.washingtonpost.com/local/public-safety/dewayne-craddock-a-longtime-virginia-beach-employee-identified-as-shooter-who-killed-12-in-city-building/2019/06/01/0fe20766-840e-11e9-95a9-e2c830afe24f_story.html" xr:uid="{00000000-0004-0000-0400-00003F040000}"/>
    <hyperlink ref="F369" r:id="rId1087" display="https://apnews.com/f519fb0254de409d93a751e4fa1f8e0b/" xr:uid="{00000000-0004-0000-0400-000040040000}"/>
    <hyperlink ref="J369" r:id="rId1088" display="https://abcnews.go.com/US/wireStory/el-paso-suspect-appears-posted-anti-immigrant-screed-64769813" xr:uid="{00000000-0004-0000-0400-000041040000}"/>
    <hyperlink ref="H369" r:id="rId1089" display="https://www.nytimes.com/2019/08/03/us/patrick-crusius-el-paso-shooter-manifesto.html" xr:uid="{00000000-0004-0000-0400-000042040000}"/>
    <hyperlink ref="L369" r:id="rId1090" display="https://apnews.com/f519fb0254de409d93a751e4fa1f8e0b/" xr:uid="{00000000-0004-0000-0400-000043040000}"/>
    <hyperlink ref="F370" r:id="rId1091" display="https://www.nbcnews.com/news/us-news/dayton-shooter-s-gun-called-orchestra-metal-hellfire-n1039476" xr:uid="{00000000-0004-0000-0400-000044040000}"/>
    <hyperlink ref="I370" r:id="rId1092" display="https://www.nbcnews.com/news/us-news/dayton-shooter-s-gun-called-orchestra-metal-hellfire-n1039476" xr:uid="{00000000-0004-0000-0400-000045040000}"/>
    <hyperlink ref="J370" r:id="rId1093" display="https://www.nbcnews.com/news/us-news/dayton-shooter-s-gun-called-orchestra-metal-hellfire-n1039476" xr:uid="{00000000-0004-0000-0400-000046040000}"/>
    <hyperlink ref="L370" r:id="rId1094" display="https://time.com/5643405/what-to-know-shooting-dayton-ohio/" xr:uid="{00000000-0004-0000-0400-000047040000}"/>
    <hyperlink ref="L371" r:id="rId1095" display="https://time.com/5643405/what-to-know-shooting-dayton-ohio/" xr:uid="{00000000-0004-0000-0400-000048040000}"/>
    <hyperlink ref="F372" r:id="rId1096" display="https://www.nbcnews.com/news/us-news/texas-gunman-purchased-weapon-private-sale-which-doesn-t-require-n1049351" xr:uid="{00000000-0004-0000-0400-000049040000}"/>
    <hyperlink ref="H372" r:id="rId1097" display="https://www.nytimes.com/2019/09/01/us/death-toll-texas-shooting.html" xr:uid="{00000000-0004-0000-0400-00004A040000}"/>
    <hyperlink ref="F373" r:id="rId1098" display="http://newjersey.news12.com/story/41444962/nj-attorney-general-jersey-city-shooters-had-tremendous-amount-of-firepower-could-have-continued-rampage" xr:uid="{00000000-0004-0000-0400-00004B040000}"/>
    <hyperlink ref="H373" r:id="rId1099" display="http://newjersey.news12.com/story/41444962/nj-attorney-general-jersey-city-shooters-had-tremendous-amount-of-firepower-could-have-continued-rampage" xr:uid="{00000000-0004-0000-0400-00004C040000}"/>
    <hyperlink ref="H374" r:id="rId1100" display="http://newjersey.news12.com/story/41444962/nj-attorney-general-jersey-city-shooters-had-tremendous-amount-of-firepower-could-have-continued-rampage" xr:uid="{00000000-0004-0000-0400-00004D040000}"/>
    <hyperlink ref="K374" r:id="rId1101" display="http://newjersey.news12.com/story/41444962/nj-attorney-general-jersey-city-shooters-had-tremendous-amount-of-firepower-could-have-continued-rampage" xr:uid="{00000000-0004-0000-0400-00004E040000}"/>
    <hyperlink ref="L374" r:id="rId1102" display="http://newjersey.news12.com/story/41444962/nj-attorney-general-jersey-city-shooters-had-tremendous-amount-of-firepower-could-have-continued-rampage" xr:uid="{00000000-0004-0000-0400-00004F040000}"/>
    <hyperlink ref="I377" r:id="rId1103" display="http://newjersey.news12.com/story/41444962/nj-attorney-general-jersey-city-shooters-had-tremendous-amount-of-firepower-could-have-continued-rampage" xr:uid="{00000000-0004-0000-0400-000050040000}"/>
    <hyperlink ref="H377" r:id="rId1104" display="http://newjersey.news12.com/story/41444962/nj-attorney-general-jersey-city-shooters-had-tremendous-amount-of-firepower-could-have-continued-rampage" xr:uid="{00000000-0004-0000-0400-000051040000}"/>
    <hyperlink ref="K377" r:id="rId1105" display="http://newjersey.news12.com/story/41444962/nj-attorney-general-jersey-city-shooters-had-tremendous-amount-of-firepower-could-have-continued-rampage" xr:uid="{00000000-0004-0000-0400-000052040000}"/>
    <hyperlink ref="L377" r:id="rId1106" display="http://newjersey.news12.com/story/41444962/nj-attorney-general-jersey-city-shooters-had-tremendous-amount-of-firepower-could-have-continued-rampage" xr:uid="{00000000-0004-0000-0400-000053040000}"/>
    <hyperlink ref="I378" r:id="rId1107" display="https://www.usatoday.com/story/news/nation/2020/03/02/milwaukee-molson-coors-shooting-miller-brewery-anthony-ferrill/4928061002/" xr:uid="{00000000-0004-0000-0400-000054040000}"/>
    <hyperlink ref="K378" r:id="rId1108" display="https://www.usatoday.com/story/news/nation/2020/03/02/milwaukee-molson-coors-shooting-miller-brewery-anthony-ferrill/4928061002/" xr:uid="{00000000-0004-0000-0400-000055040000}"/>
    <hyperlink ref="L378" r:id="rId1109" display="https://www.jsonline.com/story/news/2020/02/27/milwaukee-miller-coors-shooting-anthony-ferrill-identified-molsoncoors-gunman-shooter/4891164002/" xr:uid="{00000000-0004-0000-0400-000056040000}"/>
    <hyperlink ref="K379" r:id="rId1110" display="https://www.usatoday.com/story/news/nation/2020/03/02/milwaukee-molson-coors-shooting-miller-brewery-anthony-ferrill/4928061002/" xr:uid="{00000000-0004-0000-0400-000057040000}"/>
    <hyperlink ref="L379" r:id="rId1111" display="https://www.jsonline.com/story/news/2020/02/27/milwaukee-miller-coors-shooting-anthony-ferrill-identified-molsoncoors-gunman-shooter/4891164002/" xr:uid="{00000000-0004-0000-0400-000058040000}"/>
    <hyperlink ref="K38" r:id="rId1112" location="v=onepage&amp;q=charles%20meach%&quot;&amp;&quot;%22&amp;%22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2&amp;%2220murder%20at%2040%20below&amp;f=false" xr:uid="{CBBBF91B-78BB-4668-9FF4-D8221F938DDE}"/>
    <hyperlink ref="H38" r:id="rId1113" location="v=onepage&amp;q=charles%20meach%&quot;&amp;&quot;%22&amp;%2220murder%20at%2040%20below&amp;f=false" display="v=onepage&amp;q=charles%20meach%&quot;&amp;&quot;%22&amp;%2220murder%20at%2040%20below&amp;f=false" xr:uid="{CEC5241E-E00E-4EF0-BCFC-E3189D6B42BA}"/>
    <hyperlink ref="F38" r:id="rId1114" location="v=onepage&amp;q=charles%20meach%&quot;&amp;&quot;%22&amp;%22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2&amp;%2220murder%20at%2040%20below&amp;f=false" xr:uid="{395DE969-1CA6-493C-AEE8-2F9207537847}"/>
    <hyperlink ref="I44" r:id="rId1115" location="v=onepage&amp;q=louis%20hastings%20sh&quot;&amp;&quot;%22&amp;%22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22&amp;%22o&amp;f=false" xr:uid="{7EB4C7B1-F9C5-48F0-8BDE-F5CC83F35BF9}"/>
    <hyperlink ref="H44" r:id="rId1116" location="v=onepage&amp;q=louis%20hastings%20sh&quot;&amp;&quot;%22&amp;%22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22&amp;%22o&amp;f=false" xr:uid="{E56AE013-DAF2-4C26-82B5-31529A839F96}"/>
    <hyperlink ref="H45" r:id="rId1117" location="v=onepage&amp;q=louis%20hastings%20sh&quot;&amp;&quot;%22&amp;%22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22&amp;%22o&amp;f=false" xr:uid="{EC7D9C58-CC92-4E20-8329-7E65C80FB485}"/>
    <hyperlink ref="F46" r:id="rId1118" location="v=onepage&amp;q=louis%20hastings%20sh&quot;&amp;&quot;%22&amp;%22o&amp;f=false" display="v=onepage&amp;q=louis%20hastings%20sh&quot;&amp;&quot;%22&amp;%22o&amp;f=false" xr:uid="{0735F1B1-CCC1-4AFE-AC65-4B915D419460}"/>
    <hyperlink ref="F98" r:id="rId1119" location="v=onepa&quot;&amp;&quot;%22&amp;%22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22&amp;%22ge&amp;q=lynwood%20drake&amp;f=false" xr:uid="{6A6E6CE5-663E-42BE-95C8-4A820A8B55E6}"/>
    <hyperlink ref="F99" r:id="rId1120" location="v=onepa&quot;&amp;&quot;%22&amp;%22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22&amp;%22ge&amp;q=lynwood%20drake&amp;f=false" xr:uid="{1A9DB7BF-57D9-4AFE-91D0-73D333ED8298}"/>
    <hyperlink ref="K196" r:id="rId1121" location="v=snippet&amp;q=bought&amp;f=false" display="https://books.google.com/books?id=MzhVs1852I0C&amp;pg=PR8&amp;lpg=PR8&amp;dq=Martyrdom+in+Milwaukee:+A+Treatise+on+the+Brookfield,+Wisconsin,+Shooting&amp;source=bl&amp;ots=uwljAtL8hN&amp;sig=ACfU3U1OOxROz_uIz_otvThL01Khem8tIw&amp;hl=en&amp;sa=X&amp;ved=2ahUKEwjD-5uv4-_oAhVYVs0KHQjgBT8Q6AEw%22&amp;%22BHoECBcQKA - v=snippet&amp;q=bought&amp;f=false" xr:uid="{95A857DB-C0B7-4088-BD5B-A97BB167639A}"/>
    <hyperlink ref="J93" r:id="rId1122" display="https://www.nytimes.com/1991/11/15/us/ex-postal-worker-kills-3-and-wounds-6-in-michigan.html" xr:uid="{18FC937C-5C31-41F1-ABBE-F0AE706F7C3A}"/>
    <hyperlink ref="I217" r:id="rId1123" display="https://www.denverpost.com/2008/03/27/report-reveals-clues-to-killers-mind/" xr:uid="{238F03C2-1D26-4AE4-8309-0E397C95A109}"/>
    <hyperlink ref="R83" r:id="rId1124" xr:uid="{49DF98C7-BFA9-6C4C-A73B-9E39AE50CCE4}"/>
  </hyperlinks>
  <pageMargins left="0.7" right="0.7" top="0.75" bottom="0.75" header="0.3" footer="0.3"/>
  <pageSetup orientation="portrait" r:id="rId11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outlinePr summaryBelow="0" summaryRight="0"/>
  </sheetPr>
  <dimension ref="A1:Z1411"/>
  <sheetViews>
    <sheetView workbookViewId="0">
      <pane ySplit="1" topLeftCell="A2" activePane="bottomLeft" state="frozen"/>
      <selection pane="bottomLeft"/>
    </sheetView>
  </sheetViews>
  <sheetFormatPr baseColWidth="10" defaultColWidth="14.5" defaultRowHeight="15" customHeight="1"/>
  <cols>
    <col min="1" max="4" width="14.5" style="20" customWidth="1"/>
    <col min="5" max="5" width="25.33203125" style="20" customWidth="1"/>
    <col min="6" max="6" width="9.5" style="20" customWidth="1"/>
    <col min="7" max="7" width="11.1640625" style="20" customWidth="1"/>
    <col min="8" max="8" width="9.6640625" style="20" customWidth="1"/>
    <col min="9" max="9" width="10.83203125" style="20" customWidth="1"/>
    <col min="10" max="16384" width="14.5" style="20"/>
  </cols>
  <sheetData>
    <row r="1" spans="1:26" ht="45">
      <c r="A1" s="183" t="s">
        <v>21</v>
      </c>
      <c r="B1" s="183" t="s">
        <v>33</v>
      </c>
      <c r="C1" s="183" t="s">
        <v>34</v>
      </c>
      <c r="D1" s="183" t="s">
        <v>35</v>
      </c>
      <c r="E1" s="190" t="s">
        <v>1148</v>
      </c>
      <c r="F1" s="190" t="s">
        <v>51</v>
      </c>
      <c r="G1" s="190" t="s">
        <v>52</v>
      </c>
      <c r="H1" s="190" t="s">
        <v>53</v>
      </c>
      <c r="I1" s="183" t="s">
        <v>3423</v>
      </c>
      <c r="J1" s="183" t="s">
        <v>3422</v>
      </c>
      <c r="K1" s="190" t="s">
        <v>899</v>
      </c>
      <c r="L1" s="85"/>
      <c r="M1" s="85"/>
      <c r="N1" s="85"/>
      <c r="O1" s="85"/>
      <c r="P1" s="85"/>
      <c r="Q1" s="85"/>
      <c r="R1" s="85"/>
      <c r="S1" s="85"/>
      <c r="T1" s="85"/>
      <c r="U1" s="85"/>
      <c r="V1" s="85"/>
      <c r="W1" s="85"/>
      <c r="X1" s="85"/>
      <c r="Y1" s="85"/>
      <c r="Z1" s="85"/>
    </row>
    <row r="2" spans="1:26">
      <c r="A2" s="191">
        <v>1</v>
      </c>
      <c r="B2" s="191" t="s">
        <v>93</v>
      </c>
      <c r="C2" s="191" t="s">
        <v>94</v>
      </c>
      <c r="D2" s="192">
        <v>24320</v>
      </c>
      <c r="E2" s="14" t="s">
        <v>1149</v>
      </c>
      <c r="F2" s="14">
        <v>23</v>
      </c>
      <c r="G2" s="14">
        <v>1</v>
      </c>
      <c r="H2" s="184">
        <v>0</v>
      </c>
      <c r="I2" s="14">
        <v>1</v>
      </c>
      <c r="J2" s="14" t="s">
        <v>1150</v>
      </c>
      <c r="K2" s="14"/>
      <c r="L2" s="85"/>
      <c r="M2" s="85"/>
      <c r="N2" s="85"/>
      <c r="O2" s="85"/>
      <c r="P2" s="85"/>
      <c r="Q2" s="85"/>
      <c r="R2" s="85"/>
      <c r="S2" s="85"/>
      <c r="T2" s="85"/>
      <c r="U2" s="85"/>
      <c r="V2" s="85"/>
      <c r="W2" s="85"/>
      <c r="X2" s="85"/>
      <c r="Y2" s="85"/>
      <c r="Z2" s="85"/>
    </row>
    <row r="3" spans="1:26">
      <c r="A3" s="191">
        <v>1</v>
      </c>
      <c r="B3" s="191" t="s">
        <v>93</v>
      </c>
      <c r="C3" s="191" t="s">
        <v>94</v>
      </c>
      <c r="D3" s="192">
        <v>24320</v>
      </c>
      <c r="E3" s="14" t="s">
        <v>1151</v>
      </c>
      <c r="F3" s="14">
        <v>43</v>
      </c>
      <c r="G3" s="14">
        <v>1</v>
      </c>
      <c r="H3" s="184">
        <v>0</v>
      </c>
      <c r="I3" s="14">
        <v>1</v>
      </c>
      <c r="J3" s="14" t="s">
        <v>1152</v>
      </c>
      <c r="K3" s="14"/>
      <c r="L3" s="85"/>
      <c r="M3" s="85"/>
      <c r="N3" s="85"/>
      <c r="O3" s="85"/>
      <c r="P3" s="85"/>
      <c r="Q3" s="85"/>
      <c r="R3" s="85"/>
      <c r="S3" s="85"/>
      <c r="T3" s="85"/>
      <c r="U3" s="85"/>
      <c r="V3" s="85"/>
      <c r="W3" s="85"/>
      <c r="X3" s="85"/>
      <c r="Y3" s="85"/>
      <c r="Z3" s="85"/>
    </row>
    <row r="4" spans="1:26">
      <c r="A4" s="191">
        <v>1</v>
      </c>
      <c r="B4" s="191" t="s">
        <v>93</v>
      </c>
      <c r="C4" s="191" t="s">
        <v>94</v>
      </c>
      <c r="D4" s="192">
        <v>24320</v>
      </c>
      <c r="E4" s="14" t="s">
        <v>1153</v>
      </c>
      <c r="F4" s="184">
        <v>16</v>
      </c>
      <c r="G4" s="14">
        <v>0</v>
      </c>
      <c r="H4" s="184" t="str">
        <f>HYPERLINK("https://www.findagrave.com/memorial/14715352/mark-jerome-gabour#view-photo=6671846","2")</f>
        <v>2</v>
      </c>
      <c r="I4" s="184" t="str">
        <f>HYPERLINK("http://behindthetower.org/the-victims/","0")</f>
        <v>0</v>
      </c>
      <c r="J4" s="14" t="s">
        <v>100</v>
      </c>
      <c r="K4" s="14"/>
      <c r="L4" s="85"/>
      <c r="M4" s="85"/>
      <c r="N4" s="85"/>
      <c r="O4" s="85"/>
      <c r="P4" s="85"/>
      <c r="Q4" s="85"/>
      <c r="R4" s="85"/>
      <c r="S4" s="85"/>
      <c r="T4" s="85"/>
      <c r="U4" s="85"/>
      <c r="V4" s="85"/>
      <c r="W4" s="85"/>
      <c r="X4" s="85"/>
      <c r="Y4" s="85"/>
      <c r="Z4" s="85"/>
    </row>
    <row r="5" spans="1:26">
      <c r="A5" s="191">
        <v>1</v>
      </c>
      <c r="B5" s="191" t="s">
        <v>93</v>
      </c>
      <c r="C5" s="191" t="s">
        <v>94</v>
      </c>
      <c r="D5" s="192">
        <v>24320</v>
      </c>
      <c r="E5" s="14" t="s">
        <v>1154</v>
      </c>
      <c r="F5" s="184">
        <v>45</v>
      </c>
      <c r="G5" s="14">
        <v>1</v>
      </c>
      <c r="H5" s="184" t="str">
        <f>HYPERLINK("https://thedailytexan.com/features/tower/Marguerite-Lamport.html","0")</f>
        <v>0</v>
      </c>
      <c r="I5" s="14">
        <v>0</v>
      </c>
      <c r="J5" s="14" t="s">
        <v>100</v>
      </c>
      <c r="K5" s="14"/>
      <c r="L5" s="85"/>
      <c r="M5" s="85"/>
      <c r="N5" s="85"/>
      <c r="O5" s="85"/>
      <c r="P5" s="85"/>
      <c r="Q5" s="85"/>
      <c r="R5" s="85"/>
      <c r="S5" s="85"/>
      <c r="T5" s="85"/>
      <c r="U5" s="85"/>
      <c r="V5" s="85"/>
      <c r="W5" s="85"/>
      <c r="X5" s="85"/>
      <c r="Y5" s="85"/>
      <c r="Z5" s="85"/>
    </row>
    <row r="6" spans="1:26">
      <c r="A6" s="191">
        <v>1</v>
      </c>
      <c r="B6" s="191" t="s">
        <v>93</v>
      </c>
      <c r="C6" s="191" t="s">
        <v>94</v>
      </c>
      <c r="D6" s="192">
        <v>24320</v>
      </c>
      <c r="E6" s="14" t="s">
        <v>1155</v>
      </c>
      <c r="F6" s="184" t="str">
        <f>HYPERLINK("https://www.findagrave.com/memorial/7640226/edna-elnora-townsley","51")</f>
        <v>51</v>
      </c>
      <c r="G6" s="14">
        <v>1</v>
      </c>
      <c r="H6" s="184" t="str">
        <f>HYPERLINK("https://www.findagrave.com/memorial/7640226/edna-elnora-townsley","0")</f>
        <v>0</v>
      </c>
      <c r="I6" s="14">
        <v>2</v>
      </c>
      <c r="J6" s="14" t="s">
        <v>1156</v>
      </c>
      <c r="K6" s="14"/>
      <c r="L6" s="85"/>
      <c r="M6" s="85"/>
      <c r="N6" s="85"/>
      <c r="O6" s="85"/>
      <c r="P6" s="85"/>
      <c r="Q6" s="85"/>
      <c r="R6" s="85"/>
      <c r="S6" s="85"/>
      <c r="T6" s="85"/>
      <c r="U6" s="85"/>
      <c r="V6" s="85"/>
      <c r="W6" s="85"/>
      <c r="X6" s="85"/>
      <c r="Y6" s="85"/>
      <c r="Z6" s="85"/>
    </row>
    <row r="7" spans="1:26">
      <c r="A7" s="191">
        <v>1</v>
      </c>
      <c r="B7" s="191" t="s">
        <v>93</v>
      </c>
      <c r="C7" s="191" t="s">
        <v>94</v>
      </c>
      <c r="D7" s="192">
        <v>24320</v>
      </c>
      <c r="E7" s="14" t="s">
        <v>1157</v>
      </c>
      <c r="F7" s="14">
        <v>18</v>
      </c>
      <c r="G7" s="14">
        <v>0</v>
      </c>
      <c r="H7" s="184" t="str">
        <f>HYPERLINK("https://thedailytexan.com/features/tower/Thomas-Eckman.html","0")</f>
        <v>0</v>
      </c>
      <c r="I7" s="14">
        <v>2</v>
      </c>
      <c r="J7" s="14" t="s">
        <v>1158</v>
      </c>
      <c r="K7" s="14"/>
      <c r="L7" s="85"/>
      <c r="M7" s="85"/>
      <c r="N7" s="85"/>
      <c r="O7" s="85"/>
      <c r="P7" s="85"/>
      <c r="Q7" s="85"/>
      <c r="R7" s="85"/>
      <c r="S7" s="85"/>
      <c r="T7" s="85"/>
      <c r="U7" s="85"/>
      <c r="V7" s="85"/>
      <c r="W7" s="85"/>
      <c r="X7" s="85"/>
      <c r="Y7" s="85"/>
      <c r="Z7" s="85"/>
    </row>
    <row r="8" spans="1:26">
      <c r="A8" s="191">
        <v>1</v>
      </c>
      <c r="B8" s="191" t="s">
        <v>93</v>
      </c>
      <c r="C8" s="191" t="s">
        <v>94</v>
      </c>
      <c r="D8" s="192">
        <v>24320</v>
      </c>
      <c r="E8" s="14" t="s">
        <v>1159</v>
      </c>
      <c r="F8" s="184">
        <v>33</v>
      </c>
      <c r="G8" s="14">
        <v>0</v>
      </c>
      <c r="H8" s="184" t="str">
        <f>HYPERLINK("https://thedailytexan.com/features/tower/Robert-Boyer.html","0")</f>
        <v>0</v>
      </c>
      <c r="I8" s="14">
        <v>2</v>
      </c>
      <c r="J8" s="14" t="s">
        <v>1160</v>
      </c>
      <c r="K8" s="14"/>
      <c r="L8" s="85"/>
      <c r="M8" s="85"/>
      <c r="N8" s="85"/>
      <c r="O8" s="85"/>
      <c r="P8" s="85"/>
      <c r="Q8" s="85"/>
      <c r="R8" s="85"/>
      <c r="S8" s="85"/>
      <c r="T8" s="85"/>
      <c r="U8" s="85"/>
      <c r="V8" s="85"/>
      <c r="W8" s="85"/>
      <c r="X8" s="85"/>
      <c r="Y8" s="85"/>
      <c r="Z8" s="85"/>
    </row>
    <row r="9" spans="1:26">
      <c r="A9" s="191">
        <v>1</v>
      </c>
      <c r="B9" s="191" t="s">
        <v>93</v>
      </c>
      <c r="C9" s="191" t="s">
        <v>94</v>
      </c>
      <c r="D9" s="192">
        <v>24320</v>
      </c>
      <c r="E9" s="14" t="s">
        <v>1161</v>
      </c>
      <c r="F9" s="184">
        <v>22</v>
      </c>
      <c r="G9" s="14">
        <v>0</v>
      </c>
      <c r="H9" s="184" t="str">
        <f>HYPERLINK("https://thedailytexan.com/features/tower/Thomas-Ashton.html","0")</f>
        <v>0</v>
      </c>
      <c r="I9" s="14">
        <v>2</v>
      </c>
      <c r="J9" s="14" t="s">
        <v>1158</v>
      </c>
      <c r="K9" s="14"/>
      <c r="L9" s="85"/>
      <c r="M9" s="85"/>
      <c r="N9" s="85"/>
      <c r="O9" s="85"/>
      <c r="P9" s="85"/>
      <c r="Q9" s="85"/>
      <c r="R9" s="85"/>
      <c r="S9" s="85"/>
      <c r="T9" s="85"/>
      <c r="U9" s="85"/>
      <c r="V9" s="85"/>
      <c r="W9" s="85"/>
      <c r="X9" s="85"/>
      <c r="Y9" s="85"/>
      <c r="Z9" s="85"/>
    </row>
    <row r="10" spans="1:26">
      <c r="A10" s="191">
        <v>1</v>
      </c>
      <c r="B10" s="191" t="s">
        <v>93</v>
      </c>
      <c r="C10" s="191" t="s">
        <v>94</v>
      </c>
      <c r="D10" s="192">
        <v>24320</v>
      </c>
      <c r="E10" s="14" t="s">
        <v>1162</v>
      </c>
      <c r="F10" s="184">
        <v>17</v>
      </c>
      <c r="G10" s="14">
        <v>1</v>
      </c>
      <c r="H10" s="184" t="str">
        <f>HYPERLINK("https://www.findagrave.com/memorial/19868581/karen-joan-griffith","0")</f>
        <v>0</v>
      </c>
      <c r="I10" s="14">
        <v>0</v>
      </c>
      <c r="J10" s="14" t="s">
        <v>100</v>
      </c>
      <c r="K10" s="14"/>
      <c r="L10" s="85"/>
      <c r="M10" s="85"/>
      <c r="N10" s="85"/>
      <c r="O10" s="85"/>
      <c r="P10" s="85"/>
      <c r="Q10" s="85"/>
      <c r="R10" s="85"/>
      <c r="S10" s="85"/>
      <c r="T10" s="85"/>
      <c r="U10" s="85"/>
      <c r="V10" s="85"/>
      <c r="W10" s="85"/>
      <c r="X10" s="85"/>
      <c r="Y10" s="85"/>
      <c r="Z10" s="85"/>
    </row>
    <row r="11" spans="1:26">
      <c r="A11" s="191">
        <v>1</v>
      </c>
      <c r="B11" s="191" t="s">
        <v>93</v>
      </c>
      <c r="C11" s="191" t="s">
        <v>94</v>
      </c>
      <c r="D11" s="192">
        <v>24320</v>
      </c>
      <c r="E11" s="14" t="s">
        <v>1163</v>
      </c>
      <c r="F11" s="184">
        <v>24</v>
      </c>
      <c r="G11" s="14">
        <v>0</v>
      </c>
      <c r="H11" s="184" t="str">
        <f>HYPERLINK("https://thedailytexan.com/features/tower/Thomas-Karr.html","0")</f>
        <v>0</v>
      </c>
      <c r="I11" s="14">
        <v>2</v>
      </c>
      <c r="J11" s="14" t="s">
        <v>1158</v>
      </c>
      <c r="K11" s="14"/>
      <c r="L11" s="85"/>
      <c r="M11" s="85"/>
      <c r="N11" s="85"/>
      <c r="O11" s="85"/>
      <c r="P11" s="85"/>
      <c r="Q11" s="85"/>
      <c r="R11" s="85"/>
      <c r="S11" s="85"/>
      <c r="T11" s="85"/>
      <c r="U11" s="85"/>
      <c r="V11" s="85"/>
      <c r="W11" s="85"/>
      <c r="X11" s="85"/>
      <c r="Y11" s="85"/>
      <c r="Z11" s="85"/>
    </row>
    <row r="12" spans="1:26">
      <c r="A12" s="191">
        <v>1</v>
      </c>
      <c r="B12" s="191" t="s">
        <v>93</v>
      </c>
      <c r="C12" s="191" t="s">
        <v>94</v>
      </c>
      <c r="D12" s="192">
        <v>24320</v>
      </c>
      <c r="E12" s="14" t="s">
        <v>1164</v>
      </c>
      <c r="F12" s="184">
        <v>18</v>
      </c>
      <c r="G12" s="14">
        <v>1</v>
      </c>
      <c r="H12" s="184">
        <v>0</v>
      </c>
      <c r="I12" s="14">
        <v>0</v>
      </c>
      <c r="J12" s="14" t="s">
        <v>100</v>
      </c>
      <c r="K12" s="14"/>
      <c r="L12" s="85"/>
      <c r="M12" s="85"/>
      <c r="N12" s="85"/>
      <c r="O12" s="85"/>
      <c r="P12" s="85"/>
      <c r="Q12" s="85"/>
      <c r="R12" s="85"/>
      <c r="S12" s="85"/>
      <c r="T12" s="85"/>
      <c r="U12" s="85"/>
      <c r="V12" s="85"/>
      <c r="W12" s="85"/>
      <c r="X12" s="85"/>
      <c r="Y12" s="85"/>
      <c r="Z12" s="85"/>
    </row>
    <row r="13" spans="1:26">
      <c r="A13" s="191">
        <v>1</v>
      </c>
      <c r="B13" s="191" t="s">
        <v>93</v>
      </c>
      <c r="C13" s="191" t="s">
        <v>94</v>
      </c>
      <c r="D13" s="192">
        <v>24320</v>
      </c>
      <c r="E13" s="14" t="s">
        <v>1165</v>
      </c>
      <c r="F13" s="184">
        <v>18</v>
      </c>
      <c r="G13" s="14">
        <v>0</v>
      </c>
      <c r="H13" s="184" t="str">
        <f>HYPERLINK("https://thedailytexan.com/features/tower/Paul-Sonntag.html","0")</f>
        <v>0</v>
      </c>
      <c r="I13" s="14">
        <v>0</v>
      </c>
      <c r="J13" s="14" t="s">
        <v>100</v>
      </c>
      <c r="K13" s="14"/>
      <c r="L13" s="85"/>
      <c r="M13" s="85"/>
      <c r="N13" s="85"/>
      <c r="O13" s="85"/>
      <c r="P13" s="85"/>
      <c r="Q13" s="85"/>
      <c r="R13" s="85"/>
      <c r="S13" s="85"/>
      <c r="T13" s="85"/>
      <c r="U13" s="85"/>
      <c r="V13" s="85"/>
      <c r="W13" s="85"/>
      <c r="X13" s="85"/>
      <c r="Y13" s="85"/>
      <c r="Z13" s="85"/>
    </row>
    <row r="14" spans="1:26">
      <c r="A14" s="191">
        <v>1</v>
      </c>
      <c r="B14" s="191" t="s">
        <v>93</v>
      </c>
      <c r="C14" s="191" t="s">
        <v>94</v>
      </c>
      <c r="D14" s="192">
        <v>24320</v>
      </c>
      <c r="E14" s="14" t="s">
        <v>1166</v>
      </c>
      <c r="F14" s="184" t="str">
        <f>HYPERLINK("http://behindthetower.org/the-victims/","24")</f>
        <v>24</v>
      </c>
      <c r="G14" s="14">
        <v>0</v>
      </c>
      <c r="H14" s="184">
        <v>0</v>
      </c>
      <c r="I14" s="14">
        <v>0</v>
      </c>
      <c r="J14" s="14" t="s">
        <v>100</v>
      </c>
      <c r="K14" s="14"/>
      <c r="L14" s="85"/>
      <c r="M14" s="85"/>
      <c r="N14" s="85"/>
      <c r="O14" s="85"/>
      <c r="P14" s="85"/>
      <c r="Q14" s="85"/>
      <c r="R14" s="85"/>
      <c r="S14" s="85"/>
      <c r="T14" s="85"/>
      <c r="U14" s="85"/>
      <c r="V14" s="85"/>
      <c r="W14" s="85"/>
      <c r="X14" s="85"/>
      <c r="Y14" s="85"/>
      <c r="Z14" s="85"/>
    </row>
    <row r="15" spans="1:26">
      <c r="A15" s="191">
        <v>1</v>
      </c>
      <c r="B15" s="191" t="s">
        <v>93</v>
      </c>
      <c r="C15" s="191" t="s">
        <v>94</v>
      </c>
      <c r="D15" s="192">
        <v>24320</v>
      </c>
      <c r="E15" s="14" t="s">
        <v>1167</v>
      </c>
      <c r="F15" s="184">
        <v>29</v>
      </c>
      <c r="G15" s="14">
        <v>0</v>
      </c>
      <c r="H15" s="184">
        <v>0</v>
      </c>
      <c r="I15" s="14">
        <v>0</v>
      </c>
      <c r="J15" s="14" t="s">
        <v>100</v>
      </c>
      <c r="K15" s="184"/>
      <c r="L15" s="85"/>
      <c r="M15" s="85"/>
      <c r="N15" s="85"/>
      <c r="O15" s="85"/>
      <c r="P15" s="85"/>
      <c r="Q15" s="85"/>
      <c r="R15" s="85"/>
      <c r="S15" s="85"/>
      <c r="T15" s="85"/>
      <c r="U15" s="85"/>
      <c r="V15" s="85"/>
      <c r="W15" s="85"/>
      <c r="X15" s="85"/>
      <c r="Y15" s="85"/>
      <c r="Z15" s="85"/>
    </row>
    <row r="16" spans="1:26">
      <c r="A16" s="191">
        <v>1</v>
      </c>
      <c r="B16" s="191" t="s">
        <v>93</v>
      </c>
      <c r="C16" s="191" t="s">
        <v>94</v>
      </c>
      <c r="D16" s="192">
        <v>24320</v>
      </c>
      <c r="E16" s="14" t="s">
        <v>1168</v>
      </c>
      <c r="F16" s="184">
        <v>38</v>
      </c>
      <c r="G16" s="14">
        <v>0</v>
      </c>
      <c r="H16" s="184" t="str">
        <f>HYPERLINK("https://thedailytexan.com/features/tower/Harry-Walchuck.html","0")</f>
        <v>0</v>
      </c>
      <c r="I16" s="14">
        <v>2</v>
      </c>
      <c r="J16" s="14" t="s">
        <v>1158</v>
      </c>
      <c r="K16" s="14"/>
      <c r="L16" s="85"/>
      <c r="M16" s="85"/>
      <c r="N16" s="85"/>
      <c r="O16" s="85"/>
      <c r="P16" s="85"/>
      <c r="Q16" s="85"/>
      <c r="R16" s="85"/>
      <c r="S16" s="85"/>
      <c r="T16" s="85"/>
      <c r="U16" s="85"/>
      <c r="V16" s="85"/>
      <c r="W16" s="85"/>
      <c r="X16" s="85"/>
      <c r="Y16" s="85"/>
      <c r="Z16" s="85"/>
    </row>
    <row r="17" spans="1:26">
      <c r="A17" s="193">
        <v>2</v>
      </c>
      <c r="B17" s="193" t="s">
        <v>101</v>
      </c>
      <c r="C17" s="193" t="s">
        <v>102</v>
      </c>
      <c r="D17" s="194">
        <v>24423</v>
      </c>
      <c r="E17" s="14" t="s">
        <v>1169</v>
      </c>
      <c r="F17" s="184">
        <v>27</v>
      </c>
      <c r="G17" s="14">
        <v>1</v>
      </c>
      <c r="H17" s="184">
        <v>0</v>
      </c>
      <c r="I17" s="14">
        <v>0</v>
      </c>
      <c r="J17" s="14" t="s">
        <v>100</v>
      </c>
      <c r="K17" s="14"/>
      <c r="L17" s="85"/>
      <c r="M17" s="85"/>
      <c r="N17" s="85"/>
      <c r="O17" s="85"/>
      <c r="P17" s="85"/>
      <c r="Q17" s="85"/>
      <c r="R17" s="85"/>
      <c r="S17" s="85"/>
      <c r="T17" s="85"/>
      <c r="U17" s="85"/>
      <c r="V17" s="85"/>
      <c r="W17" s="85"/>
      <c r="X17" s="85"/>
      <c r="Y17" s="85"/>
      <c r="Z17" s="85"/>
    </row>
    <row r="18" spans="1:26">
      <c r="A18" s="193">
        <v>2</v>
      </c>
      <c r="B18" s="193" t="s">
        <v>101</v>
      </c>
      <c r="C18" s="193" t="s">
        <v>102</v>
      </c>
      <c r="D18" s="194">
        <v>24423</v>
      </c>
      <c r="E18" s="14" t="s">
        <v>1170</v>
      </c>
      <c r="F18" s="184">
        <v>3</v>
      </c>
      <c r="G18" s="14">
        <v>1</v>
      </c>
      <c r="H18" s="184">
        <v>0</v>
      </c>
      <c r="I18" s="14">
        <v>0</v>
      </c>
      <c r="J18" s="14" t="s">
        <v>100</v>
      </c>
      <c r="K18" s="14"/>
      <c r="L18" s="85"/>
      <c r="M18" s="85"/>
      <c r="N18" s="85"/>
      <c r="O18" s="85"/>
      <c r="P18" s="85"/>
      <c r="Q18" s="85"/>
      <c r="R18" s="85"/>
      <c r="S18" s="85"/>
      <c r="T18" s="85"/>
      <c r="U18" s="85"/>
      <c r="V18" s="85"/>
      <c r="W18" s="85"/>
      <c r="X18" s="85"/>
      <c r="Y18" s="85"/>
      <c r="Z18" s="85"/>
    </row>
    <row r="19" spans="1:26">
      <c r="A19" s="193">
        <v>2</v>
      </c>
      <c r="B19" s="193" t="s">
        <v>101</v>
      </c>
      <c r="C19" s="193" t="s">
        <v>102</v>
      </c>
      <c r="D19" s="194">
        <v>24423</v>
      </c>
      <c r="E19" s="14" t="s">
        <v>1171</v>
      </c>
      <c r="F19" s="184">
        <v>18</v>
      </c>
      <c r="G19" s="14">
        <v>1</v>
      </c>
      <c r="H19" s="184">
        <v>0</v>
      </c>
      <c r="I19" s="14">
        <v>0</v>
      </c>
      <c r="J19" s="14" t="s">
        <v>100</v>
      </c>
      <c r="K19" s="14"/>
      <c r="L19" s="85"/>
      <c r="M19" s="85"/>
      <c r="N19" s="85"/>
      <c r="O19" s="85"/>
      <c r="P19" s="85"/>
      <c r="Q19" s="85"/>
      <c r="R19" s="85"/>
      <c r="S19" s="85"/>
      <c r="T19" s="85"/>
      <c r="U19" s="85"/>
      <c r="V19" s="85"/>
      <c r="W19" s="85"/>
      <c r="X19" s="85"/>
      <c r="Y19" s="85"/>
      <c r="Z19" s="85"/>
    </row>
    <row r="20" spans="1:26">
      <c r="A20" s="193">
        <v>2</v>
      </c>
      <c r="B20" s="193" t="s">
        <v>101</v>
      </c>
      <c r="C20" s="193" t="s">
        <v>102</v>
      </c>
      <c r="D20" s="194">
        <v>24423</v>
      </c>
      <c r="E20" s="14" t="s">
        <v>1172</v>
      </c>
      <c r="F20" s="184">
        <v>18</v>
      </c>
      <c r="G20" s="14">
        <v>1</v>
      </c>
      <c r="H20" s="184">
        <v>0</v>
      </c>
      <c r="I20" s="14">
        <v>0</v>
      </c>
      <c r="J20" s="14" t="s">
        <v>100</v>
      </c>
      <c r="K20" s="14"/>
      <c r="L20" s="85"/>
      <c r="M20" s="85"/>
      <c r="N20" s="85"/>
      <c r="O20" s="85"/>
      <c r="P20" s="85"/>
      <c r="Q20" s="85"/>
      <c r="R20" s="85"/>
      <c r="S20" s="85"/>
      <c r="T20" s="85"/>
      <c r="U20" s="85"/>
      <c r="V20" s="85"/>
      <c r="W20" s="85"/>
      <c r="X20" s="85"/>
      <c r="Y20" s="85"/>
      <c r="Z20" s="85"/>
    </row>
    <row r="21" spans="1:26" ht="15.75" customHeight="1">
      <c r="A21" s="193">
        <v>2</v>
      </c>
      <c r="B21" s="193" t="s">
        <v>101</v>
      </c>
      <c r="C21" s="193" t="s">
        <v>102</v>
      </c>
      <c r="D21" s="194">
        <v>24423</v>
      </c>
      <c r="E21" s="14" t="s">
        <v>1173</v>
      </c>
      <c r="F21" s="184">
        <v>19</v>
      </c>
      <c r="G21" s="14">
        <v>1</v>
      </c>
      <c r="H21" s="184">
        <v>0</v>
      </c>
      <c r="I21" s="14">
        <v>0</v>
      </c>
      <c r="J21" s="14" t="s">
        <v>100</v>
      </c>
      <c r="K21" s="14"/>
      <c r="L21" s="85"/>
      <c r="M21" s="85"/>
      <c r="N21" s="85"/>
      <c r="O21" s="85"/>
      <c r="P21" s="85"/>
      <c r="Q21" s="85"/>
      <c r="R21" s="85"/>
      <c r="S21" s="85"/>
      <c r="T21" s="85"/>
      <c r="U21" s="85"/>
      <c r="V21" s="85"/>
      <c r="W21" s="85"/>
      <c r="X21" s="85"/>
      <c r="Y21" s="85"/>
      <c r="Z21" s="85"/>
    </row>
    <row r="22" spans="1:26" ht="15.75" customHeight="1">
      <c r="A22" s="195">
        <v>3</v>
      </c>
      <c r="B22" s="195" t="s">
        <v>108</v>
      </c>
      <c r="C22" s="195" t="s">
        <v>109</v>
      </c>
      <c r="D22" s="196">
        <v>24768</v>
      </c>
      <c r="E22" s="14" t="s">
        <v>1174</v>
      </c>
      <c r="F22" s="184">
        <v>44</v>
      </c>
      <c r="G22" s="14">
        <v>0</v>
      </c>
      <c r="H22" s="184">
        <v>0</v>
      </c>
      <c r="I22" s="14">
        <v>1</v>
      </c>
      <c r="J22" s="184" t="s">
        <v>1175</v>
      </c>
      <c r="K22" s="14"/>
      <c r="L22" s="85"/>
      <c r="M22" s="85"/>
      <c r="N22" s="85"/>
      <c r="O22" s="85"/>
      <c r="P22" s="85"/>
      <c r="Q22" s="85"/>
      <c r="R22" s="85"/>
      <c r="S22" s="85"/>
      <c r="T22" s="85"/>
      <c r="U22" s="85"/>
      <c r="V22" s="85"/>
      <c r="W22" s="85"/>
      <c r="X22" s="85"/>
      <c r="Y22" s="85"/>
      <c r="Z22" s="85"/>
    </row>
    <row r="23" spans="1:26" ht="15.75" customHeight="1">
      <c r="A23" s="195">
        <v>3</v>
      </c>
      <c r="B23" s="195" t="s">
        <v>108</v>
      </c>
      <c r="C23" s="195" t="s">
        <v>109</v>
      </c>
      <c r="D23" s="196">
        <v>24768</v>
      </c>
      <c r="E23" s="14" t="s">
        <v>1176</v>
      </c>
      <c r="F23" s="184">
        <v>32</v>
      </c>
      <c r="G23" s="14">
        <v>0</v>
      </c>
      <c r="H23" s="184">
        <v>0</v>
      </c>
      <c r="I23" s="14">
        <v>1</v>
      </c>
      <c r="J23" s="184" t="s">
        <v>1175</v>
      </c>
      <c r="K23" s="14"/>
      <c r="L23" s="85"/>
      <c r="M23" s="85"/>
      <c r="N23" s="85"/>
      <c r="O23" s="85"/>
      <c r="P23" s="85"/>
      <c r="Q23" s="85"/>
      <c r="R23" s="85"/>
      <c r="S23" s="85"/>
      <c r="T23" s="85"/>
      <c r="U23" s="85"/>
      <c r="V23" s="85"/>
      <c r="W23" s="85"/>
      <c r="X23" s="85"/>
      <c r="Y23" s="85"/>
      <c r="Z23" s="85"/>
    </row>
    <row r="24" spans="1:26" ht="15.75" customHeight="1">
      <c r="A24" s="195">
        <v>3</v>
      </c>
      <c r="B24" s="195" t="s">
        <v>108</v>
      </c>
      <c r="C24" s="195" t="s">
        <v>109</v>
      </c>
      <c r="D24" s="196">
        <v>24768</v>
      </c>
      <c r="E24" s="14" t="s">
        <v>1177</v>
      </c>
      <c r="F24" s="184">
        <v>31</v>
      </c>
      <c r="G24" s="14">
        <v>0</v>
      </c>
      <c r="H24" s="184">
        <v>0</v>
      </c>
      <c r="I24" s="14">
        <v>1</v>
      </c>
      <c r="J24" s="184" t="s">
        <v>1175</v>
      </c>
      <c r="K24" s="14"/>
      <c r="L24" s="85"/>
      <c r="M24" s="85"/>
      <c r="N24" s="85"/>
      <c r="O24" s="85"/>
      <c r="P24" s="85"/>
      <c r="Q24" s="85"/>
      <c r="R24" s="85"/>
      <c r="S24" s="85"/>
      <c r="T24" s="85"/>
      <c r="U24" s="85"/>
      <c r="V24" s="85"/>
      <c r="W24" s="85"/>
      <c r="X24" s="85"/>
      <c r="Y24" s="85"/>
      <c r="Z24" s="85"/>
    </row>
    <row r="25" spans="1:26" ht="15.75" customHeight="1">
      <c r="A25" s="195">
        <v>3</v>
      </c>
      <c r="B25" s="195" t="s">
        <v>108</v>
      </c>
      <c r="C25" s="195" t="s">
        <v>109</v>
      </c>
      <c r="D25" s="196">
        <v>24768</v>
      </c>
      <c r="E25" s="14" t="s">
        <v>1178</v>
      </c>
      <c r="F25" s="184">
        <v>62</v>
      </c>
      <c r="G25" s="14">
        <v>0</v>
      </c>
      <c r="H25" s="184">
        <v>0</v>
      </c>
      <c r="I25" s="14">
        <v>1</v>
      </c>
      <c r="J25" s="184" t="s">
        <v>1179</v>
      </c>
      <c r="K25" s="14"/>
      <c r="L25" s="85"/>
      <c r="M25" s="85"/>
      <c r="N25" s="85"/>
      <c r="O25" s="85"/>
      <c r="P25" s="85"/>
      <c r="Q25" s="85"/>
      <c r="R25" s="85"/>
      <c r="S25" s="85"/>
      <c r="T25" s="85"/>
      <c r="U25" s="85"/>
      <c r="V25" s="85"/>
      <c r="W25" s="85"/>
      <c r="X25" s="85"/>
      <c r="Y25" s="85"/>
      <c r="Z25" s="85"/>
    </row>
    <row r="26" spans="1:26" ht="15.75" customHeight="1">
      <c r="A26" s="195">
        <v>3</v>
      </c>
      <c r="B26" s="195" t="s">
        <v>108</v>
      </c>
      <c r="C26" s="195" t="s">
        <v>109</v>
      </c>
      <c r="D26" s="196">
        <v>24768</v>
      </c>
      <c r="E26" s="14" t="s">
        <v>1180</v>
      </c>
      <c r="F26" s="184">
        <v>37</v>
      </c>
      <c r="G26" s="14">
        <v>0</v>
      </c>
      <c r="H26" s="184">
        <v>0</v>
      </c>
      <c r="I26" s="14">
        <v>1</v>
      </c>
      <c r="J26" s="184" t="s">
        <v>1175</v>
      </c>
      <c r="K26" s="14"/>
      <c r="L26" s="85"/>
      <c r="M26" s="85"/>
      <c r="N26" s="85"/>
      <c r="O26" s="85"/>
      <c r="P26" s="85"/>
      <c r="Q26" s="85"/>
      <c r="R26" s="85"/>
      <c r="S26" s="85"/>
      <c r="T26" s="85"/>
      <c r="U26" s="85"/>
      <c r="V26" s="85"/>
      <c r="W26" s="85"/>
      <c r="X26" s="85"/>
      <c r="Y26" s="85"/>
      <c r="Z26" s="85"/>
    </row>
    <row r="27" spans="1:26" ht="15.75" customHeight="1">
      <c r="A27" s="195">
        <v>3</v>
      </c>
      <c r="B27" s="195" t="s">
        <v>108</v>
      </c>
      <c r="C27" s="195" t="s">
        <v>109</v>
      </c>
      <c r="D27" s="196">
        <v>24768</v>
      </c>
      <c r="E27" s="14" t="s">
        <v>1181</v>
      </c>
      <c r="F27" s="184">
        <v>27</v>
      </c>
      <c r="G27" s="14">
        <v>0</v>
      </c>
      <c r="H27" s="184">
        <v>0</v>
      </c>
      <c r="I27" s="14">
        <v>1</v>
      </c>
      <c r="J27" s="184" t="s">
        <v>1182</v>
      </c>
      <c r="K27" s="14"/>
      <c r="L27" s="85"/>
      <c r="M27" s="85"/>
      <c r="N27" s="85"/>
      <c r="O27" s="85"/>
      <c r="P27" s="85"/>
      <c r="Q27" s="85"/>
      <c r="R27" s="85"/>
      <c r="S27" s="85"/>
      <c r="T27" s="85"/>
      <c r="U27" s="85"/>
      <c r="V27" s="85"/>
      <c r="W27" s="85"/>
      <c r="X27" s="85"/>
      <c r="Y27" s="85"/>
      <c r="Z27" s="85"/>
    </row>
    <row r="28" spans="1:26" ht="15.75" customHeight="1">
      <c r="A28" s="197">
        <v>4</v>
      </c>
      <c r="B28" s="197" t="s">
        <v>113</v>
      </c>
      <c r="C28" s="197" t="s">
        <v>114</v>
      </c>
      <c r="D28" s="198">
        <v>24913</v>
      </c>
      <c r="E28" s="14" t="s">
        <v>1183</v>
      </c>
      <c r="F28" s="184" t="str">
        <f>HYPERLINK("https://news.google.com/newspapers?id=ZRgMAAAAIBAJ&amp;sjid=rlwDAAAAIBAJ&amp;pg=6550,4991780&amp;dq=&amp;hl=en","41")</f>
        <v>41</v>
      </c>
      <c r="G28" s="14">
        <v>1</v>
      </c>
      <c r="H28" s="184">
        <v>0</v>
      </c>
      <c r="I28" s="14">
        <v>1</v>
      </c>
      <c r="J28" s="184" t="str">
        <f>HYPERLINK("https://newspaperarchive.com/other-articles-clipping-mar-21-1968-48914/","neighbor")</f>
        <v>neighbor</v>
      </c>
      <c r="K28" s="14"/>
      <c r="L28" s="85"/>
      <c r="M28" s="85"/>
      <c r="N28" s="85"/>
      <c r="O28" s="85"/>
      <c r="P28" s="85"/>
      <c r="Q28" s="85"/>
      <c r="R28" s="85"/>
      <c r="S28" s="85"/>
      <c r="T28" s="85"/>
      <c r="U28" s="85"/>
      <c r="V28" s="85"/>
      <c r="W28" s="85"/>
      <c r="X28" s="85"/>
      <c r="Y28" s="85"/>
      <c r="Z28" s="85"/>
    </row>
    <row r="29" spans="1:26" ht="15.75" customHeight="1">
      <c r="A29" s="197">
        <v>4</v>
      </c>
      <c r="B29" s="197" t="s">
        <v>113</v>
      </c>
      <c r="C29" s="197" t="s">
        <v>114</v>
      </c>
      <c r="D29" s="198">
        <v>24913</v>
      </c>
      <c r="E29" s="14" t="s">
        <v>1184</v>
      </c>
      <c r="F29" s="184" t="str">
        <f>HYPERLINK("https://newspaperarchive.com/other-articles-clipping-mar-21-1968-48914/","49")</f>
        <v>49</v>
      </c>
      <c r="G29" s="14">
        <v>0</v>
      </c>
      <c r="H29" s="184">
        <v>0</v>
      </c>
      <c r="I29" s="14">
        <v>1</v>
      </c>
      <c r="J29" s="184" t="s">
        <v>1185</v>
      </c>
      <c r="K29" s="14"/>
      <c r="L29" s="85"/>
      <c r="M29" s="85"/>
      <c r="N29" s="85"/>
      <c r="O29" s="85"/>
      <c r="P29" s="85"/>
      <c r="Q29" s="85"/>
      <c r="R29" s="85"/>
      <c r="S29" s="85"/>
      <c r="T29" s="85"/>
      <c r="U29" s="85"/>
      <c r="V29" s="85"/>
      <c r="W29" s="85"/>
      <c r="X29" s="85"/>
      <c r="Y29" s="85"/>
      <c r="Z29" s="85"/>
    </row>
    <row r="30" spans="1:26" ht="15.75" customHeight="1">
      <c r="A30" s="197">
        <v>4</v>
      </c>
      <c r="B30" s="197" t="s">
        <v>113</v>
      </c>
      <c r="C30" s="197" t="s">
        <v>114</v>
      </c>
      <c r="D30" s="198">
        <v>24913</v>
      </c>
      <c r="E30" s="14" t="s">
        <v>1186</v>
      </c>
      <c r="F30" s="184" t="str">
        <f>HYPERLINK("https://news.google.com/newspapers?id=ZRgMAAAAIBAJ&amp;sjid=rlwDAAAAIBAJ&amp;pg=6550,4991780&amp;dq=&amp;hl=en","61")</f>
        <v>61</v>
      </c>
      <c r="G30" s="14">
        <v>1</v>
      </c>
      <c r="H30" s="184">
        <v>0</v>
      </c>
      <c r="I30" s="14">
        <v>2</v>
      </c>
      <c r="J30" s="184" t="str">
        <f>HYPERLINK("https://newspaperarchive.com/other-articles-clipping-mar-21-1968-48914/","neighbor's mother")</f>
        <v>neighbor's mother</v>
      </c>
      <c r="K30" s="14"/>
      <c r="L30" s="85"/>
      <c r="M30" s="85"/>
      <c r="N30" s="85"/>
      <c r="O30" s="85"/>
      <c r="P30" s="85"/>
      <c r="Q30" s="85"/>
      <c r="R30" s="85"/>
      <c r="S30" s="85"/>
      <c r="T30" s="85"/>
      <c r="U30" s="85"/>
      <c r="V30" s="85"/>
      <c r="W30" s="85"/>
      <c r="X30" s="85"/>
      <c r="Y30" s="85"/>
      <c r="Z30" s="85"/>
    </row>
    <row r="31" spans="1:26" ht="15.75" customHeight="1">
      <c r="A31" s="197">
        <v>4</v>
      </c>
      <c r="B31" s="197" t="s">
        <v>113</v>
      </c>
      <c r="C31" s="197" t="s">
        <v>114</v>
      </c>
      <c r="D31" s="198">
        <v>24913</v>
      </c>
      <c r="E31" s="14" t="s">
        <v>1187</v>
      </c>
      <c r="F31" s="184" t="str">
        <f>HYPERLINK("https://newspaperarchive.com/other-articles-clipping-mar-21-1968-48914/","56")</f>
        <v>56</v>
      </c>
      <c r="G31" s="14">
        <v>0</v>
      </c>
      <c r="H31" s="184">
        <v>0</v>
      </c>
      <c r="I31" s="14">
        <v>1</v>
      </c>
      <c r="J31" s="184" t="str">
        <f>HYPERLINK("https://www.mlive.com/news/2016/09/love_of_guns_a_key_factor_in_n.html","romantic rival")</f>
        <v>romantic rival</v>
      </c>
      <c r="K31" s="14"/>
      <c r="L31" s="85"/>
      <c r="M31" s="85"/>
      <c r="N31" s="85"/>
      <c r="O31" s="85"/>
      <c r="P31" s="85"/>
      <c r="Q31" s="85"/>
      <c r="R31" s="85"/>
      <c r="S31" s="85"/>
      <c r="T31" s="85"/>
      <c r="U31" s="85"/>
      <c r="V31" s="85"/>
      <c r="W31" s="85"/>
      <c r="X31" s="85"/>
      <c r="Y31" s="85"/>
      <c r="Z31" s="85"/>
    </row>
    <row r="32" spans="1:26" ht="15.75" customHeight="1">
      <c r="A32" s="197">
        <v>4</v>
      </c>
      <c r="B32" s="197" t="s">
        <v>113</v>
      </c>
      <c r="C32" s="197" t="s">
        <v>114</v>
      </c>
      <c r="D32" s="198">
        <v>24913</v>
      </c>
      <c r="E32" s="184" t="s">
        <v>1188</v>
      </c>
      <c r="F32" s="184" t="str">
        <f>HYPERLINK("https://newspaperarchive.com/other-articles-clipping-mar-21-1968-48914/","47")</f>
        <v>47</v>
      </c>
      <c r="G32" s="14">
        <v>1</v>
      </c>
      <c r="H32" s="14"/>
      <c r="I32" s="14">
        <v>0</v>
      </c>
      <c r="J32" s="14" t="s">
        <v>100</v>
      </c>
      <c r="K32" s="14"/>
      <c r="L32" s="85"/>
      <c r="M32" s="85"/>
      <c r="N32" s="85"/>
      <c r="O32" s="85"/>
      <c r="P32" s="85"/>
      <c r="Q32" s="85"/>
      <c r="R32" s="85"/>
      <c r="S32" s="85"/>
      <c r="T32" s="85"/>
      <c r="U32" s="85"/>
      <c r="V32" s="85"/>
      <c r="W32" s="85"/>
      <c r="X32" s="85"/>
      <c r="Y32" s="85"/>
      <c r="Z32" s="85"/>
    </row>
    <row r="33" spans="1:26" ht="15.75" customHeight="1">
      <c r="A33" s="197">
        <v>4</v>
      </c>
      <c r="B33" s="197" t="s">
        <v>113</v>
      </c>
      <c r="C33" s="197" t="s">
        <v>114</v>
      </c>
      <c r="D33" s="198">
        <v>24913</v>
      </c>
      <c r="E33" s="14" t="s">
        <v>1189</v>
      </c>
      <c r="F33" s="184" t="str">
        <f>HYPERLINK("https://news.google.com/newspapers?id=ZRgMAAAAIBAJ&amp;sjid=rlwDAAAAIBAJ&amp;pg=6550,4991780&amp;dq=&amp;hl=en","59")</f>
        <v>59</v>
      </c>
      <c r="G33" s="14">
        <v>1</v>
      </c>
      <c r="H33" s="184">
        <v>0</v>
      </c>
      <c r="I33" s="14">
        <v>0</v>
      </c>
      <c r="J33" s="14" t="s">
        <v>100</v>
      </c>
      <c r="K33" s="14"/>
      <c r="L33" s="85"/>
      <c r="M33" s="85"/>
      <c r="N33" s="85"/>
      <c r="O33" s="85"/>
      <c r="P33" s="85"/>
      <c r="Q33" s="85"/>
      <c r="R33" s="85"/>
      <c r="S33" s="85"/>
      <c r="T33" s="85"/>
      <c r="U33" s="85"/>
      <c r="V33" s="85"/>
      <c r="W33" s="85"/>
      <c r="X33" s="85"/>
      <c r="Y33" s="85"/>
      <c r="Z33" s="85"/>
    </row>
    <row r="34" spans="1:26" ht="15.75" customHeight="1">
      <c r="A34" s="197">
        <v>4</v>
      </c>
      <c r="B34" s="197" t="s">
        <v>113</v>
      </c>
      <c r="C34" s="197" t="s">
        <v>114</v>
      </c>
      <c r="D34" s="198">
        <v>24913</v>
      </c>
      <c r="E34" s="14" t="s">
        <v>1190</v>
      </c>
      <c r="F34" s="184" t="str">
        <f>HYPERLINK("https://newspaperarchive.com/other-articles-clipping-mar-21-1968-48914/","67")</f>
        <v>67</v>
      </c>
      <c r="G34" s="14">
        <v>0</v>
      </c>
      <c r="H34" s="184">
        <v>0</v>
      </c>
      <c r="I34" s="14">
        <v>0</v>
      </c>
      <c r="J34" s="14" t="s">
        <v>100</v>
      </c>
      <c r="K34" s="14"/>
      <c r="L34" s="85"/>
      <c r="M34" s="85"/>
      <c r="N34" s="85"/>
      <c r="O34" s="85"/>
      <c r="P34" s="85"/>
      <c r="Q34" s="85"/>
      <c r="R34" s="85"/>
      <c r="S34" s="85"/>
      <c r="T34" s="85"/>
      <c r="U34" s="85"/>
      <c r="V34" s="85"/>
      <c r="W34" s="85"/>
      <c r="X34" s="85"/>
      <c r="Y34" s="85"/>
      <c r="Z34" s="85"/>
    </row>
    <row r="35" spans="1:26" ht="15.75" customHeight="1">
      <c r="A35" s="199">
        <v>5</v>
      </c>
      <c r="B35" s="199" t="s">
        <v>117</v>
      </c>
      <c r="C35" s="199" t="s">
        <v>118</v>
      </c>
      <c r="D35" s="200">
        <v>25298</v>
      </c>
      <c r="E35" s="14" t="s">
        <v>1191</v>
      </c>
      <c r="F35" s="184" t="str">
        <f>HYPERLINK("https://books.google.com/books?id=8TgDAAAAMBAJ&amp;pg=PA47&amp;lpg=PA46&amp;focus=viewport&amp;dq=donald+lambright+%2B+shooting#v=onepage&amp;q=donald%20lambright%20%2B%20shooting&amp;f=false","50")</f>
        <v>50</v>
      </c>
      <c r="G35" s="14">
        <v>0</v>
      </c>
      <c r="H35" s="14"/>
      <c r="I35" s="184" t="str">
        <f t="shared" ref="I35:I36" si="0">HYPERLINK("https://news.google.com/newspapers?id=G8daAAAAIBAJ&amp;sjid=z2wDAAAAIBAJ&amp;pg=6070,782221","0")</f>
        <v>0</v>
      </c>
      <c r="J35" s="14" t="s">
        <v>100</v>
      </c>
      <c r="K35" s="14"/>
      <c r="L35" s="85"/>
      <c r="M35" s="85"/>
      <c r="N35" s="85"/>
      <c r="O35" s="85"/>
      <c r="P35" s="85"/>
      <c r="Q35" s="85"/>
      <c r="R35" s="85"/>
      <c r="S35" s="85"/>
      <c r="T35" s="85"/>
      <c r="U35" s="85"/>
      <c r="V35" s="85"/>
      <c r="W35" s="85"/>
      <c r="X35" s="85"/>
      <c r="Y35" s="85"/>
      <c r="Z35" s="85"/>
    </row>
    <row r="36" spans="1:26" ht="15.75" customHeight="1">
      <c r="A36" s="199">
        <v>5</v>
      </c>
      <c r="B36" s="199" t="s">
        <v>117</v>
      </c>
      <c r="C36" s="199" t="s">
        <v>118</v>
      </c>
      <c r="D36" s="200">
        <v>25298</v>
      </c>
      <c r="E36" s="14" t="s">
        <v>1192</v>
      </c>
      <c r="F36" s="184" t="str">
        <f>HYPERLINK("https://books.google.com/books?id=8TgDAAAAMBAJ&amp;pg=PA47&amp;lpg=PA46&amp;focus=viewport&amp;dq=donald+lambright+%2B+shooting#v=onepage&amp;q=donald%20lambright%20%2B%20shooting&amp;f=false","51")</f>
        <v>51</v>
      </c>
      <c r="G36" s="14">
        <v>1</v>
      </c>
      <c r="H36" s="14"/>
      <c r="I36" s="184" t="str">
        <f t="shared" si="0"/>
        <v>0</v>
      </c>
      <c r="J36" s="14" t="s">
        <v>100</v>
      </c>
      <c r="K36" s="14"/>
      <c r="L36" s="85"/>
      <c r="M36" s="85"/>
      <c r="N36" s="85"/>
      <c r="O36" s="85"/>
      <c r="P36" s="85"/>
      <c r="Q36" s="85"/>
      <c r="R36" s="85"/>
      <c r="S36" s="85"/>
      <c r="T36" s="85"/>
      <c r="U36" s="85"/>
      <c r="V36" s="85"/>
      <c r="W36" s="85"/>
      <c r="X36" s="85"/>
      <c r="Y36" s="85"/>
      <c r="Z36" s="85"/>
    </row>
    <row r="37" spans="1:26" ht="15.75" customHeight="1">
      <c r="A37" s="199">
        <v>5</v>
      </c>
      <c r="B37" s="199" t="s">
        <v>117</v>
      </c>
      <c r="C37" s="199" t="s">
        <v>118</v>
      </c>
      <c r="D37" s="200">
        <v>25298</v>
      </c>
      <c r="E37" s="14" t="s">
        <v>1193</v>
      </c>
      <c r="F37" s="184" t="str">
        <f>HYPERLINK("https://news.google.com/newspapers?id=G8daAAAAIBAJ&amp;sjid=z2wDAAAAIBAJ&amp;pg=6070,782221","31")</f>
        <v>31</v>
      </c>
      <c r="G37" s="14">
        <v>1</v>
      </c>
      <c r="H37" s="184">
        <v>1</v>
      </c>
      <c r="I37" s="14">
        <v>1</v>
      </c>
      <c r="J37" s="184" t="s">
        <v>1150</v>
      </c>
      <c r="K37" s="14"/>
      <c r="L37" s="85"/>
      <c r="M37" s="85"/>
      <c r="N37" s="85"/>
      <c r="O37" s="85"/>
      <c r="P37" s="85"/>
      <c r="Q37" s="85"/>
      <c r="R37" s="85"/>
      <c r="S37" s="85"/>
      <c r="T37" s="85"/>
      <c r="U37" s="85"/>
      <c r="V37" s="85"/>
      <c r="W37" s="85"/>
      <c r="X37" s="85"/>
      <c r="Y37" s="85"/>
      <c r="Z37" s="85"/>
    </row>
    <row r="38" spans="1:26" ht="15.75" customHeight="1">
      <c r="A38" s="199">
        <v>5</v>
      </c>
      <c r="B38" s="199" t="s">
        <v>117</v>
      </c>
      <c r="C38" s="199" t="s">
        <v>118</v>
      </c>
      <c r="D38" s="200">
        <v>25298</v>
      </c>
      <c r="E38" s="14" t="s">
        <v>1194</v>
      </c>
      <c r="F38" s="184" t="str">
        <f>HYPERLINK("https://www.newspapers.com/clip/5320885/the-express/","32")</f>
        <v>32</v>
      </c>
      <c r="G38" s="14">
        <v>0</v>
      </c>
      <c r="H38" s="14"/>
      <c r="I38" s="14">
        <v>0</v>
      </c>
      <c r="J38" s="14" t="s">
        <v>100</v>
      </c>
      <c r="K38" s="14"/>
      <c r="L38" s="85"/>
      <c r="M38" s="85"/>
      <c r="N38" s="85"/>
      <c r="O38" s="85"/>
      <c r="P38" s="85"/>
      <c r="Q38" s="85"/>
      <c r="R38" s="85"/>
      <c r="S38" s="85"/>
      <c r="T38" s="85"/>
      <c r="U38" s="85"/>
      <c r="V38" s="85"/>
      <c r="W38" s="85"/>
      <c r="X38" s="85"/>
      <c r="Y38" s="85"/>
      <c r="Z38" s="85"/>
    </row>
    <row r="39" spans="1:26" ht="15.75" customHeight="1">
      <c r="A39" s="191">
        <v>6</v>
      </c>
      <c r="B39" s="191" t="s">
        <v>121</v>
      </c>
      <c r="C39" s="191" t="s">
        <v>122</v>
      </c>
      <c r="D39" s="192">
        <v>25834</v>
      </c>
      <c r="E39" s="14" t="s">
        <v>1195</v>
      </c>
      <c r="F39" s="184" t="str">
        <f>HYPERLINK("https://www.nytimes.com/1970/09/24/archives/state-employe-kills-4-coworkers-and-himself-in-albany-office.html","24")</f>
        <v>24</v>
      </c>
      <c r="G39" s="14">
        <v>1</v>
      </c>
      <c r="H39" s="184" t="str">
        <f t="shared" ref="H39:H42" si="1">HYPERLINK("https://newspaperarchive.com/daily-review-oct-23-1970-p-20/","0")</f>
        <v>0</v>
      </c>
      <c r="I39" s="14">
        <v>1</v>
      </c>
      <c r="J39" s="14" t="s">
        <v>1175</v>
      </c>
      <c r="K39" s="14"/>
      <c r="L39" s="85"/>
      <c r="M39" s="85"/>
      <c r="N39" s="85"/>
      <c r="O39" s="85"/>
      <c r="P39" s="85"/>
      <c r="Q39" s="85"/>
      <c r="R39" s="85"/>
      <c r="S39" s="85"/>
      <c r="T39" s="85"/>
      <c r="U39" s="85"/>
      <c r="V39" s="85"/>
      <c r="W39" s="85"/>
      <c r="X39" s="85"/>
      <c r="Y39" s="85"/>
      <c r="Z39" s="85"/>
    </row>
    <row r="40" spans="1:26" ht="15.75" customHeight="1">
      <c r="A40" s="191">
        <v>6</v>
      </c>
      <c r="B40" s="191" t="s">
        <v>121</v>
      </c>
      <c r="C40" s="191" t="s">
        <v>122</v>
      </c>
      <c r="D40" s="192">
        <v>25834</v>
      </c>
      <c r="E40" s="14" t="s">
        <v>1196</v>
      </c>
      <c r="F40" s="184" t="str">
        <f>HYPERLINK("https://www.nytimes.com/1970/09/24/archives/state-employe-kills-4-coworkers-and-himself-in-albany-office.html","22")</f>
        <v>22</v>
      </c>
      <c r="G40" s="14">
        <v>1</v>
      </c>
      <c r="H40" s="184" t="str">
        <f t="shared" si="1"/>
        <v>0</v>
      </c>
      <c r="I40" s="14">
        <v>1</v>
      </c>
      <c r="J40" s="14" t="s">
        <v>1175</v>
      </c>
      <c r="K40" s="14"/>
      <c r="L40" s="85"/>
      <c r="M40" s="85"/>
      <c r="N40" s="85"/>
      <c r="O40" s="85"/>
      <c r="P40" s="85"/>
      <c r="Q40" s="85"/>
      <c r="R40" s="85"/>
      <c r="S40" s="85"/>
      <c r="T40" s="85"/>
      <c r="U40" s="85"/>
      <c r="V40" s="85"/>
      <c r="W40" s="85"/>
      <c r="X40" s="85"/>
      <c r="Y40" s="85"/>
      <c r="Z40" s="85"/>
    </row>
    <row r="41" spans="1:26" ht="15.75" customHeight="1">
      <c r="A41" s="191">
        <v>6</v>
      </c>
      <c r="B41" s="191" t="s">
        <v>121</v>
      </c>
      <c r="C41" s="191" t="s">
        <v>122</v>
      </c>
      <c r="D41" s="192">
        <v>25834</v>
      </c>
      <c r="E41" s="14" t="s">
        <v>1197</v>
      </c>
      <c r="F41" s="184" t="str">
        <f>HYPERLINK("https://www.nytimes.com/1970/09/24/archives/state-employe-kills-4-coworkers-and-himself-in-albany-office.html","21")</f>
        <v>21</v>
      </c>
      <c r="G41" s="14">
        <v>1</v>
      </c>
      <c r="H41" s="184" t="str">
        <f t="shared" si="1"/>
        <v>0</v>
      </c>
      <c r="I41" s="14">
        <v>1</v>
      </c>
      <c r="J41" s="14" t="s">
        <v>1175</v>
      </c>
      <c r="K41" s="14"/>
      <c r="L41" s="85"/>
      <c r="M41" s="85"/>
      <c r="N41" s="85"/>
      <c r="O41" s="85"/>
      <c r="P41" s="85"/>
      <c r="Q41" s="85"/>
      <c r="R41" s="85"/>
      <c r="S41" s="85"/>
      <c r="T41" s="85"/>
      <c r="U41" s="85"/>
      <c r="V41" s="85"/>
      <c r="W41" s="85"/>
      <c r="X41" s="85"/>
      <c r="Y41" s="85"/>
      <c r="Z41" s="85"/>
    </row>
    <row r="42" spans="1:26" ht="15.75" customHeight="1">
      <c r="A42" s="191">
        <v>6</v>
      </c>
      <c r="B42" s="191" t="s">
        <v>121</v>
      </c>
      <c r="C42" s="191" t="s">
        <v>122</v>
      </c>
      <c r="D42" s="192">
        <v>25834</v>
      </c>
      <c r="E42" s="184" t="str">
        <f>HYPERLINK("https://timesmachine.nytimes.com/timesmachine/1970/09/24/91182893.html?pageNumber=39","Mary Ann Reinisch")</f>
        <v>Mary Ann Reinisch</v>
      </c>
      <c r="F42" s="184" t="str">
        <f>HYPERLINK("https://www.nytimes.com/1970/09/24/archives/state-employe-kills-4-coworkers-and-himself-in-albany-office.html","27")</f>
        <v>27</v>
      </c>
      <c r="G42" s="14">
        <v>1</v>
      </c>
      <c r="H42" s="184" t="str">
        <f t="shared" si="1"/>
        <v>0</v>
      </c>
      <c r="I42" s="14">
        <v>1</v>
      </c>
      <c r="J42" s="14" t="s">
        <v>1175</v>
      </c>
      <c r="K42" s="14"/>
      <c r="L42" s="85"/>
      <c r="M42" s="85"/>
      <c r="N42" s="85"/>
      <c r="O42" s="85"/>
      <c r="P42" s="85"/>
      <c r="Q42" s="85"/>
      <c r="R42" s="85"/>
      <c r="S42" s="85"/>
      <c r="T42" s="85"/>
      <c r="U42" s="85"/>
      <c r="V42" s="85"/>
      <c r="W42" s="85"/>
      <c r="X42" s="85"/>
      <c r="Y42" s="85"/>
      <c r="Z42" s="85"/>
    </row>
    <row r="43" spans="1:26" ht="15.75" customHeight="1">
      <c r="A43" s="193">
        <v>7</v>
      </c>
      <c r="B43" s="193" t="s">
        <v>127</v>
      </c>
      <c r="C43" s="193" t="s">
        <v>128</v>
      </c>
      <c r="D43" s="194">
        <v>26448</v>
      </c>
      <c r="E43" s="14" t="s">
        <v>1198</v>
      </c>
      <c r="F43" s="14">
        <v>23</v>
      </c>
      <c r="G43" s="14">
        <v>0</v>
      </c>
      <c r="H43" s="184" t="str">
        <f t="shared" ref="H43:H46" si="2">HYPERLINK("https://www.nytimes.com/1972/05/31/archives/gunmans-motive-remains-mystery-police-say-shootings-were-not-linked.html","0")</f>
        <v>0</v>
      </c>
      <c r="I43" s="14">
        <v>0</v>
      </c>
      <c r="J43" s="14" t="s">
        <v>100</v>
      </c>
      <c r="K43" s="14"/>
      <c r="L43" s="85"/>
      <c r="M43" s="85"/>
      <c r="N43" s="85"/>
      <c r="O43" s="85"/>
      <c r="P43" s="85"/>
      <c r="Q43" s="85"/>
      <c r="R43" s="85"/>
      <c r="S43" s="85"/>
      <c r="T43" s="85"/>
      <c r="U43" s="85"/>
      <c r="V43" s="85"/>
      <c r="W43" s="85"/>
      <c r="X43" s="85"/>
      <c r="Y43" s="85"/>
      <c r="Z43" s="85"/>
    </row>
    <row r="44" spans="1:26" ht="15.75" customHeight="1">
      <c r="A44" s="193">
        <v>7</v>
      </c>
      <c r="B44" s="193" t="s">
        <v>127</v>
      </c>
      <c r="C44" s="193" t="s">
        <v>128</v>
      </c>
      <c r="D44" s="194">
        <v>26448</v>
      </c>
      <c r="E44" s="14" t="s">
        <v>1199</v>
      </c>
      <c r="F44" s="14">
        <v>31</v>
      </c>
      <c r="G44" s="14">
        <v>0</v>
      </c>
      <c r="H44" s="184" t="str">
        <f t="shared" si="2"/>
        <v>0</v>
      </c>
      <c r="I44" s="14">
        <v>0</v>
      </c>
      <c r="J44" s="14" t="s">
        <v>100</v>
      </c>
      <c r="K44" s="14"/>
      <c r="L44" s="85"/>
      <c r="M44" s="85"/>
      <c r="N44" s="85"/>
      <c r="O44" s="85"/>
      <c r="P44" s="85"/>
      <c r="Q44" s="85"/>
      <c r="R44" s="85"/>
      <c r="S44" s="85"/>
      <c r="T44" s="85"/>
      <c r="U44" s="85"/>
      <c r="V44" s="85"/>
      <c r="W44" s="85"/>
      <c r="X44" s="85"/>
      <c r="Y44" s="85"/>
      <c r="Z44" s="85"/>
    </row>
    <row r="45" spans="1:26" ht="15.75" customHeight="1">
      <c r="A45" s="193">
        <v>7</v>
      </c>
      <c r="B45" s="193" t="s">
        <v>127</v>
      </c>
      <c r="C45" s="193" t="s">
        <v>128</v>
      </c>
      <c r="D45" s="194">
        <v>26448</v>
      </c>
      <c r="E45" s="184" t="str">
        <f>HYPERLINK("https://www.newspapers.com/clip/24646780/daily-news/","Jessie B. West")</f>
        <v>Jessie B. West</v>
      </c>
      <c r="F45" s="184" t="str">
        <f>HYPERLINK("https://legeros.com/history/stories/north-hills/","77")</f>
        <v>77</v>
      </c>
      <c r="G45" s="14">
        <v>1</v>
      </c>
      <c r="H45" s="184" t="str">
        <f t="shared" si="2"/>
        <v>0</v>
      </c>
      <c r="I45" s="14">
        <v>0</v>
      </c>
      <c r="J45" s="14" t="s">
        <v>100</v>
      </c>
      <c r="K45" s="14"/>
      <c r="L45" s="85"/>
      <c r="M45" s="85"/>
      <c r="N45" s="85"/>
      <c r="O45" s="85"/>
      <c r="P45" s="85"/>
      <c r="Q45" s="85"/>
      <c r="R45" s="85"/>
      <c r="S45" s="85"/>
      <c r="T45" s="85"/>
      <c r="U45" s="85"/>
      <c r="V45" s="85"/>
      <c r="W45" s="85"/>
      <c r="X45" s="85"/>
      <c r="Y45" s="85"/>
      <c r="Z45" s="85"/>
    </row>
    <row r="46" spans="1:26" ht="15.75" customHeight="1">
      <c r="A46" s="193">
        <v>7</v>
      </c>
      <c r="B46" s="193" t="s">
        <v>127</v>
      </c>
      <c r="C46" s="193" t="s">
        <v>128</v>
      </c>
      <c r="D46" s="194">
        <v>26448</v>
      </c>
      <c r="E46" s="14" t="s">
        <v>1200</v>
      </c>
      <c r="F46" s="14">
        <v>47</v>
      </c>
      <c r="G46" s="14">
        <v>1</v>
      </c>
      <c r="H46" s="184" t="str">
        <f t="shared" si="2"/>
        <v>0</v>
      </c>
      <c r="I46" s="14">
        <v>0</v>
      </c>
      <c r="J46" s="14" t="s">
        <v>100</v>
      </c>
      <c r="K46" s="14"/>
      <c r="L46" s="85"/>
      <c r="M46" s="85"/>
      <c r="N46" s="85"/>
      <c r="O46" s="85"/>
      <c r="P46" s="85"/>
      <c r="Q46" s="85"/>
      <c r="R46" s="85"/>
      <c r="S46" s="85"/>
      <c r="T46" s="85"/>
      <c r="U46" s="85"/>
      <c r="V46" s="85"/>
      <c r="W46" s="85"/>
      <c r="X46" s="85"/>
      <c r="Y46" s="85"/>
      <c r="Z46" s="85"/>
    </row>
    <row r="47" spans="1:26" ht="15.75" customHeight="1">
      <c r="A47" s="199">
        <v>8</v>
      </c>
      <c r="B47" s="199" t="s">
        <v>131</v>
      </c>
      <c r="C47" s="199" t="s">
        <v>132</v>
      </c>
      <c r="D47" s="200">
        <v>26471</v>
      </c>
      <c r="E47" s="14" t="s">
        <v>1201</v>
      </c>
      <c r="F47" s="184" t="str">
        <f>HYPERLINK("https://www.nytimes.com/1972/06/23/archives/anger-with-employment-agency-is-cited-as-gunmans-motivation-for.html","48")</f>
        <v>48</v>
      </c>
      <c r="G47" s="14">
        <v>0</v>
      </c>
      <c r="H47" s="14"/>
      <c r="I47" s="14">
        <v>0</v>
      </c>
      <c r="J47" s="14" t="s">
        <v>100</v>
      </c>
      <c r="K47" s="14"/>
      <c r="L47" s="85"/>
      <c r="M47" s="85"/>
      <c r="N47" s="85"/>
      <c r="O47" s="85"/>
      <c r="P47" s="85"/>
      <c r="Q47" s="85"/>
      <c r="R47" s="85"/>
      <c r="S47" s="85"/>
      <c r="T47" s="85"/>
      <c r="U47" s="85"/>
      <c r="V47" s="85"/>
      <c r="W47" s="85"/>
      <c r="X47" s="85"/>
      <c r="Y47" s="85"/>
      <c r="Z47" s="85"/>
    </row>
    <row r="48" spans="1:26" ht="15.75" customHeight="1">
      <c r="A48" s="199">
        <v>8</v>
      </c>
      <c r="B48" s="199" t="s">
        <v>131</v>
      </c>
      <c r="C48" s="199" t="s">
        <v>132</v>
      </c>
      <c r="D48" s="200">
        <v>26471</v>
      </c>
      <c r="E48" s="14" t="s">
        <v>1202</v>
      </c>
      <c r="F48" s="184" t="str">
        <f>HYPERLINK("https://news.google.com/newspapers?nid=2002&amp;dat=19720622&amp;id=CbAiAAAAIBAJ&amp;sjid=FLMFAAAAIBAJ&amp;pg=5232,1749134&amp;hl=en","22")</f>
        <v>22</v>
      </c>
      <c r="G48" s="14">
        <v>0</v>
      </c>
      <c r="H48" s="14"/>
      <c r="I48" s="14">
        <v>0</v>
      </c>
      <c r="J48" s="14" t="s">
        <v>100</v>
      </c>
      <c r="K48" s="14"/>
      <c r="L48" s="85"/>
      <c r="M48" s="85"/>
      <c r="N48" s="85"/>
      <c r="O48" s="85"/>
      <c r="P48" s="85"/>
      <c r="Q48" s="85"/>
      <c r="R48" s="85"/>
      <c r="S48" s="85"/>
      <c r="T48" s="85"/>
      <c r="U48" s="85"/>
      <c r="V48" s="85"/>
      <c r="W48" s="85"/>
      <c r="X48" s="85"/>
      <c r="Y48" s="85"/>
      <c r="Z48" s="85"/>
    </row>
    <row r="49" spans="1:26" ht="15.75" customHeight="1">
      <c r="A49" s="199">
        <v>8</v>
      </c>
      <c r="B49" s="199" t="s">
        <v>131</v>
      </c>
      <c r="C49" s="199" t="s">
        <v>132</v>
      </c>
      <c r="D49" s="200">
        <v>26471</v>
      </c>
      <c r="E49" s="14" t="s">
        <v>1203</v>
      </c>
      <c r="F49" s="184" t="str">
        <f>HYPERLINK("https://news.google.com/newspapers?nid=2002&amp;dat=19720622&amp;id=CbAiAAAAIBAJ&amp;sjid=FLMFAAAAIBAJ&amp;pg=5232,1749134&amp;hl=en","44")</f>
        <v>44</v>
      </c>
      <c r="G49" s="14">
        <v>0</v>
      </c>
      <c r="H49" s="14"/>
      <c r="I49" s="14">
        <v>0</v>
      </c>
      <c r="J49" s="14" t="s">
        <v>100</v>
      </c>
      <c r="K49" s="14"/>
      <c r="L49" s="85"/>
      <c r="M49" s="85"/>
      <c r="N49" s="85"/>
      <c r="O49" s="85"/>
      <c r="P49" s="85"/>
      <c r="Q49" s="85"/>
      <c r="R49" s="85"/>
      <c r="S49" s="85"/>
      <c r="T49" s="85"/>
      <c r="U49" s="85"/>
      <c r="V49" s="85"/>
      <c r="W49" s="85"/>
      <c r="X49" s="85"/>
      <c r="Y49" s="85"/>
      <c r="Z49" s="85"/>
    </row>
    <row r="50" spans="1:26" ht="15.75" customHeight="1">
      <c r="A50" s="199">
        <v>8</v>
      </c>
      <c r="B50" s="199" t="s">
        <v>131</v>
      </c>
      <c r="C50" s="199" t="s">
        <v>132</v>
      </c>
      <c r="D50" s="200">
        <v>26471</v>
      </c>
      <c r="E50" s="14" t="s">
        <v>1204</v>
      </c>
      <c r="F50" s="184" t="str">
        <f>HYPERLINK("https://www.nytimes.com/1972/06/23/archives/anger-with-employment-agency-is-cited-as-gunmans-motivation-for.html","38")</f>
        <v>38</v>
      </c>
      <c r="G50" s="14">
        <v>0</v>
      </c>
      <c r="H50" s="14"/>
      <c r="I50" s="14">
        <v>0</v>
      </c>
      <c r="J50" s="14" t="s">
        <v>100</v>
      </c>
      <c r="K50" s="14"/>
      <c r="L50" s="85"/>
      <c r="M50" s="85"/>
      <c r="N50" s="85"/>
      <c r="O50" s="85"/>
      <c r="P50" s="85"/>
      <c r="Q50" s="85"/>
      <c r="R50" s="85"/>
      <c r="S50" s="85"/>
      <c r="T50" s="85"/>
      <c r="U50" s="85"/>
      <c r="V50" s="85"/>
      <c r="W50" s="85"/>
      <c r="X50" s="85"/>
      <c r="Y50" s="85"/>
      <c r="Z50" s="85"/>
    </row>
    <row r="51" spans="1:26" ht="15.75" customHeight="1">
      <c r="A51" s="199">
        <v>8</v>
      </c>
      <c r="B51" s="199" t="s">
        <v>131</v>
      </c>
      <c r="C51" s="199" t="s">
        <v>132</v>
      </c>
      <c r="D51" s="200">
        <v>26471</v>
      </c>
      <c r="E51" s="14" t="s">
        <v>1205</v>
      </c>
      <c r="F51" s="184" t="str">
        <f>HYPERLINK("https://www.newspapers.com/clip/37714130/obituary-for-charles-r-merkel-aged-38/","38")</f>
        <v>38</v>
      </c>
      <c r="G51" s="14">
        <v>0</v>
      </c>
      <c r="H51" s="14"/>
      <c r="I51" s="14">
        <v>0</v>
      </c>
      <c r="J51" s="14" t="s">
        <v>100</v>
      </c>
      <c r="K51" s="14"/>
      <c r="L51" s="85"/>
      <c r="M51" s="85"/>
      <c r="N51" s="85"/>
      <c r="O51" s="85"/>
      <c r="P51" s="85"/>
      <c r="Q51" s="85"/>
      <c r="R51" s="85"/>
      <c r="S51" s="85"/>
      <c r="T51" s="85"/>
      <c r="U51" s="85"/>
      <c r="V51" s="85"/>
      <c r="W51" s="85"/>
      <c r="X51" s="85"/>
      <c r="Y51" s="85"/>
      <c r="Z51" s="85"/>
    </row>
    <row r="52" spans="1:26" ht="15.75" customHeight="1">
      <c r="A52" s="199">
        <v>8</v>
      </c>
      <c r="B52" s="199" t="s">
        <v>131</v>
      </c>
      <c r="C52" s="199" t="s">
        <v>132</v>
      </c>
      <c r="D52" s="200">
        <v>26471</v>
      </c>
      <c r="E52" s="14" t="s">
        <v>1206</v>
      </c>
      <c r="F52" s="184" t="str">
        <f>HYPERLINK("https://news.google.com/newspapers?nid=2002&amp;dat=19720622&amp;id=CbAiAAAAIBAJ&amp;sjid=FLMFAAAAIBAJ&amp;pg=5232,1749134&amp;hl=en","42")</f>
        <v>42</v>
      </c>
      <c r="G52" s="14">
        <v>0</v>
      </c>
      <c r="H52" s="14"/>
      <c r="I52" s="14">
        <v>0</v>
      </c>
      <c r="J52" s="14" t="s">
        <v>100</v>
      </c>
      <c r="K52" s="14"/>
      <c r="L52" s="85"/>
      <c r="M52" s="85"/>
      <c r="N52" s="85"/>
      <c r="O52" s="85"/>
      <c r="P52" s="85"/>
      <c r="Q52" s="85"/>
      <c r="R52" s="85"/>
      <c r="S52" s="85"/>
      <c r="T52" s="85"/>
      <c r="U52" s="85"/>
      <c r="V52" s="85"/>
      <c r="W52" s="85"/>
      <c r="X52" s="85"/>
      <c r="Y52" s="85"/>
      <c r="Z52" s="85"/>
    </row>
    <row r="53" spans="1:26" ht="15.75" customHeight="1">
      <c r="A53" s="201">
        <v>9</v>
      </c>
      <c r="B53" s="201" t="s">
        <v>135</v>
      </c>
      <c r="C53" s="201" t="s">
        <v>136</v>
      </c>
      <c r="D53" s="202">
        <v>26671</v>
      </c>
      <c r="E53" s="14" t="s">
        <v>1207</v>
      </c>
      <c r="F53" s="184" t="str">
        <f>HYPERLINK("https://www.nytimes.com/1973/01/15/archives/article-1-no-title-details-of-new-orleans-sh.html","62")</f>
        <v>62</v>
      </c>
      <c r="G53" s="14">
        <v>0</v>
      </c>
      <c r="H53" s="184" t="str">
        <f t="shared" ref="H53:H58" si="3">HYPERLINK("http://www.crimemagazine.com/sniper-mark-essex","0")</f>
        <v>0</v>
      </c>
      <c r="I53" s="14">
        <v>0</v>
      </c>
      <c r="J53" s="14" t="s">
        <v>100</v>
      </c>
      <c r="K53" s="14"/>
      <c r="L53" s="85"/>
      <c r="M53" s="85"/>
      <c r="N53" s="85"/>
      <c r="O53" s="85"/>
      <c r="P53" s="85"/>
      <c r="Q53" s="85"/>
      <c r="R53" s="85"/>
      <c r="S53" s="85"/>
      <c r="T53" s="85"/>
      <c r="U53" s="85"/>
      <c r="V53" s="85"/>
      <c r="W53" s="85"/>
      <c r="X53" s="85"/>
      <c r="Y53" s="85"/>
      <c r="Z53" s="85"/>
    </row>
    <row r="54" spans="1:26" ht="15.75" customHeight="1">
      <c r="A54" s="201">
        <v>9</v>
      </c>
      <c r="B54" s="201" t="s">
        <v>135</v>
      </c>
      <c r="C54" s="201" t="s">
        <v>136</v>
      </c>
      <c r="D54" s="202">
        <v>26671</v>
      </c>
      <c r="E54" s="14" t="s">
        <v>1208</v>
      </c>
      <c r="F54" s="184">
        <v>46</v>
      </c>
      <c r="G54" s="14">
        <v>0</v>
      </c>
      <c r="H54" s="184" t="str">
        <f t="shared" si="3"/>
        <v>0</v>
      </c>
      <c r="I54" s="14">
        <v>0</v>
      </c>
      <c r="J54" s="14" t="s">
        <v>100</v>
      </c>
      <c r="K54" s="14"/>
      <c r="L54" s="85"/>
      <c r="M54" s="85"/>
      <c r="N54" s="85"/>
      <c r="O54" s="85"/>
      <c r="P54" s="85"/>
      <c r="Q54" s="85"/>
      <c r="R54" s="85"/>
      <c r="S54" s="85"/>
      <c r="T54" s="85"/>
      <c r="U54" s="85"/>
      <c r="V54" s="85"/>
      <c r="W54" s="85"/>
      <c r="X54" s="85"/>
      <c r="Y54" s="85"/>
      <c r="Z54" s="85"/>
    </row>
    <row r="55" spans="1:26" ht="15.75" customHeight="1">
      <c r="A55" s="201">
        <v>9</v>
      </c>
      <c r="B55" s="201" t="s">
        <v>135</v>
      </c>
      <c r="C55" s="201" t="s">
        <v>136</v>
      </c>
      <c r="D55" s="202">
        <v>26671</v>
      </c>
      <c r="E55" s="14" t="s">
        <v>1209</v>
      </c>
      <c r="F55" s="14"/>
      <c r="G55" s="14">
        <v>0</v>
      </c>
      <c r="H55" s="184" t="str">
        <f t="shared" si="3"/>
        <v>0</v>
      </c>
      <c r="I55" s="184" t="str">
        <f t="shared" ref="I55:I56" si="4">HYPERLINK("https://www.odmp.org/officer/12294-deputy-superintendent-louis-joseph-sirgo","0")</f>
        <v>0</v>
      </c>
      <c r="J55" s="14" t="s">
        <v>100</v>
      </c>
      <c r="K55" s="14"/>
      <c r="L55" s="85"/>
      <c r="M55" s="85"/>
      <c r="N55" s="85"/>
      <c r="O55" s="85"/>
      <c r="P55" s="85"/>
      <c r="Q55" s="85"/>
      <c r="R55" s="85"/>
      <c r="S55" s="85"/>
      <c r="T55" s="85"/>
      <c r="U55" s="85"/>
      <c r="V55" s="85"/>
      <c r="W55" s="85"/>
      <c r="X55" s="85"/>
      <c r="Y55" s="85"/>
      <c r="Z55" s="85"/>
    </row>
    <row r="56" spans="1:26" ht="15.75" customHeight="1">
      <c r="A56" s="201">
        <v>9</v>
      </c>
      <c r="B56" s="201" t="s">
        <v>135</v>
      </c>
      <c r="C56" s="201" t="s">
        <v>136</v>
      </c>
      <c r="D56" s="202">
        <v>26671</v>
      </c>
      <c r="E56" s="14" t="s">
        <v>1210</v>
      </c>
      <c r="F56" s="14"/>
      <c r="G56" s="14">
        <v>0</v>
      </c>
      <c r="H56" s="184" t="str">
        <f t="shared" si="3"/>
        <v>0</v>
      </c>
      <c r="I56" s="184" t="str">
        <f t="shared" si="4"/>
        <v>0</v>
      </c>
      <c r="J56" s="14" t="s">
        <v>100</v>
      </c>
      <c r="K56" s="14"/>
      <c r="L56" s="85"/>
      <c r="M56" s="85"/>
      <c r="N56" s="85"/>
      <c r="O56" s="85"/>
      <c r="P56" s="85"/>
      <c r="Q56" s="85"/>
      <c r="R56" s="85"/>
      <c r="S56" s="85"/>
      <c r="T56" s="85"/>
      <c r="U56" s="85"/>
      <c r="V56" s="85"/>
      <c r="W56" s="85"/>
      <c r="X56" s="85"/>
      <c r="Y56" s="85"/>
      <c r="Z56" s="85"/>
    </row>
    <row r="57" spans="1:26" ht="15.75" customHeight="1">
      <c r="A57" s="201">
        <v>9</v>
      </c>
      <c r="B57" s="201" t="s">
        <v>135</v>
      </c>
      <c r="C57" s="201" t="s">
        <v>136</v>
      </c>
      <c r="D57" s="202">
        <v>26671</v>
      </c>
      <c r="E57" s="14" t="s">
        <v>1211</v>
      </c>
      <c r="F57" s="184" t="str">
        <f>HYPERLINK("https://www.nytimes.com/1973/01/09/archives/doctor-on-vacation-was-slain-with-wife.html","28")</f>
        <v>28</v>
      </c>
      <c r="G57" s="14">
        <v>0</v>
      </c>
      <c r="H57" s="184" t="str">
        <f t="shared" si="3"/>
        <v>0</v>
      </c>
      <c r="I57" s="14">
        <v>0</v>
      </c>
      <c r="J57" s="14" t="s">
        <v>100</v>
      </c>
      <c r="K57" s="14"/>
      <c r="L57" s="85"/>
      <c r="M57" s="85"/>
      <c r="N57" s="85"/>
      <c r="O57" s="85"/>
      <c r="P57" s="85"/>
      <c r="Q57" s="85"/>
      <c r="R57" s="85"/>
      <c r="S57" s="85"/>
      <c r="T57" s="85"/>
      <c r="U57" s="85"/>
      <c r="V57" s="85"/>
      <c r="W57" s="85"/>
      <c r="X57" s="85"/>
      <c r="Y57" s="85"/>
      <c r="Z57" s="85"/>
    </row>
    <row r="58" spans="1:26" ht="15.75" customHeight="1">
      <c r="A58" s="201">
        <v>9</v>
      </c>
      <c r="B58" s="201" t="s">
        <v>135</v>
      </c>
      <c r="C58" s="201" t="s">
        <v>136</v>
      </c>
      <c r="D58" s="202">
        <v>26671</v>
      </c>
      <c r="E58" s="184" t="str">
        <f>HYPERLINK("https://www.findagrave.com/memorial/66354867/elizabeth-newton-steagall","Elizabeth ""Betty"" Newton Day Steagall")</f>
        <v>Elizabeth "Betty" Newton Day Steagall</v>
      </c>
      <c r="F58" s="184" t="str">
        <f>HYPERLINK("https://www.nytimes.com/1973/01/09/archives/doctor-on-vacation-was-slain-with-wife.html","25")</f>
        <v>25</v>
      </c>
      <c r="G58" s="14">
        <v>1</v>
      </c>
      <c r="H58" s="184" t="str">
        <f t="shared" si="3"/>
        <v>0</v>
      </c>
      <c r="I58" s="14">
        <v>0</v>
      </c>
      <c r="J58" s="14" t="s">
        <v>100</v>
      </c>
      <c r="K58" s="14"/>
      <c r="L58" s="85"/>
      <c r="M58" s="85"/>
      <c r="N58" s="85"/>
      <c r="O58" s="85"/>
      <c r="P58" s="85"/>
      <c r="Q58" s="85"/>
      <c r="R58" s="85"/>
      <c r="S58" s="85"/>
      <c r="T58" s="85"/>
      <c r="U58" s="85"/>
      <c r="V58" s="85"/>
      <c r="W58" s="85"/>
      <c r="X58" s="85"/>
      <c r="Y58" s="85"/>
      <c r="Z58" s="85"/>
    </row>
    <row r="59" spans="1:26" ht="15.75" customHeight="1">
      <c r="A59" s="201">
        <v>9</v>
      </c>
      <c r="B59" s="201" t="s">
        <v>135</v>
      </c>
      <c r="C59" s="201" t="s">
        <v>136</v>
      </c>
      <c r="D59" s="202">
        <v>26671</v>
      </c>
      <c r="E59" s="14" t="s">
        <v>1212</v>
      </c>
      <c r="F59" s="184" t="str">
        <f>HYPERLINK("https://www.findagrave.com/memorial/22898135/louis-joseph-sirgo","48")</f>
        <v>48</v>
      </c>
      <c r="G59" s="14">
        <v>0</v>
      </c>
      <c r="H59" s="184" t="str">
        <f>HYPERLINK("https://www.odmp.org/officer/12294-deputy-superintendent-louis-joseph-sirgo","0")</f>
        <v>0</v>
      </c>
      <c r="I59" s="14">
        <v>0</v>
      </c>
      <c r="J59" s="14" t="s">
        <v>100</v>
      </c>
      <c r="K59" s="14"/>
      <c r="L59" s="85"/>
      <c r="M59" s="85"/>
      <c r="N59" s="85"/>
      <c r="O59" s="85"/>
      <c r="P59" s="85"/>
      <c r="Q59" s="85"/>
      <c r="R59" s="85"/>
      <c r="S59" s="85"/>
      <c r="T59" s="85"/>
      <c r="U59" s="85"/>
      <c r="V59" s="85"/>
      <c r="W59" s="85"/>
      <c r="X59" s="85"/>
      <c r="Y59" s="85"/>
      <c r="Z59" s="85"/>
    </row>
    <row r="60" spans="1:26" ht="15.75" customHeight="1">
      <c r="A60" s="191">
        <v>10</v>
      </c>
      <c r="B60" s="191" t="s">
        <v>140</v>
      </c>
      <c r="C60" s="191" t="s">
        <v>102</v>
      </c>
      <c r="D60" s="192">
        <v>27455</v>
      </c>
      <c r="E60" s="14" t="s">
        <v>1213</v>
      </c>
      <c r="F60" s="184" t="str">
        <f>HYPERLINK("https://cdnc.ucr.edu/cgi-bin/cdnc?a=d&amp;d=DS19750303.2.21&amp;e=-------en--20--1--txt-txIN--------1","42")</f>
        <v>42</v>
      </c>
      <c r="G60" s="14">
        <v>0</v>
      </c>
      <c r="H60" s="14"/>
      <c r="I60" s="14">
        <v>0</v>
      </c>
      <c r="J60" s="14" t="s">
        <v>100</v>
      </c>
      <c r="K60" s="14"/>
      <c r="L60" s="85"/>
      <c r="M60" s="85"/>
      <c r="N60" s="85"/>
      <c r="O60" s="85"/>
      <c r="P60" s="85"/>
      <c r="Q60" s="85"/>
      <c r="R60" s="85"/>
      <c r="S60" s="85"/>
      <c r="T60" s="85"/>
      <c r="U60" s="85"/>
      <c r="V60" s="85"/>
      <c r="W60" s="85"/>
      <c r="X60" s="85"/>
      <c r="Y60" s="85"/>
      <c r="Z60" s="85"/>
    </row>
    <row r="61" spans="1:26" ht="15.75" customHeight="1">
      <c r="A61" s="191">
        <v>10</v>
      </c>
      <c r="B61" s="191" t="s">
        <v>140</v>
      </c>
      <c r="C61" s="191" t="s">
        <v>102</v>
      </c>
      <c r="D61" s="192">
        <v>27455</v>
      </c>
      <c r="E61" s="14" t="s">
        <v>1214</v>
      </c>
      <c r="F61" s="184" t="str">
        <f>HYPERLINK("https://cdnc.ucr.edu/cgi-bin/cdnc?a=d&amp;d=DS19750303.2.21&amp;e=-------en--20--1--txt-txIN--------1","31")</f>
        <v>31</v>
      </c>
      <c r="G61" s="14">
        <v>1</v>
      </c>
      <c r="H61" s="14"/>
      <c r="I61" s="14">
        <v>0</v>
      </c>
      <c r="J61" s="14" t="s">
        <v>100</v>
      </c>
      <c r="K61" s="14"/>
      <c r="L61" s="85"/>
      <c r="M61" s="85"/>
      <c r="N61" s="85"/>
      <c r="O61" s="85"/>
      <c r="P61" s="85"/>
      <c r="Q61" s="85"/>
      <c r="R61" s="85"/>
      <c r="S61" s="85"/>
      <c r="T61" s="85"/>
      <c r="U61" s="85"/>
      <c r="V61" s="85"/>
      <c r="W61" s="85"/>
      <c r="X61" s="85"/>
      <c r="Y61" s="85"/>
      <c r="Z61" s="85"/>
    </row>
    <row r="62" spans="1:26" ht="15.75" customHeight="1">
      <c r="A62" s="191">
        <v>10</v>
      </c>
      <c r="B62" s="191" t="s">
        <v>140</v>
      </c>
      <c r="C62" s="191" t="s">
        <v>102</v>
      </c>
      <c r="D62" s="192">
        <v>27455</v>
      </c>
      <c r="E62" s="14" t="s">
        <v>1215</v>
      </c>
      <c r="F62" s="184" t="str">
        <f>HYPERLINK("https://cdnc.ucr.edu/cgi-bin/cdnc?a=d&amp;d=DS19750303.2.21&amp;e=-------en--20--1--txt-txIN--------1","22")</f>
        <v>22</v>
      </c>
      <c r="G62" s="14">
        <v>1</v>
      </c>
      <c r="H62" s="14"/>
      <c r="I62" s="14">
        <v>0</v>
      </c>
      <c r="J62" s="14" t="s">
        <v>100</v>
      </c>
      <c r="K62" s="14"/>
      <c r="L62" s="85"/>
      <c r="M62" s="85"/>
      <c r="N62" s="85"/>
      <c r="O62" s="85"/>
      <c r="P62" s="85"/>
      <c r="Q62" s="85"/>
      <c r="R62" s="85"/>
      <c r="S62" s="85"/>
      <c r="T62" s="85"/>
      <c r="U62" s="85"/>
      <c r="V62" s="85"/>
      <c r="W62" s="85"/>
      <c r="X62" s="85"/>
      <c r="Y62" s="85"/>
      <c r="Z62" s="85"/>
    </row>
    <row r="63" spans="1:26" ht="15.75" customHeight="1">
      <c r="A63" s="191">
        <v>10</v>
      </c>
      <c r="B63" s="191" t="s">
        <v>140</v>
      </c>
      <c r="C63" s="191" t="s">
        <v>102</v>
      </c>
      <c r="D63" s="192">
        <v>27455</v>
      </c>
      <c r="E63" s="14" t="s">
        <v>1216</v>
      </c>
      <c r="F63" s="184" t="str">
        <f>HYPERLINK("https://www.nytimes.com/1975/03/04/archives/fifth-victim-dies-in-coast-shooting.html","69")</f>
        <v>69</v>
      </c>
      <c r="G63" s="14">
        <v>0</v>
      </c>
      <c r="H63" s="14"/>
      <c r="I63" s="14">
        <v>0</v>
      </c>
      <c r="J63" s="14" t="s">
        <v>100</v>
      </c>
      <c r="K63" s="14"/>
      <c r="L63" s="85"/>
      <c r="M63" s="85"/>
      <c r="N63" s="85"/>
      <c r="O63" s="85"/>
      <c r="P63" s="85"/>
      <c r="Q63" s="85"/>
      <c r="R63" s="85"/>
      <c r="S63" s="85"/>
      <c r="T63" s="85"/>
      <c r="U63" s="85"/>
      <c r="V63" s="85"/>
      <c r="W63" s="85"/>
      <c r="X63" s="85"/>
      <c r="Y63" s="85"/>
      <c r="Z63" s="85"/>
    </row>
    <row r="64" spans="1:26" ht="15.75" customHeight="1">
      <c r="A64" s="191">
        <v>10</v>
      </c>
      <c r="B64" s="191" t="s">
        <v>140</v>
      </c>
      <c r="C64" s="191" t="s">
        <v>102</v>
      </c>
      <c r="D64" s="192">
        <v>27455</v>
      </c>
      <c r="E64" s="14" t="s">
        <v>1217</v>
      </c>
      <c r="F64" s="184" t="str">
        <f>HYPERLINK("https://newspaperarchive.com/press-telegram-mar-03-1975-p-1/","58")</f>
        <v>58</v>
      </c>
      <c r="G64" s="14">
        <v>1</v>
      </c>
      <c r="H64" s="14"/>
      <c r="I64" s="14">
        <v>0</v>
      </c>
      <c r="J64" s="14" t="s">
        <v>100</v>
      </c>
      <c r="K64" s="14"/>
      <c r="L64" s="85"/>
      <c r="M64" s="85"/>
      <c r="N64" s="85"/>
      <c r="O64" s="85"/>
      <c r="P64" s="85"/>
      <c r="Q64" s="85"/>
      <c r="R64" s="85"/>
      <c r="S64" s="85"/>
      <c r="T64" s="85"/>
      <c r="U64" s="85"/>
      <c r="V64" s="85"/>
      <c r="W64" s="85"/>
      <c r="X64" s="85"/>
      <c r="Y64" s="85"/>
      <c r="Z64" s="85"/>
    </row>
    <row r="65" spans="1:26" ht="15.75" customHeight="1">
      <c r="A65" s="193">
        <v>11</v>
      </c>
      <c r="B65" s="193" t="s">
        <v>143</v>
      </c>
      <c r="C65" s="193" t="s">
        <v>144</v>
      </c>
      <c r="D65" s="194">
        <v>27953</v>
      </c>
      <c r="E65" s="14" t="s">
        <v>1218</v>
      </c>
      <c r="F65" s="14">
        <v>30</v>
      </c>
      <c r="G65" s="14">
        <v>0</v>
      </c>
      <c r="H65" s="184">
        <v>0</v>
      </c>
      <c r="I65" s="14">
        <v>1</v>
      </c>
      <c r="J65" s="184" t="s">
        <v>1175</v>
      </c>
      <c r="K65" s="14"/>
      <c r="L65" s="85"/>
      <c r="M65" s="85"/>
      <c r="N65" s="85"/>
      <c r="O65" s="85"/>
      <c r="P65" s="85"/>
      <c r="Q65" s="85"/>
      <c r="R65" s="85"/>
      <c r="S65" s="85"/>
      <c r="T65" s="85"/>
      <c r="U65" s="85"/>
      <c r="V65" s="85"/>
      <c r="W65" s="85"/>
      <c r="X65" s="85"/>
      <c r="Y65" s="85"/>
      <c r="Z65" s="85"/>
    </row>
    <row r="66" spans="1:26" ht="15.75" customHeight="1">
      <c r="A66" s="193">
        <v>11</v>
      </c>
      <c r="B66" s="193" t="s">
        <v>143</v>
      </c>
      <c r="C66" s="193" t="s">
        <v>144</v>
      </c>
      <c r="D66" s="194">
        <v>27953</v>
      </c>
      <c r="E66" s="14" t="s">
        <v>1219</v>
      </c>
      <c r="F66" s="14">
        <v>32</v>
      </c>
      <c r="G66" s="14">
        <v>0</v>
      </c>
      <c r="H66" s="184">
        <v>0</v>
      </c>
      <c r="I66" s="14">
        <v>1</v>
      </c>
      <c r="J66" s="184" t="s">
        <v>1175</v>
      </c>
      <c r="K66" s="14"/>
      <c r="L66" s="85"/>
      <c r="M66" s="85"/>
      <c r="N66" s="85"/>
      <c r="O66" s="85"/>
      <c r="P66" s="85"/>
      <c r="Q66" s="85"/>
      <c r="R66" s="85"/>
      <c r="S66" s="85"/>
      <c r="T66" s="85"/>
      <c r="U66" s="85"/>
      <c r="V66" s="85"/>
      <c r="W66" s="85"/>
      <c r="X66" s="85"/>
      <c r="Y66" s="85"/>
      <c r="Z66" s="85"/>
    </row>
    <row r="67" spans="1:26" ht="15.75" customHeight="1">
      <c r="A67" s="193">
        <v>11</v>
      </c>
      <c r="B67" s="193" t="s">
        <v>143</v>
      </c>
      <c r="C67" s="193" t="s">
        <v>144</v>
      </c>
      <c r="D67" s="194">
        <v>27953</v>
      </c>
      <c r="E67" s="14" t="s">
        <v>1220</v>
      </c>
      <c r="F67" s="14">
        <v>72</v>
      </c>
      <c r="G67" s="14">
        <v>0</v>
      </c>
      <c r="H67" s="184">
        <v>0</v>
      </c>
      <c r="I67" s="14">
        <v>1</v>
      </c>
      <c r="J67" s="184" t="s">
        <v>1175</v>
      </c>
      <c r="K67" s="14"/>
      <c r="L67" s="85"/>
      <c r="M67" s="85"/>
      <c r="N67" s="85"/>
      <c r="O67" s="85"/>
      <c r="P67" s="85"/>
      <c r="Q67" s="85"/>
      <c r="R67" s="85"/>
      <c r="S67" s="85"/>
      <c r="T67" s="85"/>
      <c r="U67" s="85"/>
      <c r="V67" s="85"/>
      <c r="W67" s="85"/>
      <c r="X67" s="85"/>
      <c r="Y67" s="85"/>
      <c r="Z67" s="85"/>
    </row>
    <row r="68" spans="1:26" ht="15.75" customHeight="1">
      <c r="A68" s="193">
        <v>11</v>
      </c>
      <c r="B68" s="193" t="s">
        <v>143</v>
      </c>
      <c r="C68" s="193" t="s">
        <v>144</v>
      </c>
      <c r="D68" s="194">
        <v>27953</v>
      </c>
      <c r="E68" s="14" t="s">
        <v>1221</v>
      </c>
      <c r="F68" s="14">
        <v>51</v>
      </c>
      <c r="G68" s="14">
        <v>0</v>
      </c>
      <c r="H68" s="184">
        <v>0</v>
      </c>
      <c r="I68" s="14">
        <v>1</v>
      </c>
      <c r="J68" s="184" t="s">
        <v>1175</v>
      </c>
      <c r="K68" s="14"/>
      <c r="L68" s="85"/>
      <c r="M68" s="85"/>
      <c r="N68" s="85"/>
      <c r="O68" s="85"/>
      <c r="P68" s="85"/>
      <c r="Q68" s="85"/>
      <c r="R68" s="85"/>
      <c r="S68" s="85"/>
      <c r="T68" s="85"/>
      <c r="U68" s="85"/>
      <c r="V68" s="85"/>
      <c r="W68" s="85"/>
      <c r="X68" s="85"/>
      <c r="Y68" s="85"/>
      <c r="Z68" s="85"/>
    </row>
    <row r="69" spans="1:26" ht="15.75" customHeight="1">
      <c r="A69" s="193">
        <v>11</v>
      </c>
      <c r="B69" s="193" t="s">
        <v>143</v>
      </c>
      <c r="C69" s="193" t="s">
        <v>144</v>
      </c>
      <c r="D69" s="194">
        <v>27953</v>
      </c>
      <c r="E69" s="14" t="s">
        <v>1222</v>
      </c>
      <c r="F69" s="14">
        <v>41</v>
      </c>
      <c r="G69" s="14">
        <v>0</v>
      </c>
      <c r="H69" s="184">
        <v>0</v>
      </c>
      <c r="I69" s="14">
        <v>1</v>
      </c>
      <c r="J69" s="184" t="s">
        <v>1175</v>
      </c>
      <c r="K69" s="14"/>
      <c r="L69" s="85"/>
      <c r="M69" s="85"/>
      <c r="N69" s="85"/>
      <c r="O69" s="85"/>
      <c r="P69" s="85"/>
      <c r="Q69" s="85"/>
      <c r="R69" s="85"/>
      <c r="S69" s="85"/>
      <c r="T69" s="85"/>
      <c r="U69" s="85"/>
      <c r="V69" s="85"/>
      <c r="W69" s="85"/>
      <c r="X69" s="85"/>
      <c r="Y69" s="85"/>
      <c r="Z69" s="85"/>
    </row>
    <row r="70" spans="1:26" ht="15.75" customHeight="1">
      <c r="A70" s="193">
        <v>11</v>
      </c>
      <c r="B70" s="193" t="s">
        <v>143</v>
      </c>
      <c r="C70" s="193" t="s">
        <v>144</v>
      </c>
      <c r="D70" s="194">
        <v>27953</v>
      </c>
      <c r="E70" s="14" t="s">
        <v>1223</v>
      </c>
      <c r="F70" s="14">
        <v>25</v>
      </c>
      <c r="G70" s="14">
        <v>1</v>
      </c>
      <c r="H70" s="184">
        <v>0</v>
      </c>
      <c r="I70" s="14">
        <v>1</v>
      </c>
      <c r="J70" s="184" t="s">
        <v>1175</v>
      </c>
      <c r="K70" s="14"/>
      <c r="L70" s="85"/>
      <c r="M70" s="85"/>
      <c r="N70" s="85"/>
      <c r="O70" s="85"/>
      <c r="P70" s="85"/>
      <c r="Q70" s="85"/>
      <c r="R70" s="85"/>
      <c r="S70" s="85"/>
      <c r="T70" s="85"/>
      <c r="U70" s="85"/>
      <c r="V70" s="85"/>
      <c r="W70" s="85"/>
      <c r="X70" s="85"/>
      <c r="Y70" s="85"/>
      <c r="Z70" s="85"/>
    </row>
    <row r="71" spans="1:26" ht="15.75" customHeight="1">
      <c r="A71" s="193">
        <v>11</v>
      </c>
      <c r="B71" s="193" t="s">
        <v>143</v>
      </c>
      <c r="C71" s="193" t="s">
        <v>144</v>
      </c>
      <c r="D71" s="194">
        <v>27953</v>
      </c>
      <c r="E71" s="14" t="s">
        <v>1224</v>
      </c>
      <c r="F71" s="14">
        <v>32</v>
      </c>
      <c r="G71" s="14">
        <v>0</v>
      </c>
      <c r="H71" s="184">
        <v>0</v>
      </c>
      <c r="I71" s="14">
        <v>1</v>
      </c>
      <c r="J71" s="184" t="s">
        <v>1175</v>
      </c>
      <c r="K71" s="14"/>
      <c r="L71" s="85"/>
      <c r="M71" s="85"/>
      <c r="N71" s="85"/>
      <c r="O71" s="85"/>
      <c r="P71" s="85"/>
      <c r="Q71" s="85"/>
      <c r="R71" s="85"/>
      <c r="S71" s="85"/>
      <c r="T71" s="85"/>
      <c r="U71" s="85"/>
      <c r="V71" s="85"/>
      <c r="W71" s="85"/>
      <c r="X71" s="85"/>
      <c r="Y71" s="85"/>
      <c r="Z71" s="85"/>
    </row>
    <row r="72" spans="1:26" ht="15.75" customHeight="1">
      <c r="A72" s="195">
        <v>12</v>
      </c>
      <c r="B72" s="195" t="s">
        <v>147</v>
      </c>
      <c r="C72" s="195" t="s">
        <v>148</v>
      </c>
      <c r="D72" s="196">
        <v>28170</v>
      </c>
      <c r="E72" s="14" t="s">
        <v>1225</v>
      </c>
      <c r="F72" s="14">
        <v>60</v>
      </c>
      <c r="G72" s="14">
        <v>0</v>
      </c>
      <c r="H72" s="184" t="str">
        <f t="shared" ref="H72:H74" si="5">HYPERLINK("https://www.nytimes.com/1977/02/15/archives/nazi-admirer-also-wounds-5-in-wild-attack-followed-by-a-siege-at.html","1")</f>
        <v>1</v>
      </c>
      <c r="I72" s="14">
        <v>1</v>
      </c>
      <c r="J72" s="14" t="s">
        <v>1175</v>
      </c>
      <c r="K72" s="14"/>
      <c r="L72" s="85"/>
      <c r="M72" s="85"/>
      <c r="N72" s="85"/>
      <c r="O72" s="85"/>
      <c r="P72" s="85"/>
      <c r="Q72" s="85"/>
      <c r="R72" s="85"/>
      <c r="S72" s="85"/>
      <c r="T72" s="85"/>
      <c r="U72" s="85"/>
      <c r="V72" s="85"/>
      <c r="W72" s="85"/>
      <c r="X72" s="85"/>
      <c r="Y72" s="85"/>
      <c r="Z72" s="85"/>
    </row>
    <row r="73" spans="1:26" ht="15.75" customHeight="1">
      <c r="A73" s="195">
        <v>12</v>
      </c>
      <c r="B73" s="195" t="s">
        <v>147</v>
      </c>
      <c r="C73" s="195" t="s">
        <v>148</v>
      </c>
      <c r="D73" s="196">
        <v>28170</v>
      </c>
      <c r="E73" s="14" t="s">
        <v>1226</v>
      </c>
      <c r="F73" s="14">
        <v>55</v>
      </c>
      <c r="G73" s="14">
        <v>0</v>
      </c>
      <c r="H73" s="184" t="str">
        <f t="shared" si="5"/>
        <v>1</v>
      </c>
      <c r="I73" s="14">
        <v>1</v>
      </c>
      <c r="J73" s="14" t="s">
        <v>1175</v>
      </c>
      <c r="K73" s="14"/>
      <c r="L73" s="85"/>
      <c r="M73" s="85"/>
      <c r="N73" s="85"/>
      <c r="O73" s="85"/>
      <c r="P73" s="85"/>
      <c r="Q73" s="85"/>
      <c r="R73" s="85"/>
      <c r="S73" s="85"/>
      <c r="T73" s="85"/>
      <c r="U73" s="85"/>
      <c r="V73" s="85"/>
      <c r="W73" s="85"/>
      <c r="X73" s="85"/>
      <c r="Y73" s="85"/>
      <c r="Z73" s="85"/>
    </row>
    <row r="74" spans="1:26" ht="15.75" customHeight="1">
      <c r="A74" s="195">
        <v>12</v>
      </c>
      <c r="B74" s="195" t="s">
        <v>147</v>
      </c>
      <c r="C74" s="195" t="s">
        <v>148</v>
      </c>
      <c r="D74" s="196">
        <v>28170</v>
      </c>
      <c r="E74" s="14" t="s">
        <v>1227</v>
      </c>
      <c r="F74" s="14">
        <v>45</v>
      </c>
      <c r="G74" s="14">
        <v>0</v>
      </c>
      <c r="H74" s="184" t="str">
        <f t="shared" si="5"/>
        <v>1</v>
      </c>
      <c r="I74" s="14">
        <v>1</v>
      </c>
      <c r="J74" s="14" t="s">
        <v>1175</v>
      </c>
      <c r="K74" s="14"/>
      <c r="L74" s="85"/>
      <c r="M74" s="85"/>
      <c r="N74" s="85"/>
      <c r="O74" s="85"/>
      <c r="P74" s="85"/>
      <c r="Q74" s="85"/>
      <c r="R74" s="85"/>
      <c r="S74" s="85"/>
      <c r="T74" s="85"/>
      <c r="U74" s="85"/>
      <c r="V74" s="85"/>
      <c r="W74" s="85"/>
      <c r="X74" s="85"/>
      <c r="Y74" s="85"/>
      <c r="Z74" s="85"/>
    </row>
    <row r="75" spans="1:26" ht="15.75" customHeight="1">
      <c r="A75" s="195">
        <v>12</v>
      </c>
      <c r="B75" s="195" t="s">
        <v>147</v>
      </c>
      <c r="C75" s="195" t="s">
        <v>148</v>
      </c>
      <c r="D75" s="196">
        <v>28170</v>
      </c>
      <c r="E75" s="14" t="s">
        <v>1228</v>
      </c>
      <c r="F75" s="14">
        <v>32</v>
      </c>
      <c r="G75" s="14">
        <v>0</v>
      </c>
      <c r="H75" s="184">
        <v>3</v>
      </c>
      <c r="I75" s="14">
        <v>1</v>
      </c>
      <c r="J75" s="14" t="s">
        <v>1175</v>
      </c>
      <c r="K75" s="14"/>
      <c r="L75" s="85"/>
      <c r="M75" s="85"/>
      <c r="N75" s="85"/>
      <c r="O75" s="85"/>
      <c r="P75" s="85"/>
      <c r="Q75" s="85"/>
      <c r="R75" s="85"/>
      <c r="S75" s="85"/>
      <c r="T75" s="85"/>
      <c r="U75" s="85"/>
      <c r="V75" s="85"/>
      <c r="W75" s="85"/>
      <c r="X75" s="85"/>
      <c r="Y75" s="85"/>
      <c r="Z75" s="85"/>
    </row>
    <row r="76" spans="1:26" ht="15.75" customHeight="1">
      <c r="A76" s="195">
        <v>12</v>
      </c>
      <c r="B76" s="195" t="s">
        <v>147</v>
      </c>
      <c r="C76" s="195" t="s">
        <v>148</v>
      </c>
      <c r="D76" s="196">
        <v>28170</v>
      </c>
      <c r="E76" s="14" t="s">
        <v>1229</v>
      </c>
      <c r="F76" s="184" t="str">
        <f>HYPERLINK("https://www.findagrave.com/memorial/7402590/allen-bruce-mcleod","33")</f>
        <v>33</v>
      </c>
      <c r="G76" s="14">
        <v>0</v>
      </c>
      <c r="H76" s="184" t="str">
        <f>HYPERLINK("https://www.findagrave.com/memorial/7402590/allen-bruce-mcleod","0")</f>
        <v>0</v>
      </c>
      <c r="I76" s="14">
        <v>0</v>
      </c>
      <c r="J76" s="14" t="s">
        <v>100</v>
      </c>
      <c r="K76" s="14"/>
      <c r="L76" s="85"/>
      <c r="M76" s="85"/>
      <c r="N76" s="85"/>
      <c r="O76" s="85"/>
      <c r="P76" s="85"/>
      <c r="Q76" s="85"/>
      <c r="R76" s="85"/>
      <c r="S76" s="85"/>
      <c r="T76" s="85"/>
      <c r="U76" s="85"/>
      <c r="V76" s="85"/>
      <c r="W76" s="85"/>
      <c r="X76" s="85"/>
      <c r="Y76" s="85"/>
      <c r="Z76" s="85"/>
    </row>
    <row r="77" spans="1:26" ht="15.75" customHeight="1">
      <c r="A77" s="197">
        <v>13</v>
      </c>
      <c r="B77" s="197" t="s">
        <v>151</v>
      </c>
      <c r="C77" s="197" t="s">
        <v>152</v>
      </c>
      <c r="D77" s="198">
        <v>28329</v>
      </c>
      <c r="E77" s="14" t="s">
        <v>1230</v>
      </c>
      <c r="F77" s="184" t="str">
        <f>HYPERLINK("https://www.findagrave.com/memorial/50500559/gary-lee-anderson","27")</f>
        <v>27</v>
      </c>
      <c r="G77" s="14">
        <v>0</v>
      </c>
      <c r="H77" s="14"/>
      <c r="I77" s="184" t="str">
        <f t="shared" ref="I77:I82" si="6">HYPERLINK("https://www.heraldandnews.com/state-s-worst-mass-murder-in-kf-years-ago/article_47caaa64-e90d-5bd5-ab4e-5427e93598d2.html","0")</f>
        <v>0</v>
      </c>
      <c r="J77" s="14" t="s">
        <v>100</v>
      </c>
      <c r="K77" s="14"/>
      <c r="L77" s="85"/>
      <c r="M77" s="85"/>
      <c r="N77" s="85"/>
      <c r="O77" s="85"/>
      <c r="P77" s="85"/>
      <c r="Q77" s="85"/>
      <c r="R77" s="85"/>
      <c r="S77" s="85"/>
      <c r="T77" s="85"/>
      <c r="U77" s="85"/>
      <c r="V77" s="85"/>
      <c r="W77" s="85"/>
      <c r="X77" s="85"/>
      <c r="Y77" s="85"/>
      <c r="Z77" s="85"/>
    </row>
    <row r="78" spans="1:26" ht="15.75" customHeight="1">
      <c r="A78" s="197">
        <v>13</v>
      </c>
      <c r="B78" s="197" t="s">
        <v>151</v>
      </c>
      <c r="C78" s="197" t="s">
        <v>152</v>
      </c>
      <c r="D78" s="198">
        <v>28329</v>
      </c>
      <c r="E78" s="14" t="s">
        <v>1231</v>
      </c>
      <c r="F78" s="184" t="str">
        <f>HYPERLINK("https://www.oregonlive.com/politics/2015/10/mass_shootings_in_oregon_a_lis.html","23")</f>
        <v>23</v>
      </c>
      <c r="G78" s="14">
        <v>0</v>
      </c>
      <c r="H78" s="14"/>
      <c r="I78" s="184" t="str">
        <f t="shared" si="6"/>
        <v>0</v>
      </c>
      <c r="J78" s="14" t="s">
        <v>100</v>
      </c>
      <c r="K78" s="14"/>
      <c r="L78" s="85"/>
      <c r="M78" s="85"/>
      <c r="N78" s="85"/>
      <c r="O78" s="85"/>
      <c r="P78" s="85"/>
      <c r="Q78" s="85"/>
      <c r="R78" s="85"/>
      <c r="S78" s="85"/>
      <c r="T78" s="85"/>
      <c r="U78" s="85"/>
      <c r="V78" s="85"/>
      <c r="W78" s="85"/>
      <c r="X78" s="85"/>
      <c r="Y78" s="85"/>
      <c r="Z78" s="85"/>
    </row>
    <row r="79" spans="1:26" ht="15.75" customHeight="1">
      <c r="A79" s="197">
        <v>13</v>
      </c>
      <c r="B79" s="197" t="s">
        <v>151</v>
      </c>
      <c r="C79" s="197" t="s">
        <v>152</v>
      </c>
      <c r="D79" s="198">
        <v>28329</v>
      </c>
      <c r="E79" s="14" t="s">
        <v>1232</v>
      </c>
      <c r="F79" s="14">
        <v>26</v>
      </c>
      <c r="G79" s="14">
        <v>0</v>
      </c>
      <c r="H79" s="184" t="str">
        <f>HYPERLINK("https://www.findagrave.com/memorial/10854053/robert-david-seater","0")</f>
        <v>0</v>
      </c>
      <c r="I79" s="184" t="str">
        <f t="shared" si="6"/>
        <v>0</v>
      </c>
      <c r="J79" s="14" t="s">
        <v>100</v>
      </c>
      <c r="K79" s="14"/>
      <c r="L79" s="85"/>
      <c r="M79" s="85"/>
      <c r="N79" s="85"/>
      <c r="O79" s="85"/>
      <c r="P79" s="85"/>
      <c r="Q79" s="85"/>
      <c r="R79" s="85"/>
      <c r="S79" s="85"/>
      <c r="T79" s="85"/>
      <c r="U79" s="85"/>
      <c r="V79" s="85"/>
      <c r="W79" s="85"/>
      <c r="X79" s="85"/>
      <c r="Y79" s="85"/>
      <c r="Z79" s="85"/>
    </row>
    <row r="80" spans="1:26" ht="15.75" customHeight="1">
      <c r="A80" s="197">
        <v>13</v>
      </c>
      <c r="B80" s="197" t="s">
        <v>151</v>
      </c>
      <c r="C80" s="197" t="s">
        <v>152</v>
      </c>
      <c r="D80" s="198">
        <v>28329</v>
      </c>
      <c r="E80" s="14" t="s">
        <v>1233</v>
      </c>
      <c r="F80" s="14">
        <v>23</v>
      </c>
      <c r="G80" s="14">
        <v>1</v>
      </c>
      <c r="H80" s="184" t="str">
        <f>HYPERLINK("https://www.findagrave.com/memorial/10854046/carrol-ann-seater","0")</f>
        <v>0</v>
      </c>
      <c r="I80" s="184" t="str">
        <f t="shared" si="6"/>
        <v>0</v>
      </c>
      <c r="J80" s="14" t="s">
        <v>100</v>
      </c>
      <c r="K80" s="14"/>
      <c r="L80" s="85"/>
      <c r="M80" s="85"/>
      <c r="N80" s="85"/>
      <c r="O80" s="85"/>
      <c r="P80" s="85"/>
      <c r="Q80" s="85"/>
      <c r="R80" s="85"/>
      <c r="S80" s="85"/>
      <c r="T80" s="85"/>
      <c r="U80" s="85"/>
      <c r="V80" s="85"/>
      <c r="W80" s="85"/>
      <c r="X80" s="85"/>
      <c r="Y80" s="85"/>
      <c r="Z80" s="85"/>
    </row>
    <row r="81" spans="1:26" ht="15.75" customHeight="1">
      <c r="A81" s="197">
        <v>13</v>
      </c>
      <c r="B81" s="197" t="s">
        <v>151</v>
      </c>
      <c r="C81" s="197" t="s">
        <v>152</v>
      </c>
      <c r="D81" s="198">
        <v>28329</v>
      </c>
      <c r="E81" s="14" t="s">
        <v>1234</v>
      </c>
      <c r="F81" s="184" t="str">
        <f>HYPERLINK("https://www.findagrave.com/memorial/122002855/james-trueman","25")</f>
        <v>25</v>
      </c>
      <c r="G81" s="14">
        <v>0</v>
      </c>
      <c r="H81" s="14"/>
      <c r="I81" s="184" t="str">
        <f t="shared" si="6"/>
        <v>0</v>
      </c>
      <c r="J81" s="14" t="s">
        <v>100</v>
      </c>
      <c r="K81" s="14"/>
      <c r="L81" s="85"/>
      <c r="M81" s="85"/>
      <c r="N81" s="85"/>
      <c r="O81" s="85"/>
      <c r="P81" s="85"/>
      <c r="Q81" s="85"/>
      <c r="R81" s="85"/>
      <c r="S81" s="85"/>
      <c r="T81" s="85"/>
      <c r="U81" s="85"/>
      <c r="V81" s="85"/>
      <c r="W81" s="85"/>
      <c r="X81" s="85"/>
      <c r="Y81" s="85"/>
      <c r="Z81" s="85"/>
    </row>
    <row r="82" spans="1:26" ht="15.75" customHeight="1">
      <c r="A82" s="197">
        <v>13</v>
      </c>
      <c r="B82" s="197" t="s">
        <v>151</v>
      </c>
      <c r="C82" s="197" t="s">
        <v>152</v>
      </c>
      <c r="D82" s="198">
        <v>28329</v>
      </c>
      <c r="E82" s="14" t="s">
        <v>1235</v>
      </c>
      <c r="F82" s="184" t="str">
        <f>HYPERLINK("https://www.findagrave.com/memorial/14390225/andrew-lane-walker","22")</f>
        <v>22</v>
      </c>
      <c r="G82" s="14">
        <v>0</v>
      </c>
      <c r="H82" s="14"/>
      <c r="I82" s="184" t="str">
        <f t="shared" si="6"/>
        <v>0</v>
      </c>
      <c r="J82" s="14" t="s">
        <v>100</v>
      </c>
      <c r="K82" s="14"/>
      <c r="L82" s="85"/>
      <c r="M82" s="85"/>
      <c r="N82" s="85"/>
      <c r="O82" s="85"/>
      <c r="P82" s="85"/>
      <c r="Q82" s="85"/>
      <c r="R82" s="85"/>
      <c r="S82" s="85"/>
      <c r="T82" s="85"/>
      <c r="U82" s="85"/>
      <c r="V82" s="85"/>
      <c r="W82" s="85"/>
      <c r="X82" s="85"/>
      <c r="Y82" s="85"/>
      <c r="Z82" s="85"/>
    </row>
    <row r="83" spans="1:26" ht="15.75" customHeight="1">
      <c r="A83" s="203">
        <v>14</v>
      </c>
      <c r="B83" s="203" t="s">
        <v>155</v>
      </c>
      <c r="C83" s="203" t="s">
        <v>156</v>
      </c>
      <c r="D83" s="204">
        <v>28363</v>
      </c>
      <c r="E83" s="184" t="str">
        <f>HYPERLINK("https://www.findagrave.com/memorial/19161580/david-j-galvin","David J. Galvin")</f>
        <v>David J. Galvin</v>
      </c>
      <c r="F83" s="184" t="str">
        <f>HYPERLINK("https://www.nytimes.com/1977/08/30/archives/suspect-in-jersey-sniper-killings-had-extensive-psychiatric-record.html","14")</f>
        <v>14</v>
      </c>
      <c r="G83" s="14">
        <v>0</v>
      </c>
      <c r="H83" s="14"/>
      <c r="I83" s="14">
        <v>0</v>
      </c>
      <c r="J83" s="14" t="s">
        <v>100</v>
      </c>
      <c r="K83" s="14"/>
      <c r="L83" s="85"/>
      <c r="M83" s="85"/>
      <c r="N83" s="85"/>
      <c r="O83" s="85"/>
      <c r="P83" s="85"/>
      <c r="Q83" s="85"/>
      <c r="R83" s="85"/>
      <c r="S83" s="85"/>
      <c r="T83" s="85"/>
      <c r="U83" s="85"/>
      <c r="V83" s="85"/>
      <c r="W83" s="85"/>
      <c r="X83" s="85"/>
      <c r="Y83" s="85"/>
      <c r="Z83" s="85"/>
    </row>
    <row r="84" spans="1:26" ht="15.75" customHeight="1">
      <c r="A84" s="203">
        <v>14</v>
      </c>
      <c r="B84" s="203" t="s">
        <v>155</v>
      </c>
      <c r="C84" s="203" t="s">
        <v>156</v>
      </c>
      <c r="D84" s="204">
        <v>28363</v>
      </c>
      <c r="E84" s="14" t="s">
        <v>1236</v>
      </c>
      <c r="F84" s="184" t="str">
        <f>HYPERLINK("https://www.nytimes.com/1977/08/29/archives/quarrels-at-home-cited-as-cause-in-jersey-shootings.html","19")</f>
        <v>19</v>
      </c>
      <c r="G84" s="14">
        <v>0</v>
      </c>
      <c r="H84" s="14"/>
      <c r="I84" s="14">
        <v>0</v>
      </c>
      <c r="J84" s="14" t="s">
        <v>100</v>
      </c>
      <c r="K84" s="14"/>
      <c r="L84" s="85"/>
      <c r="M84" s="85"/>
      <c r="N84" s="85"/>
      <c r="O84" s="85"/>
      <c r="P84" s="85"/>
      <c r="Q84" s="85"/>
      <c r="R84" s="85"/>
      <c r="S84" s="85"/>
      <c r="T84" s="85"/>
      <c r="U84" s="85"/>
      <c r="V84" s="85"/>
      <c r="W84" s="85"/>
      <c r="X84" s="85"/>
      <c r="Y84" s="85"/>
      <c r="Z84" s="85"/>
    </row>
    <row r="85" spans="1:26" ht="15.75" customHeight="1">
      <c r="A85" s="203">
        <v>14</v>
      </c>
      <c r="B85" s="203" t="s">
        <v>155</v>
      </c>
      <c r="C85" s="203" t="s">
        <v>156</v>
      </c>
      <c r="D85" s="204">
        <v>28363</v>
      </c>
      <c r="E85" s="14" t="s">
        <v>1237</v>
      </c>
      <c r="F85" s="14"/>
      <c r="G85" s="14">
        <v>0</v>
      </c>
      <c r="H85" s="14"/>
      <c r="I85" s="14">
        <v>0</v>
      </c>
      <c r="J85" s="14" t="s">
        <v>100</v>
      </c>
      <c r="K85" s="14"/>
      <c r="L85" s="85"/>
      <c r="M85" s="85"/>
      <c r="N85" s="85"/>
      <c r="O85" s="85"/>
      <c r="P85" s="85"/>
      <c r="Q85" s="85"/>
      <c r="R85" s="85"/>
      <c r="S85" s="85"/>
      <c r="T85" s="85"/>
      <c r="U85" s="85"/>
      <c r="V85" s="85"/>
      <c r="W85" s="85"/>
      <c r="X85" s="85"/>
      <c r="Y85" s="85"/>
      <c r="Z85" s="85"/>
    </row>
    <row r="86" spans="1:26" ht="15.75" customHeight="1">
      <c r="A86" s="203">
        <v>14</v>
      </c>
      <c r="B86" s="203" t="s">
        <v>155</v>
      </c>
      <c r="C86" s="203" t="s">
        <v>156</v>
      </c>
      <c r="D86" s="204">
        <v>28363</v>
      </c>
      <c r="E86" s="14" t="s">
        <v>1238</v>
      </c>
      <c r="F86" s="184" t="str">
        <f>HYPERLINK("https://www.findagrave.com/memorial/116330703/clifford-c-sowers","39")</f>
        <v>39</v>
      </c>
      <c r="G86" s="14">
        <v>0</v>
      </c>
      <c r="H86" s="14"/>
      <c r="I86" s="14">
        <v>0</v>
      </c>
      <c r="J86" s="14" t="s">
        <v>100</v>
      </c>
      <c r="K86" s="14"/>
      <c r="L86" s="85"/>
      <c r="M86" s="85"/>
      <c r="N86" s="85"/>
      <c r="O86" s="85"/>
      <c r="P86" s="85"/>
      <c r="Q86" s="85"/>
      <c r="R86" s="85"/>
      <c r="S86" s="85"/>
      <c r="T86" s="85"/>
      <c r="U86" s="85"/>
      <c r="V86" s="85"/>
      <c r="W86" s="85"/>
      <c r="X86" s="85"/>
      <c r="Y86" s="85"/>
      <c r="Z86" s="85"/>
    </row>
    <row r="87" spans="1:26" ht="15.75" customHeight="1">
      <c r="A87" s="203">
        <v>14</v>
      </c>
      <c r="B87" s="203" t="s">
        <v>155</v>
      </c>
      <c r="C87" s="203" t="s">
        <v>156</v>
      </c>
      <c r="D87" s="204">
        <v>28363</v>
      </c>
      <c r="E87" s="14" t="s">
        <v>1239</v>
      </c>
      <c r="F87" s="184" t="str">
        <f>HYPERLINK("https://www.nytimes.com/1977/08/29/archives/quarrels-at-home-cited-as-cause-in-jersey-shootings.html","35")</f>
        <v>35</v>
      </c>
      <c r="G87" s="14">
        <v>0</v>
      </c>
      <c r="H87" s="14"/>
      <c r="I87" s="14">
        <v>0</v>
      </c>
      <c r="J87" s="14" t="s">
        <v>100</v>
      </c>
      <c r="K87" s="14"/>
      <c r="L87" s="85"/>
      <c r="M87" s="85"/>
      <c r="N87" s="85"/>
      <c r="O87" s="85"/>
      <c r="P87" s="85"/>
      <c r="Q87" s="85"/>
      <c r="R87" s="85"/>
      <c r="S87" s="85"/>
      <c r="T87" s="85"/>
      <c r="U87" s="85"/>
      <c r="V87" s="85"/>
      <c r="W87" s="85"/>
      <c r="X87" s="85"/>
      <c r="Y87" s="85"/>
      <c r="Z87" s="85"/>
    </row>
    <row r="88" spans="1:26" ht="15.75" customHeight="1">
      <c r="A88" s="203">
        <v>14</v>
      </c>
      <c r="B88" s="203" t="s">
        <v>155</v>
      </c>
      <c r="C88" s="203" t="s">
        <v>156</v>
      </c>
      <c r="D88" s="204">
        <v>28363</v>
      </c>
      <c r="E88" s="14" t="s">
        <v>1240</v>
      </c>
      <c r="F88" s="184" t="str">
        <f>HYPERLINK("https://www.nytimes.com/1977/08/29/archives/quarrels-at-home-cited-as-cause-in-jersey-shootings.html","20")</f>
        <v>20</v>
      </c>
      <c r="G88" s="14">
        <v>0</v>
      </c>
      <c r="H88" s="14"/>
      <c r="I88" s="14">
        <v>0</v>
      </c>
      <c r="J88" s="14" t="s">
        <v>100</v>
      </c>
      <c r="K88" s="14"/>
      <c r="L88" s="85"/>
      <c r="M88" s="85"/>
      <c r="N88" s="85"/>
      <c r="O88" s="85"/>
      <c r="P88" s="85"/>
      <c r="Q88" s="85"/>
      <c r="R88" s="85"/>
      <c r="S88" s="85"/>
      <c r="T88" s="85"/>
      <c r="U88" s="85"/>
      <c r="V88" s="85"/>
      <c r="W88" s="85"/>
      <c r="X88" s="85"/>
      <c r="Y88" s="85"/>
      <c r="Z88" s="85"/>
    </row>
    <row r="89" spans="1:26" ht="15.75" customHeight="1">
      <c r="A89" s="205">
        <v>15</v>
      </c>
      <c r="B89" s="205" t="s">
        <v>159</v>
      </c>
      <c r="C89" s="205" t="s">
        <v>160</v>
      </c>
      <c r="D89" s="206">
        <v>28658</v>
      </c>
      <c r="E89" s="14" t="s">
        <v>1241</v>
      </c>
      <c r="F89" s="14">
        <v>51</v>
      </c>
      <c r="G89" s="14">
        <v>0</v>
      </c>
      <c r="H89" s="14"/>
      <c r="I89" s="14">
        <v>1</v>
      </c>
      <c r="J89" s="184" t="s">
        <v>1242</v>
      </c>
      <c r="K89" s="14"/>
      <c r="L89" s="85"/>
      <c r="M89" s="85"/>
      <c r="N89" s="85"/>
      <c r="O89" s="85"/>
      <c r="P89" s="85"/>
      <c r="Q89" s="85"/>
      <c r="R89" s="85"/>
      <c r="S89" s="85"/>
      <c r="T89" s="85"/>
      <c r="U89" s="85"/>
      <c r="V89" s="85"/>
      <c r="W89" s="85"/>
      <c r="X89" s="85"/>
      <c r="Y89" s="85"/>
      <c r="Z89" s="85"/>
    </row>
    <row r="90" spans="1:26" ht="15.75" customHeight="1">
      <c r="A90" s="205">
        <v>15</v>
      </c>
      <c r="B90" s="205" t="s">
        <v>159</v>
      </c>
      <c r="C90" s="205" t="s">
        <v>160</v>
      </c>
      <c r="D90" s="206">
        <v>28658</v>
      </c>
      <c r="E90" s="14" t="s">
        <v>1243</v>
      </c>
      <c r="F90" s="14">
        <v>40</v>
      </c>
      <c r="G90" s="14">
        <v>0</v>
      </c>
      <c r="H90" s="14"/>
      <c r="I90" s="14">
        <v>1</v>
      </c>
      <c r="J90" s="184" t="s">
        <v>1175</v>
      </c>
      <c r="K90" s="14"/>
      <c r="L90" s="85"/>
      <c r="M90" s="85"/>
      <c r="N90" s="85"/>
      <c r="O90" s="85"/>
      <c r="P90" s="85"/>
      <c r="Q90" s="85"/>
      <c r="R90" s="85"/>
      <c r="S90" s="85"/>
      <c r="T90" s="85"/>
      <c r="U90" s="85"/>
      <c r="V90" s="85"/>
      <c r="W90" s="85"/>
      <c r="X90" s="85"/>
      <c r="Y90" s="85"/>
      <c r="Z90" s="85"/>
    </row>
    <row r="91" spans="1:26" ht="15.75" customHeight="1">
      <c r="A91" s="205">
        <v>15</v>
      </c>
      <c r="B91" s="205" t="s">
        <v>159</v>
      </c>
      <c r="C91" s="205" t="s">
        <v>160</v>
      </c>
      <c r="D91" s="206">
        <v>28658</v>
      </c>
      <c r="E91" s="14" t="s">
        <v>1244</v>
      </c>
      <c r="F91" s="184" t="str">
        <f>HYPERLINK("https://www.providencejournal.com/news/20180707/40-years-ago-his-mother-was-killed-by-gunman-in-warwick-restaurant-now-every-mass-shooting-takes-him-back-to-1978","48")</f>
        <v>48</v>
      </c>
      <c r="G91" s="14">
        <v>0</v>
      </c>
      <c r="H91" s="14"/>
      <c r="I91" s="14">
        <v>1</v>
      </c>
      <c r="J91" s="184" t="str">
        <f>HYPERLINK("https://www.nytimes.com/1978/06/19/archives/new-jersey-pages-rhode-island-cook-is-arraigned-in-4-shooting.html","coworker")</f>
        <v>coworker</v>
      </c>
      <c r="K91" s="14"/>
      <c r="L91" s="85"/>
      <c r="M91" s="85"/>
      <c r="N91" s="85"/>
      <c r="O91" s="85"/>
      <c r="P91" s="85"/>
      <c r="Q91" s="85"/>
      <c r="R91" s="85"/>
      <c r="S91" s="85"/>
      <c r="T91" s="85"/>
      <c r="U91" s="85"/>
      <c r="V91" s="85"/>
      <c r="W91" s="85"/>
      <c r="X91" s="85"/>
      <c r="Y91" s="85"/>
      <c r="Z91" s="85"/>
    </row>
    <row r="92" spans="1:26" ht="15.75" customHeight="1">
      <c r="A92" s="205">
        <v>15</v>
      </c>
      <c r="B92" s="205" t="s">
        <v>159</v>
      </c>
      <c r="C92" s="205" t="s">
        <v>160</v>
      </c>
      <c r="D92" s="206">
        <v>28658</v>
      </c>
      <c r="E92" s="14" t="s">
        <v>1245</v>
      </c>
      <c r="F92" s="184" t="str">
        <f>HYPERLINK("https://www.providencejournal.com/news/20180707/40-years-ago-his-mother-was-killed-by-gunman-in-warwick-restaurant-now-every-mass-shooting-takes-him-back-to-1978","38")</f>
        <v>38</v>
      </c>
      <c r="G92" s="14">
        <v>1</v>
      </c>
      <c r="H92" s="184" t="str">
        <f>HYPERLINK("https://www.providencejournal.com/news/20180707/40-years-ago-his-mother-was-killed-by-gunman-in-warwick-restaurant-now-every-mass-shooting-takes-him-back-to-1978","0")</f>
        <v>0</v>
      </c>
      <c r="I92" s="14">
        <v>1</v>
      </c>
      <c r="J92" s="184" t="s">
        <v>1175</v>
      </c>
      <c r="K92" s="14"/>
      <c r="L92" s="85"/>
      <c r="M92" s="85"/>
      <c r="N92" s="85"/>
      <c r="O92" s="85"/>
      <c r="P92" s="85"/>
      <c r="Q92" s="85"/>
      <c r="R92" s="85"/>
      <c r="S92" s="85"/>
      <c r="T92" s="85"/>
      <c r="U92" s="85"/>
      <c r="V92" s="85"/>
      <c r="W92" s="85"/>
      <c r="X92" s="85"/>
      <c r="Y92" s="85"/>
      <c r="Z92" s="85"/>
    </row>
    <row r="93" spans="1:26" ht="15.75" customHeight="1">
      <c r="A93" s="205">
        <v>15</v>
      </c>
      <c r="B93" s="205" t="s">
        <v>159</v>
      </c>
      <c r="C93" s="205" t="s">
        <v>160</v>
      </c>
      <c r="D93" s="206">
        <v>28658</v>
      </c>
      <c r="E93" s="14" t="s">
        <v>1246</v>
      </c>
      <c r="F93" s="184" t="str">
        <f>HYPERLINK("https://www.nytimes.com/1978/06/19/archives/new-jersey-pages-rhode-island-cook-is-arraigned-in-4-shooting.html","66")</f>
        <v>66</v>
      </c>
      <c r="G93" s="14">
        <v>1</v>
      </c>
      <c r="H93" s="14"/>
      <c r="I93" s="14">
        <v>0</v>
      </c>
      <c r="J93" s="14" t="s">
        <v>100</v>
      </c>
      <c r="K93" s="184" t="s">
        <v>1247</v>
      </c>
      <c r="L93" s="85"/>
      <c r="M93" s="85"/>
      <c r="N93" s="85"/>
      <c r="O93" s="85"/>
      <c r="P93" s="85"/>
      <c r="Q93" s="85"/>
      <c r="R93" s="85"/>
      <c r="S93" s="85"/>
      <c r="T93" s="85"/>
      <c r="U93" s="85"/>
      <c r="V93" s="85"/>
      <c r="W93" s="85"/>
      <c r="X93" s="85"/>
      <c r="Y93" s="85"/>
      <c r="Z93" s="85"/>
    </row>
    <row r="94" spans="1:26" ht="15.75" customHeight="1">
      <c r="A94" s="193">
        <v>16</v>
      </c>
      <c r="B94" s="193" t="s">
        <v>163</v>
      </c>
      <c r="C94" s="193" t="s">
        <v>164</v>
      </c>
      <c r="D94" s="194">
        <v>29254</v>
      </c>
      <c r="E94" s="14" t="s">
        <v>1248</v>
      </c>
      <c r="F94" s="14">
        <v>20</v>
      </c>
      <c r="G94" s="14">
        <v>0</v>
      </c>
      <c r="H94" s="184">
        <v>0</v>
      </c>
      <c r="I94" s="14">
        <v>0</v>
      </c>
      <c r="J94" s="14" t="s">
        <v>100</v>
      </c>
      <c r="K94" s="14"/>
      <c r="L94" s="85"/>
      <c r="M94" s="85"/>
      <c r="N94" s="85"/>
      <c r="O94" s="85"/>
      <c r="P94" s="85"/>
      <c r="Q94" s="85"/>
      <c r="R94" s="85"/>
      <c r="S94" s="85"/>
      <c r="T94" s="85"/>
      <c r="U94" s="85"/>
      <c r="V94" s="85"/>
      <c r="W94" s="85"/>
      <c r="X94" s="85"/>
      <c r="Y94" s="85"/>
      <c r="Z94" s="85"/>
    </row>
    <row r="95" spans="1:26" ht="15.75" customHeight="1">
      <c r="A95" s="193">
        <v>16</v>
      </c>
      <c r="B95" s="193" t="s">
        <v>163</v>
      </c>
      <c r="C95" s="193" t="s">
        <v>164</v>
      </c>
      <c r="D95" s="194">
        <v>29254</v>
      </c>
      <c r="E95" s="14" t="s">
        <v>1249</v>
      </c>
      <c r="F95" s="184">
        <v>32</v>
      </c>
      <c r="G95" s="14">
        <v>1</v>
      </c>
      <c r="H95" s="14"/>
      <c r="I95" s="14">
        <v>0</v>
      </c>
      <c r="J95" s="14" t="s">
        <v>100</v>
      </c>
      <c r="K95" s="14"/>
      <c r="L95" s="85"/>
      <c r="M95" s="85"/>
      <c r="N95" s="85"/>
      <c r="O95" s="85"/>
      <c r="P95" s="85"/>
      <c r="Q95" s="85"/>
      <c r="R95" s="85"/>
      <c r="S95" s="85"/>
      <c r="T95" s="85"/>
      <c r="U95" s="85"/>
      <c r="V95" s="85"/>
      <c r="W95" s="85"/>
      <c r="X95" s="85"/>
      <c r="Y95" s="85"/>
      <c r="Z95" s="85"/>
    </row>
    <row r="96" spans="1:26" ht="15.75" customHeight="1">
      <c r="A96" s="193">
        <v>16</v>
      </c>
      <c r="B96" s="193" t="s">
        <v>163</v>
      </c>
      <c r="C96" s="193" t="s">
        <v>164</v>
      </c>
      <c r="D96" s="194">
        <v>29254</v>
      </c>
      <c r="E96" s="14" t="s">
        <v>1250</v>
      </c>
      <c r="F96" s="184" t="str">
        <f>HYPERLINK("https://www.findagrave.com/memorial/905936/marianne-laweka","53")</f>
        <v>53</v>
      </c>
      <c r="G96" s="184">
        <v>1</v>
      </c>
      <c r="H96" s="14"/>
      <c r="I96" s="14">
        <v>0</v>
      </c>
      <c r="J96" s="14" t="s">
        <v>100</v>
      </c>
      <c r="K96" s="14"/>
      <c r="L96" s="85"/>
      <c r="M96" s="85"/>
      <c r="N96" s="85"/>
      <c r="O96" s="85"/>
      <c r="P96" s="85"/>
      <c r="Q96" s="85"/>
      <c r="R96" s="85"/>
      <c r="S96" s="85"/>
      <c r="T96" s="85"/>
      <c r="U96" s="85"/>
      <c r="V96" s="85"/>
      <c r="W96" s="85"/>
      <c r="X96" s="85"/>
      <c r="Y96" s="85"/>
      <c r="Z96" s="85"/>
    </row>
    <row r="97" spans="1:26" ht="15.75" customHeight="1">
      <c r="A97" s="193">
        <v>16</v>
      </c>
      <c r="B97" s="193" t="s">
        <v>163</v>
      </c>
      <c r="C97" s="193" t="s">
        <v>164</v>
      </c>
      <c r="D97" s="194">
        <v>29254</v>
      </c>
      <c r="E97" s="14" t="s">
        <v>1251</v>
      </c>
      <c r="F97" s="184" t="str">
        <f>HYPERLINK("https://www.findagrave.com/memorial/467444/jana-l-carpenter","29")</f>
        <v>29</v>
      </c>
      <c r="G97" s="184">
        <v>1</v>
      </c>
      <c r="H97" s="14"/>
      <c r="I97" s="14">
        <v>0</v>
      </c>
      <c r="J97" s="14" t="s">
        <v>100</v>
      </c>
      <c r="K97" s="14"/>
      <c r="L97" s="85"/>
      <c r="M97" s="85"/>
      <c r="N97" s="85"/>
      <c r="O97" s="85"/>
      <c r="P97" s="85"/>
      <c r="Q97" s="85"/>
      <c r="R97" s="85"/>
      <c r="S97" s="85"/>
      <c r="T97" s="85"/>
      <c r="U97" s="85"/>
      <c r="V97" s="85"/>
      <c r="W97" s="85"/>
      <c r="X97" s="85"/>
      <c r="Y97" s="85"/>
      <c r="Z97" s="85"/>
    </row>
    <row r="98" spans="1:26" ht="15.75" customHeight="1">
      <c r="A98" s="193">
        <v>16</v>
      </c>
      <c r="B98" s="193" t="s">
        <v>163</v>
      </c>
      <c r="C98" s="193" t="s">
        <v>164</v>
      </c>
      <c r="D98" s="194">
        <v>29254</v>
      </c>
      <c r="E98" s="14" t="s">
        <v>1252</v>
      </c>
      <c r="F98" s="184" t="str">
        <f>HYPERLINK("https://www.findagrave.com/memorial/36256620/fredrick-j-bergford","28")</f>
        <v>28</v>
      </c>
      <c r="G98" s="184">
        <v>0</v>
      </c>
      <c r="H98" s="14"/>
      <c r="I98" s="14">
        <v>0</v>
      </c>
      <c r="J98" s="14" t="s">
        <v>100</v>
      </c>
      <c r="K98" s="14"/>
      <c r="L98" s="85"/>
      <c r="M98" s="85"/>
      <c r="N98" s="85"/>
      <c r="O98" s="85"/>
      <c r="P98" s="85"/>
      <c r="Q98" s="85"/>
      <c r="R98" s="85"/>
      <c r="S98" s="85"/>
      <c r="T98" s="85"/>
      <c r="U98" s="85"/>
      <c r="V98" s="85"/>
      <c r="W98" s="85"/>
      <c r="X98" s="85"/>
      <c r="Y98" s="85"/>
      <c r="Z98" s="85"/>
    </row>
    <row r="99" spans="1:26" ht="15.75" customHeight="1">
      <c r="A99" s="195">
        <v>17</v>
      </c>
      <c r="B99" s="195" t="s">
        <v>167</v>
      </c>
      <c r="C99" s="195" t="s">
        <v>168</v>
      </c>
      <c r="D99" s="196">
        <v>29394</v>
      </c>
      <c r="E99" s="14" t="s">
        <v>1253</v>
      </c>
      <c r="F99" s="184">
        <v>50</v>
      </c>
      <c r="G99" s="14">
        <v>0</v>
      </c>
      <c r="H99" s="184">
        <v>0</v>
      </c>
      <c r="I99" s="14">
        <v>0</v>
      </c>
      <c r="J99" s="14" t="s">
        <v>100</v>
      </c>
      <c r="K99" s="14"/>
      <c r="L99" s="85"/>
      <c r="M99" s="85"/>
      <c r="N99" s="85"/>
      <c r="O99" s="85"/>
      <c r="P99" s="85"/>
      <c r="Q99" s="85"/>
      <c r="R99" s="85"/>
      <c r="S99" s="85"/>
      <c r="T99" s="85"/>
      <c r="U99" s="85"/>
      <c r="V99" s="85"/>
      <c r="W99" s="85"/>
      <c r="X99" s="85"/>
      <c r="Y99" s="85"/>
      <c r="Z99" s="85"/>
    </row>
    <row r="100" spans="1:26" ht="15.75" customHeight="1">
      <c r="A100" s="195">
        <v>17</v>
      </c>
      <c r="B100" s="195" t="s">
        <v>167</v>
      </c>
      <c r="C100" s="195" t="s">
        <v>168</v>
      </c>
      <c r="D100" s="196">
        <v>29394</v>
      </c>
      <c r="E100" s="14" t="s">
        <v>1254</v>
      </c>
      <c r="F100" s="184">
        <v>7</v>
      </c>
      <c r="G100" s="14">
        <v>1</v>
      </c>
      <c r="H100" s="184">
        <v>0</v>
      </c>
      <c r="I100" s="14">
        <v>0</v>
      </c>
      <c r="J100" s="14" t="s">
        <v>100</v>
      </c>
      <c r="K100" s="14"/>
      <c r="L100" s="85"/>
      <c r="M100" s="85"/>
      <c r="N100" s="85"/>
      <c r="O100" s="85"/>
      <c r="P100" s="85"/>
      <c r="Q100" s="85"/>
      <c r="R100" s="85"/>
      <c r="S100" s="85"/>
      <c r="T100" s="85"/>
      <c r="U100" s="85"/>
      <c r="V100" s="85"/>
      <c r="W100" s="85"/>
      <c r="X100" s="85"/>
      <c r="Y100" s="85"/>
      <c r="Z100" s="85"/>
    </row>
    <row r="101" spans="1:26" ht="15.75" customHeight="1">
      <c r="A101" s="195">
        <v>17</v>
      </c>
      <c r="B101" s="195" t="s">
        <v>167</v>
      </c>
      <c r="C101" s="195" t="s">
        <v>168</v>
      </c>
      <c r="D101" s="196">
        <v>29394</v>
      </c>
      <c r="E101" s="184" t="s">
        <v>1255</v>
      </c>
      <c r="F101" s="184">
        <v>53</v>
      </c>
      <c r="G101" s="14">
        <v>0</v>
      </c>
      <c r="H101" s="184">
        <v>0</v>
      </c>
      <c r="I101" s="14">
        <v>1</v>
      </c>
      <c r="J101" s="184" t="s">
        <v>1256</v>
      </c>
      <c r="K101" s="14"/>
      <c r="L101" s="85"/>
      <c r="M101" s="85"/>
      <c r="N101" s="85"/>
      <c r="O101" s="85"/>
      <c r="P101" s="85"/>
      <c r="Q101" s="85"/>
      <c r="R101" s="85"/>
      <c r="S101" s="85"/>
      <c r="T101" s="85"/>
      <c r="U101" s="85"/>
      <c r="V101" s="85"/>
      <c r="W101" s="85"/>
      <c r="X101" s="85"/>
      <c r="Y101" s="85"/>
      <c r="Z101" s="85"/>
    </row>
    <row r="102" spans="1:26" ht="15.75" customHeight="1">
      <c r="A102" s="195">
        <v>17</v>
      </c>
      <c r="B102" s="195" t="s">
        <v>167</v>
      </c>
      <c r="C102" s="195" t="s">
        <v>168</v>
      </c>
      <c r="D102" s="196">
        <v>29394</v>
      </c>
      <c r="E102" s="14" t="s">
        <v>1257</v>
      </c>
      <c r="F102" s="184">
        <v>78</v>
      </c>
      <c r="G102" s="14">
        <v>1</v>
      </c>
      <c r="H102" s="14"/>
      <c r="I102" s="14">
        <v>0</v>
      </c>
      <c r="J102" s="14" t="s">
        <v>100</v>
      </c>
      <c r="K102" s="14"/>
      <c r="L102" s="85"/>
      <c r="M102" s="85"/>
      <c r="N102" s="85"/>
      <c r="O102" s="85"/>
      <c r="P102" s="85"/>
      <c r="Q102" s="85"/>
      <c r="R102" s="85"/>
      <c r="S102" s="85"/>
      <c r="T102" s="85"/>
      <c r="U102" s="85"/>
      <c r="V102" s="85"/>
      <c r="W102" s="85"/>
      <c r="X102" s="85"/>
      <c r="Y102" s="85"/>
      <c r="Z102" s="85"/>
    </row>
    <row r="103" spans="1:26" ht="15.75" customHeight="1">
      <c r="A103" s="195">
        <v>17</v>
      </c>
      <c r="B103" s="195" t="s">
        <v>167</v>
      </c>
      <c r="C103" s="195" t="s">
        <v>168</v>
      </c>
      <c r="D103" s="196">
        <v>29394</v>
      </c>
      <c r="E103" s="14" t="s">
        <v>1258</v>
      </c>
      <c r="F103" s="184">
        <v>49</v>
      </c>
      <c r="G103" s="14">
        <v>0</v>
      </c>
      <c r="H103" s="184">
        <v>0</v>
      </c>
      <c r="I103" s="14">
        <v>1</v>
      </c>
      <c r="J103" s="184" t="s">
        <v>1259</v>
      </c>
      <c r="K103" s="14"/>
      <c r="L103" s="85"/>
      <c r="M103" s="85"/>
      <c r="N103" s="85"/>
      <c r="O103" s="85"/>
      <c r="P103" s="85"/>
      <c r="Q103" s="85"/>
      <c r="R103" s="85"/>
      <c r="S103" s="85"/>
      <c r="T103" s="85"/>
      <c r="U103" s="85"/>
      <c r="V103" s="85"/>
      <c r="W103" s="85"/>
      <c r="X103" s="85"/>
      <c r="Y103" s="85"/>
      <c r="Z103" s="85"/>
    </row>
    <row r="104" spans="1:26" ht="15.75" customHeight="1">
      <c r="A104" s="197">
        <v>18</v>
      </c>
      <c r="B104" s="197" t="s">
        <v>172</v>
      </c>
      <c r="C104" s="197" t="s">
        <v>173</v>
      </c>
      <c r="D104" s="198">
        <v>29423</v>
      </c>
      <c r="E104" s="14" t="s">
        <v>1260</v>
      </c>
      <c r="F104" s="184">
        <v>57</v>
      </c>
      <c r="G104" s="14">
        <v>1</v>
      </c>
      <c r="H104" s="14"/>
      <c r="I104" s="184">
        <v>1</v>
      </c>
      <c r="J104" s="14" t="s">
        <v>1182</v>
      </c>
      <c r="K104" s="14"/>
      <c r="L104" s="85"/>
      <c r="M104" s="85"/>
      <c r="N104" s="85"/>
      <c r="O104" s="85"/>
      <c r="P104" s="85"/>
      <c r="Q104" s="85"/>
      <c r="R104" s="85"/>
      <c r="S104" s="85"/>
      <c r="T104" s="85"/>
      <c r="U104" s="85"/>
      <c r="V104" s="85"/>
      <c r="W104" s="85"/>
      <c r="X104" s="85"/>
      <c r="Y104" s="85"/>
      <c r="Z104" s="85"/>
    </row>
    <row r="105" spans="1:26" ht="15.75" customHeight="1">
      <c r="A105" s="197">
        <v>18</v>
      </c>
      <c r="B105" s="197" t="s">
        <v>172</v>
      </c>
      <c r="C105" s="197" t="s">
        <v>173</v>
      </c>
      <c r="D105" s="198">
        <v>29423</v>
      </c>
      <c r="E105" s="14" t="s">
        <v>1261</v>
      </c>
      <c r="F105" s="184">
        <v>71</v>
      </c>
      <c r="G105" s="14">
        <v>0</v>
      </c>
      <c r="H105" s="14"/>
      <c r="I105" s="184">
        <v>1</v>
      </c>
      <c r="J105" s="14" t="s">
        <v>1182</v>
      </c>
      <c r="K105" s="14"/>
      <c r="L105" s="85"/>
      <c r="M105" s="85"/>
      <c r="N105" s="85"/>
      <c r="O105" s="85"/>
      <c r="P105" s="85"/>
      <c r="Q105" s="85"/>
      <c r="R105" s="85"/>
      <c r="S105" s="85"/>
      <c r="T105" s="85"/>
      <c r="U105" s="85"/>
      <c r="V105" s="85"/>
      <c r="W105" s="85"/>
      <c r="X105" s="85"/>
      <c r="Y105" s="85"/>
      <c r="Z105" s="85"/>
    </row>
    <row r="106" spans="1:26" ht="15.75" customHeight="1">
      <c r="A106" s="197">
        <v>18</v>
      </c>
      <c r="B106" s="197" t="s">
        <v>172</v>
      </c>
      <c r="C106" s="197" t="s">
        <v>173</v>
      </c>
      <c r="D106" s="198">
        <v>29423</v>
      </c>
      <c r="E106" s="14" t="s">
        <v>1262</v>
      </c>
      <c r="F106" s="184">
        <v>25</v>
      </c>
      <c r="G106" s="14">
        <v>0</v>
      </c>
      <c r="H106" s="14"/>
      <c r="I106" s="184">
        <v>1</v>
      </c>
      <c r="J106" s="14" t="s">
        <v>1182</v>
      </c>
      <c r="K106" s="14"/>
      <c r="L106" s="85"/>
      <c r="M106" s="85"/>
      <c r="N106" s="85"/>
      <c r="O106" s="85"/>
      <c r="P106" s="85"/>
      <c r="Q106" s="85"/>
      <c r="R106" s="85"/>
      <c r="S106" s="85"/>
      <c r="T106" s="85"/>
      <c r="U106" s="85"/>
      <c r="V106" s="85"/>
      <c r="W106" s="85"/>
      <c r="X106" s="85"/>
      <c r="Y106" s="85"/>
      <c r="Z106" s="85"/>
    </row>
    <row r="107" spans="1:26" ht="15.75" customHeight="1">
      <c r="A107" s="197">
        <v>18</v>
      </c>
      <c r="B107" s="197" t="s">
        <v>172</v>
      </c>
      <c r="C107" s="197" t="s">
        <v>173</v>
      </c>
      <c r="D107" s="198">
        <v>29423</v>
      </c>
      <c r="E107" s="14" t="s">
        <v>1263</v>
      </c>
      <c r="F107" s="184">
        <v>59</v>
      </c>
      <c r="G107" s="14">
        <v>1</v>
      </c>
      <c r="H107" s="14"/>
      <c r="I107" s="184">
        <v>0</v>
      </c>
      <c r="J107" s="14" t="s">
        <v>100</v>
      </c>
      <c r="K107" s="14"/>
      <c r="L107" s="85"/>
      <c r="M107" s="85"/>
      <c r="N107" s="85"/>
      <c r="O107" s="85"/>
      <c r="P107" s="85"/>
      <c r="Q107" s="85"/>
      <c r="R107" s="85"/>
      <c r="S107" s="85"/>
      <c r="T107" s="85"/>
      <c r="U107" s="85"/>
      <c r="V107" s="85"/>
      <c r="W107" s="85"/>
      <c r="X107" s="85"/>
      <c r="Y107" s="85"/>
      <c r="Z107" s="85"/>
    </row>
    <row r="108" spans="1:26" ht="15.75" customHeight="1">
      <c r="A108" s="199">
        <v>19</v>
      </c>
      <c r="B108" s="199" t="s">
        <v>176</v>
      </c>
      <c r="C108" s="199" t="s">
        <v>177</v>
      </c>
      <c r="D108" s="200">
        <v>29713</v>
      </c>
      <c r="E108" s="14" t="s">
        <v>1264</v>
      </c>
      <c r="F108" s="184" t="str">
        <f>HYPERLINK("https://www.findagrave.com/memorial/67433992/john-william-cooper","27")</f>
        <v>27</v>
      </c>
      <c r="G108" s="14">
        <v>0</v>
      </c>
      <c r="H108" s="14"/>
      <c r="I108" s="14">
        <v>0</v>
      </c>
      <c r="J108" s="14" t="s">
        <v>100</v>
      </c>
      <c r="K108" s="14"/>
      <c r="L108" s="85"/>
      <c r="M108" s="85"/>
      <c r="N108" s="85"/>
      <c r="O108" s="85"/>
      <c r="P108" s="85"/>
      <c r="Q108" s="85"/>
      <c r="R108" s="85"/>
      <c r="S108" s="85"/>
      <c r="T108" s="85"/>
      <c r="U108" s="85"/>
      <c r="V108" s="85"/>
      <c r="W108" s="85"/>
      <c r="X108" s="85"/>
      <c r="Y108" s="85"/>
      <c r="Z108" s="85"/>
    </row>
    <row r="109" spans="1:26" ht="15.75" customHeight="1">
      <c r="A109" s="199">
        <v>19</v>
      </c>
      <c r="B109" s="199" t="s">
        <v>176</v>
      </c>
      <c r="C109" s="199" t="s">
        <v>177</v>
      </c>
      <c r="D109" s="200">
        <v>29713</v>
      </c>
      <c r="E109" s="14" t="s">
        <v>1265</v>
      </c>
      <c r="F109" s="184">
        <v>22</v>
      </c>
      <c r="G109" s="14">
        <v>1</v>
      </c>
      <c r="H109" s="14"/>
      <c r="I109" s="14">
        <v>0</v>
      </c>
      <c r="J109" s="14" t="s">
        <v>100</v>
      </c>
      <c r="K109" s="14"/>
      <c r="L109" s="85"/>
      <c r="M109" s="85"/>
      <c r="N109" s="85"/>
      <c r="O109" s="85"/>
      <c r="P109" s="85"/>
      <c r="Q109" s="85"/>
      <c r="R109" s="85"/>
      <c r="S109" s="85"/>
      <c r="T109" s="85"/>
      <c r="U109" s="85"/>
      <c r="V109" s="85"/>
      <c r="W109" s="85"/>
      <c r="X109" s="85"/>
      <c r="Y109" s="85"/>
      <c r="Z109" s="85"/>
    </row>
    <row r="110" spans="1:26" ht="15.75" customHeight="1">
      <c r="A110" s="199">
        <v>19</v>
      </c>
      <c r="B110" s="199" t="s">
        <v>176</v>
      </c>
      <c r="C110" s="199" t="s">
        <v>177</v>
      </c>
      <c r="D110" s="200">
        <v>29713</v>
      </c>
      <c r="E110" s="14" t="s">
        <v>1266</v>
      </c>
      <c r="F110" s="184">
        <v>24</v>
      </c>
      <c r="G110" s="14">
        <v>0</v>
      </c>
      <c r="H110" s="14"/>
      <c r="I110" s="14">
        <v>0</v>
      </c>
      <c r="J110" s="14" t="s">
        <v>100</v>
      </c>
      <c r="K110" s="14"/>
      <c r="L110" s="85"/>
      <c r="M110" s="85"/>
      <c r="N110" s="85"/>
      <c r="O110" s="85"/>
      <c r="P110" s="85"/>
      <c r="Q110" s="85"/>
      <c r="R110" s="85"/>
      <c r="S110" s="85"/>
      <c r="T110" s="85"/>
      <c r="U110" s="85"/>
      <c r="V110" s="85"/>
      <c r="W110" s="85"/>
      <c r="X110" s="85"/>
      <c r="Y110" s="85"/>
      <c r="Z110" s="85"/>
    </row>
    <row r="111" spans="1:26" ht="15.75" customHeight="1">
      <c r="A111" s="199">
        <v>19</v>
      </c>
      <c r="B111" s="199" t="s">
        <v>176</v>
      </c>
      <c r="C111" s="199" t="s">
        <v>177</v>
      </c>
      <c r="D111" s="200">
        <v>29713</v>
      </c>
      <c r="E111" s="14" t="s">
        <v>1267</v>
      </c>
      <c r="F111" s="184">
        <v>24</v>
      </c>
      <c r="G111" s="14">
        <v>0</v>
      </c>
      <c r="H111" s="14"/>
      <c r="I111" s="14">
        <v>0</v>
      </c>
      <c r="J111" s="14" t="s">
        <v>100</v>
      </c>
      <c r="K111" s="14"/>
      <c r="L111" s="85"/>
      <c r="M111" s="85"/>
      <c r="N111" s="85"/>
      <c r="O111" s="85"/>
      <c r="P111" s="85"/>
      <c r="Q111" s="85"/>
      <c r="R111" s="85"/>
      <c r="S111" s="85"/>
      <c r="T111" s="85"/>
      <c r="U111" s="85"/>
      <c r="V111" s="85"/>
      <c r="W111" s="85"/>
      <c r="X111" s="85"/>
      <c r="Y111" s="85"/>
      <c r="Z111" s="85"/>
    </row>
    <row r="112" spans="1:26" ht="15.75" customHeight="1">
      <c r="A112" s="191">
        <v>20</v>
      </c>
      <c r="B112" s="191" t="s">
        <v>181</v>
      </c>
      <c r="C112" s="191" t="s">
        <v>182</v>
      </c>
      <c r="D112" s="192">
        <v>29875</v>
      </c>
      <c r="E112" s="14" t="s">
        <v>1268</v>
      </c>
      <c r="F112" s="14">
        <v>28</v>
      </c>
      <c r="G112" s="14">
        <v>0</v>
      </c>
      <c r="H112" s="14"/>
      <c r="I112" s="14">
        <v>1</v>
      </c>
      <c r="J112" s="184" t="s">
        <v>1269</v>
      </c>
      <c r="K112" s="14"/>
      <c r="L112" s="85"/>
      <c r="M112" s="85"/>
      <c r="N112" s="85"/>
      <c r="O112" s="85"/>
      <c r="P112" s="85"/>
      <c r="Q112" s="85"/>
      <c r="R112" s="85"/>
      <c r="S112" s="85"/>
      <c r="T112" s="85"/>
      <c r="U112" s="85"/>
      <c r="V112" s="85"/>
      <c r="W112" s="85"/>
      <c r="X112" s="85"/>
      <c r="Y112" s="85"/>
      <c r="Z112" s="85"/>
    </row>
    <row r="113" spans="1:26" ht="15.75" customHeight="1">
      <c r="A113" s="191">
        <v>20</v>
      </c>
      <c r="B113" s="191" t="s">
        <v>181</v>
      </c>
      <c r="C113" s="191" t="s">
        <v>182</v>
      </c>
      <c r="D113" s="192">
        <v>29875</v>
      </c>
      <c r="E113" s="14" t="s">
        <v>1270</v>
      </c>
      <c r="F113" s="184" t="str">
        <f>HYPERLINK("https://www.findagrave.com/memorial/57351806/rufus-hamilton","42")</f>
        <v>42</v>
      </c>
      <c r="G113" s="14">
        <v>0</v>
      </c>
      <c r="H113" s="14"/>
      <c r="I113" s="14">
        <v>1</v>
      </c>
      <c r="J113" s="184" t="s">
        <v>1175</v>
      </c>
      <c r="K113" s="14"/>
      <c r="L113" s="85"/>
      <c r="M113" s="85"/>
      <c r="N113" s="85"/>
      <c r="O113" s="85"/>
      <c r="P113" s="85"/>
      <c r="Q113" s="85"/>
      <c r="R113" s="85"/>
      <c r="S113" s="85"/>
      <c r="T113" s="85"/>
      <c r="U113" s="85"/>
      <c r="V113" s="85"/>
      <c r="W113" s="85"/>
      <c r="X113" s="85"/>
      <c r="Y113" s="85"/>
      <c r="Z113" s="85"/>
    </row>
    <row r="114" spans="1:26" ht="15.75" customHeight="1">
      <c r="A114" s="191">
        <v>20</v>
      </c>
      <c r="B114" s="191" t="s">
        <v>181</v>
      </c>
      <c r="C114" s="191" t="s">
        <v>182</v>
      </c>
      <c r="D114" s="192">
        <v>29875</v>
      </c>
      <c r="E114" s="14" t="s">
        <v>1271</v>
      </c>
      <c r="F114" s="184">
        <v>34</v>
      </c>
      <c r="G114" s="14">
        <v>0</v>
      </c>
      <c r="H114" s="14"/>
      <c r="I114" s="14">
        <v>0</v>
      </c>
      <c r="J114" s="14" t="s">
        <v>100</v>
      </c>
      <c r="K114" s="14"/>
      <c r="L114" s="85"/>
      <c r="M114" s="85"/>
      <c r="N114" s="85"/>
      <c r="O114" s="85"/>
      <c r="P114" s="85"/>
      <c r="Q114" s="85"/>
      <c r="R114" s="85"/>
      <c r="S114" s="85"/>
      <c r="T114" s="85"/>
      <c r="U114" s="85"/>
      <c r="V114" s="85"/>
      <c r="W114" s="85"/>
      <c r="X114" s="85"/>
      <c r="Y114" s="85"/>
      <c r="Z114" s="85"/>
    </row>
    <row r="115" spans="1:26" ht="15.75" customHeight="1">
      <c r="A115" s="191">
        <v>20</v>
      </c>
      <c r="B115" s="191" t="s">
        <v>181</v>
      </c>
      <c r="C115" s="191" t="s">
        <v>182</v>
      </c>
      <c r="D115" s="192">
        <v>29875</v>
      </c>
      <c r="E115" s="14" t="s">
        <v>1272</v>
      </c>
      <c r="F115" s="184">
        <v>28</v>
      </c>
      <c r="G115" s="14">
        <v>0</v>
      </c>
      <c r="H115" s="14"/>
      <c r="I115" s="14">
        <v>0</v>
      </c>
      <c r="J115" s="14" t="s">
        <v>100</v>
      </c>
      <c r="K115" s="14"/>
      <c r="L115" s="85"/>
      <c r="M115" s="85"/>
      <c r="N115" s="85"/>
      <c r="O115" s="85"/>
      <c r="P115" s="85"/>
      <c r="Q115" s="85"/>
      <c r="R115" s="85"/>
      <c r="S115" s="85"/>
      <c r="T115" s="85"/>
      <c r="U115" s="85"/>
      <c r="V115" s="85"/>
      <c r="W115" s="85"/>
      <c r="X115" s="85"/>
      <c r="Y115" s="85"/>
      <c r="Z115" s="85"/>
    </row>
    <row r="116" spans="1:26" ht="15.75" customHeight="1">
      <c r="A116" s="191">
        <v>20</v>
      </c>
      <c r="B116" s="191" t="s">
        <v>181</v>
      </c>
      <c r="C116" s="191" t="s">
        <v>182</v>
      </c>
      <c r="D116" s="192">
        <v>29875</v>
      </c>
      <c r="E116" s="14" t="s">
        <v>1273</v>
      </c>
      <c r="F116" s="184">
        <v>28</v>
      </c>
      <c r="G116" s="14">
        <v>0</v>
      </c>
      <c r="H116" s="14"/>
      <c r="I116" s="14">
        <v>0</v>
      </c>
      <c r="J116" s="14" t="s">
        <v>100</v>
      </c>
      <c r="K116" s="14"/>
      <c r="L116" s="85"/>
      <c r="M116" s="85"/>
      <c r="N116" s="85"/>
      <c r="O116" s="85"/>
      <c r="P116" s="85"/>
      <c r="Q116" s="85"/>
      <c r="R116" s="85"/>
      <c r="S116" s="85"/>
      <c r="T116" s="85"/>
      <c r="U116" s="85"/>
      <c r="V116" s="85"/>
      <c r="W116" s="85"/>
      <c r="X116" s="85"/>
      <c r="Y116" s="85"/>
      <c r="Z116" s="85"/>
    </row>
    <row r="117" spans="1:26" ht="15.75" customHeight="1">
      <c r="A117" s="201">
        <v>21</v>
      </c>
      <c r="B117" s="201" t="s">
        <v>186</v>
      </c>
      <c r="C117" s="201" t="s">
        <v>94</v>
      </c>
      <c r="D117" s="202">
        <v>30074</v>
      </c>
      <c r="E117" s="184" t="s">
        <v>1274</v>
      </c>
      <c r="F117" s="184">
        <v>19</v>
      </c>
      <c r="G117" s="14">
        <v>0</v>
      </c>
      <c r="H117" s="14"/>
      <c r="I117" s="14">
        <v>0</v>
      </c>
      <c r="J117" s="14" t="s">
        <v>100</v>
      </c>
      <c r="K117" s="14"/>
      <c r="L117" s="85"/>
      <c r="M117" s="85"/>
      <c r="N117" s="85"/>
      <c r="O117" s="85"/>
      <c r="P117" s="85"/>
      <c r="Q117" s="85"/>
      <c r="R117" s="85"/>
      <c r="S117" s="85"/>
      <c r="T117" s="85"/>
      <c r="U117" s="85"/>
      <c r="V117" s="85"/>
      <c r="W117" s="85"/>
      <c r="X117" s="85"/>
      <c r="Y117" s="85"/>
      <c r="Z117" s="85"/>
    </row>
    <row r="118" spans="1:26" ht="15.75" customHeight="1">
      <c r="A118" s="201">
        <v>21</v>
      </c>
      <c r="B118" s="201" t="s">
        <v>186</v>
      </c>
      <c r="C118" s="201" t="s">
        <v>94</v>
      </c>
      <c r="D118" s="202">
        <v>30074</v>
      </c>
      <c r="E118" s="184" t="s">
        <v>1275</v>
      </c>
      <c r="F118" s="184">
        <v>19</v>
      </c>
      <c r="G118" s="14">
        <v>0</v>
      </c>
      <c r="H118" s="14"/>
      <c r="I118" s="14">
        <v>0</v>
      </c>
      <c r="J118" s="14" t="s">
        <v>100</v>
      </c>
      <c r="K118" s="14"/>
      <c r="L118" s="85"/>
      <c r="M118" s="85"/>
      <c r="N118" s="85"/>
      <c r="O118" s="85"/>
      <c r="P118" s="85"/>
      <c r="Q118" s="85"/>
      <c r="R118" s="85"/>
      <c r="S118" s="85"/>
      <c r="T118" s="85"/>
      <c r="U118" s="85"/>
      <c r="V118" s="85"/>
      <c r="W118" s="85"/>
      <c r="X118" s="85"/>
      <c r="Y118" s="85"/>
      <c r="Z118" s="85"/>
    </row>
    <row r="119" spans="1:26" ht="15.75" customHeight="1">
      <c r="A119" s="201">
        <v>21</v>
      </c>
      <c r="B119" s="201" t="s">
        <v>186</v>
      </c>
      <c r="C119" s="201" t="s">
        <v>94</v>
      </c>
      <c r="D119" s="202">
        <v>30074</v>
      </c>
      <c r="E119" s="14" t="s">
        <v>1276</v>
      </c>
      <c r="F119" s="184" t="str">
        <f>HYPERLINK("https://www.findagrave.com/memorial/29235866/sabrina-lynn-imlach","16")</f>
        <v>16</v>
      </c>
      <c r="G119" s="14">
        <v>1</v>
      </c>
      <c r="H119" s="14"/>
      <c r="I119" s="14">
        <v>0</v>
      </c>
      <c r="J119" s="14" t="s">
        <v>100</v>
      </c>
      <c r="K119" s="14"/>
      <c r="L119" s="85"/>
      <c r="M119" s="85"/>
      <c r="N119" s="85"/>
      <c r="O119" s="85"/>
      <c r="P119" s="85"/>
      <c r="Q119" s="85"/>
      <c r="R119" s="85"/>
      <c r="S119" s="85"/>
      <c r="T119" s="85"/>
      <c r="U119" s="85"/>
      <c r="V119" s="85"/>
      <c r="W119" s="85"/>
      <c r="X119" s="85"/>
      <c r="Y119" s="85"/>
      <c r="Z119" s="85"/>
    </row>
    <row r="120" spans="1:26" ht="15.75" customHeight="1">
      <c r="A120" s="201">
        <v>21</v>
      </c>
      <c r="B120" s="201" t="s">
        <v>186</v>
      </c>
      <c r="C120" s="201" t="s">
        <v>94</v>
      </c>
      <c r="D120" s="202">
        <v>30074</v>
      </c>
      <c r="E120" s="14" t="s">
        <v>1277</v>
      </c>
      <c r="F120" s="184" t="str">
        <f>HYPERLINK("https://www.findagrave.com/memorial/29510308/rebecca-dawn-phillips","16")</f>
        <v>16</v>
      </c>
      <c r="G120" s="14">
        <v>1</v>
      </c>
      <c r="H120" s="14"/>
      <c r="I120" s="14">
        <v>0</v>
      </c>
      <c r="J120" s="14" t="s">
        <v>100</v>
      </c>
      <c r="K120" s="14"/>
      <c r="L120" s="85"/>
      <c r="M120" s="85"/>
      <c r="N120" s="85"/>
      <c r="O120" s="85"/>
      <c r="P120" s="85"/>
      <c r="Q120" s="85"/>
      <c r="R120" s="85"/>
      <c r="S120" s="85"/>
      <c r="T120" s="85"/>
      <c r="U120" s="85"/>
      <c r="V120" s="85"/>
      <c r="W120" s="85"/>
      <c r="X120" s="85"/>
      <c r="Y120" s="85"/>
      <c r="Z120" s="85"/>
    </row>
    <row r="121" spans="1:26" ht="15.75" customHeight="1">
      <c r="A121" s="195">
        <v>22</v>
      </c>
      <c r="B121" s="195" t="s">
        <v>189</v>
      </c>
      <c r="C121" s="195" t="s">
        <v>190</v>
      </c>
      <c r="D121" s="196">
        <v>30172</v>
      </c>
      <c r="E121" s="14" t="s">
        <v>1278</v>
      </c>
      <c r="F121" s="184">
        <v>28</v>
      </c>
      <c r="G121" s="14">
        <v>0</v>
      </c>
      <c r="H121" s="14"/>
      <c r="I121" s="14">
        <v>1</v>
      </c>
      <c r="J121" s="14" t="s">
        <v>1279</v>
      </c>
      <c r="K121" s="14"/>
      <c r="L121" s="85"/>
      <c r="M121" s="85"/>
      <c r="N121" s="85"/>
      <c r="O121" s="85"/>
      <c r="P121" s="85"/>
      <c r="Q121" s="85"/>
      <c r="R121" s="85"/>
      <c r="S121" s="85"/>
      <c r="T121" s="85"/>
      <c r="U121" s="85"/>
      <c r="V121" s="85"/>
      <c r="W121" s="85"/>
      <c r="X121" s="85"/>
      <c r="Y121" s="85"/>
      <c r="Z121" s="85"/>
    </row>
    <row r="122" spans="1:26" ht="15.75" customHeight="1">
      <c r="A122" s="195">
        <v>22</v>
      </c>
      <c r="B122" s="195" t="s">
        <v>189</v>
      </c>
      <c r="C122" s="195" t="s">
        <v>190</v>
      </c>
      <c r="D122" s="196">
        <v>30172</v>
      </c>
      <c r="E122" s="14" t="s">
        <v>1280</v>
      </c>
      <c r="F122" s="184">
        <v>45</v>
      </c>
      <c r="G122" s="14">
        <v>1</v>
      </c>
      <c r="H122" s="14"/>
      <c r="I122" s="14">
        <v>0</v>
      </c>
      <c r="J122" s="14" t="s">
        <v>100</v>
      </c>
      <c r="K122" s="14"/>
      <c r="L122" s="85"/>
      <c r="M122" s="85"/>
      <c r="N122" s="85"/>
      <c r="O122" s="85"/>
      <c r="P122" s="85"/>
      <c r="Q122" s="85"/>
      <c r="R122" s="85"/>
      <c r="S122" s="85"/>
      <c r="T122" s="85"/>
      <c r="U122" s="85"/>
      <c r="V122" s="85"/>
      <c r="W122" s="85"/>
      <c r="X122" s="85"/>
      <c r="Y122" s="85"/>
      <c r="Z122" s="85"/>
    </row>
    <row r="123" spans="1:26" ht="15.75" customHeight="1">
      <c r="A123" s="195">
        <v>22</v>
      </c>
      <c r="B123" s="195" t="s">
        <v>189</v>
      </c>
      <c r="C123" s="195" t="s">
        <v>190</v>
      </c>
      <c r="D123" s="196">
        <v>30172</v>
      </c>
      <c r="E123" s="14" t="s">
        <v>1281</v>
      </c>
      <c r="F123" s="184">
        <v>30</v>
      </c>
      <c r="G123" s="14">
        <v>0</v>
      </c>
      <c r="H123" s="14"/>
      <c r="I123" s="14">
        <v>1</v>
      </c>
      <c r="J123" s="184" t="s">
        <v>1179</v>
      </c>
      <c r="K123" s="14"/>
      <c r="L123" s="85"/>
      <c r="M123" s="85"/>
      <c r="N123" s="85"/>
      <c r="O123" s="85"/>
      <c r="P123" s="85"/>
      <c r="Q123" s="85"/>
      <c r="R123" s="85"/>
      <c r="S123" s="85"/>
      <c r="T123" s="85"/>
      <c r="U123" s="85"/>
      <c r="V123" s="85"/>
      <c r="W123" s="85"/>
      <c r="X123" s="85"/>
      <c r="Y123" s="85"/>
      <c r="Z123" s="85"/>
    </row>
    <row r="124" spans="1:26" ht="15.75" customHeight="1">
      <c r="A124" s="195">
        <v>22</v>
      </c>
      <c r="B124" s="195" t="s">
        <v>189</v>
      </c>
      <c r="C124" s="195" t="s">
        <v>190</v>
      </c>
      <c r="D124" s="196">
        <v>30172</v>
      </c>
      <c r="E124" s="14" t="s">
        <v>1282</v>
      </c>
      <c r="F124" s="184">
        <v>58</v>
      </c>
      <c r="G124" s="14">
        <v>0</v>
      </c>
      <c r="H124" s="14"/>
      <c r="I124" s="14">
        <v>1</v>
      </c>
      <c r="J124" s="184" t="s">
        <v>1179</v>
      </c>
      <c r="K124" s="14"/>
      <c r="L124" s="85"/>
      <c r="M124" s="85"/>
      <c r="N124" s="85"/>
      <c r="O124" s="85"/>
      <c r="P124" s="85"/>
      <c r="Q124" s="85"/>
      <c r="R124" s="85"/>
      <c r="S124" s="85"/>
      <c r="T124" s="85"/>
      <c r="U124" s="85"/>
      <c r="V124" s="85"/>
      <c r="W124" s="85"/>
      <c r="X124" s="85"/>
      <c r="Y124" s="85"/>
      <c r="Z124" s="85"/>
    </row>
    <row r="125" spans="1:26" ht="15.75" customHeight="1">
      <c r="A125" s="195">
        <v>22</v>
      </c>
      <c r="B125" s="195" t="s">
        <v>189</v>
      </c>
      <c r="C125" s="195" t="s">
        <v>190</v>
      </c>
      <c r="D125" s="196">
        <v>30172</v>
      </c>
      <c r="E125" s="14" t="s">
        <v>1283</v>
      </c>
      <c r="F125" s="184">
        <v>37</v>
      </c>
      <c r="G125" s="14">
        <v>0</v>
      </c>
      <c r="H125" s="14"/>
      <c r="I125" s="14">
        <v>1</v>
      </c>
      <c r="J125" s="14" t="s">
        <v>1279</v>
      </c>
      <c r="K125" s="14"/>
      <c r="L125" s="85"/>
      <c r="M125" s="85"/>
      <c r="N125" s="85"/>
      <c r="O125" s="85"/>
      <c r="P125" s="85"/>
      <c r="Q125" s="85"/>
      <c r="R125" s="85"/>
      <c r="S125" s="85"/>
      <c r="T125" s="85"/>
      <c r="U125" s="85"/>
      <c r="V125" s="85"/>
      <c r="W125" s="85"/>
      <c r="X125" s="85"/>
      <c r="Y125" s="85"/>
      <c r="Z125" s="85"/>
    </row>
    <row r="126" spans="1:26" ht="15.75" customHeight="1">
      <c r="A126" s="195">
        <v>22</v>
      </c>
      <c r="B126" s="195" t="s">
        <v>189</v>
      </c>
      <c r="C126" s="195" t="s">
        <v>190</v>
      </c>
      <c r="D126" s="196">
        <v>30172</v>
      </c>
      <c r="E126" s="14" t="s">
        <v>1284</v>
      </c>
      <c r="F126" s="184">
        <v>40</v>
      </c>
      <c r="G126" s="14">
        <v>0</v>
      </c>
      <c r="H126" s="14"/>
      <c r="I126" s="14">
        <v>1</v>
      </c>
      <c r="J126" s="184" t="s">
        <v>1179</v>
      </c>
      <c r="K126" s="14"/>
      <c r="L126" s="85"/>
      <c r="M126" s="85"/>
      <c r="N126" s="85"/>
      <c r="O126" s="85"/>
      <c r="P126" s="85"/>
      <c r="Q126" s="85"/>
      <c r="R126" s="85"/>
      <c r="S126" s="85"/>
      <c r="T126" s="85"/>
      <c r="U126" s="85"/>
      <c r="V126" s="85"/>
      <c r="W126" s="85"/>
      <c r="X126" s="85"/>
      <c r="Y126" s="85"/>
      <c r="Z126" s="85"/>
    </row>
    <row r="127" spans="1:26" ht="15.75" customHeight="1">
      <c r="A127" s="197">
        <v>23</v>
      </c>
      <c r="B127" s="197" t="s">
        <v>193</v>
      </c>
      <c r="C127" s="197" t="s">
        <v>194</v>
      </c>
      <c r="D127" s="198">
        <v>30183</v>
      </c>
      <c r="E127" s="14" t="s">
        <v>1285</v>
      </c>
      <c r="F127" s="184">
        <v>46</v>
      </c>
      <c r="G127" s="14">
        <v>0</v>
      </c>
      <c r="H127" s="184">
        <v>2</v>
      </c>
      <c r="I127" s="14">
        <v>2</v>
      </c>
      <c r="J127" s="14" t="s">
        <v>1286</v>
      </c>
      <c r="K127" s="14"/>
      <c r="L127" s="85"/>
      <c r="M127" s="85"/>
      <c r="N127" s="85"/>
      <c r="O127" s="85"/>
      <c r="P127" s="85"/>
      <c r="Q127" s="85"/>
      <c r="R127" s="85"/>
      <c r="S127" s="85"/>
      <c r="T127" s="85"/>
      <c r="U127" s="85"/>
      <c r="V127" s="85"/>
      <c r="W127" s="85"/>
      <c r="X127" s="85"/>
      <c r="Y127" s="85"/>
      <c r="Z127" s="85"/>
    </row>
    <row r="128" spans="1:26" ht="15.75" customHeight="1">
      <c r="A128" s="197">
        <v>23</v>
      </c>
      <c r="B128" s="197" t="s">
        <v>193</v>
      </c>
      <c r="C128" s="197" t="s">
        <v>194</v>
      </c>
      <c r="D128" s="198">
        <v>30183</v>
      </c>
      <c r="E128" s="14" t="s">
        <v>1287</v>
      </c>
      <c r="F128" s="184">
        <v>53</v>
      </c>
      <c r="G128" s="14">
        <v>0</v>
      </c>
      <c r="H128" s="14"/>
      <c r="I128" s="14">
        <v>2</v>
      </c>
      <c r="J128" s="185" t="s">
        <v>1286</v>
      </c>
      <c r="K128" s="14"/>
      <c r="L128" s="85"/>
      <c r="M128" s="85"/>
      <c r="N128" s="85"/>
      <c r="O128" s="85"/>
      <c r="P128" s="85"/>
      <c r="Q128" s="85"/>
      <c r="R128" s="85"/>
      <c r="S128" s="85"/>
      <c r="T128" s="85"/>
      <c r="U128" s="85"/>
      <c r="V128" s="85"/>
      <c r="W128" s="85"/>
      <c r="X128" s="85"/>
      <c r="Y128" s="85"/>
      <c r="Z128" s="85"/>
    </row>
    <row r="129" spans="1:26" ht="15.75" customHeight="1">
      <c r="A129" s="197">
        <v>23</v>
      </c>
      <c r="B129" s="197" t="s">
        <v>193</v>
      </c>
      <c r="C129" s="197" t="s">
        <v>194</v>
      </c>
      <c r="D129" s="198">
        <v>30183</v>
      </c>
      <c r="E129" s="14" t="s">
        <v>1288</v>
      </c>
      <c r="F129" s="184">
        <v>47</v>
      </c>
      <c r="G129" s="14">
        <v>0</v>
      </c>
      <c r="H129" s="14"/>
      <c r="I129" s="14">
        <v>2</v>
      </c>
      <c r="J129" s="185" t="s">
        <v>1286</v>
      </c>
      <c r="K129" s="14"/>
      <c r="L129" s="85"/>
      <c r="M129" s="85"/>
      <c r="N129" s="85"/>
      <c r="O129" s="85"/>
      <c r="P129" s="85"/>
      <c r="Q129" s="85"/>
      <c r="R129" s="85"/>
      <c r="S129" s="85"/>
      <c r="T129" s="85"/>
      <c r="U129" s="85"/>
      <c r="V129" s="85"/>
      <c r="W129" s="85"/>
      <c r="X129" s="85"/>
      <c r="Y129" s="85"/>
      <c r="Z129" s="85"/>
    </row>
    <row r="130" spans="1:26" ht="15.75" customHeight="1">
      <c r="A130" s="197">
        <v>23</v>
      </c>
      <c r="B130" s="197" t="s">
        <v>193</v>
      </c>
      <c r="C130" s="197" t="s">
        <v>194</v>
      </c>
      <c r="D130" s="198">
        <v>30183</v>
      </c>
      <c r="E130" s="14" t="s">
        <v>1289</v>
      </c>
      <c r="F130" s="184">
        <v>67</v>
      </c>
      <c r="G130" s="14">
        <v>1</v>
      </c>
      <c r="H130" s="14"/>
      <c r="I130" s="14">
        <v>2</v>
      </c>
      <c r="J130" s="14" t="s">
        <v>1290</v>
      </c>
      <c r="K130" s="14"/>
      <c r="L130" s="85"/>
      <c r="M130" s="85"/>
      <c r="N130" s="85"/>
      <c r="O130" s="85"/>
      <c r="P130" s="85"/>
      <c r="Q130" s="85"/>
      <c r="R130" s="85"/>
      <c r="S130" s="85"/>
      <c r="T130" s="85"/>
      <c r="U130" s="85"/>
      <c r="V130" s="85"/>
      <c r="W130" s="85"/>
      <c r="X130" s="85"/>
      <c r="Y130" s="85"/>
      <c r="Z130" s="85"/>
    </row>
    <row r="131" spans="1:26" ht="15.75" customHeight="1">
      <c r="A131" s="197">
        <v>23</v>
      </c>
      <c r="B131" s="197" t="s">
        <v>193</v>
      </c>
      <c r="C131" s="197" t="s">
        <v>194</v>
      </c>
      <c r="D131" s="198">
        <v>30183</v>
      </c>
      <c r="E131" s="14" t="s">
        <v>1291</v>
      </c>
      <c r="F131" s="184">
        <v>78</v>
      </c>
      <c r="G131" s="14">
        <v>0</v>
      </c>
      <c r="H131" s="14"/>
      <c r="I131" s="14">
        <v>2</v>
      </c>
      <c r="J131" s="185" t="s">
        <v>1286</v>
      </c>
      <c r="K131" s="14"/>
      <c r="L131" s="85"/>
      <c r="M131" s="85"/>
      <c r="N131" s="85"/>
      <c r="O131" s="85"/>
      <c r="P131" s="85"/>
      <c r="Q131" s="85"/>
      <c r="R131" s="85"/>
      <c r="S131" s="85"/>
      <c r="T131" s="85"/>
      <c r="U131" s="85"/>
      <c r="V131" s="85"/>
      <c r="W131" s="85"/>
      <c r="X131" s="85"/>
      <c r="Y131" s="85"/>
      <c r="Z131" s="85"/>
    </row>
    <row r="132" spans="1:26" ht="15.75" customHeight="1">
      <c r="A132" s="197">
        <v>23</v>
      </c>
      <c r="B132" s="197" t="s">
        <v>193</v>
      </c>
      <c r="C132" s="197" t="s">
        <v>194</v>
      </c>
      <c r="D132" s="198">
        <v>30183</v>
      </c>
      <c r="E132" s="14" t="s">
        <v>1292</v>
      </c>
      <c r="F132" s="184">
        <v>29</v>
      </c>
      <c r="G132" s="14">
        <v>1</v>
      </c>
      <c r="H132" s="184">
        <v>0</v>
      </c>
      <c r="I132" s="14">
        <v>2</v>
      </c>
      <c r="J132" s="185" t="s">
        <v>1290</v>
      </c>
      <c r="K132" s="14"/>
      <c r="L132" s="85"/>
      <c r="M132" s="85"/>
      <c r="N132" s="85"/>
      <c r="O132" s="85"/>
      <c r="P132" s="85"/>
      <c r="Q132" s="85"/>
      <c r="R132" s="85"/>
      <c r="S132" s="85"/>
      <c r="T132" s="85"/>
      <c r="U132" s="85"/>
      <c r="V132" s="85"/>
      <c r="W132" s="85"/>
      <c r="X132" s="85"/>
      <c r="Y132" s="85"/>
      <c r="Z132" s="85"/>
    </row>
    <row r="133" spans="1:26" ht="15.75" customHeight="1">
      <c r="A133" s="197">
        <v>23</v>
      </c>
      <c r="B133" s="197" t="s">
        <v>193</v>
      </c>
      <c r="C133" s="197" t="s">
        <v>194</v>
      </c>
      <c r="D133" s="198">
        <v>30183</v>
      </c>
      <c r="E133" s="14" t="s">
        <v>1293</v>
      </c>
      <c r="F133" s="184">
        <v>38</v>
      </c>
      <c r="G133" s="14">
        <v>0</v>
      </c>
      <c r="H133" s="184">
        <v>2</v>
      </c>
      <c r="I133" s="14">
        <v>2</v>
      </c>
      <c r="J133" s="185" t="s">
        <v>1286</v>
      </c>
      <c r="K133" s="14"/>
      <c r="L133" s="85"/>
      <c r="M133" s="85"/>
      <c r="N133" s="85"/>
      <c r="O133" s="85"/>
      <c r="P133" s="85"/>
      <c r="Q133" s="85"/>
      <c r="R133" s="85"/>
      <c r="S133" s="85"/>
      <c r="T133" s="85"/>
      <c r="U133" s="85"/>
      <c r="V133" s="85"/>
      <c r="W133" s="85"/>
      <c r="X133" s="85"/>
      <c r="Y133" s="85"/>
      <c r="Z133" s="85"/>
    </row>
    <row r="134" spans="1:26" ht="15.75" customHeight="1">
      <c r="A134" s="197">
        <v>23</v>
      </c>
      <c r="B134" s="197" t="s">
        <v>193</v>
      </c>
      <c r="C134" s="197" t="s">
        <v>194</v>
      </c>
      <c r="D134" s="198">
        <v>30183</v>
      </c>
      <c r="E134" s="14" t="s">
        <v>1294</v>
      </c>
      <c r="F134" s="184">
        <v>43</v>
      </c>
      <c r="G134" s="14">
        <v>0</v>
      </c>
      <c r="H134" s="184">
        <v>2</v>
      </c>
      <c r="I134" s="14">
        <v>2</v>
      </c>
      <c r="J134" s="185" t="s">
        <v>1286</v>
      </c>
      <c r="K134" s="14"/>
      <c r="L134" s="85"/>
      <c r="M134" s="85"/>
      <c r="N134" s="85"/>
      <c r="O134" s="85"/>
      <c r="P134" s="85"/>
      <c r="Q134" s="85"/>
      <c r="R134" s="85"/>
      <c r="S134" s="85"/>
      <c r="T134" s="85"/>
      <c r="U134" s="85"/>
      <c r="V134" s="85"/>
      <c r="W134" s="85"/>
      <c r="X134" s="85"/>
      <c r="Y134" s="85"/>
      <c r="Z134" s="85"/>
    </row>
    <row r="135" spans="1:26" ht="15.75" customHeight="1">
      <c r="A135" s="207">
        <v>24</v>
      </c>
      <c r="B135" s="207" t="s">
        <v>197</v>
      </c>
      <c r="C135" s="207" t="s">
        <v>198</v>
      </c>
      <c r="D135" s="208">
        <v>30350</v>
      </c>
      <c r="E135" s="14" t="s">
        <v>1295</v>
      </c>
      <c r="F135" s="184">
        <v>25</v>
      </c>
      <c r="G135" s="14">
        <v>1</v>
      </c>
      <c r="H135" s="14"/>
      <c r="I135" s="14">
        <v>1</v>
      </c>
      <c r="J135" s="14" t="s">
        <v>1150</v>
      </c>
      <c r="K135" s="14"/>
      <c r="L135" s="85"/>
      <c r="M135" s="85"/>
      <c r="N135" s="85"/>
      <c r="O135" s="85"/>
      <c r="P135" s="85"/>
      <c r="Q135" s="85"/>
      <c r="R135" s="85"/>
      <c r="S135" s="85"/>
      <c r="T135" s="85"/>
      <c r="U135" s="85"/>
      <c r="V135" s="85"/>
      <c r="W135" s="85"/>
      <c r="X135" s="85"/>
      <c r="Y135" s="85"/>
      <c r="Z135" s="85"/>
    </row>
    <row r="136" spans="1:26" ht="15.75" customHeight="1">
      <c r="A136" s="207">
        <v>24</v>
      </c>
      <c r="B136" s="207" t="s">
        <v>197</v>
      </c>
      <c r="C136" s="207" t="s">
        <v>198</v>
      </c>
      <c r="D136" s="208">
        <v>30350</v>
      </c>
      <c r="E136" s="14" t="s">
        <v>1296</v>
      </c>
      <c r="F136" s="184">
        <v>61</v>
      </c>
      <c r="G136" s="14">
        <v>0</v>
      </c>
      <c r="H136" s="14"/>
      <c r="I136" s="14">
        <v>1</v>
      </c>
      <c r="J136" s="14" t="s">
        <v>1297</v>
      </c>
      <c r="K136" s="14"/>
      <c r="L136" s="85"/>
      <c r="M136" s="85"/>
      <c r="N136" s="85"/>
      <c r="O136" s="85"/>
      <c r="P136" s="85"/>
      <c r="Q136" s="85"/>
      <c r="R136" s="85"/>
      <c r="S136" s="85"/>
      <c r="T136" s="85"/>
      <c r="U136" s="85"/>
      <c r="V136" s="85"/>
      <c r="W136" s="85"/>
      <c r="X136" s="85"/>
      <c r="Y136" s="85"/>
      <c r="Z136" s="85"/>
    </row>
    <row r="137" spans="1:26" ht="15.75" customHeight="1">
      <c r="A137" s="207">
        <v>24</v>
      </c>
      <c r="B137" s="207" t="s">
        <v>197</v>
      </c>
      <c r="C137" s="207" t="s">
        <v>198</v>
      </c>
      <c r="D137" s="208">
        <v>30350</v>
      </c>
      <c r="E137" s="14" t="s">
        <v>1298</v>
      </c>
      <c r="F137" s="184">
        <v>20</v>
      </c>
      <c r="G137" s="14">
        <v>0</v>
      </c>
      <c r="H137" s="14"/>
      <c r="I137" s="184">
        <v>2</v>
      </c>
      <c r="J137" s="14" t="s">
        <v>1299</v>
      </c>
      <c r="K137" s="14"/>
      <c r="L137" s="85"/>
      <c r="M137" s="85"/>
      <c r="N137" s="85"/>
      <c r="O137" s="85"/>
      <c r="P137" s="85"/>
      <c r="Q137" s="85"/>
      <c r="R137" s="85"/>
      <c r="S137" s="85"/>
      <c r="T137" s="85"/>
      <c r="U137" s="85"/>
      <c r="V137" s="85"/>
      <c r="W137" s="85"/>
      <c r="X137" s="85"/>
      <c r="Y137" s="85"/>
      <c r="Z137" s="85"/>
    </row>
    <row r="138" spans="1:26" ht="15.75" customHeight="1">
      <c r="A138" s="207">
        <v>24</v>
      </c>
      <c r="B138" s="207" t="s">
        <v>197</v>
      </c>
      <c r="C138" s="207" t="s">
        <v>198</v>
      </c>
      <c r="D138" s="208">
        <v>30350</v>
      </c>
      <c r="E138" s="14" t="s">
        <v>1300</v>
      </c>
      <c r="F138" s="184">
        <v>12</v>
      </c>
      <c r="G138" s="14">
        <v>1</v>
      </c>
      <c r="H138" s="14"/>
      <c r="I138" s="184">
        <v>1</v>
      </c>
      <c r="J138" s="14" t="s">
        <v>1301</v>
      </c>
      <c r="K138" s="14"/>
      <c r="L138" s="85"/>
      <c r="M138" s="85"/>
      <c r="N138" s="85"/>
      <c r="O138" s="85"/>
      <c r="P138" s="85"/>
      <c r="Q138" s="85"/>
      <c r="R138" s="85"/>
      <c r="S138" s="85"/>
      <c r="T138" s="85"/>
      <c r="U138" s="85"/>
      <c r="V138" s="85"/>
      <c r="W138" s="85"/>
      <c r="X138" s="85"/>
      <c r="Y138" s="85"/>
      <c r="Z138" s="85"/>
    </row>
    <row r="139" spans="1:26" ht="15.75" customHeight="1">
      <c r="A139" s="199">
        <v>25</v>
      </c>
      <c r="B139" s="199" t="s">
        <v>201</v>
      </c>
      <c r="C139" s="199" t="s">
        <v>202</v>
      </c>
      <c r="D139" s="200">
        <v>30376</v>
      </c>
      <c r="E139" s="14" t="s">
        <v>1302</v>
      </c>
      <c r="F139" s="14">
        <v>52</v>
      </c>
      <c r="G139" s="14">
        <v>1</v>
      </c>
      <c r="H139" s="184" t="str">
        <f>HYPERLINK("https://www.findagrave.com/memorial/168829495/maxine-beverly-edwards","0")</f>
        <v>0</v>
      </c>
      <c r="I139" s="14">
        <v>1</v>
      </c>
      <c r="J139" s="184" t="s">
        <v>1182</v>
      </c>
      <c r="K139" s="14"/>
      <c r="L139" s="85"/>
      <c r="M139" s="85"/>
      <c r="N139" s="85"/>
      <c r="O139" s="85"/>
      <c r="P139" s="85"/>
      <c r="Q139" s="85"/>
      <c r="R139" s="85"/>
      <c r="S139" s="85"/>
      <c r="T139" s="85"/>
      <c r="U139" s="85"/>
      <c r="V139" s="85"/>
      <c r="W139" s="85"/>
      <c r="X139" s="85"/>
      <c r="Y139" s="85"/>
      <c r="Z139" s="85"/>
    </row>
    <row r="140" spans="1:26" ht="15.75" customHeight="1">
      <c r="A140" s="199">
        <v>25</v>
      </c>
      <c r="B140" s="199" t="s">
        <v>201</v>
      </c>
      <c r="C140" s="199" t="s">
        <v>202</v>
      </c>
      <c r="D140" s="200">
        <v>30376</v>
      </c>
      <c r="E140" s="14" t="s">
        <v>1303</v>
      </c>
      <c r="F140" s="14">
        <v>58</v>
      </c>
      <c r="G140" s="14">
        <v>1</v>
      </c>
      <c r="H140" s="184" t="str">
        <f>HYPERLINK("https://www.findagrave.com/memorial/114371338/florence-evelyn-hegland","0")</f>
        <v>0</v>
      </c>
      <c r="I140" s="14">
        <v>1</v>
      </c>
      <c r="J140" s="184" t="s">
        <v>1182</v>
      </c>
      <c r="K140" s="14"/>
      <c r="L140" s="85"/>
      <c r="M140" s="85"/>
      <c r="N140" s="85"/>
      <c r="O140" s="85"/>
      <c r="P140" s="85"/>
      <c r="Q140" s="85"/>
      <c r="R140" s="85"/>
      <c r="S140" s="85"/>
      <c r="T140" s="85"/>
      <c r="U140" s="85"/>
      <c r="V140" s="85"/>
      <c r="W140" s="85"/>
      <c r="X140" s="85"/>
      <c r="Y140" s="85"/>
      <c r="Z140" s="85"/>
    </row>
    <row r="141" spans="1:26" ht="15.75" customHeight="1">
      <c r="A141" s="199">
        <v>25</v>
      </c>
      <c r="B141" s="199" t="s">
        <v>201</v>
      </c>
      <c r="C141" s="199" t="s">
        <v>202</v>
      </c>
      <c r="D141" s="200">
        <v>30376</v>
      </c>
      <c r="E141" s="14" t="s">
        <v>1304</v>
      </c>
      <c r="F141" s="14">
        <v>64</v>
      </c>
      <c r="G141" s="14">
        <v>0</v>
      </c>
      <c r="H141" s="184" t="str">
        <f>HYPERLINK("https://www.findagrave.com/memorial/114371418/lester-e_-hegland","0")</f>
        <v>0</v>
      </c>
      <c r="I141" s="14">
        <v>1</v>
      </c>
      <c r="J141" s="184" t="s">
        <v>1182</v>
      </c>
      <c r="K141" s="14"/>
      <c r="L141" s="85"/>
      <c r="M141" s="85"/>
      <c r="N141" s="85"/>
      <c r="O141" s="85"/>
      <c r="P141" s="85"/>
      <c r="Q141" s="85"/>
      <c r="R141" s="85"/>
      <c r="S141" s="85"/>
      <c r="T141" s="85"/>
      <c r="U141" s="85"/>
      <c r="V141" s="85"/>
      <c r="W141" s="85"/>
      <c r="X141" s="85"/>
      <c r="Y141" s="85"/>
      <c r="Z141" s="85"/>
    </row>
    <row r="142" spans="1:26" ht="15.75" customHeight="1">
      <c r="A142" s="199">
        <v>25</v>
      </c>
      <c r="B142" s="199" t="s">
        <v>201</v>
      </c>
      <c r="C142" s="199" t="s">
        <v>202</v>
      </c>
      <c r="D142" s="200">
        <v>30376</v>
      </c>
      <c r="E142" s="14" t="s">
        <v>1305</v>
      </c>
      <c r="F142" s="184" t="str">
        <f>HYPERLINK("https://www.findagrave.com/memorial/114371924/harley-king","61")</f>
        <v>61</v>
      </c>
      <c r="G142" s="14">
        <v>0</v>
      </c>
      <c r="H142" s="14"/>
      <c r="I142" s="14">
        <v>1</v>
      </c>
      <c r="J142" s="184" t="s">
        <v>1182</v>
      </c>
      <c r="K142" s="14"/>
      <c r="L142" s="85"/>
      <c r="M142" s="85"/>
      <c r="N142" s="85"/>
      <c r="O142" s="85"/>
      <c r="P142" s="85"/>
      <c r="Q142" s="85"/>
      <c r="R142" s="85"/>
      <c r="S142" s="85"/>
      <c r="T142" s="85"/>
      <c r="U142" s="85"/>
      <c r="V142" s="85"/>
      <c r="W142" s="85"/>
      <c r="X142" s="85"/>
      <c r="Y142" s="85"/>
      <c r="Z142" s="85"/>
    </row>
    <row r="143" spans="1:26" ht="15.75" customHeight="1">
      <c r="A143" s="199">
        <v>25</v>
      </c>
      <c r="B143" s="199" t="s">
        <v>201</v>
      </c>
      <c r="C143" s="199" t="s">
        <v>202</v>
      </c>
      <c r="D143" s="200">
        <v>30376</v>
      </c>
      <c r="E143" s="14" t="s">
        <v>1306</v>
      </c>
      <c r="F143" s="184">
        <v>25</v>
      </c>
      <c r="G143" s="14">
        <v>1</v>
      </c>
      <c r="H143" s="14"/>
      <c r="I143" s="14">
        <v>1</v>
      </c>
      <c r="J143" s="184" t="s">
        <v>1182</v>
      </c>
      <c r="K143" s="14"/>
      <c r="L143" s="85"/>
      <c r="M143" s="85"/>
      <c r="N143" s="85"/>
      <c r="O143" s="85"/>
      <c r="P143" s="85"/>
      <c r="Q143" s="85"/>
      <c r="R143" s="85"/>
      <c r="S143" s="85"/>
      <c r="T143" s="85"/>
      <c r="U143" s="85"/>
      <c r="V143" s="85"/>
      <c r="W143" s="85"/>
      <c r="X143" s="85"/>
      <c r="Y143" s="85"/>
      <c r="Z143" s="85"/>
    </row>
    <row r="144" spans="1:26" ht="15.75" customHeight="1">
      <c r="A144" s="199">
        <v>25</v>
      </c>
      <c r="B144" s="199" t="s">
        <v>201</v>
      </c>
      <c r="C144" s="199" t="s">
        <v>202</v>
      </c>
      <c r="D144" s="200">
        <v>30376</v>
      </c>
      <c r="E144" s="14" t="s">
        <v>1307</v>
      </c>
      <c r="F144" s="184">
        <v>37</v>
      </c>
      <c r="G144" s="14">
        <v>0</v>
      </c>
      <c r="H144" s="14"/>
      <c r="I144" s="14">
        <v>1</v>
      </c>
      <c r="J144" s="184" t="s">
        <v>1182</v>
      </c>
      <c r="K144" s="14"/>
      <c r="L144" s="85"/>
      <c r="M144" s="85"/>
      <c r="N144" s="85"/>
      <c r="O144" s="85"/>
      <c r="P144" s="85"/>
      <c r="Q144" s="85"/>
      <c r="R144" s="85"/>
      <c r="S144" s="85"/>
      <c r="T144" s="85"/>
      <c r="U144" s="85"/>
      <c r="V144" s="85"/>
      <c r="W144" s="85"/>
      <c r="X144" s="85"/>
      <c r="Y144" s="85"/>
      <c r="Z144" s="85"/>
    </row>
    <row r="145" spans="1:26" ht="15.75" customHeight="1">
      <c r="A145" s="191">
        <v>26</v>
      </c>
      <c r="B145" s="191" t="s">
        <v>207</v>
      </c>
      <c r="C145" s="191" t="s">
        <v>208</v>
      </c>
      <c r="D145" s="192">
        <v>30600</v>
      </c>
      <c r="E145" s="14" t="s">
        <v>1308</v>
      </c>
      <c r="F145" s="184" t="str">
        <f>HYPERLINK("https://www.findagrave.com/memorial/31711088/anne-m_-bennatt","70")</f>
        <v>70</v>
      </c>
      <c r="G145" s="14">
        <v>1</v>
      </c>
      <c r="H145" s="14"/>
      <c r="I145" s="184">
        <v>0</v>
      </c>
      <c r="J145" s="14" t="s">
        <v>100</v>
      </c>
      <c r="K145" s="14"/>
      <c r="L145" s="85"/>
      <c r="M145" s="85"/>
      <c r="N145" s="85"/>
      <c r="O145" s="85"/>
      <c r="P145" s="85"/>
      <c r="Q145" s="85"/>
      <c r="R145" s="85"/>
      <c r="S145" s="85"/>
      <c r="T145" s="85"/>
      <c r="U145" s="85"/>
      <c r="V145" s="85"/>
      <c r="W145" s="85"/>
      <c r="X145" s="85"/>
      <c r="Y145" s="85"/>
      <c r="Z145" s="85"/>
    </row>
    <row r="146" spans="1:26" ht="15.75" customHeight="1">
      <c r="A146" s="191">
        <v>26</v>
      </c>
      <c r="B146" s="191" t="s">
        <v>207</v>
      </c>
      <c r="C146" s="191" t="s">
        <v>208</v>
      </c>
      <c r="D146" s="192">
        <v>30600</v>
      </c>
      <c r="E146" s="14" t="s">
        <v>1309</v>
      </c>
      <c r="F146" s="184" t="str">
        <f>HYPERLINK("https://www.findagrave.com/memorial/31711096/james-aubry-bennatt","62")</f>
        <v>62</v>
      </c>
      <c r="G146" s="14">
        <v>0</v>
      </c>
      <c r="H146" s="14"/>
      <c r="I146" s="184">
        <v>0</v>
      </c>
      <c r="J146" s="14" t="s">
        <v>100</v>
      </c>
      <c r="K146" s="14"/>
      <c r="L146" s="85"/>
      <c r="M146" s="85"/>
      <c r="N146" s="85"/>
      <c r="O146" s="85"/>
      <c r="P146" s="85"/>
      <c r="Q146" s="85"/>
      <c r="R146" s="85"/>
      <c r="S146" s="85"/>
      <c r="T146" s="85"/>
      <c r="U146" s="85"/>
      <c r="V146" s="85"/>
      <c r="W146" s="85"/>
      <c r="X146" s="85"/>
      <c r="Y146" s="85"/>
      <c r="Z146" s="85"/>
    </row>
    <row r="147" spans="1:26" ht="15.75" customHeight="1">
      <c r="A147" s="191">
        <v>26</v>
      </c>
      <c r="B147" s="191" t="s">
        <v>207</v>
      </c>
      <c r="C147" s="191" t="s">
        <v>208</v>
      </c>
      <c r="D147" s="192">
        <v>30600</v>
      </c>
      <c r="E147" s="14" t="s">
        <v>1310</v>
      </c>
      <c r="F147" s="184">
        <v>25</v>
      </c>
      <c r="G147" s="14">
        <v>0</v>
      </c>
      <c r="H147" s="184" t="str">
        <f>HYPERLINK("https://www.findagrave.com/memorial/6447483/russell-lynn-boyd","0")</f>
        <v>0</v>
      </c>
      <c r="I147" s="14">
        <v>0</v>
      </c>
      <c r="J147" s="14" t="s">
        <v>100</v>
      </c>
      <c r="K147" s="14"/>
      <c r="L147" s="85"/>
      <c r="M147" s="85"/>
      <c r="N147" s="85"/>
      <c r="O147" s="85"/>
      <c r="P147" s="85"/>
      <c r="Q147" s="85"/>
      <c r="R147" s="85"/>
      <c r="S147" s="85"/>
      <c r="T147" s="85"/>
      <c r="U147" s="85"/>
      <c r="V147" s="85"/>
      <c r="W147" s="85"/>
      <c r="X147" s="85"/>
      <c r="Y147" s="85"/>
      <c r="Z147" s="85"/>
    </row>
    <row r="148" spans="1:26" ht="15.75" customHeight="1">
      <c r="A148" s="191">
        <v>26</v>
      </c>
      <c r="B148" s="191" t="s">
        <v>207</v>
      </c>
      <c r="C148" s="191" t="s">
        <v>208</v>
      </c>
      <c r="D148" s="192">
        <v>30600</v>
      </c>
      <c r="E148" s="14" t="s">
        <v>1311</v>
      </c>
      <c r="F148" s="184">
        <v>31</v>
      </c>
      <c r="G148" s="14">
        <v>1</v>
      </c>
      <c r="H148" s="14">
        <v>2</v>
      </c>
      <c r="I148" s="184">
        <v>1</v>
      </c>
      <c r="J148" s="14" t="s">
        <v>1312</v>
      </c>
      <c r="K148" s="14"/>
      <c r="L148" s="85"/>
      <c r="M148" s="85"/>
      <c r="N148" s="85"/>
      <c r="O148" s="85"/>
      <c r="P148" s="85"/>
      <c r="Q148" s="85"/>
      <c r="R148" s="85"/>
      <c r="S148" s="85"/>
      <c r="T148" s="85"/>
      <c r="U148" s="85"/>
      <c r="V148" s="85"/>
      <c r="W148" s="85"/>
      <c r="X148" s="85"/>
      <c r="Y148" s="85"/>
      <c r="Z148" s="85"/>
    </row>
    <row r="149" spans="1:26" ht="15.75" customHeight="1">
      <c r="A149" s="191">
        <v>26</v>
      </c>
      <c r="B149" s="191" t="s">
        <v>207</v>
      </c>
      <c r="C149" s="191" t="s">
        <v>208</v>
      </c>
      <c r="D149" s="192">
        <v>30600</v>
      </c>
      <c r="E149" s="14" t="s">
        <v>1313</v>
      </c>
      <c r="F149" s="184">
        <v>30</v>
      </c>
      <c r="G149" s="14">
        <v>0</v>
      </c>
      <c r="H149" s="14">
        <v>2</v>
      </c>
      <c r="I149" s="184">
        <v>1</v>
      </c>
      <c r="J149" s="14" t="s">
        <v>1314</v>
      </c>
      <c r="K149" s="14"/>
      <c r="L149" s="85"/>
      <c r="M149" s="85"/>
      <c r="N149" s="85"/>
      <c r="O149" s="85"/>
      <c r="P149" s="85"/>
      <c r="Q149" s="85"/>
      <c r="R149" s="85"/>
      <c r="S149" s="85"/>
      <c r="T149" s="85"/>
      <c r="U149" s="85"/>
      <c r="V149" s="85"/>
      <c r="W149" s="85"/>
      <c r="X149" s="85"/>
      <c r="Y149" s="85"/>
      <c r="Z149" s="85"/>
    </row>
    <row r="150" spans="1:26" ht="15.75" customHeight="1">
      <c r="A150" s="191">
        <v>26</v>
      </c>
      <c r="B150" s="191" t="s">
        <v>207</v>
      </c>
      <c r="C150" s="191" t="s">
        <v>208</v>
      </c>
      <c r="D150" s="192">
        <v>30600</v>
      </c>
      <c r="E150" s="14" t="s">
        <v>1315</v>
      </c>
      <c r="F150" s="184">
        <v>79</v>
      </c>
      <c r="G150" s="14">
        <v>1</v>
      </c>
      <c r="H150" s="14"/>
      <c r="I150" s="14">
        <v>0</v>
      </c>
      <c r="J150" s="14" t="s">
        <v>100</v>
      </c>
      <c r="K150" s="14"/>
      <c r="L150" s="85"/>
      <c r="M150" s="85"/>
      <c r="N150" s="85"/>
      <c r="O150" s="85"/>
      <c r="P150" s="85"/>
      <c r="Q150" s="85"/>
      <c r="R150" s="85"/>
      <c r="S150" s="85"/>
      <c r="T150" s="85"/>
      <c r="U150" s="85"/>
      <c r="V150" s="85"/>
      <c r="W150" s="85"/>
      <c r="X150" s="85"/>
      <c r="Y150" s="85"/>
      <c r="Z150" s="85"/>
    </row>
    <row r="151" spans="1:26" ht="15.75" customHeight="1">
      <c r="A151" s="201">
        <v>27</v>
      </c>
      <c r="B151" s="201" t="s">
        <v>211</v>
      </c>
      <c r="C151" s="201" t="s">
        <v>212</v>
      </c>
      <c r="D151" s="202">
        <v>30819</v>
      </c>
      <c r="E151" s="14" t="s">
        <v>1316</v>
      </c>
      <c r="F151" s="184" t="str">
        <f>HYPERLINK("https://www.findagrave.com/memorial/103395715/fred-burk","30")</f>
        <v>30</v>
      </c>
      <c r="G151" s="14">
        <v>0</v>
      </c>
      <c r="H151" s="14"/>
      <c r="I151" s="14">
        <v>2</v>
      </c>
      <c r="J151" s="184" t="s">
        <v>1317</v>
      </c>
      <c r="K151" s="14"/>
      <c r="L151" s="85"/>
      <c r="M151" s="85"/>
      <c r="N151" s="85"/>
      <c r="O151" s="85"/>
      <c r="P151" s="85"/>
      <c r="Q151" s="85"/>
      <c r="R151" s="85"/>
      <c r="S151" s="85"/>
      <c r="T151" s="85"/>
      <c r="U151" s="85"/>
      <c r="V151" s="85"/>
      <c r="W151" s="85"/>
      <c r="X151" s="85"/>
      <c r="Y151" s="85"/>
      <c r="Z151" s="85"/>
    </row>
    <row r="152" spans="1:26" ht="15.75" customHeight="1">
      <c r="A152" s="201">
        <v>27</v>
      </c>
      <c r="B152" s="201" t="s">
        <v>211</v>
      </c>
      <c r="C152" s="201" t="s">
        <v>212</v>
      </c>
      <c r="D152" s="202">
        <v>30819</v>
      </c>
      <c r="E152" s="14" t="s">
        <v>1318</v>
      </c>
      <c r="F152" s="184" t="str">
        <f>HYPERLINK("https://www.findagrave.com/memorial/114378370/larry-joe-mcvey","38")</f>
        <v>38</v>
      </c>
      <c r="G152" s="14">
        <v>0</v>
      </c>
      <c r="H152" s="14"/>
      <c r="I152" s="14">
        <v>2</v>
      </c>
      <c r="J152" s="186" t="s">
        <v>1317</v>
      </c>
      <c r="K152" s="14"/>
      <c r="L152" s="85"/>
      <c r="M152" s="85"/>
      <c r="N152" s="85"/>
      <c r="O152" s="85"/>
      <c r="P152" s="85"/>
      <c r="Q152" s="85"/>
      <c r="R152" s="85"/>
      <c r="S152" s="85"/>
      <c r="T152" s="85"/>
      <c r="U152" s="85"/>
      <c r="V152" s="85"/>
      <c r="W152" s="85"/>
      <c r="X152" s="85"/>
      <c r="Y152" s="85"/>
      <c r="Z152" s="85"/>
    </row>
    <row r="153" spans="1:26" ht="15.75" customHeight="1">
      <c r="A153" s="201">
        <v>27</v>
      </c>
      <c r="B153" s="201" t="s">
        <v>211</v>
      </c>
      <c r="C153" s="201" t="s">
        <v>212</v>
      </c>
      <c r="D153" s="202">
        <v>30819</v>
      </c>
      <c r="E153" s="14" t="s">
        <v>1319</v>
      </c>
      <c r="F153" s="184" t="str">
        <f>HYPERLINK("https://www.findagrave.com/memorial/114378045/dale-kevin-madajski","20")</f>
        <v>20</v>
      </c>
      <c r="G153" s="14">
        <v>0</v>
      </c>
      <c r="H153" s="14"/>
      <c r="I153" s="14">
        <v>2</v>
      </c>
      <c r="J153" s="186" t="s">
        <v>1317</v>
      </c>
      <c r="K153" s="14"/>
      <c r="L153" s="85"/>
      <c r="M153" s="85"/>
      <c r="N153" s="85"/>
      <c r="O153" s="85"/>
      <c r="P153" s="85"/>
      <c r="Q153" s="85"/>
      <c r="R153" s="85"/>
      <c r="S153" s="85"/>
      <c r="T153" s="85"/>
      <c r="U153" s="85"/>
      <c r="V153" s="85"/>
      <c r="W153" s="85"/>
      <c r="X153" s="85"/>
      <c r="Y153" s="85"/>
      <c r="Z153" s="85"/>
    </row>
    <row r="154" spans="1:26" ht="15.75" customHeight="1">
      <c r="A154" s="201">
        <v>27</v>
      </c>
      <c r="B154" s="201" t="s">
        <v>211</v>
      </c>
      <c r="C154" s="201" t="s">
        <v>212</v>
      </c>
      <c r="D154" s="202">
        <v>30819</v>
      </c>
      <c r="E154" s="14" t="s">
        <v>1320</v>
      </c>
      <c r="F154" s="184">
        <v>30</v>
      </c>
      <c r="G154" s="14">
        <v>1</v>
      </c>
      <c r="H154" s="14"/>
      <c r="I154" s="14">
        <v>2</v>
      </c>
      <c r="J154" s="186" t="s">
        <v>1317</v>
      </c>
      <c r="K154" s="14"/>
      <c r="L154" s="85"/>
      <c r="M154" s="85"/>
      <c r="N154" s="85"/>
      <c r="O154" s="85"/>
      <c r="P154" s="85"/>
      <c r="Q154" s="85"/>
      <c r="R154" s="85"/>
      <c r="S154" s="85"/>
      <c r="T154" s="85"/>
      <c r="U154" s="85"/>
      <c r="V154" s="85"/>
      <c r="W154" s="85"/>
      <c r="X154" s="85"/>
      <c r="Y154" s="85"/>
      <c r="Z154" s="85"/>
    </row>
    <row r="155" spans="1:26" ht="15.75" customHeight="1">
      <c r="A155" s="201">
        <v>27</v>
      </c>
      <c r="B155" s="201" t="s">
        <v>211</v>
      </c>
      <c r="C155" s="201" t="s">
        <v>212</v>
      </c>
      <c r="D155" s="202">
        <v>30819</v>
      </c>
      <c r="E155" s="14" t="s">
        <v>1321</v>
      </c>
      <c r="F155" s="184" t="str">
        <f>HYPERLINK("https://www.findagrave.com/memorial/103395860/lyman-marshall-klein","36")</f>
        <v>36</v>
      </c>
      <c r="G155" s="14">
        <v>0</v>
      </c>
      <c r="H155" s="14"/>
      <c r="I155" s="14">
        <v>2</v>
      </c>
      <c r="J155" s="186" t="s">
        <v>1317</v>
      </c>
      <c r="K155" s="14"/>
      <c r="L155" s="85"/>
      <c r="M155" s="85"/>
      <c r="N155" s="85"/>
      <c r="O155" s="85"/>
      <c r="P155" s="85"/>
      <c r="Q155" s="85"/>
      <c r="R155" s="85"/>
      <c r="S155" s="85"/>
      <c r="T155" s="85"/>
      <c r="U155" s="85"/>
      <c r="V155" s="85"/>
      <c r="W155" s="85"/>
      <c r="X155" s="85"/>
      <c r="Y155" s="85"/>
      <c r="Z155" s="85"/>
    </row>
    <row r="156" spans="1:26" ht="15.75" customHeight="1">
      <c r="A156" s="201">
        <v>27</v>
      </c>
      <c r="B156" s="201" t="s">
        <v>211</v>
      </c>
      <c r="C156" s="201" t="s">
        <v>212</v>
      </c>
      <c r="D156" s="202">
        <v>30819</v>
      </c>
      <c r="E156" s="14" t="s">
        <v>1322</v>
      </c>
      <c r="F156" s="184">
        <v>2</v>
      </c>
      <c r="G156" s="14">
        <v>0</v>
      </c>
      <c r="H156" s="14"/>
      <c r="I156" s="14">
        <v>0</v>
      </c>
      <c r="J156" s="14" t="s">
        <v>100</v>
      </c>
      <c r="K156" s="14"/>
      <c r="L156" s="85"/>
      <c r="M156" s="85"/>
      <c r="N156" s="85"/>
      <c r="O156" s="85"/>
      <c r="P156" s="85"/>
      <c r="Q156" s="85"/>
      <c r="R156" s="85"/>
      <c r="S156" s="85"/>
      <c r="T156" s="85"/>
      <c r="U156" s="85"/>
      <c r="V156" s="85"/>
      <c r="W156" s="85"/>
      <c r="X156" s="85"/>
      <c r="Y156" s="85"/>
      <c r="Z156" s="85"/>
    </row>
    <row r="157" spans="1:26" ht="15.75" customHeight="1">
      <c r="A157" s="201">
        <v>27</v>
      </c>
      <c r="B157" s="201" t="s">
        <v>211</v>
      </c>
      <c r="C157" s="201" t="s">
        <v>212</v>
      </c>
      <c r="D157" s="202">
        <v>30819</v>
      </c>
      <c r="E157" s="14" t="s">
        <v>1323</v>
      </c>
      <c r="F157" s="184" t="str">
        <f>HYPERLINK("https://www.findagrave.com/memorial/67301771/albert-moulton-hagen","27")</f>
        <v>27</v>
      </c>
      <c r="G157" s="14">
        <v>0</v>
      </c>
      <c r="H157" s="14"/>
      <c r="I157" s="14">
        <v>2</v>
      </c>
      <c r="J157" s="184" t="s">
        <v>1317</v>
      </c>
      <c r="K157" s="14"/>
      <c r="L157" s="85"/>
      <c r="M157" s="85"/>
      <c r="N157" s="85"/>
      <c r="O157" s="85"/>
      <c r="P157" s="85"/>
      <c r="Q157" s="85"/>
      <c r="R157" s="85"/>
      <c r="S157" s="85"/>
      <c r="T157" s="85"/>
      <c r="U157" s="85"/>
      <c r="V157" s="85"/>
      <c r="W157" s="85"/>
      <c r="X157" s="85"/>
      <c r="Y157" s="85"/>
      <c r="Z157" s="85"/>
    </row>
    <row r="158" spans="1:26" ht="15.75" customHeight="1">
      <c r="A158" s="201">
        <v>27</v>
      </c>
      <c r="B158" s="201" t="s">
        <v>211</v>
      </c>
      <c r="C158" s="201" t="s">
        <v>212</v>
      </c>
      <c r="D158" s="209">
        <v>30821</v>
      </c>
      <c r="E158" s="14" t="s">
        <v>1324</v>
      </c>
      <c r="F158" s="184">
        <v>34</v>
      </c>
      <c r="G158" s="14">
        <v>0</v>
      </c>
      <c r="H158" s="184" t="str">
        <f>HYPERLINK("https://www.findagrave.com/memorial/64494097/troy-_lynn_-duncan","0")</f>
        <v>0</v>
      </c>
      <c r="I158" s="14">
        <v>0</v>
      </c>
      <c r="J158" s="14" t="s">
        <v>100</v>
      </c>
      <c r="K158" s="14"/>
      <c r="L158" s="85"/>
      <c r="M158" s="85"/>
      <c r="N158" s="85"/>
      <c r="O158" s="85"/>
      <c r="P158" s="85"/>
      <c r="Q158" s="85"/>
      <c r="R158" s="85"/>
      <c r="S158" s="85"/>
      <c r="T158" s="85"/>
      <c r="U158" s="85"/>
      <c r="V158" s="85"/>
      <c r="W158" s="85"/>
      <c r="X158" s="85"/>
      <c r="Y158" s="85"/>
      <c r="Z158" s="85"/>
    </row>
    <row r="159" spans="1:26" ht="15.75" customHeight="1">
      <c r="A159" s="197">
        <v>28</v>
      </c>
      <c r="B159" s="197" t="s">
        <v>215</v>
      </c>
      <c r="C159" s="197" t="s">
        <v>216</v>
      </c>
      <c r="D159" s="198">
        <v>30862</v>
      </c>
      <c r="E159" s="14" t="s">
        <v>1325</v>
      </c>
      <c r="F159" s="184">
        <v>34</v>
      </c>
      <c r="G159" s="184">
        <v>1</v>
      </c>
      <c r="H159" s="14"/>
      <c r="I159" s="184">
        <v>1</v>
      </c>
      <c r="J159" s="14" t="s">
        <v>1326</v>
      </c>
      <c r="K159" s="14"/>
      <c r="L159" s="85"/>
      <c r="M159" s="85"/>
      <c r="N159" s="85"/>
      <c r="O159" s="85"/>
      <c r="P159" s="85"/>
      <c r="Q159" s="85"/>
      <c r="R159" s="85"/>
      <c r="S159" s="85"/>
      <c r="T159" s="85"/>
      <c r="U159" s="85"/>
      <c r="V159" s="85"/>
      <c r="W159" s="85"/>
      <c r="X159" s="85"/>
      <c r="Y159" s="85"/>
      <c r="Z159" s="85"/>
    </row>
    <row r="160" spans="1:26" ht="15.75" customHeight="1">
      <c r="A160" s="197">
        <v>28</v>
      </c>
      <c r="B160" s="197" t="s">
        <v>215</v>
      </c>
      <c r="C160" s="197" t="s">
        <v>216</v>
      </c>
      <c r="D160" s="198">
        <v>30862</v>
      </c>
      <c r="E160" s="14" t="s">
        <v>1327</v>
      </c>
      <c r="F160" s="184">
        <v>45</v>
      </c>
      <c r="G160" s="14">
        <v>1</v>
      </c>
      <c r="H160" s="14"/>
      <c r="I160" s="14">
        <v>0</v>
      </c>
      <c r="J160" s="14" t="s">
        <v>100</v>
      </c>
      <c r="K160" s="14"/>
      <c r="L160" s="85"/>
      <c r="M160" s="85"/>
      <c r="N160" s="85"/>
      <c r="O160" s="85"/>
      <c r="P160" s="85"/>
      <c r="Q160" s="85"/>
      <c r="R160" s="85"/>
      <c r="S160" s="85"/>
      <c r="T160" s="85"/>
      <c r="U160" s="85"/>
      <c r="V160" s="85"/>
      <c r="W160" s="85"/>
      <c r="X160" s="85"/>
      <c r="Y160" s="85"/>
      <c r="Z160" s="85"/>
    </row>
    <row r="161" spans="1:26" ht="15.75" customHeight="1">
      <c r="A161" s="197">
        <v>28</v>
      </c>
      <c r="B161" s="197" t="s">
        <v>215</v>
      </c>
      <c r="C161" s="197" t="s">
        <v>216</v>
      </c>
      <c r="D161" s="198">
        <v>30862</v>
      </c>
      <c r="E161" s="14" t="s">
        <v>1328</v>
      </c>
      <c r="F161" s="184">
        <v>43</v>
      </c>
      <c r="G161" s="14">
        <v>1</v>
      </c>
      <c r="H161" s="14"/>
      <c r="I161" s="14">
        <v>0</v>
      </c>
      <c r="J161" s="14" t="s">
        <v>100</v>
      </c>
      <c r="K161" s="14"/>
      <c r="L161" s="85"/>
      <c r="M161" s="85"/>
      <c r="N161" s="85"/>
      <c r="O161" s="85"/>
      <c r="P161" s="85"/>
      <c r="Q161" s="85"/>
      <c r="R161" s="85"/>
      <c r="S161" s="85"/>
      <c r="T161" s="85"/>
      <c r="U161" s="85"/>
      <c r="V161" s="85"/>
      <c r="W161" s="85"/>
      <c r="X161" s="85"/>
      <c r="Y161" s="85"/>
      <c r="Z161" s="85"/>
    </row>
    <row r="162" spans="1:26" ht="15.75" customHeight="1">
      <c r="A162" s="197">
        <v>28</v>
      </c>
      <c r="B162" s="197" t="s">
        <v>215</v>
      </c>
      <c r="C162" s="197" t="s">
        <v>216</v>
      </c>
      <c r="D162" s="198">
        <v>30862</v>
      </c>
      <c r="E162" s="14" t="s">
        <v>1329</v>
      </c>
      <c r="F162" s="184">
        <v>36</v>
      </c>
      <c r="G162" s="14">
        <v>0</v>
      </c>
      <c r="H162" s="14"/>
      <c r="I162" s="14">
        <v>0</v>
      </c>
      <c r="J162" s="14" t="s">
        <v>100</v>
      </c>
      <c r="K162" s="14"/>
      <c r="L162" s="85"/>
      <c r="M162" s="85"/>
      <c r="N162" s="85"/>
      <c r="O162" s="85"/>
      <c r="P162" s="85"/>
      <c r="Q162" s="85"/>
      <c r="R162" s="85"/>
      <c r="S162" s="85"/>
      <c r="T162" s="85"/>
      <c r="U162" s="85"/>
      <c r="V162" s="85"/>
      <c r="W162" s="85"/>
      <c r="X162" s="85"/>
      <c r="Y162" s="85"/>
      <c r="Z162" s="85"/>
    </row>
    <row r="163" spans="1:26" ht="15.75" customHeight="1">
      <c r="A163" s="197">
        <v>28</v>
      </c>
      <c r="B163" s="197" t="s">
        <v>215</v>
      </c>
      <c r="C163" s="197" t="s">
        <v>216</v>
      </c>
      <c r="D163" s="198">
        <v>30862</v>
      </c>
      <c r="E163" s="14" t="s">
        <v>1330</v>
      </c>
      <c r="F163" s="184">
        <v>49</v>
      </c>
      <c r="G163" s="14">
        <v>0</v>
      </c>
      <c r="H163" s="14"/>
      <c r="I163" s="14">
        <v>0</v>
      </c>
      <c r="J163" s="14" t="s">
        <v>100</v>
      </c>
      <c r="K163" s="14"/>
      <c r="L163" s="85"/>
      <c r="M163" s="85"/>
      <c r="N163" s="85"/>
      <c r="O163" s="85"/>
      <c r="P163" s="85"/>
      <c r="Q163" s="85"/>
      <c r="R163" s="85"/>
      <c r="S163" s="85"/>
      <c r="T163" s="85"/>
      <c r="U163" s="85"/>
      <c r="V163" s="85"/>
      <c r="W163" s="85"/>
      <c r="X163" s="85"/>
      <c r="Y163" s="85"/>
      <c r="Z163" s="85"/>
    </row>
    <row r="164" spans="1:26" ht="15.75" customHeight="1">
      <c r="A164" s="197">
        <v>28</v>
      </c>
      <c r="B164" s="197" t="s">
        <v>215</v>
      </c>
      <c r="C164" s="197" t="s">
        <v>216</v>
      </c>
      <c r="D164" s="198">
        <v>30862</v>
      </c>
      <c r="E164" s="14" t="s">
        <v>1331</v>
      </c>
      <c r="F164" s="184">
        <v>46</v>
      </c>
      <c r="G164" s="14">
        <v>1</v>
      </c>
      <c r="H164" s="14"/>
      <c r="I164" s="14">
        <v>0</v>
      </c>
      <c r="J164" s="14" t="s">
        <v>100</v>
      </c>
      <c r="K164" s="14"/>
      <c r="L164" s="85"/>
      <c r="M164" s="85"/>
      <c r="N164" s="85"/>
      <c r="O164" s="85"/>
      <c r="P164" s="85"/>
      <c r="Q164" s="85"/>
      <c r="R164" s="85"/>
      <c r="S164" s="85"/>
      <c r="T164" s="85"/>
      <c r="U164" s="85"/>
      <c r="V164" s="85"/>
      <c r="W164" s="85"/>
      <c r="X164" s="85"/>
      <c r="Y164" s="85"/>
      <c r="Z164" s="85"/>
    </row>
    <row r="165" spans="1:26" ht="15.75" customHeight="1">
      <c r="A165" s="193">
        <v>29</v>
      </c>
      <c r="B165" s="193" t="s">
        <v>220</v>
      </c>
      <c r="C165" s="193" t="s">
        <v>221</v>
      </c>
      <c r="D165" s="194">
        <v>30881</v>
      </c>
      <c r="E165" s="14" t="s">
        <v>1332</v>
      </c>
      <c r="F165" s="184">
        <v>19</v>
      </c>
      <c r="G165" s="14">
        <v>1</v>
      </c>
      <c r="H165" s="14">
        <v>2</v>
      </c>
      <c r="I165" s="14">
        <v>0</v>
      </c>
      <c r="J165" s="14" t="s">
        <v>100</v>
      </c>
      <c r="K165" s="14"/>
      <c r="L165" s="85"/>
      <c r="M165" s="85"/>
      <c r="N165" s="85"/>
      <c r="O165" s="85"/>
      <c r="P165" s="85"/>
      <c r="Q165" s="85"/>
      <c r="R165" s="85"/>
      <c r="S165" s="85"/>
      <c r="T165" s="85"/>
      <c r="U165" s="85"/>
      <c r="V165" s="85"/>
      <c r="W165" s="85"/>
      <c r="X165" s="85"/>
      <c r="Y165" s="85"/>
      <c r="Z165" s="85"/>
    </row>
    <row r="166" spans="1:26" ht="15.75" customHeight="1">
      <c r="A166" s="193">
        <v>29</v>
      </c>
      <c r="B166" s="193" t="s">
        <v>220</v>
      </c>
      <c r="C166" s="193" t="s">
        <v>221</v>
      </c>
      <c r="D166" s="194">
        <v>30881</v>
      </c>
      <c r="E166" s="14" t="s">
        <v>1333</v>
      </c>
      <c r="F166" s="184">
        <v>22</v>
      </c>
      <c r="G166" s="14">
        <v>1</v>
      </c>
      <c r="H166" s="14">
        <v>0</v>
      </c>
      <c r="I166" s="14">
        <v>0</v>
      </c>
      <c r="J166" s="14" t="s">
        <v>100</v>
      </c>
      <c r="K166" s="14"/>
      <c r="L166" s="85"/>
      <c r="M166" s="85"/>
      <c r="N166" s="85"/>
      <c r="O166" s="85"/>
      <c r="P166" s="85"/>
      <c r="Q166" s="85"/>
      <c r="R166" s="85"/>
      <c r="S166" s="85"/>
      <c r="T166" s="85"/>
      <c r="U166" s="85"/>
      <c r="V166" s="85"/>
      <c r="W166" s="85"/>
      <c r="X166" s="85"/>
      <c r="Y166" s="85"/>
      <c r="Z166" s="85"/>
    </row>
    <row r="167" spans="1:26" ht="15.75" customHeight="1">
      <c r="A167" s="193">
        <v>29</v>
      </c>
      <c r="B167" s="193" t="s">
        <v>220</v>
      </c>
      <c r="C167" s="193" t="s">
        <v>221</v>
      </c>
      <c r="D167" s="194">
        <v>30881</v>
      </c>
      <c r="E167" s="14" t="s">
        <v>1334</v>
      </c>
      <c r="F167" s="184">
        <v>18</v>
      </c>
      <c r="G167" s="14">
        <v>1</v>
      </c>
      <c r="H167" s="14"/>
      <c r="I167" s="14">
        <v>0</v>
      </c>
      <c r="J167" s="14" t="s">
        <v>100</v>
      </c>
      <c r="K167" s="14"/>
      <c r="L167" s="85"/>
      <c r="M167" s="85"/>
      <c r="N167" s="85"/>
      <c r="O167" s="85"/>
      <c r="P167" s="85"/>
      <c r="Q167" s="85"/>
      <c r="R167" s="85"/>
      <c r="S167" s="85"/>
      <c r="T167" s="85"/>
      <c r="U167" s="85"/>
      <c r="V167" s="85"/>
      <c r="W167" s="85"/>
      <c r="X167" s="85"/>
      <c r="Y167" s="85"/>
      <c r="Z167" s="85"/>
    </row>
    <row r="168" spans="1:26" ht="15.75" customHeight="1">
      <c r="A168" s="193">
        <v>29</v>
      </c>
      <c r="B168" s="193" t="s">
        <v>220</v>
      </c>
      <c r="C168" s="193" t="s">
        <v>221</v>
      </c>
      <c r="D168" s="194">
        <v>30881</v>
      </c>
      <c r="E168" s="14" t="s">
        <v>1335</v>
      </c>
      <c r="F168" s="184">
        <v>19</v>
      </c>
      <c r="G168" s="14">
        <v>1</v>
      </c>
      <c r="H168" s="14">
        <v>2</v>
      </c>
      <c r="I168" s="14">
        <v>0</v>
      </c>
      <c r="J168" s="14" t="s">
        <v>100</v>
      </c>
      <c r="K168" s="14"/>
      <c r="L168" s="85"/>
      <c r="M168" s="85"/>
      <c r="N168" s="85"/>
      <c r="O168" s="85"/>
      <c r="P168" s="85"/>
      <c r="Q168" s="85"/>
      <c r="R168" s="85"/>
      <c r="S168" s="85"/>
      <c r="T168" s="85"/>
      <c r="U168" s="85"/>
      <c r="V168" s="85"/>
      <c r="W168" s="85"/>
      <c r="X168" s="85"/>
      <c r="Y168" s="85"/>
      <c r="Z168" s="85"/>
    </row>
    <row r="169" spans="1:26" ht="15.75" customHeight="1">
      <c r="A169" s="193">
        <v>29</v>
      </c>
      <c r="B169" s="193" t="s">
        <v>220</v>
      </c>
      <c r="C169" s="193" t="s">
        <v>221</v>
      </c>
      <c r="D169" s="194">
        <v>30881</v>
      </c>
      <c r="E169" s="14" t="s">
        <v>1336</v>
      </c>
      <c r="F169" s="184">
        <v>11</v>
      </c>
      <c r="G169" s="14">
        <v>0</v>
      </c>
      <c r="H169" s="14">
        <v>2</v>
      </c>
      <c r="I169" s="14">
        <v>0</v>
      </c>
      <c r="J169" s="14" t="s">
        <v>100</v>
      </c>
      <c r="K169" s="14"/>
      <c r="L169" s="85"/>
      <c r="M169" s="85"/>
      <c r="N169" s="85"/>
      <c r="O169" s="85"/>
      <c r="P169" s="85"/>
      <c r="Q169" s="85"/>
      <c r="R169" s="85"/>
      <c r="S169" s="85"/>
      <c r="T169" s="85"/>
      <c r="U169" s="85"/>
      <c r="V169" s="85"/>
      <c r="W169" s="85"/>
      <c r="X169" s="85"/>
      <c r="Y169" s="85"/>
      <c r="Z169" s="85"/>
    </row>
    <row r="170" spans="1:26" ht="15.75" customHeight="1">
      <c r="A170" s="193">
        <v>29</v>
      </c>
      <c r="B170" s="193" t="s">
        <v>220</v>
      </c>
      <c r="C170" s="193" t="s">
        <v>221</v>
      </c>
      <c r="D170" s="194">
        <v>30881</v>
      </c>
      <c r="E170" s="14" t="s">
        <v>1337</v>
      </c>
      <c r="F170" s="184">
        <v>22</v>
      </c>
      <c r="G170" s="14">
        <v>1</v>
      </c>
      <c r="H170" s="14">
        <v>2</v>
      </c>
      <c r="I170" s="14">
        <v>0</v>
      </c>
      <c r="J170" s="14" t="s">
        <v>100</v>
      </c>
      <c r="K170" s="14"/>
      <c r="L170" s="85"/>
      <c r="M170" s="85"/>
      <c r="N170" s="85"/>
      <c r="O170" s="85"/>
      <c r="P170" s="85"/>
      <c r="Q170" s="85"/>
      <c r="R170" s="85"/>
      <c r="S170" s="85"/>
      <c r="T170" s="85"/>
      <c r="U170" s="85"/>
      <c r="V170" s="85"/>
      <c r="W170" s="85"/>
      <c r="X170" s="85"/>
      <c r="Y170" s="85"/>
      <c r="Z170" s="85"/>
    </row>
    <row r="171" spans="1:26" ht="15.75" customHeight="1">
      <c r="A171" s="193">
        <v>29</v>
      </c>
      <c r="B171" s="193" t="s">
        <v>220</v>
      </c>
      <c r="C171" s="193" t="s">
        <v>221</v>
      </c>
      <c r="D171" s="194">
        <v>30881</v>
      </c>
      <c r="E171" s="14" t="s">
        <v>1338</v>
      </c>
      <c r="F171" s="184">
        <v>11</v>
      </c>
      <c r="G171" s="14">
        <v>0</v>
      </c>
      <c r="H171" s="14">
        <v>2</v>
      </c>
      <c r="I171" s="14">
        <v>0</v>
      </c>
      <c r="J171" s="14" t="s">
        <v>100</v>
      </c>
      <c r="K171" s="14"/>
      <c r="L171" s="85"/>
      <c r="M171" s="85"/>
      <c r="N171" s="85"/>
      <c r="O171" s="85"/>
      <c r="P171" s="85"/>
      <c r="Q171" s="85"/>
      <c r="R171" s="85"/>
      <c r="S171" s="85"/>
      <c r="T171" s="85"/>
      <c r="U171" s="85"/>
      <c r="V171" s="85"/>
      <c r="W171" s="85"/>
      <c r="X171" s="85"/>
      <c r="Y171" s="85"/>
      <c r="Z171" s="85"/>
    </row>
    <row r="172" spans="1:26" ht="15.75" customHeight="1">
      <c r="A172" s="193">
        <v>29</v>
      </c>
      <c r="B172" s="193" t="s">
        <v>220</v>
      </c>
      <c r="C172" s="193" t="s">
        <v>221</v>
      </c>
      <c r="D172" s="194">
        <v>30881</v>
      </c>
      <c r="E172" s="14" t="s">
        <v>1339</v>
      </c>
      <c r="F172" s="184">
        <v>31</v>
      </c>
      <c r="G172" s="14">
        <v>1</v>
      </c>
      <c r="H172" s="184">
        <v>2</v>
      </c>
      <c r="I172" s="14">
        <v>0</v>
      </c>
      <c r="J172" s="14" t="s">
        <v>100</v>
      </c>
      <c r="K172" s="14"/>
      <c r="L172" s="85"/>
      <c r="M172" s="85"/>
      <c r="N172" s="85"/>
      <c r="O172" s="85"/>
      <c r="P172" s="85"/>
      <c r="Q172" s="85"/>
      <c r="R172" s="85"/>
      <c r="S172" s="85"/>
      <c r="T172" s="85"/>
      <c r="U172" s="85"/>
      <c r="V172" s="85"/>
      <c r="W172" s="85"/>
      <c r="X172" s="85"/>
      <c r="Y172" s="85"/>
      <c r="Z172" s="85"/>
    </row>
    <row r="173" spans="1:26" ht="15.75" customHeight="1">
      <c r="A173" s="193">
        <v>29</v>
      </c>
      <c r="B173" s="193" t="s">
        <v>220</v>
      </c>
      <c r="C173" s="193" t="s">
        <v>221</v>
      </c>
      <c r="D173" s="194">
        <v>30881</v>
      </c>
      <c r="E173" s="14" t="s">
        <v>1340</v>
      </c>
      <c r="F173" s="184">
        <v>11</v>
      </c>
      <c r="G173" s="14">
        <v>0</v>
      </c>
      <c r="H173" s="184">
        <v>2</v>
      </c>
      <c r="I173" s="14">
        <v>0</v>
      </c>
      <c r="J173" s="14" t="s">
        <v>100</v>
      </c>
      <c r="K173" s="14"/>
      <c r="L173" s="85"/>
      <c r="M173" s="85"/>
      <c r="N173" s="85"/>
      <c r="O173" s="85"/>
      <c r="P173" s="85"/>
      <c r="Q173" s="85"/>
      <c r="R173" s="85"/>
      <c r="S173" s="85"/>
      <c r="T173" s="85"/>
      <c r="U173" s="85"/>
      <c r="V173" s="85"/>
      <c r="W173" s="85"/>
      <c r="X173" s="85"/>
      <c r="Y173" s="85"/>
      <c r="Z173" s="85"/>
    </row>
    <row r="174" spans="1:26" ht="15.75" customHeight="1">
      <c r="A174" s="193">
        <v>29</v>
      </c>
      <c r="B174" s="193" t="s">
        <v>220</v>
      </c>
      <c r="C174" s="193" t="s">
        <v>221</v>
      </c>
      <c r="D174" s="194">
        <v>30881</v>
      </c>
      <c r="E174" s="14" t="s">
        <v>1341</v>
      </c>
      <c r="F174" s="184">
        <v>21</v>
      </c>
      <c r="G174" s="14">
        <v>1</v>
      </c>
      <c r="H174" s="14">
        <v>2</v>
      </c>
      <c r="I174" s="14">
        <v>0</v>
      </c>
      <c r="J174" s="14" t="s">
        <v>100</v>
      </c>
      <c r="K174" s="14"/>
      <c r="L174" s="85"/>
      <c r="M174" s="85"/>
      <c r="N174" s="85"/>
      <c r="O174" s="85"/>
      <c r="P174" s="85"/>
      <c r="Q174" s="85"/>
      <c r="R174" s="85"/>
      <c r="S174" s="85"/>
      <c r="T174" s="85"/>
      <c r="U174" s="85"/>
      <c r="V174" s="85"/>
      <c r="W174" s="85"/>
      <c r="X174" s="85"/>
      <c r="Y174" s="85"/>
      <c r="Z174" s="85"/>
    </row>
    <row r="175" spans="1:26" ht="15.75" customHeight="1">
      <c r="A175" s="193">
        <v>29</v>
      </c>
      <c r="B175" s="193" t="s">
        <v>220</v>
      </c>
      <c r="C175" s="193" t="s">
        <v>221</v>
      </c>
      <c r="D175" s="194">
        <v>30881</v>
      </c>
      <c r="E175" s="14" t="s">
        <v>1342</v>
      </c>
      <c r="F175" s="184">
        <v>18</v>
      </c>
      <c r="G175" s="14">
        <v>1</v>
      </c>
      <c r="H175" s="184">
        <v>2</v>
      </c>
      <c r="I175" s="14">
        <v>0</v>
      </c>
      <c r="J175" s="14" t="s">
        <v>100</v>
      </c>
      <c r="K175" s="14"/>
      <c r="L175" s="85"/>
      <c r="M175" s="85"/>
      <c r="N175" s="85"/>
      <c r="O175" s="85"/>
      <c r="P175" s="85"/>
      <c r="Q175" s="85"/>
      <c r="R175" s="85"/>
      <c r="S175" s="85"/>
      <c r="T175" s="85"/>
      <c r="U175" s="85"/>
      <c r="V175" s="85"/>
      <c r="W175" s="85"/>
      <c r="X175" s="85"/>
      <c r="Y175" s="85"/>
      <c r="Z175" s="85"/>
    </row>
    <row r="176" spans="1:26" ht="15.75" customHeight="1">
      <c r="A176" s="193">
        <v>29</v>
      </c>
      <c r="B176" s="193" t="s">
        <v>220</v>
      </c>
      <c r="C176" s="193" t="s">
        <v>221</v>
      </c>
      <c r="D176" s="194">
        <v>30881</v>
      </c>
      <c r="E176" s="14" t="s">
        <v>1343</v>
      </c>
      <c r="F176" s="184">
        <v>9</v>
      </c>
      <c r="G176" s="14">
        <v>1</v>
      </c>
      <c r="H176" s="14">
        <v>2</v>
      </c>
      <c r="I176" s="14">
        <v>0</v>
      </c>
      <c r="J176" s="14" t="s">
        <v>100</v>
      </c>
      <c r="K176" s="14"/>
      <c r="L176" s="85"/>
      <c r="M176" s="85"/>
      <c r="N176" s="85"/>
      <c r="O176" s="85"/>
      <c r="P176" s="85"/>
      <c r="Q176" s="85"/>
      <c r="R176" s="85"/>
      <c r="S176" s="85"/>
      <c r="T176" s="85"/>
      <c r="U176" s="85"/>
      <c r="V176" s="85"/>
      <c r="W176" s="85"/>
      <c r="X176" s="85"/>
      <c r="Y176" s="85"/>
      <c r="Z176" s="85"/>
    </row>
    <row r="177" spans="1:26" ht="15.75" customHeight="1">
      <c r="A177" s="193">
        <v>29</v>
      </c>
      <c r="B177" s="193" t="s">
        <v>220</v>
      </c>
      <c r="C177" s="193" t="s">
        <v>221</v>
      </c>
      <c r="D177" s="194">
        <v>30881</v>
      </c>
      <c r="E177" s="14" t="s">
        <v>1344</v>
      </c>
      <c r="F177" s="184">
        <v>19</v>
      </c>
      <c r="G177" s="14">
        <v>0</v>
      </c>
      <c r="H177" s="14">
        <v>2</v>
      </c>
      <c r="I177" s="14">
        <v>0</v>
      </c>
      <c r="J177" s="14" t="s">
        <v>100</v>
      </c>
      <c r="K177" s="14"/>
      <c r="L177" s="85"/>
      <c r="M177" s="85"/>
      <c r="N177" s="85"/>
      <c r="O177" s="85"/>
      <c r="P177" s="85"/>
      <c r="Q177" s="85"/>
      <c r="R177" s="85"/>
      <c r="S177" s="85"/>
      <c r="T177" s="85"/>
      <c r="U177" s="85"/>
      <c r="V177" s="85"/>
      <c r="W177" s="85"/>
      <c r="X177" s="85"/>
      <c r="Y177" s="85"/>
      <c r="Z177" s="85"/>
    </row>
    <row r="178" spans="1:26" ht="15.75" customHeight="1">
      <c r="A178" s="193">
        <v>29</v>
      </c>
      <c r="B178" s="193" t="s">
        <v>220</v>
      </c>
      <c r="C178" s="193" t="s">
        <v>221</v>
      </c>
      <c r="D178" s="194">
        <v>30881</v>
      </c>
      <c r="E178" s="14" t="s">
        <v>1345</v>
      </c>
      <c r="F178" s="184" t="str">
        <f>HYPERLINK("https://www.findagrave.com/memorial/39821941/carlos-reyes","1")</f>
        <v>1</v>
      </c>
      <c r="G178" s="14">
        <v>0</v>
      </c>
      <c r="H178" s="14">
        <v>2</v>
      </c>
      <c r="I178" s="14">
        <v>0</v>
      </c>
      <c r="J178" s="14" t="s">
        <v>100</v>
      </c>
      <c r="K178" s="14"/>
      <c r="L178" s="85"/>
      <c r="M178" s="85"/>
      <c r="N178" s="85"/>
      <c r="O178" s="85"/>
      <c r="P178" s="85"/>
      <c r="Q178" s="85"/>
      <c r="R178" s="85"/>
      <c r="S178" s="85"/>
      <c r="T178" s="85"/>
      <c r="U178" s="85"/>
      <c r="V178" s="85"/>
      <c r="W178" s="85"/>
      <c r="X178" s="85"/>
      <c r="Y178" s="85"/>
      <c r="Z178" s="85"/>
    </row>
    <row r="179" spans="1:26" ht="15.75" customHeight="1">
      <c r="A179" s="193">
        <v>29</v>
      </c>
      <c r="B179" s="193" t="s">
        <v>220</v>
      </c>
      <c r="C179" s="193" t="s">
        <v>221</v>
      </c>
      <c r="D179" s="194">
        <v>30881</v>
      </c>
      <c r="E179" s="14" t="s">
        <v>1346</v>
      </c>
      <c r="F179" s="184">
        <v>18</v>
      </c>
      <c r="G179" s="14">
        <v>1</v>
      </c>
      <c r="H179" s="184">
        <v>2</v>
      </c>
      <c r="I179" s="14">
        <v>0</v>
      </c>
      <c r="J179" s="14" t="s">
        <v>100</v>
      </c>
      <c r="K179" s="14"/>
      <c r="L179" s="85"/>
      <c r="M179" s="85"/>
      <c r="N179" s="85"/>
      <c r="O179" s="85"/>
      <c r="P179" s="85"/>
      <c r="Q179" s="85"/>
      <c r="R179" s="85"/>
      <c r="S179" s="85"/>
      <c r="T179" s="85"/>
      <c r="U179" s="85"/>
      <c r="V179" s="85"/>
      <c r="W179" s="85"/>
      <c r="X179" s="85"/>
      <c r="Y179" s="85"/>
      <c r="Z179" s="85"/>
    </row>
    <row r="180" spans="1:26" ht="15.75" customHeight="1">
      <c r="A180" s="193">
        <v>29</v>
      </c>
      <c r="B180" s="193" t="s">
        <v>220</v>
      </c>
      <c r="C180" s="193" t="s">
        <v>221</v>
      </c>
      <c r="D180" s="194">
        <v>30881</v>
      </c>
      <c r="E180" s="14" t="s">
        <v>1347</v>
      </c>
      <c r="F180" s="184">
        <v>25</v>
      </c>
      <c r="G180" s="14">
        <v>0</v>
      </c>
      <c r="H180" s="14">
        <v>2</v>
      </c>
      <c r="I180" s="14">
        <v>0</v>
      </c>
      <c r="J180" s="14" t="s">
        <v>100</v>
      </c>
      <c r="K180" s="14"/>
      <c r="L180" s="85"/>
      <c r="M180" s="85"/>
      <c r="N180" s="85"/>
      <c r="O180" s="85"/>
      <c r="P180" s="85"/>
      <c r="Q180" s="85"/>
      <c r="R180" s="85"/>
      <c r="S180" s="85"/>
      <c r="T180" s="85"/>
      <c r="U180" s="85"/>
      <c r="V180" s="85"/>
      <c r="W180" s="85"/>
      <c r="X180" s="85"/>
      <c r="Y180" s="85"/>
      <c r="Z180" s="85"/>
    </row>
    <row r="181" spans="1:26" ht="15.75" customHeight="1">
      <c r="A181" s="193">
        <v>29</v>
      </c>
      <c r="B181" s="193" t="s">
        <v>220</v>
      </c>
      <c r="C181" s="193" t="s">
        <v>221</v>
      </c>
      <c r="D181" s="194">
        <v>30881</v>
      </c>
      <c r="E181" s="14" t="s">
        <v>1348</v>
      </c>
      <c r="F181" s="184">
        <v>74</v>
      </c>
      <c r="G181" s="14">
        <v>0</v>
      </c>
      <c r="H181" s="14">
        <v>2</v>
      </c>
      <c r="I181" s="14">
        <v>0</v>
      </c>
      <c r="J181" s="14" t="s">
        <v>100</v>
      </c>
      <c r="K181" s="14"/>
      <c r="L181" s="85"/>
      <c r="M181" s="85"/>
      <c r="N181" s="85"/>
      <c r="O181" s="85"/>
      <c r="P181" s="85"/>
      <c r="Q181" s="85"/>
      <c r="R181" s="85"/>
      <c r="S181" s="85"/>
      <c r="T181" s="85"/>
      <c r="U181" s="85"/>
      <c r="V181" s="85"/>
      <c r="W181" s="85"/>
      <c r="X181" s="85"/>
      <c r="Y181" s="85"/>
      <c r="Z181" s="85"/>
    </row>
    <row r="182" spans="1:26" ht="15.75" customHeight="1">
      <c r="A182" s="193">
        <v>29</v>
      </c>
      <c r="B182" s="193" t="s">
        <v>220</v>
      </c>
      <c r="C182" s="193" t="s">
        <v>221</v>
      </c>
      <c r="D182" s="194">
        <v>30881</v>
      </c>
      <c r="E182" s="14" t="s">
        <v>1349</v>
      </c>
      <c r="F182" s="184">
        <v>31</v>
      </c>
      <c r="G182" s="14">
        <v>1</v>
      </c>
      <c r="H182" s="14">
        <v>2</v>
      </c>
      <c r="I182" s="14">
        <v>0</v>
      </c>
      <c r="J182" s="14" t="s">
        <v>100</v>
      </c>
      <c r="K182" s="14"/>
      <c r="L182" s="85"/>
      <c r="M182" s="85"/>
      <c r="N182" s="85"/>
      <c r="O182" s="85"/>
      <c r="P182" s="85"/>
      <c r="Q182" s="85"/>
      <c r="R182" s="85"/>
      <c r="S182" s="85"/>
      <c r="T182" s="85"/>
      <c r="U182" s="85"/>
      <c r="V182" s="85"/>
      <c r="W182" s="85"/>
      <c r="X182" s="85"/>
      <c r="Y182" s="85"/>
      <c r="Z182" s="85"/>
    </row>
    <row r="183" spans="1:26" ht="15.75" customHeight="1">
      <c r="A183" s="193">
        <v>29</v>
      </c>
      <c r="B183" s="193" t="s">
        <v>220</v>
      </c>
      <c r="C183" s="193" t="s">
        <v>221</v>
      </c>
      <c r="D183" s="194">
        <v>30881</v>
      </c>
      <c r="E183" s="14" t="s">
        <v>1350</v>
      </c>
      <c r="F183" s="184">
        <v>45</v>
      </c>
      <c r="G183" s="14">
        <v>0</v>
      </c>
      <c r="H183" s="14">
        <v>2</v>
      </c>
      <c r="I183" s="14">
        <v>0</v>
      </c>
      <c r="J183" s="14" t="s">
        <v>100</v>
      </c>
      <c r="K183" s="14"/>
      <c r="L183" s="85"/>
      <c r="M183" s="85"/>
      <c r="N183" s="85"/>
      <c r="O183" s="85"/>
      <c r="P183" s="85"/>
      <c r="Q183" s="85"/>
      <c r="R183" s="85"/>
      <c r="S183" s="85"/>
      <c r="T183" s="85"/>
      <c r="U183" s="85"/>
      <c r="V183" s="85"/>
      <c r="W183" s="85"/>
      <c r="X183" s="85"/>
      <c r="Y183" s="85"/>
      <c r="Z183" s="85"/>
    </row>
    <row r="184" spans="1:26" ht="15.75" customHeight="1">
      <c r="A184" s="193">
        <v>29</v>
      </c>
      <c r="B184" s="193" t="s">
        <v>220</v>
      </c>
      <c r="C184" s="193" t="s">
        <v>221</v>
      </c>
      <c r="D184" s="194">
        <v>30881</v>
      </c>
      <c r="E184" s="14" t="s">
        <v>1351</v>
      </c>
      <c r="F184" s="184">
        <v>70</v>
      </c>
      <c r="G184" s="14">
        <v>1</v>
      </c>
      <c r="H184" s="14">
        <v>2</v>
      </c>
      <c r="I184" s="14">
        <v>0</v>
      </c>
      <c r="J184" s="14" t="s">
        <v>100</v>
      </c>
      <c r="K184" s="14"/>
      <c r="L184" s="85"/>
      <c r="M184" s="85"/>
      <c r="N184" s="85"/>
      <c r="O184" s="85"/>
      <c r="P184" s="85"/>
      <c r="Q184" s="85"/>
      <c r="R184" s="85"/>
      <c r="S184" s="85"/>
      <c r="T184" s="85"/>
      <c r="U184" s="85"/>
      <c r="V184" s="85"/>
      <c r="W184" s="85"/>
      <c r="X184" s="85"/>
      <c r="Y184" s="85"/>
      <c r="Z184" s="85"/>
    </row>
    <row r="185" spans="1:26" ht="15.75" customHeight="1">
      <c r="A185" s="193">
        <v>29</v>
      </c>
      <c r="B185" s="193" t="s">
        <v>220</v>
      </c>
      <c r="C185" s="193" t="s">
        <v>221</v>
      </c>
      <c r="D185" s="194">
        <v>30881</v>
      </c>
      <c r="E185" s="14" t="s">
        <v>1352</v>
      </c>
      <c r="F185" s="184">
        <v>62</v>
      </c>
      <c r="G185" s="14">
        <v>0</v>
      </c>
      <c r="H185" s="184">
        <v>0</v>
      </c>
      <c r="I185" s="14">
        <v>0</v>
      </c>
      <c r="J185" s="14" t="s">
        <v>100</v>
      </c>
      <c r="K185" s="14"/>
      <c r="L185" s="85"/>
      <c r="M185" s="85"/>
      <c r="N185" s="85"/>
      <c r="O185" s="85"/>
      <c r="P185" s="85"/>
      <c r="Q185" s="85"/>
      <c r="R185" s="85"/>
      <c r="S185" s="85"/>
      <c r="T185" s="85"/>
      <c r="U185" s="85"/>
      <c r="V185" s="85"/>
      <c r="W185" s="85"/>
      <c r="X185" s="85"/>
      <c r="Y185" s="85"/>
      <c r="Z185" s="85"/>
    </row>
    <row r="186" spans="1:26" ht="15.75" customHeight="1">
      <c r="A186" s="191">
        <v>30</v>
      </c>
      <c r="B186" s="191" t="s">
        <v>224</v>
      </c>
      <c r="C186" s="191" t="s">
        <v>225</v>
      </c>
      <c r="D186" s="192">
        <v>30887</v>
      </c>
      <c r="E186" s="14" t="s">
        <v>1353</v>
      </c>
      <c r="F186" s="184" t="str">
        <f>HYPERLINK("https://www.findagrave.com/memorial/47174198/juanita-allen","45")</f>
        <v>45</v>
      </c>
      <c r="G186" s="14">
        <v>1</v>
      </c>
      <c r="H186" s="14"/>
      <c r="I186" s="184">
        <v>0</v>
      </c>
      <c r="J186" s="14" t="s">
        <v>100</v>
      </c>
      <c r="K186" s="14"/>
      <c r="L186" s="85"/>
      <c r="M186" s="85"/>
      <c r="N186" s="85"/>
      <c r="O186" s="85"/>
      <c r="P186" s="85"/>
      <c r="Q186" s="85"/>
      <c r="R186" s="85"/>
      <c r="S186" s="85"/>
      <c r="T186" s="85"/>
      <c r="U186" s="85"/>
      <c r="V186" s="85"/>
      <c r="W186" s="85"/>
      <c r="X186" s="85"/>
      <c r="Y186" s="85"/>
      <c r="Z186" s="85"/>
    </row>
    <row r="187" spans="1:26" ht="15.75" customHeight="1">
      <c r="A187" s="191">
        <v>30</v>
      </c>
      <c r="B187" s="191" t="s">
        <v>224</v>
      </c>
      <c r="C187" s="191" t="s">
        <v>225</v>
      </c>
      <c r="D187" s="192">
        <v>30887</v>
      </c>
      <c r="E187" s="14" t="s">
        <v>1354</v>
      </c>
      <c r="F187" s="184">
        <v>34</v>
      </c>
      <c r="G187" s="14">
        <v>0</v>
      </c>
      <c r="H187" s="14"/>
      <c r="I187" s="184">
        <v>0</v>
      </c>
      <c r="J187" s="14" t="s">
        <v>100</v>
      </c>
      <c r="K187" s="14"/>
      <c r="L187" s="85"/>
      <c r="M187" s="85"/>
      <c r="N187" s="85"/>
      <c r="O187" s="85"/>
      <c r="P187" s="85"/>
      <c r="Q187" s="85"/>
      <c r="R187" s="85"/>
      <c r="S187" s="85"/>
      <c r="T187" s="85"/>
      <c r="U187" s="85"/>
      <c r="V187" s="85"/>
      <c r="W187" s="85"/>
      <c r="X187" s="85"/>
      <c r="Y187" s="85"/>
      <c r="Z187" s="85"/>
    </row>
    <row r="188" spans="1:26" ht="15.75" customHeight="1">
      <c r="A188" s="191">
        <v>30</v>
      </c>
      <c r="B188" s="191" t="s">
        <v>224</v>
      </c>
      <c r="C188" s="191" t="s">
        <v>225</v>
      </c>
      <c r="D188" s="192">
        <v>30887</v>
      </c>
      <c r="E188" s="14" t="s">
        <v>1355</v>
      </c>
      <c r="F188" s="184" t="str">
        <f>HYPERLINK("https://www.findagrave.com/memorial/7558892/helen-c_-frazee","58")</f>
        <v>58</v>
      </c>
      <c r="G188" s="14">
        <v>1</v>
      </c>
      <c r="H188" s="14"/>
      <c r="I188" s="184">
        <v>1</v>
      </c>
      <c r="J188" s="14" t="s">
        <v>1356</v>
      </c>
      <c r="K188" s="14"/>
      <c r="L188" s="85"/>
      <c r="M188" s="85"/>
      <c r="N188" s="85"/>
      <c r="O188" s="85"/>
      <c r="P188" s="85"/>
      <c r="Q188" s="85"/>
      <c r="R188" s="85"/>
      <c r="S188" s="85"/>
      <c r="T188" s="85"/>
      <c r="U188" s="85"/>
      <c r="V188" s="85"/>
      <c r="W188" s="85"/>
      <c r="X188" s="85"/>
      <c r="Y188" s="85"/>
      <c r="Z188" s="85"/>
    </row>
    <row r="189" spans="1:26" ht="15.75" customHeight="1">
      <c r="A189" s="191">
        <v>30</v>
      </c>
      <c r="B189" s="191" t="s">
        <v>224</v>
      </c>
      <c r="C189" s="191" t="s">
        <v>225</v>
      </c>
      <c r="D189" s="192">
        <v>30887</v>
      </c>
      <c r="E189" s="184" t="s">
        <v>1357</v>
      </c>
      <c r="F189" s="14"/>
      <c r="G189" s="14">
        <v>0</v>
      </c>
      <c r="H189" s="14"/>
      <c r="I189" s="184">
        <v>0</v>
      </c>
      <c r="J189" s="14" t="s">
        <v>100</v>
      </c>
      <c r="K189" s="14"/>
      <c r="L189" s="85"/>
      <c r="M189" s="85"/>
      <c r="N189" s="85"/>
      <c r="O189" s="85"/>
      <c r="P189" s="85"/>
      <c r="Q189" s="85"/>
      <c r="R189" s="85"/>
      <c r="S189" s="85"/>
      <c r="T189" s="85"/>
      <c r="U189" s="85"/>
      <c r="V189" s="85"/>
      <c r="W189" s="85"/>
      <c r="X189" s="85"/>
      <c r="Y189" s="85"/>
      <c r="Z189" s="85"/>
    </row>
    <row r="190" spans="1:26" ht="15.75" customHeight="1">
      <c r="A190" s="199">
        <v>31</v>
      </c>
      <c r="B190" s="199" t="s">
        <v>229</v>
      </c>
      <c r="C190" s="199" t="s">
        <v>230</v>
      </c>
      <c r="D190" s="200">
        <v>31122</v>
      </c>
      <c r="E190" s="14" t="s">
        <v>1358</v>
      </c>
      <c r="F190" s="184">
        <v>48</v>
      </c>
      <c r="G190" s="14">
        <v>0</v>
      </c>
      <c r="H190" s="14"/>
      <c r="I190" s="14">
        <v>1</v>
      </c>
      <c r="J190" s="14" t="s">
        <v>1179</v>
      </c>
      <c r="K190" s="14"/>
      <c r="L190" s="85"/>
      <c r="M190" s="85"/>
      <c r="N190" s="85"/>
      <c r="O190" s="85"/>
      <c r="P190" s="85"/>
      <c r="Q190" s="85"/>
      <c r="R190" s="85"/>
      <c r="S190" s="85"/>
      <c r="T190" s="85"/>
      <c r="U190" s="85"/>
      <c r="V190" s="85"/>
      <c r="W190" s="85"/>
      <c r="X190" s="85"/>
      <c r="Y190" s="85"/>
      <c r="Z190" s="85"/>
    </row>
    <row r="191" spans="1:26" ht="15.75" customHeight="1">
      <c r="A191" s="199">
        <v>31</v>
      </c>
      <c r="B191" s="199" t="s">
        <v>229</v>
      </c>
      <c r="C191" s="199" t="s">
        <v>230</v>
      </c>
      <c r="D191" s="200">
        <v>31122</v>
      </c>
      <c r="E191" s="14" t="s">
        <v>1359</v>
      </c>
      <c r="F191" s="184">
        <v>31</v>
      </c>
      <c r="G191" s="14">
        <v>0</v>
      </c>
      <c r="H191" s="14"/>
      <c r="I191" s="14">
        <v>1</v>
      </c>
      <c r="J191" s="14" t="s">
        <v>1179</v>
      </c>
      <c r="K191" s="14"/>
      <c r="L191" s="85"/>
      <c r="M191" s="85"/>
      <c r="N191" s="85"/>
      <c r="O191" s="85"/>
      <c r="P191" s="85"/>
      <c r="Q191" s="85"/>
      <c r="R191" s="85"/>
      <c r="S191" s="85"/>
      <c r="T191" s="85"/>
      <c r="U191" s="85"/>
      <c r="V191" s="85"/>
      <c r="W191" s="85"/>
      <c r="X191" s="85"/>
      <c r="Y191" s="85"/>
      <c r="Z191" s="85"/>
    </row>
    <row r="192" spans="1:26" ht="15.75" customHeight="1">
      <c r="A192" s="199">
        <v>31</v>
      </c>
      <c r="B192" s="199" t="s">
        <v>229</v>
      </c>
      <c r="C192" s="199" t="s">
        <v>230</v>
      </c>
      <c r="D192" s="200">
        <v>31122</v>
      </c>
      <c r="E192" s="184" t="s">
        <v>1360</v>
      </c>
      <c r="F192" s="184">
        <v>52</v>
      </c>
      <c r="G192" s="14">
        <v>0</v>
      </c>
      <c r="H192" s="14"/>
      <c r="I192" s="14">
        <v>1</v>
      </c>
      <c r="J192" s="14" t="s">
        <v>1179</v>
      </c>
      <c r="K192" s="14"/>
      <c r="L192" s="85"/>
      <c r="M192" s="85"/>
      <c r="N192" s="85"/>
      <c r="O192" s="85"/>
      <c r="P192" s="85"/>
      <c r="Q192" s="85"/>
      <c r="R192" s="85"/>
      <c r="S192" s="85"/>
      <c r="T192" s="85"/>
      <c r="U192" s="85"/>
      <c r="V192" s="85"/>
      <c r="W192" s="85"/>
      <c r="X192" s="85"/>
      <c r="Y192" s="85"/>
      <c r="Z192" s="85"/>
    </row>
    <row r="193" spans="1:26" ht="15.75" customHeight="1">
      <c r="A193" s="199">
        <v>31</v>
      </c>
      <c r="B193" s="199" t="s">
        <v>229</v>
      </c>
      <c r="C193" s="199" t="s">
        <v>230</v>
      </c>
      <c r="D193" s="200">
        <v>31122</v>
      </c>
      <c r="E193" s="14" t="s">
        <v>1361</v>
      </c>
      <c r="F193" s="184">
        <v>52</v>
      </c>
      <c r="G193" s="14">
        <v>0</v>
      </c>
      <c r="H193" s="14"/>
      <c r="I193" s="14">
        <v>1</v>
      </c>
      <c r="J193" s="14" t="s">
        <v>1179</v>
      </c>
      <c r="K193" s="14"/>
      <c r="L193" s="85"/>
      <c r="M193" s="85"/>
      <c r="N193" s="85"/>
      <c r="O193" s="85"/>
      <c r="P193" s="85"/>
      <c r="Q193" s="85"/>
      <c r="R193" s="85"/>
      <c r="S193" s="85"/>
      <c r="T193" s="85"/>
      <c r="U193" s="85"/>
      <c r="V193" s="85"/>
      <c r="W193" s="85"/>
      <c r="X193" s="85"/>
      <c r="Y193" s="85"/>
      <c r="Z193" s="85"/>
    </row>
    <row r="194" spans="1:26" ht="15.75" customHeight="1">
      <c r="A194" s="210">
        <v>32</v>
      </c>
      <c r="B194" s="210" t="s">
        <v>233</v>
      </c>
      <c r="C194" s="210" t="s">
        <v>234</v>
      </c>
      <c r="D194" s="209">
        <v>31644</v>
      </c>
      <c r="E194" s="184" t="s">
        <v>1362</v>
      </c>
      <c r="F194" s="184">
        <v>41</v>
      </c>
      <c r="G194" s="14">
        <v>1</v>
      </c>
      <c r="H194" s="14"/>
      <c r="I194" s="184">
        <v>1</v>
      </c>
      <c r="J194" s="14" t="s">
        <v>1175</v>
      </c>
      <c r="K194" s="14"/>
      <c r="L194" s="85"/>
      <c r="M194" s="85"/>
      <c r="N194" s="85"/>
      <c r="O194" s="85"/>
      <c r="P194" s="85"/>
      <c r="Q194" s="85"/>
      <c r="R194" s="85"/>
      <c r="S194" s="85"/>
      <c r="T194" s="85"/>
      <c r="U194" s="85"/>
      <c r="V194" s="85"/>
      <c r="W194" s="85"/>
      <c r="X194" s="85"/>
      <c r="Y194" s="85"/>
      <c r="Z194" s="85"/>
    </row>
    <row r="195" spans="1:26" ht="15.75" customHeight="1">
      <c r="A195" s="210">
        <v>32</v>
      </c>
      <c r="B195" s="210" t="s">
        <v>233</v>
      </c>
      <c r="C195" s="210" t="s">
        <v>234</v>
      </c>
      <c r="D195" s="209">
        <v>31644</v>
      </c>
      <c r="E195" s="184" t="s">
        <v>1363</v>
      </c>
      <c r="F195" s="184">
        <v>39</v>
      </c>
      <c r="G195" s="14">
        <v>1</v>
      </c>
      <c r="H195" s="14"/>
      <c r="I195" s="184">
        <v>1</v>
      </c>
      <c r="J195" s="14" t="s">
        <v>1175</v>
      </c>
      <c r="K195" s="14"/>
      <c r="L195" s="85"/>
      <c r="M195" s="85"/>
      <c r="N195" s="85"/>
      <c r="O195" s="85"/>
      <c r="P195" s="85"/>
      <c r="Q195" s="85"/>
      <c r="R195" s="85"/>
      <c r="S195" s="85"/>
      <c r="T195" s="85"/>
      <c r="U195" s="85"/>
      <c r="V195" s="85"/>
      <c r="W195" s="85"/>
      <c r="X195" s="85"/>
      <c r="Y195" s="85"/>
      <c r="Z195" s="85"/>
    </row>
    <row r="196" spans="1:26" ht="15.75" customHeight="1">
      <c r="A196" s="210">
        <v>32</v>
      </c>
      <c r="B196" s="210" t="s">
        <v>233</v>
      </c>
      <c r="C196" s="210" t="s">
        <v>234</v>
      </c>
      <c r="D196" s="209">
        <v>31644</v>
      </c>
      <c r="E196" s="184" t="s">
        <v>1364</v>
      </c>
      <c r="F196" s="184">
        <v>38</v>
      </c>
      <c r="G196" s="14">
        <v>0</v>
      </c>
      <c r="H196" s="14"/>
      <c r="I196" s="184">
        <v>1</v>
      </c>
      <c r="J196" s="14" t="s">
        <v>1179</v>
      </c>
      <c r="K196" s="14"/>
      <c r="L196" s="85"/>
      <c r="M196" s="85"/>
      <c r="N196" s="85"/>
      <c r="O196" s="85"/>
      <c r="P196" s="85"/>
      <c r="Q196" s="85"/>
      <c r="R196" s="85"/>
      <c r="S196" s="85"/>
      <c r="T196" s="85"/>
      <c r="U196" s="85"/>
      <c r="V196" s="85"/>
      <c r="W196" s="85"/>
      <c r="X196" s="85"/>
      <c r="Y196" s="85"/>
      <c r="Z196" s="85"/>
    </row>
    <row r="197" spans="1:26" ht="15.75" customHeight="1">
      <c r="A197" s="210">
        <v>32</v>
      </c>
      <c r="B197" s="210" t="s">
        <v>233</v>
      </c>
      <c r="C197" s="210" t="s">
        <v>234</v>
      </c>
      <c r="D197" s="209">
        <v>31644</v>
      </c>
      <c r="E197" s="14" t="s">
        <v>1365</v>
      </c>
      <c r="F197" s="184">
        <v>47</v>
      </c>
      <c r="G197" s="14">
        <v>1</v>
      </c>
      <c r="H197" s="184">
        <v>0</v>
      </c>
      <c r="I197" s="184">
        <v>1</v>
      </c>
      <c r="J197" s="14" t="s">
        <v>1175</v>
      </c>
      <c r="K197" s="14"/>
      <c r="L197" s="85"/>
      <c r="M197" s="85"/>
      <c r="N197" s="85"/>
      <c r="O197" s="85"/>
      <c r="P197" s="85"/>
      <c r="Q197" s="85"/>
      <c r="R197" s="85"/>
      <c r="S197" s="85"/>
      <c r="T197" s="85"/>
      <c r="U197" s="85"/>
      <c r="V197" s="85"/>
      <c r="W197" s="85"/>
      <c r="X197" s="85"/>
      <c r="Y197" s="85"/>
      <c r="Z197" s="85"/>
    </row>
    <row r="198" spans="1:26" ht="15.75" customHeight="1">
      <c r="A198" s="210">
        <v>32</v>
      </c>
      <c r="B198" s="210" t="s">
        <v>233</v>
      </c>
      <c r="C198" s="210" t="s">
        <v>234</v>
      </c>
      <c r="D198" s="209">
        <v>31644</v>
      </c>
      <c r="E198" s="14" t="s">
        <v>1366</v>
      </c>
      <c r="F198" s="184">
        <v>30</v>
      </c>
      <c r="G198" s="14">
        <v>1</v>
      </c>
      <c r="H198" s="14"/>
      <c r="I198" s="184">
        <v>1</v>
      </c>
      <c r="J198" s="14" t="s">
        <v>1175</v>
      </c>
      <c r="K198" s="14"/>
      <c r="L198" s="85"/>
      <c r="M198" s="85"/>
      <c r="N198" s="85"/>
      <c r="O198" s="85"/>
      <c r="P198" s="85"/>
      <c r="Q198" s="85"/>
      <c r="R198" s="85"/>
      <c r="S198" s="85"/>
      <c r="T198" s="85"/>
      <c r="U198" s="85"/>
      <c r="V198" s="85"/>
      <c r="W198" s="85"/>
      <c r="X198" s="85"/>
      <c r="Y198" s="85"/>
      <c r="Z198" s="85"/>
    </row>
    <row r="199" spans="1:26" ht="15.75" customHeight="1">
      <c r="A199" s="210">
        <v>32</v>
      </c>
      <c r="B199" s="210" t="s">
        <v>233</v>
      </c>
      <c r="C199" s="210" t="s">
        <v>234</v>
      </c>
      <c r="D199" s="209">
        <v>31644</v>
      </c>
      <c r="E199" s="184" t="s">
        <v>1367</v>
      </c>
      <c r="F199" s="184">
        <v>49</v>
      </c>
      <c r="G199" s="14">
        <v>1</v>
      </c>
      <c r="H199" s="184">
        <v>0</v>
      </c>
      <c r="I199" s="184">
        <v>1</v>
      </c>
      <c r="J199" s="14" t="s">
        <v>1179</v>
      </c>
      <c r="K199" s="14"/>
      <c r="L199" s="85"/>
      <c r="M199" s="85"/>
      <c r="N199" s="85"/>
      <c r="O199" s="85"/>
      <c r="P199" s="85"/>
      <c r="Q199" s="85"/>
      <c r="R199" s="85"/>
      <c r="S199" s="85"/>
      <c r="T199" s="85"/>
      <c r="U199" s="85"/>
      <c r="V199" s="85"/>
      <c r="W199" s="85"/>
      <c r="X199" s="85"/>
      <c r="Y199" s="85"/>
      <c r="Z199" s="85"/>
    </row>
    <row r="200" spans="1:26" ht="15.75" customHeight="1">
      <c r="A200" s="210">
        <v>32</v>
      </c>
      <c r="B200" s="210" t="s">
        <v>233</v>
      </c>
      <c r="C200" s="210" t="s">
        <v>234</v>
      </c>
      <c r="D200" s="209">
        <v>31644</v>
      </c>
      <c r="E200" s="184" t="s">
        <v>1368</v>
      </c>
      <c r="F200" s="184">
        <v>30</v>
      </c>
      <c r="G200" s="14">
        <v>0</v>
      </c>
      <c r="H200" s="14"/>
      <c r="I200" s="184">
        <v>1</v>
      </c>
      <c r="J200" s="14" t="s">
        <v>1175</v>
      </c>
      <c r="K200" s="14"/>
      <c r="L200" s="85"/>
      <c r="M200" s="85"/>
      <c r="N200" s="85"/>
      <c r="O200" s="85"/>
      <c r="P200" s="85"/>
      <c r="Q200" s="85"/>
      <c r="R200" s="85"/>
      <c r="S200" s="85"/>
      <c r="T200" s="85"/>
      <c r="U200" s="85"/>
      <c r="V200" s="85"/>
      <c r="W200" s="85"/>
      <c r="X200" s="85"/>
      <c r="Y200" s="85"/>
      <c r="Z200" s="85"/>
    </row>
    <row r="201" spans="1:26" ht="15.75" customHeight="1">
      <c r="A201" s="210">
        <v>32</v>
      </c>
      <c r="B201" s="210" t="s">
        <v>233</v>
      </c>
      <c r="C201" s="210" t="s">
        <v>234</v>
      </c>
      <c r="D201" s="209">
        <v>31644</v>
      </c>
      <c r="E201" s="184" t="s">
        <v>1369</v>
      </c>
      <c r="F201" s="184">
        <v>49</v>
      </c>
      <c r="G201" s="14">
        <v>0</v>
      </c>
      <c r="H201" s="14"/>
      <c r="I201" s="184">
        <v>1</v>
      </c>
      <c r="J201" s="14" t="s">
        <v>1175</v>
      </c>
      <c r="K201" s="14"/>
      <c r="L201" s="85"/>
      <c r="M201" s="85"/>
      <c r="N201" s="85"/>
      <c r="O201" s="85"/>
      <c r="P201" s="85"/>
      <c r="Q201" s="85"/>
      <c r="R201" s="85"/>
      <c r="S201" s="85"/>
      <c r="T201" s="85"/>
      <c r="U201" s="85"/>
      <c r="V201" s="85"/>
      <c r="W201" s="85"/>
      <c r="X201" s="85"/>
      <c r="Y201" s="85"/>
      <c r="Z201" s="85"/>
    </row>
    <row r="202" spans="1:26" ht="15.75" customHeight="1">
      <c r="A202" s="210">
        <v>32</v>
      </c>
      <c r="B202" s="210" t="s">
        <v>233</v>
      </c>
      <c r="C202" s="210" t="s">
        <v>234</v>
      </c>
      <c r="D202" s="209">
        <v>31644</v>
      </c>
      <c r="E202" s="184" t="s">
        <v>1370</v>
      </c>
      <c r="F202" s="184">
        <v>34</v>
      </c>
      <c r="G202" s="14">
        <v>1</v>
      </c>
      <c r="H202" s="14"/>
      <c r="I202" s="184">
        <v>1</v>
      </c>
      <c r="J202" s="14" t="s">
        <v>1175</v>
      </c>
      <c r="K202" s="14"/>
      <c r="L202" s="85"/>
      <c r="M202" s="85"/>
      <c r="N202" s="85"/>
      <c r="O202" s="85"/>
      <c r="P202" s="85"/>
      <c r="Q202" s="85"/>
      <c r="R202" s="85"/>
      <c r="S202" s="85"/>
      <c r="T202" s="85"/>
      <c r="U202" s="85"/>
      <c r="V202" s="85"/>
      <c r="W202" s="85"/>
      <c r="X202" s="85"/>
      <c r="Y202" s="85"/>
      <c r="Z202" s="85"/>
    </row>
    <row r="203" spans="1:26" ht="15.75" customHeight="1">
      <c r="A203" s="210">
        <v>32</v>
      </c>
      <c r="B203" s="210" t="s">
        <v>233</v>
      </c>
      <c r="C203" s="210" t="s">
        <v>234</v>
      </c>
      <c r="D203" s="209">
        <v>31644</v>
      </c>
      <c r="E203" s="184" t="s">
        <v>1371</v>
      </c>
      <c r="F203" s="184">
        <v>42</v>
      </c>
      <c r="G203" s="14">
        <v>0</v>
      </c>
      <c r="H203" s="14"/>
      <c r="I203" s="184">
        <v>1</v>
      </c>
      <c r="J203" s="14" t="s">
        <v>1175</v>
      </c>
      <c r="K203" s="14"/>
      <c r="L203" s="85"/>
      <c r="M203" s="85"/>
      <c r="N203" s="85"/>
      <c r="O203" s="85"/>
      <c r="P203" s="85"/>
      <c r="Q203" s="85"/>
      <c r="R203" s="85"/>
      <c r="S203" s="85"/>
      <c r="T203" s="85"/>
      <c r="U203" s="85"/>
      <c r="V203" s="85"/>
      <c r="W203" s="85"/>
      <c r="X203" s="85"/>
      <c r="Y203" s="85"/>
      <c r="Z203" s="85"/>
    </row>
    <row r="204" spans="1:26" ht="15.75" customHeight="1">
      <c r="A204" s="210">
        <v>32</v>
      </c>
      <c r="B204" s="210" t="s">
        <v>233</v>
      </c>
      <c r="C204" s="210" t="s">
        <v>234</v>
      </c>
      <c r="D204" s="209">
        <v>31644</v>
      </c>
      <c r="E204" s="184" t="s">
        <v>1372</v>
      </c>
      <c r="F204" s="184">
        <v>51</v>
      </c>
      <c r="G204" s="14">
        <v>0</v>
      </c>
      <c r="H204" s="14"/>
      <c r="I204" s="184">
        <v>1</v>
      </c>
      <c r="J204" s="14" t="s">
        <v>1175</v>
      </c>
      <c r="K204" s="14"/>
      <c r="L204" s="85"/>
      <c r="M204" s="85"/>
      <c r="N204" s="85"/>
      <c r="O204" s="85"/>
      <c r="P204" s="85"/>
      <c r="Q204" s="85"/>
      <c r="R204" s="85"/>
      <c r="S204" s="85"/>
      <c r="T204" s="85"/>
      <c r="U204" s="85"/>
      <c r="V204" s="85"/>
      <c r="W204" s="85"/>
      <c r="X204" s="85"/>
      <c r="Y204" s="85"/>
      <c r="Z204" s="85"/>
    </row>
    <row r="205" spans="1:26" ht="15.75" customHeight="1">
      <c r="A205" s="210">
        <v>32</v>
      </c>
      <c r="B205" s="210" t="s">
        <v>233</v>
      </c>
      <c r="C205" s="210" t="s">
        <v>234</v>
      </c>
      <c r="D205" s="209">
        <v>31644</v>
      </c>
      <c r="E205" s="184" t="s">
        <v>1373</v>
      </c>
      <c r="F205" s="184">
        <v>33</v>
      </c>
      <c r="G205" s="14">
        <v>0</v>
      </c>
      <c r="H205" s="14"/>
      <c r="I205" s="184">
        <v>1</v>
      </c>
      <c r="J205" s="14" t="s">
        <v>1175</v>
      </c>
      <c r="K205" s="14"/>
      <c r="L205" s="85"/>
      <c r="M205" s="85"/>
      <c r="N205" s="85"/>
      <c r="O205" s="85"/>
      <c r="P205" s="85"/>
      <c r="Q205" s="85"/>
      <c r="R205" s="85"/>
      <c r="S205" s="85"/>
      <c r="T205" s="85"/>
      <c r="U205" s="85"/>
      <c r="V205" s="85"/>
      <c r="W205" s="85"/>
      <c r="X205" s="85"/>
      <c r="Y205" s="85"/>
      <c r="Z205" s="85"/>
    </row>
    <row r="206" spans="1:26" ht="15.75" customHeight="1">
      <c r="A206" s="210">
        <v>32</v>
      </c>
      <c r="B206" s="210" t="s">
        <v>233</v>
      </c>
      <c r="C206" s="210" t="s">
        <v>234</v>
      </c>
      <c r="D206" s="209">
        <v>31644</v>
      </c>
      <c r="E206" s="184" t="s">
        <v>1374</v>
      </c>
      <c r="F206" s="184">
        <v>31</v>
      </c>
      <c r="G206" s="14">
        <v>0</v>
      </c>
      <c r="H206" s="14"/>
      <c r="I206" s="184">
        <v>1</v>
      </c>
      <c r="J206" s="14" t="s">
        <v>1175</v>
      </c>
      <c r="K206" s="14"/>
      <c r="L206" s="85"/>
      <c r="M206" s="85"/>
      <c r="N206" s="85"/>
      <c r="O206" s="85"/>
      <c r="P206" s="85"/>
      <c r="Q206" s="85"/>
      <c r="R206" s="85"/>
      <c r="S206" s="85"/>
      <c r="T206" s="85"/>
      <c r="U206" s="85"/>
      <c r="V206" s="85"/>
      <c r="W206" s="85"/>
      <c r="X206" s="85"/>
      <c r="Y206" s="85"/>
      <c r="Z206" s="85"/>
    </row>
    <row r="207" spans="1:26" ht="15.75" customHeight="1">
      <c r="A207" s="210">
        <v>32</v>
      </c>
      <c r="B207" s="210" t="s">
        <v>233</v>
      </c>
      <c r="C207" s="210" t="s">
        <v>234</v>
      </c>
      <c r="D207" s="209">
        <v>31644</v>
      </c>
      <c r="E207" s="184" t="s">
        <v>1375</v>
      </c>
      <c r="F207" s="184">
        <v>27</v>
      </c>
      <c r="G207" s="14">
        <v>1</v>
      </c>
      <c r="H207" s="14"/>
      <c r="I207" s="184">
        <v>1</v>
      </c>
      <c r="J207" s="14" t="s">
        <v>1175</v>
      </c>
      <c r="K207" s="14"/>
      <c r="L207" s="85"/>
      <c r="M207" s="85"/>
      <c r="N207" s="85"/>
      <c r="O207" s="85"/>
      <c r="P207" s="85"/>
      <c r="Q207" s="85"/>
      <c r="R207" s="85"/>
      <c r="S207" s="85"/>
      <c r="T207" s="85"/>
      <c r="U207" s="85"/>
      <c r="V207" s="85"/>
      <c r="W207" s="85"/>
      <c r="X207" s="85"/>
      <c r="Y207" s="85"/>
      <c r="Z207" s="85"/>
    </row>
    <row r="208" spans="1:26" ht="15.75" customHeight="1">
      <c r="A208" s="193">
        <v>33</v>
      </c>
      <c r="B208" s="193" t="s">
        <v>237</v>
      </c>
      <c r="C208" s="193" t="s">
        <v>182</v>
      </c>
      <c r="D208" s="194">
        <v>31890</v>
      </c>
      <c r="E208" s="14" t="s">
        <v>1376</v>
      </c>
      <c r="F208" s="184" t="str">
        <f>HYPERLINK("https://www.nytimes.com/1987/04/25/us/florida-gunman-charged-with-killing-6.html","18")</f>
        <v>18</v>
      </c>
      <c r="G208" s="14">
        <v>0</v>
      </c>
      <c r="H208" s="14">
        <v>4</v>
      </c>
      <c r="I208" s="14">
        <v>0</v>
      </c>
      <c r="J208" s="14" t="s">
        <v>100</v>
      </c>
      <c r="K208" s="14"/>
      <c r="L208" s="85"/>
      <c r="M208" s="85"/>
      <c r="N208" s="85"/>
      <c r="O208" s="85"/>
      <c r="P208" s="85"/>
      <c r="Q208" s="85"/>
      <c r="R208" s="85"/>
      <c r="S208" s="85"/>
      <c r="T208" s="85"/>
      <c r="U208" s="85"/>
      <c r="V208" s="85"/>
      <c r="W208" s="85"/>
      <c r="X208" s="85"/>
      <c r="Y208" s="85"/>
      <c r="Z208" s="85"/>
    </row>
    <row r="209" spans="1:26" ht="15.75" customHeight="1">
      <c r="A209" s="193">
        <v>33</v>
      </c>
      <c r="B209" s="193" t="s">
        <v>237</v>
      </c>
      <c r="C209" s="193" t="s">
        <v>182</v>
      </c>
      <c r="D209" s="194">
        <v>31890</v>
      </c>
      <c r="E209" s="14" t="s">
        <v>1377</v>
      </c>
      <c r="F209" s="184" t="str">
        <f>HYPERLINK("https://www.nytimes.com/1987/04/25/us/florida-gunman-charged-with-killing-6.html","25")</f>
        <v>25</v>
      </c>
      <c r="G209" s="14">
        <v>0</v>
      </c>
      <c r="H209" s="14">
        <v>4</v>
      </c>
      <c r="I209" s="14">
        <v>0</v>
      </c>
      <c r="J209" s="14" t="s">
        <v>100</v>
      </c>
      <c r="K209" s="14"/>
      <c r="L209" s="85"/>
      <c r="M209" s="85"/>
      <c r="N209" s="85"/>
      <c r="O209" s="85"/>
      <c r="P209" s="85"/>
      <c r="Q209" s="85"/>
      <c r="R209" s="85"/>
      <c r="S209" s="85"/>
      <c r="T209" s="85"/>
      <c r="U209" s="85"/>
      <c r="V209" s="85"/>
      <c r="W209" s="85"/>
      <c r="X209" s="85"/>
      <c r="Y209" s="85"/>
      <c r="Z209" s="85"/>
    </row>
    <row r="210" spans="1:26" ht="15.75" customHeight="1">
      <c r="A210" s="193">
        <v>33</v>
      </c>
      <c r="B210" s="193" t="s">
        <v>237</v>
      </c>
      <c r="C210" s="193" t="s">
        <v>182</v>
      </c>
      <c r="D210" s="194">
        <v>31890</v>
      </c>
      <c r="E210" s="14" t="s">
        <v>1378</v>
      </c>
      <c r="F210" s="184">
        <v>28</v>
      </c>
      <c r="G210" s="14">
        <v>0</v>
      </c>
      <c r="H210" s="184">
        <v>0</v>
      </c>
      <c r="I210" s="14">
        <v>0</v>
      </c>
      <c r="J210" s="14" t="s">
        <v>100</v>
      </c>
      <c r="K210" s="14"/>
      <c r="L210" s="85"/>
      <c r="M210" s="85"/>
      <c r="N210" s="85"/>
      <c r="O210" s="85"/>
      <c r="P210" s="85"/>
      <c r="Q210" s="85"/>
      <c r="R210" s="85"/>
      <c r="S210" s="85"/>
      <c r="T210" s="85"/>
      <c r="U210" s="85"/>
      <c r="V210" s="85"/>
      <c r="W210" s="85"/>
      <c r="X210" s="85"/>
      <c r="Y210" s="85"/>
      <c r="Z210" s="85"/>
    </row>
    <row r="211" spans="1:26" ht="15.75" customHeight="1">
      <c r="A211" s="193">
        <v>33</v>
      </c>
      <c r="B211" s="193" t="s">
        <v>237</v>
      </c>
      <c r="C211" s="193" t="s">
        <v>182</v>
      </c>
      <c r="D211" s="194">
        <v>31890</v>
      </c>
      <c r="E211" s="14" t="s">
        <v>1379</v>
      </c>
      <c r="F211" s="184">
        <v>27</v>
      </c>
      <c r="G211" s="14">
        <v>0</v>
      </c>
      <c r="H211" s="184">
        <v>0</v>
      </c>
      <c r="I211" s="14">
        <v>0</v>
      </c>
      <c r="J211" s="14" t="s">
        <v>100</v>
      </c>
      <c r="K211" s="14"/>
      <c r="L211" s="85"/>
      <c r="M211" s="85"/>
      <c r="N211" s="85"/>
      <c r="O211" s="85"/>
      <c r="P211" s="85"/>
      <c r="Q211" s="85"/>
      <c r="R211" s="85"/>
      <c r="S211" s="85"/>
      <c r="T211" s="85"/>
      <c r="U211" s="85"/>
      <c r="V211" s="85"/>
      <c r="W211" s="85"/>
      <c r="X211" s="85"/>
      <c r="Y211" s="85"/>
      <c r="Z211" s="85"/>
    </row>
    <row r="212" spans="1:26" ht="15.75" customHeight="1">
      <c r="A212" s="193">
        <v>33</v>
      </c>
      <c r="B212" s="193" t="s">
        <v>237</v>
      </c>
      <c r="C212" s="193" t="s">
        <v>182</v>
      </c>
      <c r="D212" s="194">
        <v>31890</v>
      </c>
      <c r="E212" s="14" t="s">
        <v>1380</v>
      </c>
      <c r="F212" s="184">
        <v>67</v>
      </c>
      <c r="G212" s="14">
        <v>1</v>
      </c>
      <c r="H212" s="14"/>
      <c r="I212" s="14">
        <v>0</v>
      </c>
      <c r="J212" s="14" t="s">
        <v>100</v>
      </c>
      <c r="K212" s="14"/>
      <c r="L212" s="85"/>
      <c r="M212" s="85"/>
      <c r="N212" s="85"/>
      <c r="O212" s="85"/>
      <c r="P212" s="85"/>
      <c r="Q212" s="85"/>
      <c r="R212" s="85"/>
      <c r="S212" s="85"/>
      <c r="T212" s="85"/>
      <c r="U212" s="85"/>
      <c r="V212" s="85"/>
      <c r="W212" s="85"/>
      <c r="X212" s="85"/>
      <c r="Y212" s="85"/>
      <c r="Z212" s="85"/>
    </row>
    <row r="213" spans="1:26" ht="15.75" customHeight="1">
      <c r="A213" s="193">
        <v>33</v>
      </c>
      <c r="B213" s="193" t="s">
        <v>237</v>
      </c>
      <c r="C213" s="193" t="s">
        <v>182</v>
      </c>
      <c r="D213" s="194">
        <v>31890</v>
      </c>
      <c r="E213" s="14" t="s">
        <v>1381</v>
      </c>
      <c r="F213" s="184">
        <v>52</v>
      </c>
      <c r="G213" s="14">
        <v>0</v>
      </c>
      <c r="H213" s="14"/>
      <c r="I213" s="14">
        <v>0</v>
      </c>
      <c r="J213" s="14" t="s">
        <v>100</v>
      </c>
      <c r="K213" s="14"/>
      <c r="L213" s="85"/>
      <c r="M213" s="85"/>
      <c r="N213" s="85"/>
      <c r="O213" s="85"/>
      <c r="P213" s="85"/>
      <c r="Q213" s="85"/>
      <c r="R213" s="85"/>
      <c r="S213" s="85"/>
      <c r="T213" s="85"/>
      <c r="U213" s="85"/>
      <c r="V213" s="85"/>
      <c r="W213" s="85"/>
      <c r="X213" s="85"/>
      <c r="Y213" s="85"/>
      <c r="Z213" s="85"/>
    </row>
    <row r="214" spans="1:26" ht="15.75" customHeight="1">
      <c r="A214" s="191">
        <v>34</v>
      </c>
      <c r="B214" s="191" t="s">
        <v>240</v>
      </c>
      <c r="C214" s="191" t="s">
        <v>241</v>
      </c>
      <c r="D214" s="192">
        <v>32189</v>
      </c>
      <c r="E214" s="14" t="s">
        <v>1382</v>
      </c>
      <c r="F214" s="184">
        <v>36</v>
      </c>
      <c r="G214" s="14">
        <v>0</v>
      </c>
      <c r="H214" s="14"/>
      <c r="I214" s="184">
        <v>0</v>
      </c>
      <c r="J214" s="14" t="s">
        <v>100</v>
      </c>
      <c r="K214" s="14"/>
      <c r="L214" s="85"/>
      <c r="M214" s="85"/>
      <c r="N214" s="85"/>
      <c r="O214" s="85"/>
      <c r="P214" s="85"/>
      <c r="Q214" s="85"/>
      <c r="R214" s="85"/>
      <c r="S214" s="85"/>
      <c r="T214" s="85"/>
      <c r="U214" s="85"/>
      <c r="V214" s="85"/>
      <c r="W214" s="85"/>
      <c r="X214" s="85"/>
      <c r="Y214" s="85"/>
      <c r="Z214" s="85"/>
    </row>
    <row r="215" spans="1:26" ht="15.75" customHeight="1">
      <c r="A215" s="191">
        <v>34</v>
      </c>
      <c r="B215" s="191" t="s">
        <v>240</v>
      </c>
      <c r="C215" s="191" t="s">
        <v>241</v>
      </c>
      <c r="D215" s="192">
        <v>32189</v>
      </c>
      <c r="E215" s="184" t="s">
        <v>1383</v>
      </c>
      <c r="F215" s="184">
        <v>46</v>
      </c>
      <c r="G215" s="14">
        <v>0</v>
      </c>
      <c r="H215" s="14"/>
      <c r="I215" s="184">
        <v>1</v>
      </c>
      <c r="J215" s="14" t="s">
        <v>1384</v>
      </c>
      <c r="K215" s="14"/>
      <c r="L215" s="85"/>
      <c r="M215" s="85"/>
      <c r="N215" s="85"/>
      <c r="O215" s="85"/>
      <c r="P215" s="85"/>
      <c r="Q215" s="85"/>
      <c r="R215" s="85"/>
      <c r="S215" s="85"/>
      <c r="T215" s="85"/>
      <c r="U215" s="85"/>
      <c r="V215" s="85"/>
      <c r="W215" s="85"/>
      <c r="X215" s="85"/>
      <c r="Y215" s="85"/>
      <c r="Z215" s="85"/>
    </row>
    <row r="216" spans="1:26" ht="15.75" customHeight="1">
      <c r="A216" s="191">
        <v>34</v>
      </c>
      <c r="B216" s="191" t="s">
        <v>240</v>
      </c>
      <c r="C216" s="191" t="s">
        <v>241</v>
      </c>
      <c r="D216" s="192">
        <v>32189</v>
      </c>
      <c r="E216" s="14" t="s">
        <v>1385</v>
      </c>
      <c r="F216" s="184">
        <v>49</v>
      </c>
      <c r="G216" s="14">
        <v>1</v>
      </c>
      <c r="H216" s="14"/>
      <c r="I216" s="184">
        <v>0</v>
      </c>
      <c r="J216" s="14" t="s">
        <v>100</v>
      </c>
      <c r="K216" s="14"/>
      <c r="L216" s="85"/>
      <c r="M216" s="85"/>
      <c r="N216" s="85"/>
      <c r="O216" s="85"/>
      <c r="P216" s="85"/>
      <c r="Q216" s="85"/>
      <c r="R216" s="85"/>
      <c r="S216" s="85"/>
      <c r="T216" s="85"/>
      <c r="U216" s="85"/>
      <c r="V216" s="85"/>
      <c r="W216" s="85"/>
      <c r="X216" s="85"/>
      <c r="Y216" s="85"/>
      <c r="Z216" s="85"/>
    </row>
    <row r="217" spans="1:26" ht="15.75" customHeight="1">
      <c r="A217" s="191">
        <v>34</v>
      </c>
      <c r="B217" s="191" t="s">
        <v>240</v>
      </c>
      <c r="C217" s="191" t="s">
        <v>241</v>
      </c>
      <c r="D217" s="192">
        <v>32189</v>
      </c>
      <c r="E217" s="14" t="s">
        <v>1386</v>
      </c>
      <c r="F217" s="184">
        <v>27</v>
      </c>
      <c r="G217" s="14">
        <v>1</v>
      </c>
      <c r="H217" s="14"/>
      <c r="I217" s="184">
        <v>0</v>
      </c>
      <c r="J217" s="14" t="s">
        <v>100</v>
      </c>
      <c r="K217" s="14"/>
      <c r="L217" s="85"/>
      <c r="M217" s="85"/>
      <c r="N217" s="85"/>
      <c r="O217" s="85"/>
      <c r="P217" s="85"/>
      <c r="Q217" s="85"/>
      <c r="R217" s="85"/>
      <c r="S217" s="85"/>
      <c r="T217" s="85"/>
      <c r="U217" s="85"/>
      <c r="V217" s="85"/>
      <c r="W217" s="85"/>
      <c r="X217" s="85"/>
      <c r="Y217" s="85"/>
      <c r="Z217" s="85"/>
    </row>
    <row r="218" spans="1:26" ht="15.75" customHeight="1">
      <c r="A218" s="191">
        <v>34</v>
      </c>
      <c r="B218" s="191" t="s">
        <v>240</v>
      </c>
      <c r="C218" s="191" t="s">
        <v>241</v>
      </c>
      <c r="D218" s="192">
        <v>32189</v>
      </c>
      <c r="E218" s="14" t="s">
        <v>1387</v>
      </c>
      <c r="F218" s="184">
        <v>26</v>
      </c>
      <c r="G218" s="14">
        <v>0</v>
      </c>
      <c r="H218" s="184">
        <v>0</v>
      </c>
      <c r="I218" s="184">
        <v>0</v>
      </c>
      <c r="J218" s="14" t="s">
        <v>100</v>
      </c>
      <c r="K218" s="14"/>
      <c r="L218" s="85"/>
      <c r="M218" s="85"/>
      <c r="N218" s="85"/>
      <c r="O218" s="85"/>
      <c r="P218" s="85"/>
      <c r="Q218" s="85"/>
      <c r="R218" s="85"/>
      <c r="S218" s="85"/>
      <c r="T218" s="85"/>
      <c r="U218" s="85"/>
      <c r="V218" s="85"/>
      <c r="W218" s="85"/>
      <c r="X218" s="85"/>
      <c r="Y218" s="85"/>
      <c r="Z218" s="85"/>
    </row>
    <row r="219" spans="1:26" ht="15.75" customHeight="1">
      <c r="A219" s="191">
        <v>34</v>
      </c>
      <c r="B219" s="191" t="s">
        <v>240</v>
      </c>
      <c r="C219" s="191" t="s">
        <v>241</v>
      </c>
      <c r="D219" s="192">
        <v>32189</v>
      </c>
      <c r="E219" s="184" t="s">
        <v>1388</v>
      </c>
      <c r="F219" s="184">
        <v>43</v>
      </c>
      <c r="G219" s="14">
        <v>0</v>
      </c>
      <c r="H219" s="14"/>
      <c r="I219" s="184">
        <v>0</v>
      </c>
      <c r="J219" s="14" t="s">
        <v>100</v>
      </c>
      <c r="K219" s="14"/>
      <c r="L219" s="85"/>
      <c r="M219" s="85"/>
      <c r="N219" s="85"/>
      <c r="O219" s="85"/>
      <c r="P219" s="85"/>
      <c r="Q219" s="85"/>
      <c r="R219" s="85"/>
      <c r="S219" s="85"/>
      <c r="T219" s="85"/>
      <c r="U219" s="85"/>
      <c r="V219" s="85"/>
      <c r="W219" s="85"/>
      <c r="X219" s="85"/>
      <c r="Y219" s="85"/>
      <c r="Z219" s="85"/>
    </row>
    <row r="220" spans="1:26" ht="15.75" customHeight="1">
      <c r="A220" s="191">
        <v>34</v>
      </c>
      <c r="B220" s="191" t="s">
        <v>240</v>
      </c>
      <c r="C220" s="191" t="s">
        <v>241</v>
      </c>
      <c r="D220" s="192">
        <v>32189</v>
      </c>
      <c r="E220" s="184" t="s">
        <v>1389</v>
      </c>
      <c r="F220" s="184">
        <v>23</v>
      </c>
      <c r="G220" s="14">
        <v>0</v>
      </c>
      <c r="H220" s="14"/>
      <c r="I220" s="184">
        <v>0</v>
      </c>
      <c r="J220" s="14" t="s">
        <v>100</v>
      </c>
      <c r="K220" s="14"/>
      <c r="L220" s="85"/>
      <c r="M220" s="85"/>
      <c r="N220" s="85"/>
      <c r="O220" s="85"/>
      <c r="P220" s="85"/>
      <c r="Q220" s="85"/>
      <c r="R220" s="85"/>
      <c r="S220" s="85"/>
      <c r="T220" s="85"/>
      <c r="U220" s="85"/>
      <c r="V220" s="85"/>
      <c r="W220" s="85"/>
      <c r="X220" s="85"/>
      <c r="Y220" s="85"/>
      <c r="Z220" s="85"/>
    </row>
    <row r="221" spans="1:26" ht="15.75" customHeight="1">
      <c r="A221" s="211">
        <v>35</v>
      </c>
      <c r="B221" s="211" t="s">
        <v>244</v>
      </c>
      <c r="C221" s="211" t="s">
        <v>212</v>
      </c>
      <c r="D221" s="212">
        <v>32341</v>
      </c>
      <c r="E221" s="14" t="s">
        <v>1390</v>
      </c>
      <c r="F221" s="184">
        <v>16</v>
      </c>
      <c r="G221" s="14">
        <v>1</v>
      </c>
      <c r="H221" s="184">
        <v>0</v>
      </c>
      <c r="I221" s="14">
        <v>0</v>
      </c>
      <c r="J221" s="14" t="s">
        <v>100</v>
      </c>
      <c r="K221" s="14"/>
      <c r="L221" s="85"/>
      <c r="M221" s="85"/>
      <c r="N221" s="85"/>
      <c r="O221" s="85"/>
      <c r="P221" s="85"/>
      <c r="Q221" s="85"/>
      <c r="R221" s="85"/>
      <c r="S221" s="85"/>
      <c r="T221" s="85"/>
      <c r="U221" s="85"/>
      <c r="V221" s="85"/>
      <c r="W221" s="85"/>
      <c r="X221" s="85"/>
      <c r="Y221" s="85"/>
      <c r="Z221" s="85"/>
    </row>
    <row r="222" spans="1:26" ht="15.75" customHeight="1">
      <c r="A222" s="211">
        <v>35</v>
      </c>
      <c r="B222" s="211" t="s">
        <v>244</v>
      </c>
      <c r="C222" s="211" t="s">
        <v>212</v>
      </c>
      <c r="D222" s="212">
        <v>32341</v>
      </c>
      <c r="E222" s="14" t="s">
        <v>1391</v>
      </c>
      <c r="F222" s="184">
        <v>21</v>
      </c>
      <c r="G222" s="14">
        <v>1</v>
      </c>
      <c r="H222" s="14"/>
      <c r="I222" s="14">
        <v>0</v>
      </c>
      <c r="J222" s="14" t="s">
        <v>100</v>
      </c>
      <c r="K222" s="14"/>
      <c r="L222" s="85"/>
      <c r="M222" s="85"/>
      <c r="N222" s="85"/>
      <c r="O222" s="85"/>
      <c r="P222" s="85"/>
      <c r="Q222" s="85"/>
      <c r="R222" s="85"/>
      <c r="S222" s="85"/>
      <c r="T222" s="85"/>
      <c r="U222" s="85"/>
      <c r="V222" s="85"/>
      <c r="W222" s="85"/>
      <c r="X222" s="85"/>
      <c r="Y222" s="85"/>
      <c r="Z222" s="85"/>
    </row>
    <row r="223" spans="1:26" ht="15.75" customHeight="1">
      <c r="A223" s="211">
        <v>35</v>
      </c>
      <c r="B223" s="211" t="s">
        <v>244</v>
      </c>
      <c r="C223" s="211" t="s">
        <v>212</v>
      </c>
      <c r="D223" s="212">
        <v>32341</v>
      </c>
      <c r="E223" s="14" t="s">
        <v>1392</v>
      </c>
      <c r="F223" s="184">
        <v>32</v>
      </c>
      <c r="G223" s="14">
        <v>0</v>
      </c>
      <c r="H223" s="14"/>
      <c r="I223" s="14">
        <v>0</v>
      </c>
      <c r="J223" s="14" t="s">
        <v>100</v>
      </c>
      <c r="K223" s="14"/>
      <c r="L223" s="85"/>
      <c r="M223" s="85"/>
      <c r="N223" s="85"/>
      <c r="O223" s="85"/>
      <c r="P223" s="85"/>
      <c r="Q223" s="85"/>
      <c r="R223" s="85"/>
      <c r="S223" s="85"/>
      <c r="T223" s="85"/>
      <c r="U223" s="85"/>
      <c r="V223" s="85"/>
      <c r="W223" s="85"/>
      <c r="X223" s="85"/>
      <c r="Y223" s="85"/>
      <c r="Z223" s="85"/>
    </row>
    <row r="224" spans="1:26" ht="15.75" customHeight="1">
      <c r="A224" s="211">
        <v>35</v>
      </c>
      <c r="B224" s="211" t="s">
        <v>244</v>
      </c>
      <c r="C224" s="211" t="s">
        <v>212</v>
      </c>
      <c r="D224" s="212">
        <v>32341</v>
      </c>
      <c r="E224" s="14" t="s">
        <v>1393</v>
      </c>
      <c r="F224" s="184">
        <v>24</v>
      </c>
      <c r="G224" s="14">
        <v>0</v>
      </c>
      <c r="H224" s="184">
        <v>0</v>
      </c>
      <c r="I224" s="14">
        <v>0</v>
      </c>
      <c r="J224" s="14" t="s">
        <v>100</v>
      </c>
      <c r="K224" s="14"/>
      <c r="L224" s="85"/>
      <c r="M224" s="85"/>
      <c r="N224" s="85"/>
      <c r="O224" s="85"/>
      <c r="P224" s="85"/>
      <c r="Q224" s="85"/>
      <c r="R224" s="85"/>
      <c r="S224" s="85"/>
      <c r="T224" s="85"/>
      <c r="U224" s="85"/>
      <c r="V224" s="85"/>
      <c r="W224" s="85"/>
      <c r="X224" s="85"/>
      <c r="Y224" s="85"/>
      <c r="Z224" s="85"/>
    </row>
    <row r="225" spans="1:26" ht="15.75" customHeight="1">
      <c r="A225" s="195">
        <v>36</v>
      </c>
      <c r="B225" s="195" t="s">
        <v>247</v>
      </c>
      <c r="C225" s="195" t="s">
        <v>248</v>
      </c>
      <c r="D225" s="196">
        <v>32408</v>
      </c>
      <c r="E225" s="14" t="s">
        <v>1394</v>
      </c>
      <c r="F225" s="184">
        <v>34</v>
      </c>
      <c r="G225" s="14">
        <v>0</v>
      </c>
      <c r="H225" s="14"/>
      <c r="I225" s="14">
        <v>0</v>
      </c>
      <c r="J225" s="14" t="s">
        <v>100</v>
      </c>
      <c r="K225" s="14"/>
      <c r="L225" s="85"/>
      <c r="M225" s="85"/>
      <c r="N225" s="85"/>
      <c r="O225" s="85"/>
      <c r="P225" s="85"/>
      <c r="Q225" s="85"/>
      <c r="R225" s="85"/>
      <c r="S225" s="85"/>
      <c r="T225" s="85"/>
      <c r="U225" s="85"/>
      <c r="V225" s="85"/>
      <c r="W225" s="85"/>
      <c r="X225" s="85"/>
      <c r="Y225" s="85"/>
      <c r="Z225" s="85"/>
    </row>
    <row r="226" spans="1:26" ht="15.75" customHeight="1">
      <c r="A226" s="195">
        <v>36</v>
      </c>
      <c r="B226" s="195" t="s">
        <v>247</v>
      </c>
      <c r="C226" s="195" t="s">
        <v>248</v>
      </c>
      <c r="D226" s="196">
        <v>32408</v>
      </c>
      <c r="E226" s="14" t="s">
        <v>1395</v>
      </c>
      <c r="F226" s="184">
        <v>41</v>
      </c>
      <c r="G226" s="14">
        <v>0</v>
      </c>
      <c r="H226" s="14"/>
      <c r="I226" s="14">
        <v>1</v>
      </c>
      <c r="J226" s="14" t="s">
        <v>1396</v>
      </c>
      <c r="K226" s="14"/>
      <c r="L226" s="85"/>
      <c r="M226" s="85"/>
      <c r="N226" s="85"/>
      <c r="O226" s="85"/>
      <c r="P226" s="85"/>
      <c r="Q226" s="85"/>
      <c r="R226" s="85"/>
      <c r="S226" s="85"/>
      <c r="T226" s="85"/>
      <c r="U226" s="85"/>
      <c r="V226" s="85"/>
      <c r="W226" s="85"/>
      <c r="X226" s="85"/>
      <c r="Y226" s="85"/>
      <c r="Z226" s="85"/>
    </row>
    <row r="227" spans="1:26" ht="15.75" customHeight="1">
      <c r="A227" s="195">
        <v>36</v>
      </c>
      <c r="B227" s="195" t="s">
        <v>247</v>
      </c>
      <c r="C227" s="195" t="s">
        <v>248</v>
      </c>
      <c r="D227" s="196">
        <v>32408</v>
      </c>
      <c r="E227" s="14" t="s">
        <v>1397</v>
      </c>
      <c r="F227" s="184">
        <v>26</v>
      </c>
      <c r="G227" s="14">
        <v>0</v>
      </c>
      <c r="H227" s="14"/>
      <c r="I227" s="14">
        <v>1</v>
      </c>
      <c r="J227" s="14" t="s">
        <v>1396</v>
      </c>
      <c r="K227" s="14"/>
      <c r="L227" s="85"/>
      <c r="M227" s="85"/>
      <c r="N227" s="85"/>
      <c r="O227" s="85"/>
      <c r="P227" s="85"/>
      <c r="Q227" s="85"/>
      <c r="R227" s="85"/>
      <c r="S227" s="85"/>
      <c r="T227" s="85"/>
      <c r="U227" s="85"/>
      <c r="V227" s="85"/>
      <c r="W227" s="85"/>
      <c r="X227" s="85"/>
      <c r="Y227" s="85"/>
      <c r="Z227" s="85"/>
    </row>
    <row r="228" spans="1:26" ht="15.75" customHeight="1">
      <c r="A228" s="195">
        <v>36</v>
      </c>
      <c r="B228" s="195" t="s">
        <v>247</v>
      </c>
      <c r="C228" s="195" t="s">
        <v>248</v>
      </c>
      <c r="D228" s="196">
        <v>32408</v>
      </c>
      <c r="E228" s="184" t="s">
        <v>1398</v>
      </c>
      <c r="F228" s="184">
        <v>40</v>
      </c>
      <c r="G228" s="14">
        <v>1</v>
      </c>
      <c r="H228" s="184">
        <v>2</v>
      </c>
      <c r="I228" s="14">
        <v>0</v>
      </c>
      <c r="J228" s="14" t="s">
        <v>100</v>
      </c>
      <c r="K228" s="14"/>
      <c r="L228" s="85"/>
      <c r="M228" s="85"/>
      <c r="N228" s="85"/>
      <c r="O228" s="85"/>
      <c r="P228" s="85"/>
      <c r="Q228" s="85"/>
      <c r="R228" s="85"/>
      <c r="S228" s="85"/>
      <c r="T228" s="85"/>
      <c r="U228" s="85"/>
      <c r="V228" s="85"/>
      <c r="W228" s="85"/>
      <c r="X228" s="85"/>
      <c r="Y228" s="85"/>
      <c r="Z228" s="85"/>
    </row>
    <row r="229" spans="1:26" ht="15.75" customHeight="1">
      <c r="A229" s="197">
        <v>37</v>
      </c>
      <c r="B229" s="197" t="s">
        <v>252</v>
      </c>
      <c r="C229" s="197" t="s">
        <v>234</v>
      </c>
      <c r="D229" s="198">
        <v>32525</v>
      </c>
      <c r="E229" s="184" t="s">
        <v>1399</v>
      </c>
      <c r="F229" s="184">
        <v>6</v>
      </c>
      <c r="G229" s="184">
        <v>1</v>
      </c>
      <c r="H229" s="14">
        <v>3</v>
      </c>
      <c r="I229" s="14">
        <v>0</v>
      </c>
      <c r="J229" s="14" t="s">
        <v>100</v>
      </c>
      <c r="K229" s="14"/>
      <c r="L229" s="85"/>
      <c r="M229" s="85"/>
      <c r="N229" s="85"/>
      <c r="O229" s="85"/>
      <c r="P229" s="85"/>
      <c r="Q229" s="85"/>
      <c r="R229" s="85"/>
      <c r="S229" s="85"/>
      <c r="T229" s="85"/>
      <c r="U229" s="85"/>
      <c r="V229" s="85"/>
      <c r="W229" s="85"/>
      <c r="X229" s="85"/>
      <c r="Y229" s="85"/>
      <c r="Z229" s="85"/>
    </row>
    <row r="230" spans="1:26" ht="15.75" customHeight="1">
      <c r="A230" s="197">
        <v>37</v>
      </c>
      <c r="B230" s="197" t="s">
        <v>252</v>
      </c>
      <c r="C230" s="197" t="s">
        <v>234</v>
      </c>
      <c r="D230" s="198">
        <v>32525</v>
      </c>
      <c r="E230" s="14" t="s">
        <v>1400</v>
      </c>
      <c r="F230" s="184">
        <v>8</v>
      </c>
      <c r="G230" s="184">
        <v>1</v>
      </c>
      <c r="H230" s="14">
        <v>3</v>
      </c>
      <c r="I230" s="14">
        <v>0</v>
      </c>
      <c r="J230" s="14" t="s">
        <v>100</v>
      </c>
      <c r="K230" s="14"/>
      <c r="L230" s="85"/>
      <c r="M230" s="85"/>
      <c r="N230" s="85"/>
      <c r="O230" s="85"/>
      <c r="P230" s="85"/>
      <c r="Q230" s="85"/>
      <c r="R230" s="85"/>
      <c r="S230" s="85"/>
      <c r="T230" s="85"/>
      <c r="U230" s="85"/>
      <c r="V230" s="85"/>
      <c r="W230" s="85"/>
      <c r="X230" s="85"/>
      <c r="Y230" s="85"/>
      <c r="Z230" s="85"/>
    </row>
    <row r="231" spans="1:26" ht="15.75" customHeight="1">
      <c r="A231" s="197">
        <v>37</v>
      </c>
      <c r="B231" s="197" t="s">
        <v>252</v>
      </c>
      <c r="C231" s="197" t="s">
        <v>234</v>
      </c>
      <c r="D231" s="198">
        <v>32525</v>
      </c>
      <c r="E231" s="14" t="s">
        <v>1401</v>
      </c>
      <c r="F231" s="184">
        <v>8</v>
      </c>
      <c r="G231" s="184">
        <v>1</v>
      </c>
      <c r="H231" s="14">
        <v>3</v>
      </c>
      <c r="I231" s="14">
        <v>0</v>
      </c>
      <c r="J231" s="14" t="s">
        <v>100</v>
      </c>
      <c r="K231" s="14"/>
      <c r="L231" s="85"/>
      <c r="M231" s="85"/>
      <c r="N231" s="85"/>
      <c r="O231" s="85"/>
      <c r="P231" s="85"/>
      <c r="Q231" s="85"/>
      <c r="R231" s="85"/>
      <c r="S231" s="85"/>
      <c r="T231" s="85"/>
      <c r="U231" s="85"/>
      <c r="V231" s="85"/>
      <c r="W231" s="85"/>
      <c r="X231" s="85"/>
      <c r="Y231" s="85"/>
      <c r="Z231" s="85"/>
    </row>
    <row r="232" spans="1:26" ht="15.75" customHeight="1">
      <c r="A232" s="197">
        <v>37</v>
      </c>
      <c r="B232" s="197" t="s">
        <v>252</v>
      </c>
      <c r="C232" s="197" t="s">
        <v>234</v>
      </c>
      <c r="D232" s="198">
        <v>32525</v>
      </c>
      <c r="E232" s="14" t="s">
        <v>1402</v>
      </c>
      <c r="F232" s="184">
        <v>9</v>
      </c>
      <c r="G232" s="184">
        <v>0</v>
      </c>
      <c r="H232" s="14">
        <v>3</v>
      </c>
      <c r="I232" s="14">
        <v>0</v>
      </c>
      <c r="J232" s="14" t="s">
        <v>100</v>
      </c>
      <c r="K232" s="14"/>
      <c r="L232" s="85"/>
      <c r="M232" s="85"/>
      <c r="N232" s="85"/>
      <c r="O232" s="85"/>
      <c r="P232" s="85"/>
      <c r="Q232" s="85"/>
      <c r="R232" s="85"/>
      <c r="S232" s="85"/>
      <c r="T232" s="85"/>
      <c r="U232" s="85"/>
      <c r="V232" s="85"/>
      <c r="W232" s="85"/>
      <c r="X232" s="85"/>
      <c r="Y232" s="85"/>
      <c r="Z232" s="85"/>
    </row>
    <row r="233" spans="1:26" ht="15.75" customHeight="1">
      <c r="A233" s="197">
        <v>37</v>
      </c>
      <c r="B233" s="197" t="s">
        <v>252</v>
      </c>
      <c r="C233" s="197" t="s">
        <v>234</v>
      </c>
      <c r="D233" s="198">
        <v>32525</v>
      </c>
      <c r="E233" s="14" t="s">
        <v>1403</v>
      </c>
      <c r="F233" s="184">
        <v>6</v>
      </c>
      <c r="G233" s="184">
        <v>1</v>
      </c>
      <c r="H233" s="14">
        <v>3</v>
      </c>
      <c r="I233" s="14">
        <v>0</v>
      </c>
      <c r="J233" s="14" t="s">
        <v>100</v>
      </c>
      <c r="K233" s="14"/>
      <c r="L233" s="85"/>
      <c r="M233" s="85"/>
      <c r="N233" s="85"/>
      <c r="O233" s="85"/>
      <c r="P233" s="85"/>
      <c r="Q233" s="85"/>
      <c r="R233" s="85"/>
      <c r="S233" s="85"/>
      <c r="T233" s="85"/>
      <c r="U233" s="85"/>
      <c r="V233" s="85"/>
      <c r="W233" s="85"/>
      <c r="X233" s="85"/>
      <c r="Y233" s="85"/>
      <c r="Z233" s="85"/>
    </row>
    <row r="234" spans="1:26" ht="15.75" customHeight="1">
      <c r="A234" s="203">
        <v>38</v>
      </c>
      <c r="B234" s="203" t="s">
        <v>257</v>
      </c>
      <c r="C234" s="203" t="s">
        <v>122</v>
      </c>
      <c r="D234" s="204">
        <v>32765</v>
      </c>
      <c r="E234" s="14" t="s">
        <v>1404</v>
      </c>
      <c r="F234" s="184">
        <v>54</v>
      </c>
      <c r="G234" s="14">
        <v>0</v>
      </c>
      <c r="H234" s="14">
        <v>0</v>
      </c>
      <c r="I234" s="184">
        <v>1</v>
      </c>
      <c r="J234" s="14" t="s">
        <v>1405</v>
      </c>
      <c r="K234" s="14"/>
      <c r="L234" s="85"/>
      <c r="M234" s="85"/>
      <c r="N234" s="85"/>
      <c r="O234" s="85"/>
      <c r="P234" s="85"/>
      <c r="Q234" s="85"/>
      <c r="R234" s="85"/>
      <c r="S234" s="85"/>
      <c r="T234" s="85"/>
      <c r="U234" s="85"/>
      <c r="V234" s="85"/>
      <c r="W234" s="85"/>
      <c r="X234" s="85"/>
      <c r="Y234" s="85"/>
      <c r="Z234" s="85"/>
    </row>
    <row r="235" spans="1:26" ht="15.75" customHeight="1">
      <c r="A235" s="203">
        <v>38</v>
      </c>
      <c r="B235" s="203" t="s">
        <v>257</v>
      </c>
      <c r="C235" s="203" t="s">
        <v>122</v>
      </c>
      <c r="D235" s="204">
        <v>32765</v>
      </c>
      <c r="E235" s="14" t="s">
        <v>1406</v>
      </c>
      <c r="F235" s="184">
        <v>45</v>
      </c>
      <c r="G235" s="14">
        <v>0</v>
      </c>
      <c r="H235" s="14">
        <v>0</v>
      </c>
      <c r="I235" s="184">
        <v>1</v>
      </c>
      <c r="J235" s="14" t="s">
        <v>1384</v>
      </c>
      <c r="K235" s="14"/>
      <c r="L235" s="85"/>
      <c r="M235" s="85"/>
      <c r="N235" s="85"/>
      <c r="O235" s="85"/>
      <c r="P235" s="85"/>
      <c r="Q235" s="85"/>
      <c r="R235" s="85"/>
      <c r="S235" s="85"/>
      <c r="T235" s="85"/>
      <c r="U235" s="85"/>
      <c r="V235" s="85"/>
      <c r="W235" s="85"/>
      <c r="X235" s="85"/>
      <c r="Y235" s="85"/>
      <c r="Z235" s="85"/>
    </row>
    <row r="236" spans="1:26" ht="15.75" customHeight="1">
      <c r="A236" s="203">
        <v>38</v>
      </c>
      <c r="B236" s="203" t="s">
        <v>257</v>
      </c>
      <c r="C236" s="203" t="s">
        <v>122</v>
      </c>
      <c r="D236" s="204">
        <v>32765</v>
      </c>
      <c r="E236" s="14" t="s">
        <v>1407</v>
      </c>
      <c r="F236" s="184">
        <v>47</v>
      </c>
      <c r="G236" s="14">
        <v>0</v>
      </c>
      <c r="H236" s="14">
        <v>0</v>
      </c>
      <c r="I236" s="184">
        <v>1</v>
      </c>
      <c r="J236" s="14" t="s">
        <v>1384</v>
      </c>
      <c r="K236" s="14"/>
      <c r="L236" s="85"/>
      <c r="M236" s="85"/>
      <c r="N236" s="85"/>
      <c r="O236" s="85"/>
      <c r="P236" s="85"/>
      <c r="Q236" s="85"/>
      <c r="R236" s="85"/>
      <c r="S236" s="85"/>
      <c r="T236" s="85"/>
      <c r="U236" s="85"/>
      <c r="V236" s="85"/>
      <c r="W236" s="85"/>
      <c r="X236" s="85"/>
      <c r="Y236" s="85"/>
      <c r="Z236" s="85"/>
    </row>
    <row r="237" spans="1:26" ht="15.75" customHeight="1">
      <c r="A237" s="203">
        <v>38</v>
      </c>
      <c r="B237" s="203" t="s">
        <v>257</v>
      </c>
      <c r="C237" s="203" t="s">
        <v>122</v>
      </c>
      <c r="D237" s="204">
        <v>32765</v>
      </c>
      <c r="E237" s="14" t="s">
        <v>1408</v>
      </c>
      <c r="F237" s="184">
        <v>49</v>
      </c>
      <c r="G237" s="14">
        <v>1</v>
      </c>
      <c r="H237" s="14"/>
      <c r="I237" s="184">
        <v>1</v>
      </c>
      <c r="J237" s="14" t="s">
        <v>1384</v>
      </c>
      <c r="K237" s="14"/>
      <c r="L237" s="85"/>
      <c r="M237" s="85"/>
      <c r="N237" s="85"/>
      <c r="O237" s="85"/>
      <c r="P237" s="85"/>
      <c r="Q237" s="85"/>
      <c r="R237" s="85"/>
      <c r="S237" s="85"/>
      <c r="T237" s="85"/>
      <c r="U237" s="85"/>
      <c r="V237" s="85"/>
      <c r="W237" s="85"/>
      <c r="X237" s="85"/>
      <c r="Y237" s="85"/>
      <c r="Z237" s="85"/>
    </row>
    <row r="238" spans="1:26" ht="15.75" customHeight="1">
      <c r="A238" s="203">
        <v>38</v>
      </c>
      <c r="B238" s="203" t="s">
        <v>257</v>
      </c>
      <c r="C238" s="203" t="s">
        <v>122</v>
      </c>
      <c r="D238" s="204">
        <v>32765</v>
      </c>
      <c r="E238" s="14" t="s">
        <v>1409</v>
      </c>
      <c r="F238" s="184">
        <v>46</v>
      </c>
      <c r="G238" s="14">
        <v>0</v>
      </c>
      <c r="H238" s="14">
        <v>0</v>
      </c>
      <c r="I238" s="184">
        <v>1</v>
      </c>
      <c r="J238" s="14" t="s">
        <v>1384</v>
      </c>
      <c r="K238" s="14"/>
      <c r="L238" s="85"/>
      <c r="M238" s="85"/>
      <c r="N238" s="85"/>
      <c r="O238" s="85"/>
      <c r="P238" s="85"/>
      <c r="Q238" s="85"/>
      <c r="R238" s="85"/>
      <c r="S238" s="85"/>
      <c r="T238" s="85"/>
      <c r="U238" s="85"/>
      <c r="V238" s="85"/>
      <c r="W238" s="85"/>
      <c r="X238" s="85"/>
      <c r="Y238" s="85"/>
      <c r="Z238" s="85"/>
    </row>
    <row r="239" spans="1:26" ht="15.75" customHeight="1">
      <c r="A239" s="203">
        <v>38</v>
      </c>
      <c r="B239" s="203" t="s">
        <v>257</v>
      </c>
      <c r="C239" s="203" t="s">
        <v>122</v>
      </c>
      <c r="D239" s="204">
        <v>32765</v>
      </c>
      <c r="E239" s="14" t="s">
        <v>1410</v>
      </c>
      <c r="F239" s="184">
        <v>60</v>
      </c>
      <c r="G239" s="14">
        <v>0</v>
      </c>
      <c r="H239" s="14">
        <v>0</v>
      </c>
      <c r="I239" s="184">
        <v>1</v>
      </c>
      <c r="J239" s="14" t="s">
        <v>1384</v>
      </c>
      <c r="K239" s="14"/>
      <c r="L239" s="85"/>
      <c r="M239" s="85"/>
      <c r="N239" s="85"/>
      <c r="O239" s="85"/>
      <c r="P239" s="85"/>
      <c r="Q239" s="85"/>
      <c r="R239" s="85"/>
      <c r="S239" s="85"/>
      <c r="T239" s="85"/>
      <c r="U239" s="85"/>
      <c r="V239" s="85"/>
      <c r="W239" s="85"/>
      <c r="X239" s="85"/>
      <c r="Y239" s="85"/>
      <c r="Z239" s="85"/>
    </row>
    <row r="240" spans="1:26" ht="15.75" customHeight="1">
      <c r="A240" s="203">
        <v>38</v>
      </c>
      <c r="B240" s="203" t="s">
        <v>257</v>
      </c>
      <c r="C240" s="203" t="s">
        <v>122</v>
      </c>
      <c r="D240" s="204">
        <v>32765</v>
      </c>
      <c r="E240" s="14" t="s">
        <v>1411</v>
      </c>
      <c r="F240" s="184">
        <v>56</v>
      </c>
      <c r="G240" s="14">
        <v>0</v>
      </c>
      <c r="H240" s="14">
        <v>0</v>
      </c>
      <c r="I240" s="184">
        <v>1</v>
      </c>
      <c r="J240" s="14" t="s">
        <v>1384</v>
      </c>
      <c r="K240" s="14"/>
      <c r="L240" s="85"/>
      <c r="M240" s="85"/>
      <c r="N240" s="85"/>
      <c r="O240" s="85"/>
      <c r="P240" s="85"/>
      <c r="Q240" s="85"/>
      <c r="R240" s="85"/>
      <c r="S240" s="85"/>
      <c r="T240" s="85"/>
      <c r="U240" s="85"/>
      <c r="V240" s="85"/>
      <c r="W240" s="85"/>
      <c r="X240" s="85"/>
      <c r="Y240" s="85"/>
      <c r="Z240" s="85"/>
    </row>
    <row r="241" spans="1:26" ht="15.75" customHeight="1">
      <c r="A241" s="203">
        <v>38</v>
      </c>
      <c r="B241" s="203" t="s">
        <v>257</v>
      </c>
      <c r="C241" s="203" t="s">
        <v>122</v>
      </c>
      <c r="D241" s="204">
        <v>32765</v>
      </c>
      <c r="E241" s="14" t="s">
        <v>1412</v>
      </c>
      <c r="F241" s="184">
        <v>42</v>
      </c>
      <c r="G241" s="14">
        <v>0</v>
      </c>
      <c r="H241" s="14">
        <v>0</v>
      </c>
      <c r="I241" s="184">
        <v>1</v>
      </c>
      <c r="J241" s="14" t="s">
        <v>1384</v>
      </c>
      <c r="K241" s="14"/>
      <c r="L241" s="85"/>
      <c r="M241" s="85"/>
      <c r="N241" s="85"/>
      <c r="O241" s="85"/>
      <c r="P241" s="85"/>
      <c r="Q241" s="85"/>
      <c r="R241" s="85"/>
      <c r="S241" s="85"/>
      <c r="T241" s="85"/>
      <c r="U241" s="85"/>
      <c r="V241" s="85"/>
      <c r="W241" s="85"/>
      <c r="X241" s="85"/>
      <c r="Y241" s="85"/>
      <c r="Z241" s="85"/>
    </row>
    <row r="242" spans="1:26" ht="15.75" customHeight="1">
      <c r="A242" s="203">
        <v>38</v>
      </c>
      <c r="B242" s="203" t="s">
        <v>257</v>
      </c>
      <c r="C242" s="203" t="s">
        <v>122</v>
      </c>
      <c r="D242" s="204">
        <v>32765</v>
      </c>
      <c r="E242" s="14" t="s">
        <v>1413</v>
      </c>
      <c r="F242" s="14"/>
      <c r="G242" s="14"/>
      <c r="H242" s="14"/>
      <c r="I242" s="184">
        <v>1</v>
      </c>
      <c r="J242" s="14" t="s">
        <v>1384</v>
      </c>
      <c r="K242" s="184" t="s">
        <v>1247</v>
      </c>
      <c r="L242" s="85"/>
      <c r="M242" s="85"/>
      <c r="N242" s="85"/>
      <c r="O242" s="85"/>
      <c r="P242" s="85"/>
      <c r="Q242" s="85"/>
      <c r="R242" s="85"/>
      <c r="S242" s="85"/>
      <c r="T242" s="85"/>
      <c r="U242" s="85"/>
      <c r="V242" s="85"/>
      <c r="W242" s="85"/>
      <c r="X242" s="85"/>
      <c r="Y242" s="85"/>
      <c r="Z242" s="85"/>
    </row>
    <row r="243" spans="1:26" ht="15.75" customHeight="1">
      <c r="A243" s="205">
        <v>39</v>
      </c>
      <c r="B243" s="205" t="s">
        <v>260</v>
      </c>
      <c r="C243" s="205" t="s">
        <v>221</v>
      </c>
      <c r="D243" s="206">
        <v>33041</v>
      </c>
      <c r="E243" s="14" t="s">
        <v>1414</v>
      </c>
      <c r="F243" s="184">
        <v>39</v>
      </c>
      <c r="G243" s="14">
        <v>0</v>
      </c>
      <c r="H243" s="14"/>
      <c r="I243" s="14">
        <v>0</v>
      </c>
      <c r="J243" s="14" t="s">
        <v>100</v>
      </c>
      <c r="K243" s="14"/>
      <c r="L243" s="85"/>
      <c r="M243" s="85"/>
      <c r="N243" s="85"/>
      <c r="O243" s="85"/>
      <c r="P243" s="85"/>
      <c r="Q243" s="85"/>
      <c r="R243" s="85"/>
      <c r="S243" s="85"/>
      <c r="T243" s="85"/>
      <c r="U243" s="85"/>
      <c r="V243" s="85"/>
      <c r="W243" s="85"/>
      <c r="X243" s="85"/>
      <c r="Y243" s="85"/>
      <c r="Z243" s="85"/>
    </row>
    <row r="244" spans="1:26" ht="15.75" customHeight="1">
      <c r="A244" s="205">
        <v>39</v>
      </c>
      <c r="B244" s="205" t="s">
        <v>260</v>
      </c>
      <c r="C244" s="205" t="s">
        <v>221</v>
      </c>
      <c r="D244" s="206">
        <v>33041</v>
      </c>
      <c r="E244" s="14" t="s">
        <v>1415</v>
      </c>
      <c r="F244" s="184">
        <v>30</v>
      </c>
      <c r="G244" s="14">
        <v>1</v>
      </c>
      <c r="H244" s="14"/>
      <c r="I244" s="14">
        <v>0</v>
      </c>
      <c r="J244" s="14" t="s">
        <v>100</v>
      </c>
      <c r="K244" s="14"/>
      <c r="L244" s="85"/>
      <c r="M244" s="85"/>
      <c r="N244" s="85"/>
      <c r="O244" s="85"/>
      <c r="P244" s="85"/>
      <c r="Q244" s="85"/>
      <c r="R244" s="85"/>
      <c r="S244" s="85"/>
      <c r="T244" s="85"/>
      <c r="U244" s="85"/>
      <c r="V244" s="85"/>
      <c r="W244" s="85"/>
      <c r="X244" s="85"/>
      <c r="Y244" s="85"/>
      <c r="Z244" s="85"/>
    </row>
    <row r="245" spans="1:26" ht="15.75" customHeight="1">
      <c r="A245" s="205">
        <v>39</v>
      </c>
      <c r="B245" s="205" t="s">
        <v>260</v>
      </c>
      <c r="C245" s="205" t="s">
        <v>221</v>
      </c>
      <c r="D245" s="206">
        <v>33042</v>
      </c>
      <c r="E245" s="14" t="s">
        <v>1416</v>
      </c>
      <c r="F245" s="184">
        <v>50</v>
      </c>
      <c r="G245" s="14">
        <v>1</v>
      </c>
      <c r="H245" s="14"/>
      <c r="I245" s="14">
        <v>2</v>
      </c>
      <c r="J245" s="14" t="s">
        <v>1417</v>
      </c>
      <c r="K245" s="14"/>
      <c r="L245" s="85"/>
      <c r="M245" s="85"/>
      <c r="N245" s="85"/>
      <c r="O245" s="85"/>
      <c r="P245" s="85"/>
      <c r="Q245" s="85"/>
      <c r="R245" s="85"/>
      <c r="S245" s="85"/>
      <c r="T245" s="85"/>
      <c r="U245" s="85"/>
      <c r="V245" s="85"/>
      <c r="W245" s="85"/>
      <c r="X245" s="85"/>
      <c r="Y245" s="85"/>
      <c r="Z245" s="85"/>
    </row>
    <row r="246" spans="1:26" ht="15.75" customHeight="1">
      <c r="A246" s="205">
        <v>39</v>
      </c>
      <c r="B246" s="205" t="s">
        <v>260</v>
      </c>
      <c r="C246" s="205" t="s">
        <v>221</v>
      </c>
      <c r="D246" s="206">
        <v>33042</v>
      </c>
      <c r="E246" s="14" t="s">
        <v>1418</v>
      </c>
      <c r="F246" s="184">
        <v>42</v>
      </c>
      <c r="G246" s="14">
        <v>1</v>
      </c>
      <c r="H246" s="14"/>
      <c r="I246" s="14">
        <v>0</v>
      </c>
      <c r="J246" s="14" t="s">
        <v>100</v>
      </c>
      <c r="K246" s="14"/>
      <c r="L246" s="85"/>
      <c r="M246" s="85"/>
      <c r="N246" s="85"/>
      <c r="O246" s="85"/>
      <c r="P246" s="85"/>
      <c r="Q246" s="85"/>
      <c r="R246" s="85"/>
      <c r="S246" s="85"/>
      <c r="T246" s="85"/>
      <c r="U246" s="85"/>
      <c r="V246" s="85"/>
      <c r="W246" s="85"/>
      <c r="X246" s="85"/>
      <c r="Y246" s="85"/>
      <c r="Z246" s="85"/>
    </row>
    <row r="247" spans="1:26" ht="15.75" customHeight="1">
      <c r="A247" s="205">
        <v>39</v>
      </c>
      <c r="B247" s="205" t="s">
        <v>260</v>
      </c>
      <c r="C247" s="205" t="s">
        <v>221</v>
      </c>
      <c r="D247" s="206">
        <v>33042</v>
      </c>
      <c r="E247" s="14" t="s">
        <v>1419</v>
      </c>
      <c r="F247" s="184">
        <v>40</v>
      </c>
      <c r="G247" s="14">
        <v>1</v>
      </c>
      <c r="H247" s="14"/>
      <c r="I247" s="14">
        <v>2</v>
      </c>
      <c r="J247" s="185" t="s">
        <v>1417</v>
      </c>
      <c r="K247" s="14"/>
      <c r="L247" s="85"/>
      <c r="M247" s="85"/>
      <c r="N247" s="85"/>
      <c r="O247" s="85"/>
      <c r="P247" s="85"/>
      <c r="Q247" s="85"/>
      <c r="R247" s="85"/>
      <c r="S247" s="85"/>
      <c r="T247" s="85"/>
      <c r="U247" s="85"/>
      <c r="V247" s="85"/>
      <c r="W247" s="85"/>
      <c r="X247" s="85"/>
      <c r="Y247" s="85"/>
      <c r="Z247" s="85"/>
    </row>
    <row r="248" spans="1:26" ht="15.75" customHeight="1">
      <c r="A248" s="205">
        <v>39</v>
      </c>
      <c r="B248" s="205" t="s">
        <v>260</v>
      </c>
      <c r="C248" s="205" t="s">
        <v>221</v>
      </c>
      <c r="D248" s="206">
        <v>33042</v>
      </c>
      <c r="E248" s="14" t="s">
        <v>1420</v>
      </c>
      <c r="F248" s="184">
        <v>45</v>
      </c>
      <c r="G248" s="14">
        <v>1</v>
      </c>
      <c r="H248" s="14"/>
      <c r="I248" s="14">
        <v>2</v>
      </c>
      <c r="J248" s="185" t="s">
        <v>1417</v>
      </c>
      <c r="K248" s="14"/>
      <c r="L248" s="85"/>
      <c r="M248" s="85"/>
      <c r="N248" s="85"/>
      <c r="O248" s="85"/>
      <c r="P248" s="85"/>
      <c r="Q248" s="85"/>
      <c r="R248" s="85"/>
      <c r="S248" s="85"/>
      <c r="T248" s="85"/>
      <c r="U248" s="85"/>
      <c r="V248" s="85"/>
      <c r="W248" s="85"/>
      <c r="X248" s="85"/>
      <c r="Y248" s="85"/>
      <c r="Z248" s="85"/>
    </row>
    <row r="249" spans="1:26" ht="15.75" customHeight="1">
      <c r="A249" s="205">
        <v>39</v>
      </c>
      <c r="B249" s="205" t="s">
        <v>260</v>
      </c>
      <c r="C249" s="205" t="s">
        <v>221</v>
      </c>
      <c r="D249" s="206">
        <v>33042</v>
      </c>
      <c r="E249" s="184" t="s">
        <v>1421</v>
      </c>
      <c r="F249" s="184">
        <v>36</v>
      </c>
      <c r="G249" s="14">
        <v>1</v>
      </c>
      <c r="H249" s="14"/>
      <c r="I249" s="14">
        <v>2</v>
      </c>
      <c r="J249" s="185" t="s">
        <v>1417</v>
      </c>
      <c r="K249" s="14"/>
      <c r="L249" s="85"/>
      <c r="M249" s="85"/>
      <c r="N249" s="85"/>
      <c r="O249" s="85"/>
      <c r="P249" s="85"/>
      <c r="Q249" s="85"/>
      <c r="R249" s="85"/>
      <c r="S249" s="85"/>
      <c r="T249" s="85"/>
      <c r="U249" s="85"/>
      <c r="V249" s="85"/>
      <c r="W249" s="85"/>
      <c r="X249" s="85"/>
      <c r="Y249" s="85"/>
      <c r="Z249" s="85"/>
    </row>
    <row r="250" spans="1:26" ht="15.75" customHeight="1">
      <c r="A250" s="205">
        <v>39</v>
      </c>
      <c r="B250" s="205" t="s">
        <v>260</v>
      </c>
      <c r="C250" s="205" t="s">
        <v>221</v>
      </c>
      <c r="D250" s="206">
        <v>33042</v>
      </c>
      <c r="E250" s="14" t="s">
        <v>1422</v>
      </c>
      <c r="F250" s="184">
        <v>45</v>
      </c>
      <c r="G250" s="14">
        <v>1</v>
      </c>
      <c r="H250" s="14"/>
      <c r="I250" s="14">
        <v>2</v>
      </c>
      <c r="J250" s="185" t="s">
        <v>1417</v>
      </c>
      <c r="K250" s="14"/>
      <c r="L250" s="85"/>
      <c r="M250" s="85"/>
      <c r="N250" s="85"/>
      <c r="O250" s="85"/>
      <c r="P250" s="85"/>
      <c r="Q250" s="85"/>
      <c r="R250" s="85"/>
      <c r="S250" s="85"/>
      <c r="T250" s="85"/>
      <c r="U250" s="85"/>
      <c r="V250" s="85"/>
      <c r="W250" s="85"/>
      <c r="X250" s="85"/>
      <c r="Y250" s="85"/>
      <c r="Z250" s="85"/>
    </row>
    <row r="251" spans="1:26" ht="15.75" customHeight="1">
      <c r="A251" s="205">
        <v>39</v>
      </c>
      <c r="B251" s="205" t="s">
        <v>260</v>
      </c>
      <c r="C251" s="205" t="s">
        <v>221</v>
      </c>
      <c r="D251" s="206">
        <v>33042</v>
      </c>
      <c r="E251" s="14" t="s">
        <v>1423</v>
      </c>
      <c r="F251" s="184">
        <v>30</v>
      </c>
      <c r="G251" s="14">
        <v>1</v>
      </c>
      <c r="H251" s="14"/>
      <c r="I251" s="14">
        <v>2</v>
      </c>
      <c r="J251" s="185" t="s">
        <v>1417</v>
      </c>
      <c r="K251" s="14"/>
      <c r="L251" s="85"/>
      <c r="M251" s="85"/>
      <c r="N251" s="85"/>
      <c r="O251" s="85"/>
      <c r="P251" s="85"/>
      <c r="Q251" s="85"/>
      <c r="R251" s="85"/>
      <c r="S251" s="85"/>
      <c r="T251" s="85"/>
      <c r="U251" s="85"/>
      <c r="V251" s="85"/>
      <c r="W251" s="85"/>
      <c r="X251" s="85"/>
      <c r="Y251" s="85"/>
      <c r="Z251" s="85"/>
    </row>
    <row r="252" spans="1:26" ht="15.75" customHeight="1">
      <c r="A252" s="205">
        <v>39</v>
      </c>
      <c r="B252" s="205" t="s">
        <v>260</v>
      </c>
      <c r="C252" s="205" t="s">
        <v>221</v>
      </c>
      <c r="D252" s="206">
        <v>33042</v>
      </c>
      <c r="E252" s="14" t="s">
        <v>1424</v>
      </c>
      <c r="F252" s="184">
        <v>33</v>
      </c>
      <c r="G252" s="14">
        <v>0</v>
      </c>
      <c r="H252" s="14"/>
      <c r="I252" s="14">
        <v>2</v>
      </c>
      <c r="J252" s="185" t="s">
        <v>1417</v>
      </c>
      <c r="K252" s="14"/>
      <c r="L252" s="85"/>
      <c r="M252" s="85"/>
      <c r="N252" s="85"/>
      <c r="O252" s="85"/>
      <c r="P252" s="85"/>
      <c r="Q252" s="85"/>
      <c r="R252" s="85"/>
      <c r="S252" s="85"/>
      <c r="T252" s="85"/>
      <c r="U252" s="85"/>
      <c r="V252" s="85"/>
      <c r="W252" s="85"/>
      <c r="X252" s="85"/>
      <c r="Y252" s="85"/>
      <c r="Z252" s="85"/>
    </row>
    <row r="253" spans="1:26" ht="15.75" customHeight="1">
      <c r="A253" s="205">
        <v>39</v>
      </c>
      <c r="B253" s="205" t="s">
        <v>260</v>
      </c>
      <c r="C253" s="205" t="s">
        <v>221</v>
      </c>
      <c r="D253" s="206">
        <v>33042</v>
      </c>
      <c r="E253" s="14" t="s">
        <v>1425</v>
      </c>
      <c r="F253" s="184">
        <v>38</v>
      </c>
      <c r="G253" s="14">
        <v>0</v>
      </c>
      <c r="H253" s="14"/>
      <c r="I253" s="14">
        <v>2</v>
      </c>
      <c r="J253" s="185" t="s">
        <v>1417</v>
      </c>
      <c r="K253" s="14"/>
      <c r="L253" s="85"/>
      <c r="M253" s="85"/>
      <c r="N253" s="85"/>
      <c r="O253" s="85"/>
      <c r="P253" s="85"/>
      <c r="Q253" s="85"/>
      <c r="R253" s="85"/>
      <c r="S253" s="85"/>
      <c r="T253" s="85"/>
      <c r="U253" s="85"/>
      <c r="V253" s="85"/>
      <c r="W253" s="85"/>
      <c r="X253" s="85"/>
      <c r="Y253" s="85"/>
      <c r="Z253" s="85"/>
    </row>
    <row r="254" spans="1:26" ht="15.75" customHeight="1">
      <c r="A254" s="191">
        <v>40</v>
      </c>
      <c r="B254" s="191" t="s">
        <v>263</v>
      </c>
      <c r="C254" s="191" t="s">
        <v>122</v>
      </c>
      <c r="D254" s="192">
        <v>33521</v>
      </c>
      <c r="E254" s="184" t="s">
        <v>1426</v>
      </c>
      <c r="F254" s="14"/>
      <c r="G254" s="14">
        <v>0</v>
      </c>
      <c r="H254" s="14"/>
      <c r="I254" s="14">
        <v>0</v>
      </c>
      <c r="J254" s="14" t="s">
        <v>100</v>
      </c>
      <c r="K254" s="14"/>
      <c r="L254" s="85"/>
      <c r="M254" s="85"/>
      <c r="N254" s="85"/>
      <c r="O254" s="85"/>
      <c r="P254" s="85"/>
      <c r="Q254" s="85"/>
      <c r="R254" s="85"/>
      <c r="S254" s="85"/>
      <c r="T254" s="85"/>
      <c r="U254" s="85"/>
      <c r="V254" s="85"/>
      <c r="W254" s="85"/>
      <c r="X254" s="85"/>
      <c r="Y254" s="85"/>
      <c r="Z254" s="85"/>
    </row>
    <row r="255" spans="1:26" ht="15.75" customHeight="1">
      <c r="A255" s="191">
        <v>40</v>
      </c>
      <c r="B255" s="191" t="s">
        <v>263</v>
      </c>
      <c r="C255" s="191" t="s">
        <v>122</v>
      </c>
      <c r="D255" s="192">
        <v>33521</v>
      </c>
      <c r="E255" s="14" t="s">
        <v>1427</v>
      </c>
      <c r="F255" s="184">
        <v>63</v>
      </c>
      <c r="G255" s="14">
        <v>0</v>
      </c>
      <c r="H255" s="14"/>
      <c r="I255" s="14">
        <v>2</v>
      </c>
      <c r="J255" s="14" t="s">
        <v>1428</v>
      </c>
      <c r="K255" s="14"/>
      <c r="L255" s="85"/>
      <c r="M255" s="85"/>
      <c r="N255" s="85"/>
      <c r="O255" s="85"/>
      <c r="P255" s="85"/>
      <c r="Q255" s="85"/>
      <c r="R255" s="85"/>
      <c r="S255" s="85"/>
      <c r="T255" s="85"/>
      <c r="U255" s="85"/>
      <c r="V255" s="85"/>
      <c r="W255" s="85"/>
      <c r="X255" s="85"/>
      <c r="Y255" s="85"/>
      <c r="Z255" s="85"/>
    </row>
    <row r="256" spans="1:26" ht="15.75" customHeight="1">
      <c r="A256" s="191">
        <v>40</v>
      </c>
      <c r="B256" s="191" t="s">
        <v>263</v>
      </c>
      <c r="C256" s="191" t="s">
        <v>122</v>
      </c>
      <c r="D256" s="192">
        <v>33521</v>
      </c>
      <c r="E256" s="14" t="s">
        <v>1429</v>
      </c>
      <c r="F256" s="184">
        <v>30</v>
      </c>
      <c r="G256" s="14">
        <v>1</v>
      </c>
      <c r="H256" s="14"/>
      <c r="I256" s="14">
        <v>1</v>
      </c>
      <c r="J256" s="14" t="s">
        <v>1430</v>
      </c>
      <c r="K256" s="14"/>
      <c r="L256" s="85"/>
      <c r="M256" s="85"/>
      <c r="N256" s="85"/>
      <c r="O256" s="85"/>
      <c r="P256" s="85"/>
      <c r="Q256" s="85"/>
      <c r="R256" s="85"/>
      <c r="S256" s="85"/>
      <c r="T256" s="85"/>
      <c r="U256" s="85"/>
      <c r="V256" s="85"/>
      <c r="W256" s="85"/>
      <c r="X256" s="85"/>
      <c r="Y256" s="85"/>
      <c r="Z256" s="85"/>
    </row>
    <row r="257" spans="1:26" ht="15.75" customHeight="1">
      <c r="A257" s="191">
        <v>40</v>
      </c>
      <c r="B257" s="191" t="s">
        <v>263</v>
      </c>
      <c r="C257" s="191" t="s">
        <v>122</v>
      </c>
      <c r="D257" s="192">
        <v>33521</v>
      </c>
      <c r="E257" s="14" t="s">
        <v>1431</v>
      </c>
      <c r="F257" s="184">
        <v>59</v>
      </c>
      <c r="G257" s="14">
        <v>0</v>
      </c>
      <c r="H257" s="14"/>
      <c r="I257" s="14">
        <v>2</v>
      </c>
      <c r="J257" s="14" t="s">
        <v>1428</v>
      </c>
      <c r="K257" s="14"/>
      <c r="L257" s="85"/>
      <c r="M257" s="85"/>
      <c r="N257" s="85"/>
      <c r="O257" s="85"/>
      <c r="P257" s="85"/>
      <c r="Q257" s="85"/>
      <c r="R257" s="85"/>
      <c r="S257" s="85"/>
      <c r="T257" s="85"/>
      <c r="U257" s="85"/>
      <c r="V257" s="85"/>
      <c r="W257" s="85"/>
      <c r="X257" s="85"/>
      <c r="Y257" s="85"/>
      <c r="Z257" s="85"/>
    </row>
    <row r="258" spans="1:26" ht="15.75" customHeight="1">
      <c r="A258" s="193">
        <v>41</v>
      </c>
      <c r="B258" s="193" t="s">
        <v>267</v>
      </c>
      <c r="C258" s="193" t="s">
        <v>268</v>
      </c>
      <c r="D258" s="194">
        <v>33527</v>
      </c>
      <c r="E258" s="14" t="s">
        <v>1432</v>
      </c>
      <c r="F258" s="184">
        <v>57</v>
      </c>
      <c r="G258" s="14">
        <v>1</v>
      </c>
      <c r="H258" s="184" t="str">
        <f>HYPERLINK("https://www.findagrave.com/memorial/87630152/patricia-b-carney","0")</f>
        <v>0</v>
      </c>
      <c r="I258" s="14">
        <v>0</v>
      </c>
      <c r="J258" s="14" t="s">
        <v>100</v>
      </c>
      <c r="K258" s="14"/>
      <c r="L258" s="85"/>
      <c r="M258" s="85"/>
      <c r="N258" s="85"/>
      <c r="O258" s="85"/>
      <c r="P258" s="85"/>
      <c r="Q258" s="85"/>
      <c r="R258" s="85"/>
      <c r="S258" s="85"/>
      <c r="T258" s="85"/>
      <c r="U258" s="85"/>
      <c r="V258" s="85"/>
      <c r="W258" s="85"/>
      <c r="X258" s="85"/>
      <c r="Y258" s="85"/>
      <c r="Z258" s="85"/>
    </row>
    <row r="259" spans="1:26" ht="15.75" customHeight="1">
      <c r="A259" s="193">
        <v>41</v>
      </c>
      <c r="B259" s="193" t="s">
        <v>267</v>
      </c>
      <c r="C259" s="193" t="s">
        <v>268</v>
      </c>
      <c r="D259" s="194">
        <v>33527</v>
      </c>
      <c r="E259" s="184" t="s">
        <v>1433</v>
      </c>
      <c r="F259" s="184">
        <v>48</v>
      </c>
      <c r="G259" s="14">
        <v>0</v>
      </c>
      <c r="H259" s="14"/>
      <c r="I259" s="14">
        <v>0</v>
      </c>
      <c r="J259" s="14" t="s">
        <v>100</v>
      </c>
      <c r="K259" s="14"/>
      <c r="L259" s="85"/>
      <c r="M259" s="85"/>
      <c r="N259" s="85"/>
      <c r="O259" s="85"/>
      <c r="P259" s="85"/>
      <c r="Q259" s="85"/>
      <c r="R259" s="85"/>
      <c r="S259" s="85"/>
      <c r="T259" s="85"/>
      <c r="U259" s="85"/>
      <c r="V259" s="85"/>
      <c r="W259" s="85"/>
      <c r="X259" s="85"/>
      <c r="Y259" s="85"/>
      <c r="Z259" s="85"/>
    </row>
    <row r="260" spans="1:26" ht="15.75" customHeight="1">
      <c r="A260" s="193">
        <v>41</v>
      </c>
      <c r="B260" s="193" t="s">
        <v>267</v>
      </c>
      <c r="C260" s="193" t="s">
        <v>268</v>
      </c>
      <c r="D260" s="194">
        <v>33527</v>
      </c>
      <c r="E260" s="14" t="s">
        <v>1434</v>
      </c>
      <c r="F260" s="184">
        <v>62</v>
      </c>
      <c r="G260" s="14">
        <v>1</v>
      </c>
      <c r="H260" s="184" t="str">
        <f>HYPERLINK("https://www.findagrave.com/memorial/66440407/kriemhild-asnath_salome-davis","0")</f>
        <v>0</v>
      </c>
      <c r="I260" s="14">
        <v>0</v>
      </c>
      <c r="J260" s="14" t="s">
        <v>100</v>
      </c>
      <c r="K260" s="14"/>
      <c r="L260" s="85"/>
      <c r="M260" s="85"/>
      <c r="N260" s="85"/>
      <c r="O260" s="85"/>
      <c r="P260" s="85"/>
      <c r="Q260" s="85"/>
      <c r="R260" s="85"/>
      <c r="S260" s="85"/>
      <c r="T260" s="85"/>
      <c r="U260" s="85"/>
      <c r="V260" s="85"/>
      <c r="W260" s="85"/>
      <c r="X260" s="85"/>
      <c r="Y260" s="85"/>
      <c r="Z260" s="85"/>
    </row>
    <row r="261" spans="1:26" ht="15.75" customHeight="1">
      <c r="A261" s="193">
        <v>41</v>
      </c>
      <c r="B261" s="193" t="s">
        <v>267</v>
      </c>
      <c r="C261" s="193" t="s">
        <v>268</v>
      </c>
      <c r="D261" s="194">
        <v>33527</v>
      </c>
      <c r="E261" s="14" t="s">
        <v>1435</v>
      </c>
      <c r="F261" s="184">
        <v>43</v>
      </c>
      <c r="G261" s="14">
        <v>0</v>
      </c>
      <c r="H261" s="184" t="str">
        <f>HYPERLINK("https://www.findagrave.com/memorial/39737377/steven-charles-dody/photo","0")</f>
        <v>0</v>
      </c>
      <c r="I261" s="14">
        <v>0</v>
      </c>
      <c r="J261" s="14" t="s">
        <v>100</v>
      </c>
      <c r="K261" s="14"/>
      <c r="L261" s="85"/>
      <c r="M261" s="85"/>
      <c r="N261" s="85"/>
      <c r="O261" s="85"/>
      <c r="P261" s="85"/>
      <c r="Q261" s="85"/>
      <c r="R261" s="85"/>
      <c r="S261" s="85"/>
      <c r="T261" s="85"/>
      <c r="U261" s="85"/>
      <c r="V261" s="85"/>
      <c r="W261" s="85"/>
      <c r="X261" s="85"/>
      <c r="Y261" s="85"/>
      <c r="Z261" s="85"/>
    </row>
    <row r="262" spans="1:26" ht="15.75" customHeight="1">
      <c r="A262" s="193">
        <v>41</v>
      </c>
      <c r="B262" s="193" t="s">
        <v>267</v>
      </c>
      <c r="C262" s="193" t="s">
        <v>268</v>
      </c>
      <c r="D262" s="194">
        <v>33527</v>
      </c>
      <c r="E262" s="14" t="s">
        <v>1436</v>
      </c>
      <c r="F262" s="184">
        <v>71</v>
      </c>
      <c r="G262" s="14">
        <v>0</v>
      </c>
      <c r="H262" s="184">
        <v>0</v>
      </c>
      <c r="I262" s="14">
        <v>0</v>
      </c>
      <c r="J262" s="14" t="s">
        <v>100</v>
      </c>
      <c r="K262" s="14"/>
      <c r="L262" s="85"/>
      <c r="M262" s="85"/>
      <c r="N262" s="85"/>
      <c r="O262" s="85"/>
      <c r="P262" s="85"/>
      <c r="Q262" s="85"/>
      <c r="R262" s="85"/>
      <c r="S262" s="85"/>
      <c r="T262" s="85"/>
      <c r="U262" s="85"/>
      <c r="V262" s="85"/>
      <c r="W262" s="85"/>
      <c r="X262" s="85"/>
      <c r="Y262" s="85"/>
      <c r="Z262" s="85"/>
    </row>
    <row r="263" spans="1:26" ht="15.75" customHeight="1">
      <c r="A263" s="193">
        <v>41</v>
      </c>
      <c r="B263" s="193" t="s">
        <v>267</v>
      </c>
      <c r="C263" s="193" t="s">
        <v>268</v>
      </c>
      <c r="D263" s="194">
        <v>33527</v>
      </c>
      <c r="E263" s="14" t="s">
        <v>1437</v>
      </c>
      <c r="F263" s="184">
        <v>67</v>
      </c>
      <c r="G263" s="14">
        <v>1</v>
      </c>
      <c r="H263" s="184" t="str">
        <f>HYPERLINK("https://www.findagrave.com/memorial/716463/ursula-edith-gratia","0")</f>
        <v>0</v>
      </c>
      <c r="I263" s="14">
        <v>0</v>
      </c>
      <c r="J263" s="14" t="s">
        <v>100</v>
      </c>
      <c r="K263" s="14"/>
      <c r="L263" s="85"/>
      <c r="M263" s="85"/>
      <c r="N263" s="85"/>
      <c r="O263" s="85"/>
      <c r="P263" s="85"/>
      <c r="Q263" s="85"/>
      <c r="R263" s="85"/>
      <c r="S263" s="85"/>
      <c r="T263" s="85"/>
      <c r="U263" s="85"/>
      <c r="V263" s="85"/>
      <c r="W263" s="85"/>
      <c r="X263" s="85"/>
      <c r="Y263" s="85"/>
      <c r="Z263" s="85"/>
    </row>
    <row r="264" spans="1:26" ht="15.75" customHeight="1">
      <c r="A264" s="193">
        <v>41</v>
      </c>
      <c r="B264" s="193" t="s">
        <v>267</v>
      </c>
      <c r="C264" s="193" t="s">
        <v>268</v>
      </c>
      <c r="D264" s="194">
        <v>33527</v>
      </c>
      <c r="E264" s="14" t="s">
        <v>1438</v>
      </c>
      <c r="F264" s="184">
        <v>33</v>
      </c>
      <c r="G264" s="14">
        <v>1</v>
      </c>
      <c r="H264" s="14"/>
      <c r="I264" s="14">
        <v>0</v>
      </c>
      <c r="J264" s="14" t="s">
        <v>100</v>
      </c>
      <c r="K264" s="14"/>
      <c r="L264" s="85"/>
      <c r="M264" s="85"/>
      <c r="N264" s="85"/>
      <c r="O264" s="85"/>
      <c r="P264" s="85"/>
      <c r="Q264" s="85"/>
      <c r="R264" s="85"/>
      <c r="S264" s="85"/>
      <c r="T264" s="85"/>
      <c r="U264" s="85"/>
      <c r="V264" s="85"/>
      <c r="W264" s="85"/>
      <c r="X264" s="85"/>
      <c r="Y264" s="85"/>
      <c r="Z264" s="85"/>
    </row>
    <row r="265" spans="1:26" ht="15.75" customHeight="1">
      <c r="A265" s="193">
        <v>41</v>
      </c>
      <c r="B265" s="193" t="s">
        <v>267</v>
      </c>
      <c r="C265" s="193" t="s">
        <v>268</v>
      </c>
      <c r="D265" s="194">
        <v>33527</v>
      </c>
      <c r="E265" s="14" t="s">
        <v>1439</v>
      </c>
      <c r="F265" s="184">
        <v>48</v>
      </c>
      <c r="G265" s="14">
        <v>0</v>
      </c>
      <c r="H265" s="184" t="str">
        <f>HYPERLINK("https://www.findagrave.com/memorial/87612825/michael-edward-griffith","0")</f>
        <v>0</v>
      </c>
      <c r="I265" s="14">
        <v>0</v>
      </c>
      <c r="J265" s="14" t="s">
        <v>100</v>
      </c>
      <c r="K265" s="14"/>
      <c r="L265" s="85"/>
      <c r="M265" s="85"/>
      <c r="N265" s="85"/>
      <c r="O265" s="85"/>
      <c r="P265" s="85"/>
      <c r="Q265" s="85"/>
      <c r="R265" s="85"/>
      <c r="S265" s="85"/>
      <c r="T265" s="85"/>
      <c r="U265" s="85"/>
      <c r="V265" s="85"/>
      <c r="W265" s="85"/>
      <c r="X265" s="85"/>
      <c r="Y265" s="85"/>
      <c r="Z265" s="85"/>
    </row>
    <row r="266" spans="1:26" ht="15.75" customHeight="1">
      <c r="A266" s="193">
        <v>41</v>
      </c>
      <c r="B266" s="193" t="s">
        <v>267</v>
      </c>
      <c r="C266" s="193" t="s">
        <v>268</v>
      </c>
      <c r="D266" s="194">
        <v>33527</v>
      </c>
      <c r="E266" s="184" t="s">
        <v>1440</v>
      </c>
      <c r="F266" s="184">
        <v>70</v>
      </c>
      <c r="G266" s="14">
        <v>1</v>
      </c>
      <c r="H266" s="14"/>
      <c r="I266" s="14">
        <v>0</v>
      </c>
      <c r="J266" s="14" t="s">
        <v>100</v>
      </c>
      <c r="K266" s="14"/>
      <c r="L266" s="85"/>
      <c r="M266" s="85"/>
      <c r="N266" s="85"/>
      <c r="O266" s="85"/>
      <c r="P266" s="85"/>
      <c r="Q266" s="85"/>
      <c r="R266" s="85"/>
      <c r="S266" s="85"/>
      <c r="T266" s="85"/>
      <c r="U266" s="85"/>
      <c r="V266" s="85"/>
      <c r="W266" s="85"/>
      <c r="X266" s="85"/>
      <c r="Y266" s="85"/>
      <c r="Z266" s="85"/>
    </row>
    <row r="267" spans="1:26" ht="15.75" customHeight="1">
      <c r="A267" s="193">
        <v>41</v>
      </c>
      <c r="B267" s="193" t="s">
        <v>267</v>
      </c>
      <c r="C267" s="193" t="s">
        <v>268</v>
      </c>
      <c r="D267" s="194">
        <v>33527</v>
      </c>
      <c r="E267" s="184" t="s">
        <v>1441</v>
      </c>
      <c r="F267" s="184">
        <v>63</v>
      </c>
      <c r="G267" s="14">
        <v>1</v>
      </c>
      <c r="H267" s="14"/>
      <c r="I267" s="14">
        <v>0</v>
      </c>
      <c r="J267" s="14" t="s">
        <v>100</v>
      </c>
      <c r="K267" s="14"/>
      <c r="L267" s="85"/>
      <c r="M267" s="85"/>
      <c r="N267" s="85"/>
      <c r="O267" s="85"/>
      <c r="P267" s="85"/>
      <c r="Q267" s="85"/>
      <c r="R267" s="85"/>
      <c r="S267" s="85"/>
      <c r="T267" s="85"/>
      <c r="U267" s="85"/>
      <c r="V267" s="85"/>
      <c r="W267" s="85"/>
      <c r="X267" s="85"/>
      <c r="Y267" s="85"/>
      <c r="Z267" s="85"/>
    </row>
    <row r="268" spans="1:26" ht="15.75" customHeight="1">
      <c r="A268" s="193">
        <v>41</v>
      </c>
      <c r="B268" s="193" t="s">
        <v>267</v>
      </c>
      <c r="C268" s="193" t="s">
        <v>268</v>
      </c>
      <c r="D268" s="194">
        <v>33527</v>
      </c>
      <c r="E268" s="184" t="s">
        <v>1442</v>
      </c>
      <c r="F268" s="184">
        <v>30</v>
      </c>
      <c r="G268" s="14">
        <v>1</v>
      </c>
      <c r="H268" s="14"/>
      <c r="I268" s="14">
        <v>0</v>
      </c>
      <c r="J268" s="14" t="s">
        <v>100</v>
      </c>
      <c r="K268" s="14"/>
      <c r="L268" s="85"/>
      <c r="M268" s="85"/>
      <c r="N268" s="85"/>
      <c r="O268" s="85"/>
      <c r="P268" s="85"/>
      <c r="Q268" s="85"/>
      <c r="R268" s="85"/>
      <c r="S268" s="85"/>
      <c r="T268" s="85"/>
      <c r="U268" s="85"/>
      <c r="V268" s="85"/>
      <c r="W268" s="85"/>
      <c r="X268" s="85"/>
      <c r="Y268" s="85"/>
      <c r="Z268" s="85"/>
    </row>
    <row r="269" spans="1:26" ht="15.75" customHeight="1">
      <c r="A269" s="193">
        <v>41</v>
      </c>
      <c r="B269" s="193" t="s">
        <v>267</v>
      </c>
      <c r="C269" s="193" t="s">
        <v>268</v>
      </c>
      <c r="D269" s="194">
        <v>33527</v>
      </c>
      <c r="E269" s="184" t="s">
        <v>1443</v>
      </c>
      <c r="F269" s="184">
        <v>45</v>
      </c>
      <c r="G269" s="14">
        <v>1</v>
      </c>
      <c r="H269" s="14"/>
      <c r="I269" s="14">
        <v>0</v>
      </c>
      <c r="J269" s="14" t="s">
        <v>100</v>
      </c>
      <c r="K269" s="14"/>
      <c r="L269" s="85"/>
      <c r="M269" s="85"/>
      <c r="N269" s="85"/>
      <c r="O269" s="85"/>
      <c r="P269" s="85"/>
      <c r="Q269" s="85"/>
      <c r="R269" s="85"/>
      <c r="S269" s="85"/>
      <c r="T269" s="85"/>
      <c r="U269" s="85"/>
      <c r="V269" s="85"/>
      <c r="W269" s="85"/>
      <c r="X269" s="85"/>
      <c r="Y269" s="85"/>
      <c r="Z269" s="85"/>
    </row>
    <row r="270" spans="1:26" ht="15.75" customHeight="1">
      <c r="A270" s="193">
        <v>41</v>
      </c>
      <c r="B270" s="193" t="s">
        <v>267</v>
      </c>
      <c r="C270" s="193" t="s">
        <v>268</v>
      </c>
      <c r="D270" s="194">
        <v>33527</v>
      </c>
      <c r="E270" s="14" t="s">
        <v>1444</v>
      </c>
      <c r="F270" s="184" t="str">
        <f>HYPERLINK("https://www.findagrave.com/memorial/78253059/connie-deen-peterson","41")</f>
        <v>41</v>
      </c>
      <c r="G270" s="14">
        <v>1</v>
      </c>
      <c r="H270" s="184" t="str">
        <f>HYPERLINK("https://www.findagrave.com/memorial/78253059/connie-deen-peterson","0")</f>
        <v>0</v>
      </c>
      <c r="I270" s="14">
        <v>0</v>
      </c>
      <c r="J270" s="14" t="s">
        <v>100</v>
      </c>
      <c r="K270" s="14"/>
      <c r="L270" s="85"/>
      <c r="M270" s="85"/>
      <c r="N270" s="85"/>
      <c r="O270" s="85"/>
      <c r="P270" s="85"/>
      <c r="Q270" s="85"/>
      <c r="R270" s="85"/>
      <c r="S270" s="85"/>
      <c r="T270" s="85"/>
      <c r="U270" s="85"/>
      <c r="V270" s="85"/>
      <c r="W270" s="85"/>
      <c r="X270" s="85"/>
      <c r="Y270" s="85"/>
      <c r="Z270" s="85"/>
    </row>
    <row r="271" spans="1:26" ht="15.75" customHeight="1">
      <c r="A271" s="193">
        <v>41</v>
      </c>
      <c r="B271" s="193" t="s">
        <v>267</v>
      </c>
      <c r="C271" s="193" t="s">
        <v>268</v>
      </c>
      <c r="D271" s="194">
        <v>33527</v>
      </c>
      <c r="E271" s="14" t="s">
        <v>1445</v>
      </c>
      <c r="F271" s="184">
        <v>55</v>
      </c>
      <c r="G271" s="14">
        <v>1</v>
      </c>
      <c r="H271" s="184">
        <v>0</v>
      </c>
      <c r="I271" s="14">
        <v>0</v>
      </c>
      <c r="J271" s="14" t="s">
        <v>100</v>
      </c>
      <c r="K271" s="14"/>
      <c r="L271" s="85"/>
      <c r="M271" s="85"/>
      <c r="N271" s="85"/>
      <c r="O271" s="85"/>
      <c r="P271" s="85"/>
      <c r="Q271" s="85"/>
      <c r="R271" s="85"/>
      <c r="S271" s="85"/>
      <c r="T271" s="85"/>
      <c r="U271" s="85"/>
      <c r="V271" s="85"/>
      <c r="W271" s="85"/>
      <c r="X271" s="85"/>
      <c r="Y271" s="85"/>
      <c r="Z271" s="85"/>
    </row>
    <row r="272" spans="1:26" ht="15.75" customHeight="1">
      <c r="A272" s="193">
        <v>41</v>
      </c>
      <c r="B272" s="193" t="s">
        <v>267</v>
      </c>
      <c r="C272" s="193" t="s">
        <v>268</v>
      </c>
      <c r="D272" s="194">
        <v>33527</v>
      </c>
      <c r="E272" s="14" t="s">
        <v>1446</v>
      </c>
      <c r="F272" s="184">
        <v>36</v>
      </c>
      <c r="G272" s="14">
        <v>1</v>
      </c>
      <c r="H272" s="184" t="str">
        <f>HYPERLINK("https://www.findagrave.com/memorial/87616502/su_zann-rashott","0")</f>
        <v>0</v>
      </c>
      <c r="I272" s="14">
        <v>0</v>
      </c>
      <c r="J272" s="14" t="s">
        <v>100</v>
      </c>
      <c r="K272" s="14"/>
      <c r="L272" s="85"/>
      <c r="M272" s="85"/>
      <c r="N272" s="85"/>
      <c r="O272" s="85"/>
      <c r="P272" s="85"/>
      <c r="Q272" s="85"/>
      <c r="R272" s="85"/>
      <c r="S272" s="85"/>
      <c r="T272" s="85"/>
      <c r="U272" s="85"/>
      <c r="V272" s="85"/>
      <c r="W272" s="85"/>
      <c r="X272" s="85"/>
      <c r="Y272" s="85"/>
      <c r="Z272" s="85"/>
    </row>
    <row r="273" spans="1:26" ht="15.75" customHeight="1">
      <c r="A273" s="193">
        <v>41</v>
      </c>
      <c r="B273" s="193" t="s">
        <v>267</v>
      </c>
      <c r="C273" s="193" t="s">
        <v>268</v>
      </c>
      <c r="D273" s="194">
        <v>33527</v>
      </c>
      <c r="E273" s="14" t="s">
        <v>1447</v>
      </c>
      <c r="F273" s="184">
        <v>33</v>
      </c>
      <c r="G273" s="14">
        <v>0</v>
      </c>
      <c r="H273" s="184">
        <v>2</v>
      </c>
      <c r="I273" s="14">
        <v>0</v>
      </c>
      <c r="J273" s="14" t="s">
        <v>100</v>
      </c>
      <c r="K273" s="14"/>
      <c r="L273" s="85"/>
      <c r="M273" s="85"/>
      <c r="N273" s="85"/>
      <c r="O273" s="85"/>
      <c r="P273" s="85"/>
      <c r="Q273" s="85"/>
      <c r="R273" s="85"/>
      <c r="S273" s="85"/>
      <c r="T273" s="85"/>
      <c r="U273" s="85"/>
      <c r="V273" s="85"/>
      <c r="W273" s="85"/>
      <c r="X273" s="85"/>
      <c r="Y273" s="85"/>
      <c r="Z273" s="85"/>
    </row>
    <row r="274" spans="1:26" ht="15.75" customHeight="1">
      <c r="A274" s="193">
        <v>41</v>
      </c>
      <c r="B274" s="193" t="s">
        <v>267</v>
      </c>
      <c r="C274" s="193" t="s">
        <v>268</v>
      </c>
      <c r="D274" s="194">
        <v>33527</v>
      </c>
      <c r="E274" s="14" t="s">
        <v>1448</v>
      </c>
      <c r="F274" s="184" t="str">
        <f>HYPERLINK("https://www.findagrave.com/memorial/19940410/thomas-earl-simmons","33")</f>
        <v>33</v>
      </c>
      <c r="G274" s="14">
        <v>0</v>
      </c>
      <c r="H274" s="14"/>
      <c r="I274" s="14">
        <v>0</v>
      </c>
      <c r="J274" s="14" t="s">
        <v>100</v>
      </c>
      <c r="K274" s="14"/>
      <c r="L274" s="85"/>
      <c r="M274" s="85"/>
      <c r="N274" s="85"/>
      <c r="O274" s="85"/>
      <c r="P274" s="85"/>
      <c r="Q274" s="85"/>
      <c r="R274" s="85"/>
      <c r="S274" s="85"/>
      <c r="T274" s="85"/>
      <c r="U274" s="85"/>
      <c r="V274" s="85"/>
      <c r="W274" s="85"/>
      <c r="X274" s="85"/>
      <c r="Y274" s="85"/>
      <c r="Z274" s="85"/>
    </row>
    <row r="275" spans="1:26" ht="15.75" customHeight="1">
      <c r="A275" s="193">
        <v>41</v>
      </c>
      <c r="B275" s="193" t="s">
        <v>267</v>
      </c>
      <c r="C275" s="193" t="s">
        <v>268</v>
      </c>
      <c r="D275" s="194">
        <v>33527</v>
      </c>
      <c r="E275" s="14" t="s">
        <v>1449</v>
      </c>
      <c r="F275" s="184" t="str">
        <f>HYPERLINK("https://www.findagrave.com/memorial/43833566/glen-arval-spivey","55")</f>
        <v>55</v>
      </c>
      <c r="G275" s="184">
        <v>0</v>
      </c>
      <c r="H275" s="14"/>
      <c r="I275" s="14">
        <v>0</v>
      </c>
      <c r="J275" s="14" t="s">
        <v>100</v>
      </c>
      <c r="K275" s="14"/>
      <c r="L275" s="85"/>
      <c r="M275" s="85"/>
      <c r="N275" s="85"/>
      <c r="O275" s="85"/>
      <c r="P275" s="85"/>
      <c r="Q275" s="85"/>
      <c r="R275" s="85"/>
      <c r="S275" s="85"/>
      <c r="T275" s="85"/>
      <c r="U275" s="85"/>
      <c r="V275" s="85"/>
      <c r="W275" s="85"/>
      <c r="X275" s="85"/>
      <c r="Y275" s="85"/>
      <c r="Z275" s="85"/>
    </row>
    <row r="276" spans="1:26" ht="15.75" customHeight="1">
      <c r="A276" s="193">
        <v>41</v>
      </c>
      <c r="B276" s="193" t="s">
        <v>267</v>
      </c>
      <c r="C276" s="193" t="s">
        <v>268</v>
      </c>
      <c r="D276" s="194">
        <v>33527</v>
      </c>
      <c r="E276" s="14" t="s">
        <v>1450</v>
      </c>
      <c r="F276" s="184">
        <v>44</v>
      </c>
      <c r="G276" s="14">
        <v>1</v>
      </c>
      <c r="H276" s="184" t="str">
        <f>HYPERLINK("https://www.findagrave.com/memorial/71834780/nancy-faye-stansbury","0")</f>
        <v>0</v>
      </c>
      <c r="I276" s="14">
        <v>0</v>
      </c>
      <c r="J276" s="14" t="s">
        <v>100</v>
      </c>
      <c r="K276" s="14"/>
      <c r="L276" s="85"/>
      <c r="M276" s="85"/>
      <c r="N276" s="85"/>
      <c r="O276" s="85"/>
      <c r="P276" s="85"/>
      <c r="Q276" s="85"/>
      <c r="R276" s="85"/>
      <c r="S276" s="85"/>
      <c r="T276" s="85"/>
      <c r="U276" s="85"/>
      <c r="V276" s="85"/>
      <c r="W276" s="85"/>
      <c r="X276" s="85"/>
      <c r="Y276" s="85"/>
      <c r="Z276" s="85"/>
    </row>
    <row r="277" spans="1:26" ht="15.75" customHeight="1">
      <c r="A277" s="193">
        <v>41</v>
      </c>
      <c r="B277" s="193" t="s">
        <v>267</v>
      </c>
      <c r="C277" s="193" t="s">
        <v>268</v>
      </c>
      <c r="D277" s="194">
        <v>33527</v>
      </c>
      <c r="E277" s="14" t="s">
        <v>1451</v>
      </c>
      <c r="F277" s="184">
        <v>45</v>
      </c>
      <c r="G277" s="14">
        <v>1</v>
      </c>
      <c r="H277" s="14"/>
      <c r="I277" s="14">
        <v>0</v>
      </c>
      <c r="J277" s="14" t="s">
        <v>100</v>
      </c>
      <c r="K277" s="14"/>
      <c r="L277" s="85"/>
      <c r="M277" s="85"/>
      <c r="N277" s="85"/>
      <c r="O277" s="85"/>
      <c r="P277" s="85"/>
      <c r="Q277" s="85"/>
      <c r="R277" s="85"/>
      <c r="S277" s="85"/>
      <c r="T277" s="85"/>
      <c r="U277" s="85"/>
      <c r="V277" s="85"/>
      <c r="W277" s="85"/>
      <c r="X277" s="85"/>
      <c r="Y277" s="85"/>
      <c r="Z277" s="85"/>
    </row>
    <row r="278" spans="1:26" ht="15.75" customHeight="1">
      <c r="A278" s="193">
        <v>41</v>
      </c>
      <c r="B278" s="193" t="s">
        <v>267</v>
      </c>
      <c r="C278" s="193" t="s">
        <v>268</v>
      </c>
      <c r="D278" s="194">
        <v>33527</v>
      </c>
      <c r="E278" s="184" t="s">
        <v>1452</v>
      </c>
      <c r="F278" s="184">
        <v>75</v>
      </c>
      <c r="G278" s="14">
        <v>0</v>
      </c>
      <c r="H278" s="14"/>
      <c r="I278" s="14">
        <v>0</v>
      </c>
      <c r="J278" s="14" t="s">
        <v>100</v>
      </c>
      <c r="K278" s="14"/>
      <c r="L278" s="85"/>
      <c r="M278" s="85"/>
      <c r="N278" s="85"/>
      <c r="O278" s="85"/>
      <c r="P278" s="85"/>
      <c r="Q278" s="85"/>
      <c r="R278" s="85"/>
      <c r="S278" s="85"/>
      <c r="T278" s="85"/>
      <c r="U278" s="85"/>
      <c r="V278" s="85"/>
      <c r="W278" s="85"/>
      <c r="X278" s="85"/>
      <c r="Y278" s="85"/>
      <c r="Z278" s="85"/>
    </row>
    <row r="279" spans="1:26" ht="15.75" customHeight="1">
      <c r="A279" s="193">
        <v>41</v>
      </c>
      <c r="B279" s="193" t="s">
        <v>267</v>
      </c>
      <c r="C279" s="193" t="s">
        <v>268</v>
      </c>
      <c r="D279" s="194">
        <v>33527</v>
      </c>
      <c r="E279" s="14" t="s">
        <v>1453</v>
      </c>
      <c r="F279" s="184">
        <v>75</v>
      </c>
      <c r="G279" s="14">
        <v>1</v>
      </c>
      <c r="H279" s="184" t="str">
        <f>HYPERLINK("https://www.findagrave.com/memorial/200497750/lula-belle-welsh","0")</f>
        <v>0</v>
      </c>
      <c r="I279" s="14">
        <v>0</v>
      </c>
      <c r="J279" s="14" t="s">
        <v>100</v>
      </c>
      <c r="K279" s="14"/>
      <c r="L279" s="85"/>
      <c r="M279" s="85"/>
      <c r="N279" s="85"/>
      <c r="O279" s="85"/>
      <c r="P279" s="85"/>
      <c r="Q279" s="85"/>
      <c r="R279" s="85"/>
      <c r="S279" s="85"/>
      <c r="T279" s="85"/>
      <c r="U279" s="85"/>
      <c r="V279" s="85"/>
      <c r="W279" s="85"/>
      <c r="X279" s="85"/>
      <c r="Y279" s="85"/>
      <c r="Z279" s="85"/>
    </row>
    <row r="280" spans="1:26" ht="15.75" customHeight="1">
      <c r="A280" s="193">
        <v>41</v>
      </c>
      <c r="B280" s="193" t="s">
        <v>267</v>
      </c>
      <c r="C280" s="193" t="s">
        <v>268</v>
      </c>
      <c r="D280" s="194">
        <v>33527</v>
      </c>
      <c r="E280" s="14" t="s">
        <v>1454</v>
      </c>
      <c r="F280" s="184">
        <v>64</v>
      </c>
      <c r="G280" s="14">
        <v>1</v>
      </c>
      <c r="H280" s="184" t="str">
        <f>HYPERLINK("https://www.findagrave.com/memorial/5837388/iva-juanita-williams","0")</f>
        <v>0</v>
      </c>
      <c r="I280" s="14">
        <v>0</v>
      </c>
      <c r="J280" s="14" t="s">
        <v>100</v>
      </c>
      <c r="K280" s="14"/>
      <c r="L280" s="85"/>
      <c r="M280" s="85"/>
      <c r="N280" s="85"/>
      <c r="O280" s="85"/>
      <c r="P280" s="85"/>
      <c r="Q280" s="85"/>
      <c r="R280" s="85"/>
      <c r="S280" s="85"/>
      <c r="T280" s="85"/>
      <c r="U280" s="85"/>
      <c r="V280" s="85"/>
      <c r="W280" s="85"/>
      <c r="X280" s="85"/>
      <c r="Y280" s="85"/>
      <c r="Z280" s="85"/>
    </row>
    <row r="281" spans="1:26" ht="15.75" customHeight="1">
      <c r="A281" s="201">
        <v>42</v>
      </c>
      <c r="B281" s="201" t="s">
        <v>272</v>
      </c>
      <c r="C281" s="201" t="s">
        <v>273</v>
      </c>
      <c r="D281" s="202">
        <v>33543</v>
      </c>
      <c r="E281" s="14" t="s">
        <v>1455</v>
      </c>
      <c r="F281" s="184">
        <v>55</v>
      </c>
      <c r="G281" s="14">
        <v>1</v>
      </c>
      <c r="H281" s="184">
        <v>0</v>
      </c>
      <c r="I281" s="14">
        <v>1</v>
      </c>
      <c r="J281" s="14" t="s">
        <v>1456</v>
      </c>
      <c r="K281" s="14"/>
      <c r="L281" s="85"/>
      <c r="M281" s="85"/>
      <c r="N281" s="85"/>
      <c r="O281" s="85"/>
      <c r="P281" s="85"/>
      <c r="Q281" s="85"/>
      <c r="R281" s="85"/>
      <c r="S281" s="85"/>
      <c r="T281" s="85"/>
      <c r="U281" s="85"/>
      <c r="V281" s="85"/>
      <c r="W281" s="85"/>
      <c r="X281" s="85"/>
      <c r="Y281" s="85"/>
      <c r="Z281" s="85"/>
    </row>
    <row r="282" spans="1:26" ht="15.75" customHeight="1">
      <c r="A282" s="201">
        <v>42</v>
      </c>
      <c r="B282" s="201" t="s">
        <v>272</v>
      </c>
      <c r="C282" s="201" t="s">
        <v>273</v>
      </c>
      <c r="D282" s="202">
        <v>33543</v>
      </c>
      <c r="E282" s="14" t="s">
        <v>1457</v>
      </c>
      <c r="F282" s="184">
        <v>47</v>
      </c>
      <c r="G282" s="14">
        <v>0</v>
      </c>
      <c r="H282" s="14">
        <v>0</v>
      </c>
      <c r="I282" s="14">
        <v>1</v>
      </c>
      <c r="J282" s="14" t="s">
        <v>1458</v>
      </c>
      <c r="K282" s="14"/>
      <c r="L282" s="85"/>
      <c r="M282" s="85"/>
      <c r="N282" s="85"/>
      <c r="O282" s="85"/>
      <c r="P282" s="85"/>
      <c r="Q282" s="85"/>
      <c r="R282" s="85"/>
      <c r="S282" s="85"/>
      <c r="T282" s="85"/>
      <c r="U282" s="85"/>
      <c r="V282" s="85"/>
      <c r="W282" s="85"/>
      <c r="X282" s="85"/>
      <c r="Y282" s="85"/>
      <c r="Z282" s="85"/>
    </row>
    <row r="283" spans="1:26" ht="15.75" customHeight="1">
      <c r="A283" s="201">
        <v>42</v>
      </c>
      <c r="B283" s="201" t="s">
        <v>272</v>
      </c>
      <c r="C283" s="201" t="s">
        <v>273</v>
      </c>
      <c r="D283" s="202">
        <v>33543</v>
      </c>
      <c r="E283" s="14" t="s">
        <v>1459</v>
      </c>
      <c r="F283" s="184">
        <v>44</v>
      </c>
      <c r="G283" s="14">
        <v>0</v>
      </c>
      <c r="H283" s="14">
        <v>0</v>
      </c>
      <c r="I283" s="14">
        <v>1</v>
      </c>
      <c r="J283" s="14" t="s">
        <v>1458</v>
      </c>
      <c r="K283" s="14"/>
      <c r="L283" s="85"/>
      <c r="M283" s="85"/>
      <c r="N283" s="85"/>
      <c r="O283" s="85"/>
      <c r="P283" s="85"/>
      <c r="Q283" s="85"/>
      <c r="R283" s="85"/>
      <c r="S283" s="85"/>
      <c r="T283" s="85"/>
      <c r="U283" s="85"/>
      <c r="V283" s="85"/>
      <c r="W283" s="85"/>
      <c r="X283" s="85"/>
      <c r="Y283" s="85"/>
      <c r="Z283" s="85"/>
    </row>
    <row r="284" spans="1:26" ht="15.75" customHeight="1">
      <c r="A284" s="201">
        <v>42</v>
      </c>
      <c r="B284" s="201" t="s">
        <v>272</v>
      </c>
      <c r="C284" s="201" t="s">
        <v>273</v>
      </c>
      <c r="D284" s="202">
        <v>33543</v>
      </c>
      <c r="E284" s="14" t="s">
        <v>1460</v>
      </c>
      <c r="F284" s="184">
        <v>45</v>
      </c>
      <c r="G284" s="14">
        <v>0</v>
      </c>
      <c r="H284" s="14">
        <v>0</v>
      </c>
      <c r="I284" s="14">
        <v>1</v>
      </c>
      <c r="J284" s="14" t="s">
        <v>1458</v>
      </c>
      <c r="K284" s="14"/>
      <c r="L284" s="85"/>
      <c r="M284" s="85"/>
      <c r="N284" s="85"/>
      <c r="O284" s="85"/>
      <c r="P284" s="85"/>
      <c r="Q284" s="85"/>
      <c r="R284" s="85"/>
      <c r="S284" s="85"/>
      <c r="T284" s="85"/>
      <c r="U284" s="85"/>
      <c r="V284" s="85"/>
      <c r="W284" s="85"/>
      <c r="X284" s="85"/>
      <c r="Y284" s="85"/>
      <c r="Z284" s="85"/>
    </row>
    <row r="285" spans="1:26" ht="15.75" customHeight="1">
      <c r="A285" s="201">
        <v>42</v>
      </c>
      <c r="B285" s="201" t="s">
        <v>272</v>
      </c>
      <c r="C285" s="201" t="s">
        <v>273</v>
      </c>
      <c r="D285" s="202">
        <v>33543</v>
      </c>
      <c r="E285" s="14" t="s">
        <v>1461</v>
      </c>
      <c r="F285" s="184">
        <v>26</v>
      </c>
      <c r="G285" s="14">
        <v>0</v>
      </c>
      <c r="H285" s="14">
        <v>3</v>
      </c>
      <c r="I285" s="14">
        <v>1</v>
      </c>
      <c r="J285" s="14" t="s">
        <v>1462</v>
      </c>
      <c r="K285" s="14"/>
      <c r="L285" s="85"/>
      <c r="M285" s="85"/>
      <c r="N285" s="85"/>
      <c r="O285" s="85"/>
      <c r="P285" s="85"/>
      <c r="Q285" s="85"/>
      <c r="R285" s="85"/>
      <c r="S285" s="85"/>
      <c r="T285" s="85"/>
      <c r="U285" s="85"/>
      <c r="V285" s="85"/>
      <c r="W285" s="85"/>
      <c r="X285" s="85"/>
      <c r="Y285" s="85"/>
      <c r="Z285" s="85"/>
    </row>
    <row r="286" spans="1:26" ht="15.75" customHeight="1">
      <c r="A286" s="195">
        <v>43</v>
      </c>
      <c r="B286" s="195" t="s">
        <v>276</v>
      </c>
      <c r="C286" s="195" t="s">
        <v>102</v>
      </c>
      <c r="D286" s="196">
        <v>33551</v>
      </c>
      <c r="E286" s="184" t="s">
        <v>1463</v>
      </c>
      <c r="F286" s="184">
        <v>48</v>
      </c>
      <c r="G286" s="14">
        <v>0</v>
      </c>
      <c r="H286" s="14"/>
      <c r="I286" s="14">
        <v>0</v>
      </c>
      <c r="J286" s="14" t="s">
        <v>100</v>
      </c>
      <c r="K286" s="14"/>
      <c r="L286" s="85"/>
      <c r="M286" s="85"/>
      <c r="N286" s="85"/>
      <c r="O286" s="85"/>
      <c r="P286" s="85"/>
      <c r="Q286" s="85"/>
      <c r="R286" s="85"/>
      <c r="S286" s="85"/>
      <c r="T286" s="85"/>
      <c r="U286" s="85"/>
      <c r="V286" s="85"/>
      <c r="W286" s="85"/>
      <c r="X286" s="85"/>
      <c r="Y286" s="85"/>
      <c r="Z286" s="85"/>
    </row>
    <row r="287" spans="1:26" ht="15.75" customHeight="1">
      <c r="A287" s="195">
        <v>43</v>
      </c>
      <c r="B287" s="195" t="s">
        <v>276</v>
      </c>
      <c r="C287" s="195" t="s">
        <v>102</v>
      </c>
      <c r="D287" s="196">
        <v>33551</v>
      </c>
      <c r="E287" s="184" t="s">
        <v>1464</v>
      </c>
      <c r="F287" s="184">
        <v>38</v>
      </c>
      <c r="G287" s="14">
        <v>0</v>
      </c>
      <c r="H287" s="14"/>
      <c r="I287" s="14">
        <v>0</v>
      </c>
      <c r="J287" s="14" t="s">
        <v>100</v>
      </c>
      <c r="K287" s="14"/>
      <c r="L287" s="85"/>
      <c r="M287" s="85"/>
      <c r="N287" s="85"/>
      <c r="O287" s="85"/>
      <c r="P287" s="85"/>
      <c r="Q287" s="85"/>
      <c r="R287" s="85"/>
      <c r="S287" s="85"/>
      <c r="T287" s="85"/>
      <c r="U287" s="85"/>
      <c r="V287" s="85"/>
      <c r="W287" s="85"/>
      <c r="X287" s="85"/>
      <c r="Y287" s="85"/>
      <c r="Z287" s="85"/>
    </row>
    <row r="288" spans="1:26" ht="15.75" customHeight="1">
      <c r="A288" s="195">
        <v>43</v>
      </c>
      <c r="B288" s="195" t="s">
        <v>276</v>
      </c>
      <c r="C288" s="195" t="s">
        <v>102</v>
      </c>
      <c r="D288" s="196">
        <v>33551</v>
      </c>
      <c r="E288" s="14" t="s">
        <v>1465</v>
      </c>
      <c r="F288" s="184">
        <v>33</v>
      </c>
      <c r="G288" s="14">
        <v>1</v>
      </c>
      <c r="H288" s="14"/>
      <c r="I288" s="14">
        <v>1</v>
      </c>
      <c r="J288" s="14" t="s">
        <v>1466</v>
      </c>
      <c r="K288" s="14"/>
      <c r="L288" s="85"/>
      <c r="M288" s="85"/>
      <c r="N288" s="85"/>
      <c r="O288" s="85"/>
      <c r="P288" s="85"/>
      <c r="Q288" s="85"/>
      <c r="R288" s="85"/>
      <c r="S288" s="85"/>
      <c r="T288" s="85"/>
      <c r="U288" s="85"/>
      <c r="V288" s="85"/>
      <c r="W288" s="85"/>
      <c r="X288" s="85"/>
      <c r="Y288" s="85"/>
      <c r="Z288" s="85"/>
    </row>
    <row r="289" spans="1:26" ht="15.75" customHeight="1">
      <c r="A289" s="195">
        <v>43</v>
      </c>
      <c r="B289" s="195" t="s">
        <v>276</v>
      </c>
      <c r="C289" s="195" t="s">
        <v>102</v>
      </c>
      <c r="D289" s="196">
        <v>33551</v>
      </c>
      <c r="E289" s="184" t="s">
        <v>1467</v>
      </c>
      <c r="F289" s="184">
        <v>48</v>
      </c>
      <c r="G289" s="14">
        <v>0</v>
      </c>
      <c r="H289" s="14"/>
      <c r="I289" s="14">
        <v>0</v>
      </c>
      <c r="J289" s="14" t="s">
        <v>100</v>
      </c>
      <c r="K289" s="14"/>
      <c r="L289" s="85"/>
      <c r="M289" s="85"/>
      <c r="N289" s="85"/>
      <c r="O289" s="85"/>
      <c r="P289" s="85"/>
      <c r="Q289" s="85"/>
      <c r="R289" s="85"/>
      <c r="S289" s="85"/>
      <c r="T289" s="85"/>
      <c r="U289" s="85"/>
      <c r="V289" s="85"/>
      <c r="W289" s="85"/>
      <c r="X289" s="85"/>
      <c r="Y289" s="85"/>
      <c r="Z289" s="85"/>
    </row>
    <row r="290" spans="1:26" ht="15.75" customHeight="1">
      <c r="A290" s="197">
        <v>44</v>
      </c>
      <c r="B290" s="197" t="s">
        <v>280</v>
      </c>
      <c r="C290" s="197" t="s">
        <v>281</v>
      </c>
      <c r="D290" s="198">
        <v>33556</v>
      </c>
      <c r="E290" s="184" t="s">
        <v>1468</v>
      </c>
      <c r="F290" s="184">
        <v>32</v>
      </c>
      <c r="G290" s="14">
        <v>1</v>
      </c>
      <c r="H290" s="14"/>
      <c r="I290" s="184">
        <v>1</v>
      </c>
      <c r="J290" s="14" t="s">
        <v>1430</v>
      </c>
      <c r="K290" s="14"/>
      <c r="L290" s="85"/>
      <c r="M290" s="85"/>
      <c r="N290" s="85"/>
      <c r="O290" s="85"/>
      <c r="P290" s="85"/>
      <c r="Q290" s="85"/>
      <c r="R290" s="85"/>
      <c r="S290" s="85"/>
      <c r="T290" s="85"/>
      <c r="U290" s="85"/>
      <c r="V290" s="85"/>
      <c r="W290" s="85"/>
      <c r="X290" s="85"/>
      <c r="Y290" s="85"/>
      <c r="Z290" s="85"/>
    </row>
    <row r="291" spans="1:26" ht="15.75" customHeight="1">
      <c r="A291" s="197">
        <v>44</v>
      </c>
      <c r="B291" s="197" t="s">
        <v>280</v>
      </c>
      <c r="C291" s="197" t="s">
        <v>281</v>
      </c>
      <c r="D291" s="198">
        <v>33556</v>
      </c>
      <c r="E291" s="184" t="s">
        <v>1469</v>
      </c>
      <c r="F291" s="184">
        <v>33</v>
      </c>
      <c r="G291" s="14">
        <v>0</v>
      </c>
      <c r="H291" s="14"/>
      <c r="I291" s="184">
        <v>1</v>
      </c>
      <c r="J291" s="14" t="s">
        <v>1430</v>
      </c>
      <c r="K291" s="14"/>
      <c r="L291" s="85"/>
      <c r="M291" s="85"/>
      <c r="N291" s="85"/>
      <c r="O291" s="85"/>
      <c r="P291" s="85"/>
      <c r="Q291" s="85"/>
      <c r="R291" s="85"/>
      <c r="S291" s="85"/>
      <c r="T291" s="85"/>
      <c r="U291" s="85"/>
      <c r="V291" s="85"/>
      <c r="W291" s="85"/>
      <c r="X291" s="85"/>
      <c r="Y291" s="85"/>
      <c r="Z291" s="85"/>
    </row>
    <row r="292" spans="1:26" ht="15.75" customHeight="1">
      <c r="A292" s="197">
        <v>44</v>
      </c>
      <c r="B292" s="197" t="s">
        <v>280</v>
      </c>
      <c r="C292" s="197" t="s">
        <v>281</v>
      </c>
      <c r="D292" s="198">
        <v>33556</v>
      </c>
      <c r="E292" s="14" t="s">
        <v>1470</v>
      </c>
      <c r="F292" s="184">
        <v>37</v>
      </c>
      <c r="G292" s="14">
        <v>0</v>
      </c>
      <c r="H292" s="14"/>
      <c r="I292" s="184">
        <v>1</v>
      </c>
      <c r="J292" s="14" t="s">
        <v>1430</v>
      </c>
      <c r="K292" s="14"/>
      <c r="L292" s="85"/>
      <c r="M292" s="85"/>
      <c r="N292" s="85"/>
      <c r="O292" s="85"/>
      <c r="P292" s="85"/>
      <c r="Q292" s="85"/>
      <c r="R292" s="85"/>
      <c r="S292" s="85"/>
      <c r="T292" s="85"/>
      <c r="U292" s="85"/>
      <c r="V292" s="85"/>
      <c r="W292" s="85"/>
      <c r="X292" s="85"/>
      <c r="Y292" s="85"/>
      <c r="Z292" s="85"/>
    </row>
    <row r="293" spans="1:26" ht="15.75" customHeight="1">
      <c r="A293" s="197">
        <v>44</v>
      </c>
      <c r="B293" s="197" t="s">
        <v>280</v>
      </c>
      <c r="C293" s="197" t="s">
        <v>281</v>
      </c>
      <c r="D293" s="198">
        <v>33556</v>
      </c>
      <c r="E293" s="14" t="s">
        <v>1471</v>
      </c>
      <c r="F293" s="184">
        <v>33</v>
      </c>
      <c r="G293" s="14">
        <v>1</v>
      </c>
      <c r="H293" s="14"/>
      <c r="I293" s="184">
        <v>1</v>
      </c>
      <c r="J293" s="14" t="s">
        <v>1430</v>
      </c>
      <c r="K293" s="14"/>
      <c r="L293" s="85"/>
      <c r="M293" s="85"/>
      <c r="N293" s="85"/>
      <c r="O293" s="85"/>
      <c r="P293" s="85"/>
      <c r="Q293" s="85"/>
      <c r="R293" s="85"/>
      <c r="S293" s="85"/>
      <c r="T293" s="85"/>
      <c r="U293" s="85"/>
      <c r="V293" s="85"/>
      <c r="W293" s="85"/>
      <c r="X293" s="85"/>
      <c r="Y293" s="85"/>
      <c r="Z293" s="85"/>
    </row>
    <row r="294" spans="1:26" ht="15.75" customHeight="1">
      <c r="A294" s="207">
        <v>45</v>
      </c>
      <c r="B294" s="207" t="s">
        <v>285</v>
      </c>
      <c r="C294" s="207" t="s">
        <v>2996</v>
      </c>
      <c r="D294" s="208">
        <v>33678</v>
      </c>
      <c r="E294" s="14" t="s">
        <v>1472</v>
      </c>
      <c r="F294" s="184" t="str">
        <f>HYPERLINK("https://www.findagrave.com/memorial/207109831/rebecca-kay-carreon","48")</f>
        <v>48</v>
      </c>
      <c r="G294" s="14">
        <v>1</v>
      </c>
      <c r="H294" s="14"/>
      <c r="I294" s="14">
        <v>0</v>
      </c>
      <c r="J294" s="14" t="s">
        <v>100</v>
      </c>
      <c r="K294" s="14"/>
      <c r="L294" s="85"/>
      <c r="M294" s="85"/>
      <c r="N294" s="85"/>
      <c r="O294" s="85"/>
      <c r="P294" s="85"/>
      <c r="Q294" s="85"/>
      <c r="R294" s="85"/>
      <c r="S294" s="85"/>
      <c r="T294" s="85"/>
      <c r="U294" s="85"/>
      <c r="V294" s="85"/>
      <c r="W294" s="85"/>
      <c r="X294" s="85"/>
      <c r="Y294" s="85"/>
      <c r="Z294" s="85"/>
    </row>
    <row r="295" spans="1:26" ht="15.75" customHeight="1">
      <c r="A295" s="207">
        <v>45</v>
      </c>
      <c r="B295" s="207" t="s">
        <v>285</v>
      </c>
      <c r="C295" s="207" t="s">
        <v>2996</v>
      </c>
      <c r="D295" s="208">
        <v>33678</v>
      </c>
      <c r="E295" s="14" t="s">
        <v>1473</v>
      </c>
      <c r="F295" s="184" t="str">
        <f>HYPERLINK("https://www.findagrave.com/memorial/115009883/phyllis-theresa-mancuso","61")</f>
        <v>61</v>
      </c>
      <c r="G295" s="14">
        <v>1</v>
      </c>
      <c r="H295" s="14">
        <v>0</v>
      </c>
      <c r="I295" s="14">
        <v>0</v>
      </c>
      <c r="J295" s="14" t="s">
        <v>100</v>
      </c>
      <c r="K295" s="14"/>
      <c r="L295" s="85"/>
      <c r="M295" s="85"/>
      <c r="N295" s="85"/>
      <c r="O295" s="85"/>
      <c r="P295" s="85"/>
      <c r="Q295" s="85"/>
      <c r="R295" s="85"/>
      <c r="S295" s="85"/>
      <c r="T295" s="85"/>
      <c r="U295" s="85"/>
      <c r="V295" s="85"/>
      <c r="W295" s="85"/>
      <c r="X295" s="85"/>
      <c r="Y295" s="85"/>
      <c r="Z295" s="85"/>
    </row>
    <row r="296" spans="1:26" ht="15.75" customHeight="1">
      <c r="A296" s="207">
        <v>45</v>
      </c>
      <c r="B296" s="207" t="s">
        <v>285</v>
      </c>
      <c r="C296" s="207" t="s">
        <v>2996</v>
      </c>
      <c r="D296" s="208">
        <v>33678</v>
      </c>
      <c r="E296" s="14" t="s">
        <v>1474</v>
      </c>
      <c r="F296" s="184">
        <v>24</v>
      </c>
      <c r="G296" s="14">
        <v>0</v>
      </c>
      <c r="H296" s="184">
        <v>1</v>
      </c>
      <c r="I296" s="14">
        <v>0</v>
      </c>
      <c r="J296" s="14" t="s">
        <v>100</v>
      </c>
      <c r="K296" s="14"/>
      <c r="L296" s="85"/>
      <c r="M296" s="85"/>
      <c r="N296" s="85"/>
      <c r="O296" s="85"/>
      <c r="P296" s="85"/>
      <c r="Q296" s="85"/>
      <c r="R296" s="85"/>
      <c r="S296" s="85"/>
      <c r="T296" s="85"/>
      <c r="U296" s="85"/>
      <c r="V296" s="85"/>
      <c r="W296" s="85"/>
      <c r="X296" s="85"/>
      <c r="Y296" s="85"/>
      <c r="Z296" s="85"/>
    </row>
    <row r="297" spans="1:26" ht="15.75" customHeight="1">
      <c r="A297" s="207">
        <v>45</v>
      </c>
      <c r="B297" s="207" t="s">
        <v>285</v>
      </c>
      <c r="C297" s="207" t="s">
        <v>2996</v>
      </c>
      <c r="D297" s="208">
        <v>33678</v>
      </c>
      <c r="E297" s="14" t="s">
        <v>1475</v>
      </c>
      <c r="F297" s="184" t="str">
        <f>HYPERLINK("https://www.findagrave.com/memorial/115011857/marie-eamelia-pendergast","84")</f>
        <v>84</v>
      </c>
      <c r="G297" s="14">
        <v>1</v>
      </c>
      <c r="H297" s="14">
        <v>0</v>
      </c>
      <c r="I297" s="14">
        <v>0</v>
      </c>
      <c r="J297" s="14" t="s">
        <v>100</v>
      </c>
      <c r="K297" s="14"/>
      <c r="L297" s="85"/>
      <c r="M297" s="85"/>
      <c r="N297" s="85"/>
      <c r="O297" s="85"/>
      <c r="P297" s="85"/>
      <c r="Q297" s="85"/>
      <c r="R297" s="85"/>
      <c r="S297" s="85"/>
      <c r="T297" s="85"/>
      <c r="U297" s="85"/>
      <c r="V297" s="85"/>
      <c r="W297" s="85"/>
      <c r="X297" s="85"/>
      <c r="Y297" s="85"/>
      <c r="Z297" s="85"/>
    </row>
    <row r="298" spans="1:26" ht="15.75" customHeight="1">
      <c r="A298" s="193">
        <v>46</v>
      </c>
      <c r="B298" s="193" t="s">
        <v>288</v>
      </c>
      <c r="C298" s="193" t="s">
        <v>114</v>
      </c>
      <c r="D298" s="194">
        <v>33725</v>
      </c>
      <c r="E298" s="14" t="s">
        <v>1476</v>
      </c>
      <c r="F298" s="184">
        <v>28</v>
      </c>
      <c r="G298" s="14">
        <v>0</v>
      </c>
      <c r="H298" s="184">
        <v>0</v>
      </c>
      <c r="I298" s="184">
        <v>1</v>
      </c>
      <c r="J298" s="14" t="s">
        <v>1477</v>
      </c>
      <c r="K298" s="14"/>
      <c r="L298" s="85"/>
      <c r="M298" s="85"/>
      <c r="N298" s="85"/>
      <c r="O298" s="85"/>
      <c r="P298" s="85"/>
      <c r="Q298" s="85"/>
      <c r="R298" s="85"/>
      <c r="S298" s="85"/>
      <c r="T298" s="85"/>
      <c r="U298" s="85"/>
      <c r="V298" s="85"/>
      <c r="W298" s="85"/>
      <c r="X298" s="85"/>
      <c r="Y298" s="85"/>
      <c r="Z298" s="85"/>
    </row>
    <row r="299" spans="1:26" ht="15.75" customHeight="1">
      <c r="A299" s="193">
        <v>46</v>
      </c>
      <c r="B299" s="193" t="s">
        <v>288</v>
      </c>
      <c r="C299" s="193" t="s">
        <v>114</v>
      </c>
      <c r="D299" s="194">
        <v>33725</v>
      </c>
      <c r="E299" s="14" t="s">
        <v>1478</v>
      </c>
      <c r="F299" s="184">
        <v>17</v>
      </c>
      <c r="G299" s="14">
        <v>1</v>
      </c>
      <c r="H299" s="184">
        <v>0</v>
      </c>
      <c r="I299" s="184">
        <v>0</v>
      </c>
      <c r="J299" s="14" t="s">
        <v>100</v>
      </c>
      <c r="K299" s="14"/>
      <c r="L299" s="85"/>
      <c r="M299" s="85"/>
      <c r="N299" s="85"/>
      <c r="O299" s="85"/>
      <c r="P299" s="85"/>
      <c r="Q299" s="85"/>
      <c r="R299" s="85"/>
      <c r="S299" s="85"/>
      <c r="T299" s="85"/>
      <c r="U299" s="85"/>
      <c r="V299" s="85"/>
      <c r="W299" s="85"/>
      <c r="X299" s="85"/>
      <c r="Y299" s="85"/>
      <c r="Z299" s="85"/>
    </row>
    <row r="300" spans="1:26" ht="15.75" customHeight="1">
      <c r="A300" s="193">
        <v>46</v>
      </c>
      <c r="B300" s="193" t="s">
        <v>288</v>
      </c>
      <c r="C300" s="193" t="s">
        <v>114</v>
      </c>
      <c r="D300" s="194">
        <v>33725</v>
      </c>
      <c r="E300" s="14" t="s">
        <v>1479</v>
      </c>
      <c r="F300" s="184">
        <v>16</v>
      </c>
      <c r="G300" s="14">
        <v>0</v>
      </c>
      <c r="H300" s="184">
        <v>1</v>
      </c>
      <c r="I300" s="184">
        <v>0</v>
      </c>
      <c r="J300" s="14" t="s">
        <v>100</v>
      </c>
      <c r="K300" s="14"/>
      <c r="L300" s="85"/>
      <c r="M300" s="85"/>
      <c r="N300" s="85"/>
      <c r="O300" s="85"/>
      <c r="P300" s="85"/>
      <c r="Q300" s="85"/>
      <c r="R300" s="85"/>
      <c r="S300" s="85"/>
      <c r="T300" s="85"/>
      <c r="U300" s="85"/>
      <c r="V300" s="85"/>
      <c r="W300" s="85"/>
      <c r="X300" s="85"/>
      <c r="Y300" s="85"/>
      <c r="Z300" s="85"/>
    </row>
    <row r="301" spans="1:26" ht="15.75" customHeight="1">
      <c r="A301" s="193">
        <v>46</v>
      </c>
      <c r="B301" s="193" t="s">
        <v>288</v>
      </c>
      <c r="C301" s="193" t="s">
        <v>114</v>
      </c>
      <c r="D301" s="194">
        <v>33725</v>
      </c>
      <c r="E301" s="14" t="s">
        <v>1480</v>
      </c>
      <c r="F301" s="184">
        <v>19</v>
      </c>
      <c r="G301" s="14">
        <v>0</v>
      </c>
      <c r="H301" s="184">
        <v>0</v>
      </c>
      <c r="I301" s="184">
        <v>0</v>
      </c>
      <c r="J301" s="14" t="s">
        <v>100</v>
      </c>
      <c r="K301" s="14"/>
      <c r="L301" s="85"/>
      <c r="M301" s="85"/>
      <c r="N301" s="85"/>
      <c r="O301" s="85"/>
      <c r="P301" s="85"/>
      <c r="Q301" s="85"/>
      <c r="R301" s="85"/>
      <c r="S301" s="85"/>
      <c r="T301" s="85"/>
      <c r="U301" s="85"/>
      <c r="V301" s="85"/>
      <c r="W301" s="85"/>
      <c r="X301" s="85"/>
      <c r="Y301" s="85"/>
      <c r="Z301" s="85"/>
    </row>
    <row r="302" spans="1:26" ht="15.75" customHeight="1">
      <c r="A302" s="201">
        <v>47</v>
      </c>
      <c r="B302" s="201" t="s">
        <v>293</v>
      </c>
      <c r="C302" s="201" t="s">
        <v>190</v>
      </c>
      <c r="D302" s="202">
        <v>33892</v>
      </c>
      <c r="E302" s="14" t="s">
        <v>1481</v>
      </c>
      <c r="F302" s="184">
        <v>28</v>
      </c>
      <c r="G302" s="184">
        <v>1</v>
      </c>
      <c r="H302" s="14"/>
      <c r="I302" s="14">
        <v>0</v>
      </c>
      <c r="J302" s="14" t="s">
        <v>100</v>
      </c>
      <c r="K302" s="14"/>
      <c r="L302" s="85"/>
      <c r="M302" s="85"/>
      <c r="N302" s="85"/>
      <c r="O302" s="85"/>
      <c r="P302" s="85"/>
      <c r="Q302" s="85"/>
      <c r="R302" s="85"/>
      <c r="S302" s="85"/>
      <c r="T302" s="85"/>
      <c r="U302" s="85"/>
      <c r="V302" s="85"/>
      <c r="W302" s="85"/>
      <c r="X302" s="85"/>
      <c r="Y302" s="85"/>
      <c r="Z302" s="85"/>
    </row>
    <row r="303" spans="1:26" ht="15.75" customHeight="1">
      <c r="A303" s="201">
        <v>47</v>
      </c>
      <c r="B303" s="201" t="s">
        <v>293</v>
      </c>
      <c r="C303" s="201" t="s">
        <v>190</v>
      </c>
      <c r="D303" s="202">
        <v>33892</v>
      </c>
      <c r="E303" s="14" t="s">
        <v>1482</v>
      </c>
      <c r="F303" s="184">
        <v>54</v>
      </c>
      <c r="G303" s="14">
        <v>1</v>
      </c>
      <c r="H303" s="14"/>
      <c r="I303" s="14">
        <v>0</v>
      </c>
      <c r="J303" s="14" t="s">
        <v>100</v>
      </c>
      <c r="K303" s="14"/>
      <c r="L303" s="85"/>
      <c r="M303" s="85"/>
      <c r="N303" s="85"/>
      <c r="O303" s="85"/>
      <c r="P303" s="85"/>
      <c r="Q303" s="85"/>
      <c r="R303" s="85"/>
      <c r="S303" s="85"/>
      <c r="T303" s="85"/>
      <c r="U303" s="85"/>
      <c r="V303" s="85"/>
      <c r="W303" s="85"/>
      <c r="X303" s="85"/>
      <c r="Y303" s="85"/>
      <c r="Z303" s="85"/>
    </row>
    <row r="304" spans="1:26" ht="15.75" customHeight="1">
      <c r="A304" s="201">
        <v>47</v>
      </c>
      <c r="B304" s="201" t="s">
        <v>293</v>
      </c>
      <c r="C304" s="201" t="s">
        <v>190</v>
      </c>
      <c r="D304" s="202">
        <v>33892</v>
      </c>
      <c r="E304" s="14" t="s">
        <v>1483</v>
      </c>
      <c r="F304" s="184">
        <v>50</v>
      </c>
      <c r="G304" s="184">
        <v>1</v>
      </c>
      <c r="H304" s="14"/>
      <c r="I304" s="14">
        <v>1</v>
      </c>
      <c r="J304" s="14" t="s">
        <v>1484</v>
      </c>
      <c r="K304" s="14"/>
      <c r="L304" s="85"/>
      <c r="M304" s="85"/>
      <c r="N304" s="85"/>
      <c r="O304" s="85"/>
      <c r="P304" s="85"/>
      <c r="Q304" s="85"/>
      <c r="R304" s="85"/>
      <c r="S304" s="85"/>
      <c r="T304" s="85"/>
      <c r="U304" s="85"/>
      <c r="V304" s="85"/>
      <c r="W304" s="85"/>
      <c r="X304" s="85"/>
      <c r="Y304" s="85"/>
      <c r="Z304" s="85"/>
    </row>
    <row r="305" spans="1:26" ht="15.75" customHeight="1">
      <c r="A305" s="201">
        <v>47</v>
      </c>
      <c r="B305" s="201" t="s">
        <v>293</v>
      </c>
      <c r="C305" s="201" t="s">
        <v>190</v>
      </c>
      <c r="D305" s="202">
        <v>33892</v>
      </c>
      <c r="E305" s="14" t="s">
        <v>1485</v>
      </c>
      <c r="F305" s="184">
        <v>48</v>
      </c>
      <c r="G305" s="184">
        <v>1</v>
      </c>
      <c r="H305" s="14"/>
      <c r="I305" s="14">
        <v>0</v>
      </c>
      <c r="J305" s="14" t="s">
        <v>100</v>
      </c>
      <c r="K305" s="14"/>
      <c r="L305" s="85"/>
      <c r="M305" s="85"/>
      <c r="N305" s="85"/>
      <c r="O305" s="85"/>
      <c r="P305" s="85"/>
      <c r="Q305" s="85"/>
      <c r="R305" s="85"/>
      <c r="S305" s="85"/>
      <c r="T305" s="85"/>
      <c r="U305" s="85"/>
      <c r="V305" s="85"/>
      <c r="W305" s="85"/>
      <c r="X305" s="85"/>
      <c r="Y305" s="85"/>
      <c r="Z305" s="85"/>
    </row>
    <row r="306" spans="1:26" ht="15.75" customHeight="1">
      <c r="A306" s="197">
        <v>48</v>
      </c>
      <c r="B306" s="197" t="s">
        <v>296</v>
      </c>
      <c r="C306" s="197" t="s">
        <v>297</v>
      </c>
      <c r="D306" s="198">
        <v>33916</v>
      </c>
      <c r="E306" s="14" t="s">
        <v>1486</v>
      </c>
      <c r="F306" s="184">
        <v>32</v>
      </c>
      <c r="G306" s="14">
        <v>0</v>
      </c>
      <c r="H306" s="14"/>
      <c r="I306" s="184">
        <v>0</v>
      </c>
      <c r="J306" s="14" t="s">
        <v>100</v>
      </c>
      <c r="K306" s="14"/>
      <c r="L306" s="85"/>
      <c r="M306" s="85"/>
      <c r="N306" s="85"/>
      <c r="O306" s="85"/>
      <c r="P306" s="85"/>
      <c r="Q306" s="85"/>
      <c r="R306" s="85"/>
      <c r="S306" s="85"/>
      <c r="T306" s="85"/>
      <c r="U306" s="85"/>
      <c r="V306" s="85"/>
      <c r="W306" s="85"/>
      <c r="X306" s="85"/>
      <c r="Y306" s="85"/>
      <c r="Z306" s="85"/>
    </row>
    <row r="307" spans="1:26" ht="15.75" customHeight="1">
      <c r="A307" s="197">
        <v>48</v>
      </c>
      <c r="B307" s="197" t="s">
        <v>296</v>
      </c>
      <c r="C307" s="197" t="s">
        <v>297</v>
      </c>
      <c r="D307" s="198">
        <v>33916</v>
      </c>
      <c r="E307" s="14" t="s">
        <v>1487</v>
      </c>
      <c r="F307" s="184">
        <v>60</v>
      </c>
      <c r="G307" s="14">
        <v>0</v>
      </c>
      <c r="H307" s="14"/>
      <c r="I307" s="14">
        <v>1</v>
      </c>
      <c r="J307" s="185" t="s">
        <v>1488</v>
      </c>
      <c r="K307" s="14"/>
      <c r="L307" s="85"/>
      <c r="M307" s="85"/>
      <c r="N307" s="85"/>
      <c r="O307" s="85"/>
      <c r="P307" s="85"/>
      <c r="Q307" s="85"/>
      <c r="R307" s="85"/>
      <c r="S307" s="85"/>
      <c r="T307" s="85"/>
      <c r="U307" s="85"/>
      <c r="V307" s="85"/>
      <c r="W307" s="85"/>
      <c r="X307" s="85"/>
      <c r="Y307" s="85"/>
      <c r="Z307" s="85"/>
    </row>
    <row r="308" spans="1:26" ht="15.75" customHeight="1">
      <c r="A308" s="197">
        <v>48</v>
      </c>
      <c r="B308" s="197" t="s">
        <v>296</v>
      </c>
      <c r="C308" s="197" t="s">
        <v>297</v>
      </c>
      <c r="D308" s="198">
        <v>33916</v>
      </c>
      <c r="E308" s="14" t="s">
        <v>1489</v>
      </c>
      <c r="F308" s="184">
        <v>47</v>
      </c>
      <c r="G308" s="14">
        <v>0</v>
      </c>
      <c r="H308" s="14"/>
      <c r="I308" s="14">
        <v>1</v>
      </c>
      <c r="J308" s="14" t="s">
        <v>1488</v>
      </c>
      <c r="K308" s="14"/>
      <c r="L308" s="85"/>
      <c r="M308" s="85"/>
      <c r="N308" s="85"/>
      <c r="O308" s="85"/>
      <c r="P308" s="85"/>
      <c r="Q308" s="85"/>
      <c r="R308" s="85"/>
      <c r="S308" s="85"/>
      <c r="T308" s="85"/>
      <c r="U308" s="85"/>
      <c r="V308" s="85"/>
      <c r="W308" s="85"/>
      <c r="X308" s="85"/>
      <c r="Y308" s="85"/>
      <c r="Z308" s="85"/>
    </row>
    <row r="309" spans="1:26" ht="15.75" customHeight="1">
      <c r="A309" s="197">
        <v>48</v>
      </c>
      <c r="B309" s="197" t="s">
        <v>296</v>
      </c>
      <c r="C309" s="197" t="s">
        <v>297</v>
      </c>
      <c r="D309" s="198">
        <v>33916</v>
      </c>
      <c r="E309" s="14" t="s">
        <v>1490</v>
      </c>
      <c r="F309" s="184">
        <v>27</v>
      </c>
      <c r="G309" s="14">
        <v>0</v>
      </c>
      <c r="H309" s="14"/>
      <c r="I309" s="184">
        <v>1</v>
      </c>
      <c r="J309" s="14" t="s">
        <v>1491</v>
      </c>
      <c r="K309" s="14"/>
      <c r="L309" s="85"/>
      <c r="M309" s="85"/>
      <c r="N309" s="85"/>
      <c r="O309" s="85"/>
      <c r="P309" s="85"/>
      <c r="Q309" s="85"/>
      <c r="R309" s="85"/>
      <c r="S309" s="85"/>
      <c r="T309" s="85"/>
      <c r="U309" s="85"/>
      <c r="V309" s="85"/>
      <c r="W309" s="85"/>
      <c r="X309" s="85"/>
      <c r="Y309" s="85"/>
      <c r="Z309" s="85"/>
    </row>
    <row r="310" spans="1:26" ht="15.75" customHeight="1">
      <c r="A310" s="197">
        <v>48</v>
      </c>
      <c r="B310" s="197" t="s">
        <v>296</v>
      </c>
      <c r="C310" s="197" t="s">
        <v>297</v>
      </c>
      <c r="D310" s="198">
        <v>33916</v>
      </c>
      <c r="E310" s="14" t="s">
        <v>1492</v>
      </c>
      <c r="F310" s="184">
        <v>31</v>
      </c>
      <c r="G310" s="14">
        <v>1</v>
      </c>
      <c r="H310" s="14"/>
      <c r="I310" s="14">
        <v>1</v>
      </c>
      <c r="J310" s="185" t="s">
        <v>1488</v>
      </c>
      <c r="K310" s="14"/>
      <c r="L310" s="85"/>
      <c r="M310" s="85"/>
      <c r="N310" s="85"/>
      <c r="O310" s="85"/>
      <c r="P310" s="85"/>
      <c r="Q310" s="85"/>
      <c r="R310" s="85"/>
      <c r="S310" s="85"/>
      <c r="T310" s="85"/>
      <c r="U310" s="85"/>
      <c r="V310" s="85"/>
      <c r="W310" s="85"/>
      <c r="X310" s="85"/>
      <c r="Y310" s="85"/>
      <c r="Z310" s="85"/>
    </row>
    <row r="311" spans="1:26" ht="15.75" customHeight="1">
      <c r="A311" s="197">
        <v>48</v>
      </c>
      <c r="B311" s="197" t="s">
        <v>296</v>
      </c>
      <c r="C311" s="197" t="s">
        <v>297</v>
      </c>
      <c r="D311" s="198">
        <v>33916</v>
      </c>
      <c r="E311" s="14" t="s">
        <v>1493</v>
      </c>
      <c r="F311" s="184">
        <v>80</v>
      </c>
      <c r="G311" s="14">
        <v>0</v>
      </c>
      <c r="H311" s="14"/>
      <c r="I311" s="14">
        <v>1</v>
      </c>
      <c r="J311" s="14" t="s">
        <v>1494</v>
      </c>
      <c r="K311" s="14"/>
      <c r="L311" s="85"/>
      <c r="M311" s="85"/>
      <c r="N311" s="85"/>
      <c r="O311" s="85"/>
      <c r="P311" s="85"/>
      <c r="Q311" s="85"/>
      <c r="R311" s="85"/>
      <c r="S311" s="85"/>
      <c r="T311" s="85"/>
      <c r="U311" s="85"/>
      <c r="V311" s="85"/>
      <c r="W311" s="85"/>
      <c r="X311" s="85"/>
      <c r="Y311" s="85"/>
      <c r="Z311" s="85"/>
    </row>
    <row r="312" spans="1:26" ht="15.75" customHeight="1">
      <c r="A312" s="191">
        <v>49</v>
      </c>
      <c r="B312" s="191" t="s">
        <v>300</v>
      </c>
      <c r="C312" s="191" t="s">
        <v>301</v>
      </c>
      <c r="D312" s="192">
        <v>34151</v>
      </c>
      <c r="E312" s="14" t="s">
        <v>1495</v>
      </c>
      <c r="F312" s="184">
        <v>52</v>
      </c>
      <c r="G312" s="14">
        <v>0</v>
      </c>
      <c r="H312" s="14"/>
      <c r="I312" s="184">
        <v>0</v>
      </c>
      <c r="J312" s="14" t="s">
        <v>100</v>
      </c>
      <c r="K312" s="14"/>
      <c r="L312" s="85"/>
      <c r="M312" s="85"/>
      <c r="N312" s="85"/>
      <c r="O312" s="85"/>
      <c r="P312" s="85"/>
      <c r="Q312" s="85"/>
      <c r="R312" s="85"/>
      <c r="S312" s="85"/>
      <c r="T312" s="85"/>
      <c r="U312" s="85"/>
      <c r="V312" s="85"/>
      <c r="W312" s="85"/>
      <c r="X312" s="85"/>
      <c r="Y312" s="85"/>
      <c r="Z312" s="85"/>
    </row>
    <row r="313" spans="1:26" ht="15.75" customHeight="1">
      <c r="A313" s="191">
        <v>49</v>
      </c>
      <c r="B313" s="191" t="s">
        <v>300</v>
      </c>
      <c r="C313" s="191" t="s">
        <v>301</v>
      </c>
      <c r="D313" s="192">
        <v>34151</v>
      </c>
      <c r="E313" s="14" t="s">
        <v>1496</v>
      </c>
      <c r="F313" s="184">
        <v>36</v>
      </c>
      <c r="G313" s="14">
        <v>0</v>
      </c>
      <c r="H313" s="184">
        <v>0</v>
      </c>
      <c r="I313" s="14">
        <v>0</v>
      </c>
      <c r="J313" s="14" t="s">
        <v>100</v>
      </c>
      <c r="K313" s="14"/>
      <c r="L313" s="85"/>
      <c r="M313" s="85"/>
      <c r="N313" s="85"/>
      <c r="O313" s="85"/>
      <c r="P313" s="85"/>
      <c r="Q313" s="85"/>
      <c r="R313" s="85"/>
      <c r="S313" s="85"/>
      <c r="T313" s="85"/>
      <c r="U313" s="85"/>
      <c r="V313" s="85"/>
      <c r="W313" s="85"/>
      <c r="X313" s="85"/>
      <c r="Y313" s="85"/>
      <c r="Z313" s="85"/>
    </row>
    <row r="314" spans="1:26" ht="15.75" customHeight="1">
      <c r="A314" s="191">
        <v>49</v>
      </c>
      <c r="B314" s="191" t="s">
        <v>300</v>
      </c>
      <c r="C314" s="191" t="s">
        <v>301</v>
      </c>
      <c r="D314" s="192">
        <v>34151</v>
      </c>
      <c r="E314" s="14" t="s">
        <v>1497</v>
      </c>
      <c r="F314" s="184">
        <v>33</v>
      </c>
      <c r="G314" s="14">
        <v>1</v>
      </c>
      <c r="H314" s="14"/>
      <c r="I314" s="184">
        <v>0</v>
      </c>
      <c r="J314" s="14" t="s">
        <v>100</v>
      </c>
      <c r="K314" s="14"/>
      <c r="L314" s="85"/>
      <c r="M314" s="85"/>
      <c r="N314" s="85"/>
      <c r="O314" s="85"/>
      <c r="P314" s="85"/>
      <c r="Q314" s="85"/>
      <c r="R314" s="85"/>
      <c r="S314" s="85"/>
      <c r="T314" s="85"/>
      <c r="U314" s="85"/>
      <c r="V314" s="85"/>
      <c r="W314" s="85"/>
      <c r="X314" s="85"/>
      <c r="Y314" s="85"/>
      <c r="Z314" s="85"/>
    </row>
    <row r="315" spans="1:26" ht="15.75" customHeight="1">
      <c r="A315" s="191">
        <v>49</v>
      </c>
      <c r="B315" s="191" t="s">
        <v>300</v>
      </c>
      <c r="C315" s="191" t="s">
        <v>301</v>
      </c>
      <c r="D315" s="192">
        <v>34151</v>
      </c>
      <c r="E315" s="14" t="s">
        <v>1498</v>
      </c>
      <c r="F315" s="184">
        <v>48</v>
      </c>
      <c r="G315" s="14">
        <v>0</v>
      </c>
      <c r="H315" s="184">
        <v>0</v>
      </c>
      <c r="I315" s="184">
        <v>0</v>
      </c>
      <c r="J315" s="14" t="s">
        <v>100</v>
      </c>
      <c r="K315" s="14"/>
      <c r="L315" s="85"/>
      <c r="M315" s="85"/>
      <c r="N315" s="85"/>
      <c r="O315" s="85"/>
      <c r="P315" s="85"/>
      <c r="Q315" s="85"/>
      <c r="R315" s="85"/>
      <c r="S315" s="85"/>
      <c r="T315" s="85"/>
      <c r="U315" s="85"/>
      <c r="V315" s="85"/>
      <c r="W315" s="85"/>
      <c r="X315" s="85"/>
      <c r="Y315" s="85"/>
      <c r="Z315" s="85"/>
    </row>
    <row r="316" spans="1:26" ht="15.75" customHeight="1">
      <c r="A316" s="191">
        <v>49</v>
      </c>
      <c r="B316" s="191" t="s">
        <v>300</v>
      </c>
      <c r="C316" s="191" t="s">
        <v>301</v>
      </c>
      <c r="D316" s="192">
        <v>34151</v>
      </c>
      <c r="E316" s="14" t="s">
        <v>1499</v>
      </c>
      <c r="F316" s="184">
        <v>64</v>
      </c>
      <c r="G316" s="14">
        <v>1</v>
      </c>
      <c r="H316" s="184">
        <v>0</v>
      </c>
      <c r="I316" s="184">
        <v>0</v>
      </c>
      <c r="J316" s="14" t="s">
        <v>100</v>
      </c>
      <c r="K316" s="14"/>
      <c r="L316" s="85"/>
      <c r="M316" s="85"/>
      <c r="N316" s="85"/>
      <c r="O316" s="85"/>
      <c r="P316" s="85"/>
      <c r="Q316" s="85"/>
      <c r="R316" s="85"/>
      <c r="S316" s="85"/>
      <c r="T316" s="85"/>
      <c r="U316" s="85"/>
      <c r="V316" s="85"/>
      <c r="W316" s="85"/>
      <c r="X316" s="85"/>
      <c r="Y316" s="85"/>
      <c r="Z316" s="85"/>
    </row>
    <row r="317" spans="1:26" ht="15.75" customHeight="1">
      <c r="A317" s="191">
        <v>49</v>
      </c>
      <c r="B317" s="191" t="s">
        <v>300</v>
      </c>
      <c r="C317" s="191" t="s">
        <v>301</v>
      </c>
      <c r="D317" s="192">
        <v>34151</v>
      </c>
      <c r="E317" s="14" t="s">
        <v>1500</v>
      </c>
      <c r="F317" s="184">
        <v>28</v>
      </c>
      <c r="G317" s="14">
        <v>0</v>
      </c>
      <c r="H317" s="184">
        <v>0</v>
      </c>
      <c r="I317" s="184">
        <v>0</v>
      </c>
      <c r="J317" s="14" t="s">
        <v>100</v>
      </c>
      <c r="K317" s="14"/>
      <c r="L317" s="85"/>
      <c r="M317" s="85"/>
      <c r="N317" s="85"/>
      <c r="O317" s="85"/>
      <c r="P317" s="85"/>
      <c r="Q317" s="85"/>
      <c r="R317" s="85"/>
      <c r="S317" s="85"/>
      <c r="T317" s="85"/>
      <c r="U317" s="85"/>
      <c r="V317" s="85"/>
      <c r="W317" s="85"/>
      <c r="X317" s="85"/>
      <c r="Y317" s="85"/>
      <c r="Z317" s="85"/>
    </row>
    <row r="318" spans="1:26" ht="15.75" customHeight="1">
      <c r="A318" s="191">
        <v>49</v>
      </c>
      <c r="B318" s="191" t="s">
        <v>300</v>
      </c>
      <c r="C318" s="191" t="s">
        <v>301</v>
      </c>
      <c r="D318" s="192">
        <v>34151</v>
      </c>
      <c r="E318" s="14" t="s">
        <v>1501</v>
      </c>
      <c r="F318" s="184">
        <v>30</v>
      </c>
      <c r="G318" s="14">
        <v>1</v>
      </c>
      <c r="H318" s="184">
        <v>0</v>
      </c>
      <c r="I318" s="14">
        <v>0</v>
      </c>
      <c r="J318" s="14" t="s">
        <v>100</v>
      </c>
      <c r="K318" s="14"/>
      <c r="L318" s="85"/>
      <c r="M318" s="85"/>
      <c r="N318" s="85"/>
      <c r="O318" s="85"/>
      <c r="P318" s="85"/>
      <c r="Q318" s="85"/>
      <c r="R318" s="85"/>
      <c r="S318" s="85"/>
      <c r="T318" s="85"/>
      <c r="U318" s="85"/>
      <c r="V318" s="85"/>
      <c r="W318" s="85"/>
      <c r="X318" s="85"/>
      <c r="Y318" s="85"/>
      <c r="Z318" s="85"/>
    </row>
    <row r="319" spans="1:26" ht="15.75" customHeight="1">
      <c r="A319" s="191">
        <v>49</v>
      </c>
      <c r="B319" s="191" t="s">
        <v>300</v>
      </c>
      <c r="C319" s="191" t="s">
        <v>301</v>
      </c>
      <c r="D319" s="192">
        <v>34151</v>
      </c>
      <c r="E319" s="14" t="s">
        <v>1502</v>
      </c>
      <c r="F319" s="184">
        <v>30</v>
      </c>
      <c r="G319" s="14">
        <v>0</v>
      </c>
      <c r="H319" s="184">
        <v>0</v>
      </c>
      <c r="I319" s="184">
        <v>0</v>
      </c>
      <c r="J319" s="14" t="s">
        <v>100</v>
      </c>
      <c r="K319" s="14"/>
      <c r="L319" s="85"/>
      <c r="M319" s="85"/>
      <c r="N319" s="85"/>
      <c r="O319" s="85"/>
      <c r="P319" s="85"/>
      <c r="Q319" s="85"/>
      <c r="R319" s="85"/>
      <c r="S319" s="85"/>
      <c r="T319" s="85"/>
      <c r="U319" s="85"/>
      <c r="V319" s="85"/>
      <c r="W319" s="85"/>
      <c r="X319" s="85"/>
      <c r="Y319" s="85"/>
      <c r="Z319" s="85"/>
    </row>
    <row r="320" spans="1:26" ht="15.75" customHeight="1">
      <c r="A320" s="199">
        <v>50</v>
      </c>
      <c r="B320" s="199" t="s">
        <v>305</v>
      </c>
      <c r="C320" s="199" t="s">
        <v>306</v>
      </c>
      <c r="D320" s="200">
        <v>34187</v>
      </c>
      <c r="E320" s="14" t="s">
        <v>1503</v>
      </c>
      <c r="F320" s="184">
        <v>26</v>
      </c>
      <c r="G320" s="14">
        <v>0</v>
      </c>
      <c r="H320" s="184">
        <v>0</v>
      </c>
      <c r="I320" s="14">
        <v>0</v>
      </c>
      <c r="J320" s="14" t="s">
        <v>100</v>
      </c>
      <c r="K320" s="14"/>
      <c r="L320" s="85"/>
      <c r="M320" s="85"/>
      <c r="N320" s="85"/>
      <c r="O320" s="85"/>
      <c r="P320" s="85"/>
      <c r="Q320" s="85"/>
      <c r="R320" s="85"/>
      <c r="S320" s="85"/>
      <c r="T320" s="85"/>
      <c r="U320" s="85"/>
      <c r="V320" s="85"/>
      <c r="W320" s="85"/>
      <c r="X320" s="85"/>
      <c r="Y320" s="85"/>
      <c r="Z320" s="85"/>
    </row>
    <row r="321" spans="1:26" ht="15.75" customHeight="1">
      <c r="A321" s="199">
        <v>50</v>
      </c>
      <c r="B321" s="199" t="s">
        <v>305</v>
      </c>
      <c r="C321" s="199" t="s">
        <v>306</v>
      </c>
      <c r="D321" s="200">
        <v>34187</v>
      </c>
      <c r="E321" s="14" t="s">
        <v>1504</v>
      </c>
      <c r="F321" s="184">
        <v>46</v>
      </c>
      <c r="G321" s="14">
        <v>0</v>
      </c>
      <c r="H321" s="184">
        <v>0</v>
      </c>
      <c r="I321" s="14">
        <v>0</v>
      </c>
      <c r="J321" s="14" t="s">
        <v>100</v>
      </c>
      <c r="K321" s="14"/>
      <c r="L321" s="85"/>
      <c r="M321" s="85"/>
      <c r="N321" s="85"/>
      <c r="O321" s="85"/>
      <c r="P321" s="85"/>
      <c r="Q321" s="85"/>
      <c r="R321" s="85"/>
      <c r="S321" s="85"/>
      <c r="T321" s="85"/>
      <c r="U321" s="85"/>
      <c r="V321" s="85"/>
      <c r="W321" s="85"/>
      <c r="X321" s="85"/>
      <c r="Y321" s="85"/>
      <c r="Z321" s="85"/>
    </row>
    <row r="322" spans="1:26" ht="15.75" customHeight="1">
      <c r="A322" s="199">
        <v>50</v>
      </c>
      <c r="B322" s="199" t="s">
        <v>305</v>
      </c>
      <c r="C322" s="199" t="s">
        <v>306</v>
      </c>
      <c r="D322" s="200">
        <v>34187</v>
      </c>
      <c r="E322" s="14" t="s">
        <v>1505</v>
      </c>
      <c r="F322" s="184">
        <v>65</v>
      </c>
      <c r="G322" s="14">
        <v>1</v>
      </c>
      <c r="H322" s="184" t="str">
        <f>HYPERLINK("https://www.findagrave.com/memorial/91558602/ethel-contos-parrous","0")</f>
        <v>0</v>
      </c>
      <c r="I322" s="14">
        <v>0</v>
      </c>
      <c r="J322" s="14" t="s">
        <v>100</v>
      </c>
      <c r="K322" s="14"/>
      <c r="L322" s="85"/>
      <c r="M322" s="85"/>
      <c r="N322" s="85"/>
      <c r="O322" s="85"/>
      <c r="P322" s="85"/>
      <c r="Q322" s="85"/>
      <c r="R322" s="85"/>
      <c r="S322" s="85"/>
      <c r="T322" s="85"/>
      <c r="U322" s="85"/>
      <c r="V322" s="85"/>
      <c r="W322" s="85"/>
      <c r="X322" s="85"/>
      <c r="Y322" s="85"/>
      <c r="Z322" s="85"/>
    </row>
    <row r="323" spans="1:26" ht="15.75" customHeight="1">
      <c r="A323" s="199">
        <v>50</v>
      </c>
      <c r="B323" s="199" t="s">
        <v>305</v>
      </c>
      <c r="C323" s="199" t="s">
        <v>306</v>
      </c>
      <c r="D323" s="200">
        <v>34187</v>
      </c>
      <c r="E323" s="14" t="s">
        <v>1506</v>
      </c>
      <c r="F323" s="184">
        <v>73</v>
      </c>
      <c r="G323" s="14">
        <v>0</v>
      </c>
      <c r="H323" s="184" t="str">
        <f>HYPERLINK("https://www.findagrave.com/memorial/91558592/peter-nicholas-parrous","0")</f>
        <v>0</v>
      </c>
      <c r="I323" s="14">
        <v>0</v>
      </c>
      <c r="J323" s="14" t="s">
        <v>100</v>
      </c>
      <c r="K323" s="14"/>
      <c r="L323" s="85"/>
      <c r="M323" s="85"/>
      <c r="N323" s="85"/>
      <c r="O323" s="85"/>
      <c r="P323" s="85"/>
      <c r="Q323" s="85"/>
      <c r="R323" s="85"/>
      <c r="S323" s="85"/>
      <c r="T323" s="85"/>
      <c r="U323" s="85"/>
      <c r="V323" s="85"/>
      <c r="W323" s="85"/>
      <c r="X323" s="85"/>
      <c r="Y323" s="85"/>
      <c r="Z323" s="85"/>
    </row>
    <row r="324" spans="1:26" ht="15.75" customHeight="1">
      <c r="A324" s="193">
        <v>51</v>
      </c>
      <c r="B324" s="193" t="s">
        <v>309</v>
      </c>
      <c r="C324" s="193" t="s">
        <v>221</v>
      </c>
      <c r="D324" s="194">
        <v>34256</v>
      </c>
      <c r="E324" s="14" t="s">
        <v>1507</v>
      </c>
      <c r="F324" s="184">
        <v>31</v>
      </c>
      <c r="G324" s="14">
        <v>1</v>
      </c>
      <c r="H324" s="14"/>
      <c r="I324" s="14">
        <v>0</v>
      </c>
      <c r="J324" s="14" t="s">
        <v>100</v>
      </c>
      <c r="K324" s="14"/>
      <c r="L324" s="85"/>
      <c r="M324" s="85"/>
      <c r="N324" s="85"/>
      <c r="O324" s="85"/>
      <c r="P324" s="85"/>
      <c r="Q324" s="85"/>
      <c r="R324" s="85"/>
      <c r="S324" s="85"/>
      <c r="T324" s="85"/>
      <c r="U324" s="85"/>
      <c r="V324" s="85"/>
      <c r="W324" s="85"/>
      <c r="X324" s="85"/>
      <c r="Y324" s="85"/>
      <c r="Z324" s="85"/>
    </row>
    <row r="325" spans="1:26" ht="15.75" customHeight="1">
      <c r="A325" s="193">
        <v>51</v>
      </c>
      <c r="B325" s="193" t="s">
        <v>309</v>
      </c>
      <c r="C325" s="193" t="s">
        <v>221</v>
      </c>
      <c r="D325" s="194">
        <v>34256</v>
      </c>
      <c r="E325" s="14" t="s">
        <v>1508</v>
      </c>
      <c r="F325" s="184">
        <v>19</v>
      </c>
      <c r="G325" s="14"/>
      <c r="H325" s="14">
        <v>3</v>
      </c>
      <c r="I325" s="14">
        <v>0</v>
      </c>
      <c r="J325" s="14" t="s">
        <v>100</v>
      </c>
      <c r="K325" s="14"/>
      <c r="L325" s="85"/>
      <c r="M325" s="85"/>
      <c r="N325" s="85"/>
      <c r="O325" s="85"/>
      <c r="P325" s="85"/>
      <c r="Q325" s="85"/>
      <c r="R325" s="85"/>
      <c r="S325" s="85"/>
      <c r="T325" s="85"/>
      <c r="U325" s="85"/>
      <c r="V325" s="85"/>
      <c r="W325" s="85"/>
      <c r="X325" s="85"/>
      <c r="Y325" s="85"/>
      <c r="Z325" s="85"/>
    </row>
    <row r="326" spans="1:26" ht="15.75" customHeight="1">
      <c r="A326" s="193">
        <v>51</v>
      </c>
      <c r="B326" s="193" t="s">
        <v>309</v>
      </c>
      <c r="C326" s="193" t="s">
        <v>221</v>
      </c>
      <c r="D326" s="194">
        <v>34256</v>
      </c>
      <c r="E326" s="14" t="s">
        <v>1509</v>
      </c>
      <c r="F326" s="184">
        <v>36</v>
      </c>
      <c r="G326" s="14">
        <v>1</v>
      </c>
      <c r="H326" s="14"/>
      <c r="I326" s="14">
        <v>0</v>
      </c>
      <c r="J326" s="14" t="s">
        <v>100</v>
      </c>
      <c r="K326" s="14"/>
      <c r="L326" s="85"/>
      <c r="M326" s="85"/>
      <c r="N326" s="85"/>
      <c r="O326" s="85"/>
      <c r="P326" s="85"/>
      <c r="Q326" s="85"/>
      <c r="R326" s="85"/>
      <c r="S326" s="85"/>
      <c r="T326" s="85"/>
      <c r="U326" s="85"/>
      <c r="V326" s="85"/>
      <c r="W326" s="85"/>
      <c r="X326" s="85"/>
      <c r="Y326" s="85"/>
      <c r="Z326" s="85"/>
    </row>
    <row r="327" spans="1:26" ht="15.75" customHeight="1">
      <c r="A327" s="193">
        <v>51</v>
      </c>
      <c r="B327" s="193" t="s">
        <v>309</v>
      </c>
      <c r="C327" s="193" t="s">
        <v>221</v>
      </c>
      <c r="D327" s="194">
        <v>34256</v>
      </c>
      <c r="E327" s="14" t="s">
        <v>1510</v>
      </c>
      <c r="F327" s="184">
        <v>37</v>
      </c>
      <c r="G327" s="14">
        <v>0</v>
      </c>
      <c r="H327" s="14"/>
      <c r="I327" s="14">
        <v>0</v>
      </c>
      <c r="J327" s="14" t="s">
        <v>100</v>
      </c>
      <c r="K327" s="14"/>
      <c r="L327" s="85"/>
      <c r="M327" s="85"/>
      <c r="N327" s="85"/>
      <c r="O327" s="85"/>
      <c r="P327" s="85"/>
      <c r="Q327" s="85"/>
      <c r="R327" s="85"/>
      <c r="S327" s="85"/>
      <c r="T327" s="85"/>
      <c r="U327" s="85"/>
      <c r="V327" s="85"/>
      <c r="W327" s="85"/>
      <c r="X327" s="85"/>
      <c r="Y327" s="85"/>
      <c r="Z327" s="85"/>
    </row>
    <row r="328" spans="1:26" ht="15.75" customHeight="1">
      <c r="A328" s="195">
        <v>52</v>
      </c>
      <c r="B328" s="195" t="s">
        <v>312</v>
      </c>
      <c r="C328" s="195" t="s">
        <v>313</v>
      </c>
      <c r="D328" s="196">
        <v>34305</v>
      </c>
      <c r="E328" s="184" t="s">
        <v>1511</v>
      </c>
      <c r="F328" s="184">
        <v>65</v>
      </c>
      <c r="G328" s="14">
        <v>0</v>
      </c>
      <c r="H328" s="14"/>
      <c r="I328" s="14">
        <v>0</v>
      </c>
      <c r="J328" s="185" t="s">
        <v>100</v>
      </c>
      <c r="K328" s="14"/>
      <c r="L328" s="85"/>
      <c r="M328" s="85"/>
      <c r="N328" s="85"/>
      <c r="O328" s="85"/>
      <c r="P328" s="85"/>
      <c r="Q328" s="85"/>
      <c r="R328" s="85"/>
      <c r="S328" s="85"/>
      <c r="T328" s="85"/>
      <c r="U328" s="85"/>
      <c r="V328" s="85"/>
      <c r="W328" s="85"/>
      <c r="X328" s="85"/>
      <c r="Y328" s="85"/>
      <c r="Z328" s="85"/>
    </row>
    <row r="329" spans="1:26" ht="15.75" customHeight="1">
      <c r="A329" s="195">
        <v>52</v>
      </c>
      <c r="B329" s="195" t="s">
        <v>312</v>
      </c>
      <c r="C329" s="195" t="s">
        <v>313</v>
      </c>
      <c r="D329" s="196">
        <v>34305</v>
      </c>
      <c r="E329" s="14" t="s">
        <v>1512</v>
      </c>
      <c r="F329" s="184">
        <v>35</v>
      </c>
      <c r="G329" s="14">
        <v>0</v>
      </c>
      <c r="H329" s="184" t="str">
        <f>HYPERLINK("https://www.findagrave.com/memorial/11419218/james-edward-o_brien","0")</f>
        <v>0</v>
      </c>
      <c r="I329" s="14">
        <v>0</v>
      </c>
      <c r="J329" s="14" t="s">
        <v>100</v>
      </c>
      <c r="K329" s="14"/>
      <c r="L329" s="85"/>
      <c r="M329" s="85"/>
      <c r="N329" s="85"/>
      <c r="O329" s="85"/>
      <c r="P329" s="85"/>
      <c r="Q329" s="85"/>
      <c r="R329" s="85"/>
      <c r="S329" s="85"/>
      <c r="T329" s="85"/>
      <c r="U329" s="85"/>
      <c r="V329" s="85"/>
      <c r="W329" s="85"/>
      <c r="X329" s="85"/>
      <c r="Y329" s="85"/>
      <c r="Z329" s="85"/>
    </row>
    <row r="330" spans="1:26" ht="15.75" customHeight="1">
      <c r="A330" s="195">
        <v>52</v>
      </c>
      <c r="B330" s="195" t="s">
        <v>312</v>
      </c>
      <c r="C330" s="195" t="s">
        <v>313</v>
      </c>
      <c r="D330" s="196">
        <v>34305</v>
      </c>
      <c r="E330" s="14" t="s">
        <v>1513</v>
      </c>
      <c r="F330" s="184">
        <v>42</v>
      </c>
      <c r="G330" s="14">
        <v>1</v>
      </c>
      <c r="H330" s="184">
        <v>2</v>
      </c>
      <c r="I330" s="184">
        <v>2</v>
      </c>
      <c r="J330" s="185" t="s">
        <v>1514</v>
      </c>
      <c r="K330" s="14"/>
      <c r="L330" s="85"/>
      <c r="M330" s="85"/>
      <c r="N330" s="85"/>
      <c r="O330" s="85"/>
      <c r="P330" s="85"/>
      <c r="Q330" s="85"/>
      <c r="R330" s="85"/>
      <c r="S330" s="85"/>
      <c r="T330" s="85"/>
      <c r="U330" s="85"/>
      <c r="V330" s="85"/>
      <c r="W330" s="85"/>
      <c r="X330" s="85"/>
      <c r="Y330" s="85"/>
      <c r="Z330" s="85"/>
    </row>
    <row r="331" spans="1:26" ht="15.75" customHeight="1">
      <c r="A331" s="195">
        <v>52</v>
      </c>
      <c r="B331" s="195" t="s">
        <v>312</v>
      </c>
      <c r="C331" s="195" t="s">
        <v>313</v>
      </c>
      <c r="D331" s="196">
        <v>34305</v>
      </c>
      <c r="E331" s="14" t="s">
        <v>1515</v>
      </c>
      <c r="F331" s="184">
        <v>43</v>
      </c>
      <c r="G331" s="14">
        <v>0</v>
      </c>
      <c r="H331" s="184">
        <v>2</v>
      </c>
      <c r="I331" s="184">
        <v>2</v>
      </c>
      <c r="J331" s="14" t="s">
        <v>1516</v>
      </c>
      <c r="K331" s="14"/>
      <c r="L331" s="85"/>
      <c r="M331" s="85"/>
      <c r="N331" s="85"/>
      <c r="O331" s="85"/>
      <c r="P331" s="85"/>
      <c r="Q331" s="85"/>
      <c r="R331" s="85"/>
      <c r="S331" s="85"/>
      <c r="T331" s="85"/>
      <c r="U331" s="85"/>
      <c r="V331" s="85"/>
      <c r="W331" s="85"/>
      <c r="X331" s="85"/>
      <c r="Y331" s="85"/>
      <c r="Z331" s="85"/>
    </row>
    <row r="332" spans="1:26" ht="15.75" customHeight="1">
      <c r="A332" s="197">
        <v>53</v>
      </c>
      <c r="B332" s="197" t="s">
        <v>315</v>
      </c>
      <c r="C332" s="197" t="s">
        <v>316</v>
      </c>
      <c r="D332" s="198">
        <v>34310</v>
      </c>
      <c r="E332" s="14" t="s">
        <v>1517</v>
      </c>
      <c r="F332" s="184">
        <v>27</v>
      </c>
      <c r="G332" s="14">
        <v>1</v>
      </c>
      <c r="H332" s="184" t="str">
        <f>HYPERLINK("https://www.findagrave.com/memorial/36253256/amy-federici","0")</f>
        <v>0</v>
      </c>
      <c r="I332" s="14">
        <v>0</v>
      </c>
      <c r="J332" s="14" t="s">
        <v>100</v>
      </c>
      <c r="K332" s="14"/>
      <c r="L332" s="85"/>
      <c r="M332" s="85"/>
      <c r="N332" s="85"/>
      <c r="O332" s="85"/>
      <c r="P332" s="85"/>
      <c r="Q332" s="85"/>
      <c r="R332" s="85"/>
      <c r="S332" s="85"/>
      <c r="T332" s="85"/>
      <c r="U332" s="85"/>
      <c r="V332" s="85"/>
      <c r="W332" s="85"/>
      <c r="X332" s="85"/>
      <c r="Y332" s="85"/>
      <c r="Z332" s="85"/>
    </row>
    <row r="333" spans="1:26" ht="15.75" customHeight="1">
      <c r="A333" s="197">
        <v>53</v>
      </c>
      <c r="B333" s="197" t="s">
        <v>315</v>
      </c>
      <c r="C333" s="197" t="s">
        <v>316</v>
      </c>
      <c r="D333" s="198">
        <v>34310</v>
      </c>
      <c r="E333" s="14" t="s">
        <v>1518</v>
      </c>
      <c r="F333" s="184">
        <v>51</v>
      </c>
      <c r="G333" s="14">
        <v>0</v>
      </c>
      <c r="H333" s="14">
        <v>0</v>
      </c>
      <c r="I333" s="14">
        <v>0</v>
      </c>
      <c r="J333" s="14" t="s">
        <v>100</v>
      </c>
      <c r="K333" s="14"/>
      <c r="L333" s="85"/>
      <c r="M333" s="85"/>
      <c r="N333" s="85"/>
      <c r="O333" s="85"/>
      <c r="P333" s="85"/>
      <c r="Q333" s="85"/>
      <c r="R333" s="85"/>
      <c r="S333" s="85"/>
      <c r="T333" s="85"/>
      <c r="U333" s="85"/>
      <c r="V333" s="85"/>
      <c r="W333" s="85"/>
      <c r="X333" s="85"/>
      <c r="Y333" s="85"/>
      <c r="Z333" s="85"/>
    </row>
    <row r="334" spans="1:26" ht="15.75" customHeight="1">
      <c r="A334" s="197">
        <v>53</v>
      </c>
      <c r="B334" s="197" t="s">
        <v>315</v>
      </c>
      <c r="C334" s="197" t="s">
        <v>316</v>
      </c>
      <c r="D334" s="198">
        <v>34310</v>
      </c>
      <c r="E334" s="14" t="s">
        <v>1519</v>
      </c>
      <c r="F334" s="184">
        <v>27</v>
      </c>
      <c r="G334" s="184">
        <v>1</v>
      </c>
      <c r="H334" s="184" t="str">
        <f>HYPERLINK("https://www.findagrave.com/memorial/171465812/mi-kyung-kim","3")</f>
        <v>3</v>
      </c>
      <c r="I334" s="14">
        <v>0</v>
      </c>
      <c r="J334" s="14" t="s">
        <v>100</v>
      </c>
      <c r="K334" s="14"/>
      <c r="L334" s="85"/>
      <c r="M334" s="85"/>
      <c r="N334" s="85"/>
      <c r="O334" s="85"/>
      <c r="P334" s="85"/>
      <c r="Q334" s="85"/>
      <c r="R334" s="85"/>
      <c r="S334" s="85"/>
      <c r="T334" s="85"/>
      <c r="U334" s="85"/>
      <c r="V334" s="85"/>
      <c r="W334" s="85"/>
      <c r="X334" s="85"/>
      <c r="Y334" s="85"/>
      <c r="Z334" s="85"/>
    </row>
    <row r="335" spans="1:26" ht="15.75" customHeight="1">
      <c r="A335" s="197">
        <v>53</v>
      </c>
      <c r="B335" s="197" t="s">
        <v>315</v>
      </c>
      <c r="C335" s="197" t="s">
        <v>316</v>
      </c>
      <c r="D335" s="198">
        <v>34310</v>
      </c>
      <c r="E335" s="14" t="s">
        <v>1520</v>
      </c>
      <c r="F335" s="184">
        <v>30</v>
      </c>
      <c r="G335" s="14">
        <v>1</v>
      </c>
      <c r="H335" s="184">
        <v>2</v>
      </c>
      <c r="I335" s="14">
        <v>0</v>
      </c>
      <c r="J335" s="14" t="s">
        <v>100</v>
      </c>
      <c r="K335" s="14"/>
      <c r="L335" s="85"/>
      <c r="M335" s="85"/>
      <c r="N335" s="85"/>
      <c r="O335" s="85"/>
      <c r="P335" s="85"/>
      <c r="Q335" s="85"/>
      <c r="R335" s="85"/>
      <c r="S335" s="85"/>
      <c r="T335" s="85"/>
      <c r="U335" s="85"/>
      <c r="V335" s="85"/>
      <c r="W335" s="85"/>
      <c r="X335" s="85"/>
      <c r="Y335" s="85"/>
      <c r="Z335" s="85"/>
    </row>
    <row r="336" spans="1:26" ht="15.75" customHeight="1">
      <c r="A336" s="197">
        <v>53</v>
      </c>
      <c r="B336" s="197" t="s">
        <v>315</v>
      </c>
      <c r="C336" s="197" t="s">
        <v>316</v>
      </c>
      <c r="D336" s="198">
        <v>34310</v>
      </c>
      <c r="E336" s="14" t="s">
        <v>1521</v>
      </c>
      <c r="F336" s="184">
        <v>52</v>
      </c>
      <c r="G336" s="14">
        <v>0</v>
      </c>
      <c r="H336" s="14"/>
      <c r="I336" s="14">
        <v>0</v>
      </c>
      <c r="J336" s="14" t="s">
        <v>100</v>
      </c>
      <c r="K336" s="14"/>
      <c r="L336" s="85"/>
      <c r="M336" s="85"/>
      <c r="N336" s="85"/>
      <c r="O336" s="85"/>
      <c r="P336" s="85"/>
      <c r="Q336" s="85"/>
      <c r="R336" s="85"/>
      <c r="S336" s="85"/>
      <c r="T336" s="85"/>
      <c r="U336" s="85"/>
      <c r="V336" s="85"/>
      <c r="W336" s="85"/>
      <c r="X336" s="85"/>
      <c r="Y336" s="85"/>
      <c r="Z336" s="85"/>
    </row>
    <row r="337" spans="1:26" ht="15.75" customHeight="1">
      <c r="A337" s="197">
        <v>53</v>
      </c>
      <c r="B337" s="197" t="s">
        <v>315</v>
      </c>
      <c r="C337" s="197" t="s">
        <v>316</v>
      </c>
      <c r="D337" s="198">
        <v>34310</v>
      </c>
      <c r="E337" s="184" t="s">
        <v>1522</v>
      </c>
      <c r="F337" s="184">
        <v>24</v>
      </c>
      <c r="G337" s="14">
        <v>0</v>
      </c>
      <c r="H337" s="14"/>
      <c r="I337" s="14">
        <v>0</v>
      </c>
      <c r="J337" s="14" t="s">
        <v>100</v>
      </c>
      <c r="K337" s="14"/>
      <c r="L337" s="85"/>
      <c r="M337" s="85"/>
      <c r="N337" s="85"/>
      <c r="O337" s="85"/>
      <c r="P337" s="85"/>
      <c r="Q337" s="85"/>
      <c r="R337" s="85"/>
      <c r="S337" s="85"/>
      <c r="T337" s="85"/>
      <c r="U337" s="85"/>
      <c r="V337" s="85"/>
      <c r="W337" s="85"/>
      <c r="X337" s="85"/>
      <c r="Y337" s="85"/>
      <c r="Z337" s="85"/>
    </row>
    <row r="338" spans="1:26" ht="15.75" customHeight="1">
      <c r="A338" s="207">
        <v>54</v>
      </c>
      <c r="B338" s="207" t="s">
        <v>318</v>
      </c>
      <c r="C338" s="207" t="s">
        <v>319</v>
      </c>
      <c r="D338" s="208">
        <v>34317</v>
      </c>
      <c r="E338" s="14" t="s">
        <v>1523</v>
      </c>
      <c r="F338" s="184">
        <v>19</v>
      </c>
      <c r="G338" s="14">
        <v>1</v>
      </c>
      <c r="H338" s="184">
        <v>0</v>
      </c>
      <c r="I338" s="14">
        <v>1</v>
      </c>
      <c r="J338" s="14" t="s">
        <v>1384</v>
      </c>
      <c r="K338" s="14"/>
      <c r="L338" s="85"/>
      <c r="M338" s="85"/>
      <c r="N338" s="85"/>
      <c r="O338" s="85"/>
      <c r="P338" s="85"/>
      <c r="Q338" s="85"/>
      <c r="R338" s="85"/>
      <c r="S338" s="85"/>
      <c r="T338" s="85"/>
      <c r="U338" s="85"/>
      <c r="V338" s="85"/>
      <c r="W338" s="85"/>
      <c r="X338" s="85"/>
      <c r="Y338" s="85"/>
      <c r="Z338" s="85"/>
    </row>
    <row r="339" spans="1:26" ht="15.75" customHeight="1">
      <c r="A339" s="207">
        <v>54</v>
      </c>
      <c r="B339" s="207" t="s">
        <v>318</v>
      </c>
      <c r="C339" s="207" t="s">
        <v>319</v>
      </c>
      <c r="D339" s="208">
        <v>34317</v>
      </c>
      <c r="E339" s="14" t="s">
        <v>1524</v>
      </c>
      <c r="F339" s="184">
        <v>17</v>
      </c>
      <c r="G339" s="14">
        <v>0</v>
      </c>
      <c r="H339" s="184">
        <v>0</v>
      </c>
      <c r="I339" s="14">
        <v>1</v>
      </c>
      <c r="J339" s="14" t="s">
        <v>1384</v>
      </c>
      <c r="K339" s="14"/>
      <c r="L339" s="85"/>
      <c r="M339" s="85"/>
      <c r="N339" s="85"/>
      <c r="O339" s="85"/>
      <c r="P339" s="85"/>
      <c r="Q339" s="85"/>
      <c r="R339" s="85"/>
      <c r="S339" s="85"/>
      <c r="T339" s="85"/>
      <c r="U339" s="85"/>
      <c r="V339" s="85"/>
      <c r="W339" s="85"/>
      <c r="X339" s="85"/>
      <c r="Y339" s="85"/>
      <c r="Z339" s="85"/>
    </row>
    <row r="340" spans="1:26" ht="15.75" customHeight="1">
      <c r="A340" s="207">
        <v>54</v>
      </c>
      <c r="B340" s="207" t="s">
        <v>318</v>
      </c>
      <c r="C340" s="207" t="s">
        <v>319</v>
      </c>
      <c r="D340" s="208">
        <v>34317</v>
      </c>
      <c r="E340" s="14" t="s">
        <v>1525</v>
      </c>
      <c r="F340" s="184">
        <v>50</v>
      </c>
      <c r="G340" s="14">
        <v>1</v>
      </c>
      <c r="H340" s="184">
        <v>0</v>
      </c>
      <c r="I340" s="14">
        <v>1</v>
      </c>
      <c r="J340" s="14" t="s">
        <v>1430</v>
      </c>
      <c r="K340" s="14"/>
      <c r="L340" s="85"/>
      <c r="M340" s="85"/>
      <c r="N340" s="85"/>
      <c r="O340" s="85"/>
      <c r="P340" s="85"/>
      <c r="Q340" s="85"/>
      <c r="R340" s="85"/>
      <c r="S340" s="85"/>
      <c r="T340" s="85"/>
      <c r="U340" s="85"/>
      <c r="V340" s="85"/>
      <c r="W340" s="85"/>
      <c r="X340" s="85"/>
      <c r="Y340" s="85"/>
      <c r="Z340" s="85"/>
    </row>
    <row r="341" spans="1:26" ht="15.75" customHeight="1">
      <c r="A341" s="207">
        <v>54</v>
      </c>
      <c r="B341" s="207" t="s">
        <v>318</v>
      </c>
      <c r="C341" s="207" t="s">
        <v>319</v>
      </c>
      <c r="D341" s="208">
        <v>34317</v>
      </c>
      <c r="E341" s="14" t="s">
        <v>1526</v>
      </c>
      <c r="F341" s="184">
        <v>17</v>
      </c>
      <c r="G341" s="14">
        <v>1</v>
      </c>
      <c r="H341" s="184">
        <v>0</v>
      </c>
      <c r="I341" s="14">
        <v>1</v>
      </c>
      <c r="J341" s="14" t="s">
        <v>1384</v>
      </c>
      <c r="K341" s="14"/>
      <c r="L341" s="85"/>
      <c r="M341" s="85"/>
      <c r="N341" s="85"/>
      <c r="O341" s="85"/>
      <c r="P341" s="85"/>
      <c r="Q341" s="85"/>
      <c r="R341" s="85"/>
      <c r="S341" s="85"/>
      <c r="T341" s="85"/>
      <c r="U341" s="85"/>
      <c r="V341" s="85"/>
      <c r="W341" s="85"/>
      <c r="X341" s="85"/>
      <c r="Y341" s="85"/>
      <c r="Z341" s="85"/>
    </row>
    <row r="342" spans="1:26" ht="15.75" customHeight="1">
      <c r="A342" s="195">
        <v>55</v>
      </c>
      <c r="B342" s="195" t="s">
        <v>322</v>
      </c>
      <c r="C342" s="195" t="s">
        <v>323</v>
      </c>
      <c r="D342" s="196">
        <v>34505</v>
      </c>
      <c r="E342" s="14" t="s">
        <v>1527</v>
      </c>
      <c r="F342" s="184">
        <v>31</v>
      </c>
      <c r="G342" s="14">
        <v>0</v>
      </c>
      <c r="H342" s="184">
        <v>0</v>
      </c>
      <c r="I342" s="14">
        <v>1</v>
      </c>
      <c r="J342" s="14" t="s">
        <v>1528</v>
      </c>
      <c r="K342" s="14"/>
      <c r="L342" s="85"/>
      <c r="M342" s="85"/>
      <c r="N342" s="85"/>
      <c r="O342" s="85"/>
      <c r="P342" s="85"/>
      <c r="Q342" s="85"/>
      <c r="R342" s="85"/>
      <c r="S342" s="85"/>
      <c r="T342" s="85"/>
      <c r="U342" s="85"/>
      <c r="V342" s="85"/>
      <c r="W342" s="85"/>
      <c r="X342" s="85"/>
      <c r="Y342" s="85"/>
      <c r="Z342" s="85"/>
    </row>
    <row r="343" spans="1:26" ht="15.75" customHeight="1">
      <c r="A343" s="195">
        <v>55</v>
      </c>
      <c r="B343" s="195" t="s">
        <v>322</v>
      </c>
      <c r="C343" s="195" t="s">
        <v>323</v>
      </c>
      <c r="D343" s="196">
        <v>34505</v>
      </c>
      <c r="E343" s="14" t="s">
        <v>1529</v>
      </c>
      <c r="F343" s="184">
        <v>40</v>
      </c>
      <c r="G343" s="14">
        <v>0</v>
      </c>
      <c r="H343" s="14"/>
      <c r="I343" s="14">
        <v>1</v>
      </c>
      <c r="J343" s="14" t="s">
        <v>1528</v>
      </c>
      <c r="K343" s="14"/>
      <c r="L343" s="85"/>
      <c r="M343" s="85"/>
      <c r="N343" s="85"/>
      <c r="O343" s="85"/>
      <c r="P343" s="85"/>
      <c r="Q343" s="85"/>
      <c r="R343" s="85"/>
      <c r="S343" s="85"/>
      <c r="T343" s="85"/>
      <c r="U343" s="85"/>
      <c r="V343" s="85"/>
      <c r="W343" s="85"/>
      <c r="X343" s="85"/>
      <c r="Y343" s="85"/>
      <c r="Z343" s="85"/>
    </row>
    <row r="344" spans="1:26" ht="15.75" customHeight="1">
      <c r="A344" s="195">
        <v>55</v>
      </c>
      <c r="B344" s="195" t="s">
        <v>322</v>
      </c>
      <c r="C344" s="195" t="s">
        <v>323</v>
      </c>
      <c r="D344" s="196">
        <v>34505</v>
      </c>
      <c r="E344" s="14" t="s">
        <v>1530</v>
      </c>
      <c r="F344" s="184">
        <v>8</v>
      </c>
      <c r="G344" s="14">
        <v>1</v>
      </c>
      <c r="H344" s="14"/>
      <c r="I344" s="14">
        <v>0</v>
      </c>
      <c r="J344" s="14" t="s">
        <v>100</v>
      </c>
      <c r="K344" s="14"/>
      <c r="L344" s="85"/>
      <c r="M344" s="85"/>
      <c r="N344" s="85"/>
      <c r="O344" s="85"/>
      <c r="P344" s="85"/>
      <c r="Q344" s="85"/>
      <c r="R344" s="85"/>
      <c r="S344" s="85"/>
      <c r="T344" s="85"/>
      <c r="U344" s="85"/>
      <c r="V344" s="85"/>
      <c r="W344" s="85"/>
      <c r="X344" s="85"/>
      <c r="Y344" s="85"/>
      <c r="Z344" s="85"/>
    </row>
    <row r="345" spans="1:26" ht="15.75" customHeight="1">
      <c r="A345" s="195">
        <v>55</v>
      </c>
      <c r="B345" s="195" t="s">
        <v>322</v>
      </c>
      <c r="C345" s="195" t="s">
        <v>323</v>
      </c>
      <c r="D345" s="196">
        <v>34505</v>
      </c>
      <c r="E345" s="14" t="s">
        <v>1531</v>
      </c>
      <c r="F345" s="184">
        <v>62</v>
      </c>
      <c r="G345" s="14">
        <v>1</v>
      </c>
      <c r="H345" s="184">
        <v>0</v>
      </c>
      <c r="I345" s="14">
        <v>0</v>
      </c>
      <c r="J345" s="14" t="s">
        <v>100</v>
      </c>
      <c r="K345" s="14"/>
      <c r="L345" s="85"/>
      <c r="M345" s="85"/>
      <c r="N345" s="85"/>
      <c r="O345" s="85"/>
      <c r="P345" s="85"/>
      <c r="Q345" s="85"/>
      <c r="R345" s="85"/>
      <c r="S345" s="85"/>
      <c r="T345" s="85"/>
      <c r="U345" s="85"/>
      <c r="V345" s="85"/>
      <c r="W345" s="85"/>
      <c r="X345" s="85"/>
      <c r="Y345" s="85"/>
      <c r="Z345" s="85"/>
    </row>
    <row r="346" spans="1:26" ht="15.75" customHeight="1">
      <c r="A346" s="193">
        <v>56</v>
      </c>
      <c r="B346" s="193" t="s">
        <v>315</v>
      </c>
      <c r="C346" s="193" t="s">
        <v>325</v>
      </c>
      <c r="D346" s="194">
        <v>34699</v>
      </c>
      <c r="E346" s="14" t="s">
        <v>1532</v>
      </c>
      <c r="F346" s="184">
        <v>37</v>
      </c>
      <c r="G346" s="14">
        <v>1</v>
      </c>
      <c r="H346" s="14"/>
      <c r="I346" s="14">
        <v>0</v>
      </c>
      <c r="J346" s="14" t="s">
        <v>100</v>
      </c>
      <c r="K346" s="14"/>
      <c r="L346" s="85"/>
      <c r="M346" s="85"/>
      <c r="N346" s="85"/>
      <c r="O346" s="85"/>
      <c r="P346" s="85"/>
      <c r="Q346" s="85"/>
      <c r="R346" s="85"/>
      <c r="S346" s="85"/>
      <c r="T346" s="85"/>
      <c r="U346" s="85"/>
      <c r="V346" s="85"/>
      <c r="W346" s="85"/>
      <c r="X346" s="85"/>
      <c r="Y346" s="85"/>
      <c r="Z346" s="85"/>
    </row>
    <row r="347" spans="1:26" ht="15.75" customHeight="1">
      <c r="A347" s="193">
        <v>56</v>
      </c>
      <c r="B347" s="193" t="s">
        <v>315</v>
      </c>
      <c r="C347" s="193" t="s">
        <v>325</v>
      </c>
      <c r="D347" s="194">
        <v>34699</v>
      </c>
      <c r="E347" s="14" t="s">
        <v>1533</v>
      </c>
      <c r="F347" s="184">
        <v>39</v>
      </c>
      <c r="G347" s="14">
        <v>0</v>
      </c>
      <c r="H347" s="14"/>
      <c r="I347" s="14">
        <v>0</v>
      </c>
      <c r="J347" s="14" t="s">
        <v>100</v>
      </c>
      <c r="K347" s="14"/>
      <c r="L347" s="85"/>
      <c r="M347" s="85"/>
      <c r="N347" s="85"/>
      <c r="O347" s="85"/>
      <c r="P347" s="85"/>
      <c r="Q347" s="85"/>
      <c r="R347" s="85"/>
      <c r="S347" s="85"/>
      <c r="T347" s="85"/>
      <c r="U347" s="85"/>
      <c r="V347" s="85"/>
      <c r="W347" s="85"/>
      <c r="X347" s="85"/>
      <c r="Y347" s="85"/>
      <c r="Z347" s="85"/>
    </row>
    <row r="348" spans="1:26" ht="15.75" customHeight="1">
      <c r="A348" s="193">
        <v>56</v>
      </c>
      <c r="B348" s="193" t="s">
        <v>315</v>
      </c>
      <c r="C348" s="193" t="s">
        <v>325</v>
      </c>
      <c r="D348" s="194">
        <v>34699</v>
      </c>
      <c r="E348" s="14" t="s">
        <v>1534</v>
      </c>
      <c r="F348" s="184">
        <v>18</v>
      </c>
      <c r="G348" s="14">
        <v>0</v>
      </c>
      <c r="H348" s="14"/>
      <c r="I348" s="184">
        <v>1</v>
      </c>
      <c r="J348" s="14" t="s">
        <v>1535</v>
      </c>
      <c r="K348" s="14"/>
      <c r="L348" s="85"/>
      <c r="M348" s="85"/>
      <c r="N348" s="85"/>
      <c r="O348" s="85"/>
      <c r="P348" s="85"/>
      <c r="Q348" s="85"/>
      <c r="R348" s="85"/>
      <c r="S348" s="85"/>
      <c r="T348" s="85"/>
      <c r="U348" s="85"/>
      <c r="V348" s="85"/>
      <c r="W348" s="85"/>
      <c r="X348" s="85"/>
      <c r="Y348" s="85"/>
      <c r="Z348" s="85"/>
    </row>
    <row r="349" spans="1:26" ht="15.75" customHeight="1">
      <c r="A349" s="193">
        <v>56</v>
      </c>
      <c r="B349" s="193" t="s">
        <v>315</v>
      </c>
      <c r="C349" s="193" t="s">
        <v>325</v>
      </c>
      <c r="D349" s="194">
        <v>34699</v>
      </c>
      <c r="E349" s="14" t="s">
        <v>1536</v>
      </c>
      <c r="F349" s="184">
        <v>20</v>
      </c>
      <c r="G349" s="14">
        <v>0</v>
      </c>
      <c r="H349" s="14"/>
      <c r="I349" s="14">
        <v>0</v>
      </c>
      <c r="J349" s="14" t="s">
        <v>100</v>
      </c>
      <c r="K349" s="14"/>
      <c r="L349" s="85"/>
      <c r="M349" s="85"/>
      <c r="N349" s="85"/>
      <c r="O349" s="85"/>
      <c r="P349" s="85"/>
      <c r="Q349" s="85"/>
      <c r="R349" s="85"/>
      <c r="S349" s="85"/>
      <c r="T349" s="85"/>
      <c r="U349" s="85"/>
      <c r="V349" s="85"/>
      <c r="W349" s="85"/>
      <c r="X349" s="85"/>
      <c r="Y349" s="85"/>
      <c r="Z349" s="85"/>
    </row>
    <row r="350" spans="1:26" ht="15.75" customHeight="1">
      <c r="A350" s="193">
        <v>56</v>
      </c>
      <c r="B350" s="193" t="s">
        <v>315</v>
      </c>
      <c r="C350" s="193" t="s">
        <v>325</v>
      </c>
      <c r="D350" s="194">
        <v>34700</v>
      </c>
      <c r="E350" s="14" t="s">
        <v>1537</v>
      </c>
      <c r="F350" s="184">
        <v>28</v>
      </c>
      <c r="G350" s="14">
        <v>0</v>
      </c>
      <c r="H350" s="14"/>
      <c r="I350" s="184">
        <v>1</v>
      </c>
      <c r="J350" s="14" t="s">
        <v>1535</v>
      </c>
      <c r="K350" s="14"/>
      <c r="L350" s="85"/>
      <c r="M350" s="85"/>
      <c r="N350" s="85"/>
      <c r="O350" s="85"/>
      <c r="P350" s="85"/>
      <c r="Q350" s="85"/>
      <c r="R350" s="85"/>
      <c r="S350" s="85"/>
      <c r="T350" s="85"/>
      <c r="U350" s="85"/>
      <c r="V350" s="85"/>
      <c r="W350" s="85"/>
      <c r="X350" s="85"/>
      <c r="Y350" s="85"/>
      <c r="Z350" s="85"/>
    </row>
    <row r="351" spans="1:26" ht="15.75" customHeight="1">
      <c r="A351" s="205">
        <v>57</v>
      </c>
      <c r="B351" s="205" t="s">
        <v>327</v>
      </c>
      <c r="C351" s="205" t="s">
        <v>221</v>
      </c>
      <c r="D351" s="206">
        <v>34792</v>
      </c>
      <c r="E351" s="14" t="s">
        <v>1538</v>
      </c>
      <c r="F351" s="184">
        <v>41</v>
      </c>
      <c r="G351" s="14">
        <v>1</v>
      </c>
      <c r="H351" s="184">
        <v>0</v>
      </c>
      <c r="I351" s="14">
        <v>1</v>
      </c>
      <c r="J351" s="14" t="s">
        <v>1384</v>
      </c>
      <c r="K351" s="14"/>
      <c r="L351" s="85"/>
      <c r="M351" s="85"/>
      <c r="N351" s="85"/>
      <c r="O351" s="85"/>
      <c r="P351" s="85"/>
      <c r="Q351" s="85"/>
      <c r="R351" s="85"/>
      <c r="S351" s="85"/>
      <c r="T351" s="85"/>
      <c r="U351" s="85"/>
      <c r="V351" s="85"/>
      <c r="W351" s="85"/>
      <c r="X351" s="85"/>
      <c r="Y351" s="85"/>
      <c r="Z351" s="85"/>
    </row>
    <row r="352" spans="1:26" ht="15.75" customHeight="1">
      <c r="A352" s="205">
        <v>57</v>
      </c>
      <c r="B352" s="205" t="s">
        <v>327</v>
      </c>
      <c r="C352" s="205" t="s">
        <v>221</v>
      </c>
      <c r="D352" s="206">
        <v>34792</v>
      </c>
      <c r="E352" s="14" t="s">
        <v>1539</v>
      </c>
      <c r="F352" s="184">
        <v>35</v>
      </c>
      <c r="G352" s="14">
        <v>0</v>
      </c>
      <c r="H352" s="184">
        <v>0</v>
      </c>
      <c r="I352" s="14">
        <v>1</v>
      </c>
      <c r="J352" s="14" t="s">
        <v>1384</v>
      </c>
      <c r="K352" s="14"/>
      <c r="L352" s="85"/>
      <c r="M352" s="85"/>
      <c r="N352" s="85"/>
      <c r="O352" s="85"/>
      <c r="P352" s="85"/>
      <c r="Q352" s="85"/>
      <c r="R352" s="85"/>
      <c r="S352" s="85"/>
      <c r="T352" s="85"/>
      <c r="U352" s="85"/>
      <c r="V352" s="85"/>
      <c r="W352" s="85"/>
      <c r="X352" s="85"/>
      <c r="Y352" s="85"/>
      <c r="Z352" s="85"/>
    </row>
    <row r="353" spans="1:26" ht="15.75" customHeight="1">
      <c r="A353" s="205">
        <v>57</v>
      </c>
      <c r="B353" s="205" t="s">
        <v>327</v>
      </c>
      <c r="C353" s="205" t="s">
        <v>221</v>
      </c>
      <c r="D353" s="206">
        <v>34792</v>
      </c>
      <c r="E353" s="14" t="s">
        <v>1540</v>
      </c>
      <c r="F353" s="184">
        <v>62</v>
      </c>
      <c r="G353" s="14">
        <v>1</v>
      </c>
      <c r="H353" s="184">
        <v>0</v>
      </c>
      <c r="I353" s="14">
        <v>1</v>
      </c>
      <c r="J353" s="14" t="s">
        <v>1541</v>
      </c>
      <c r="K353" s="14"/>
      <c r="L353" s="85"/>
      <c r="M353" s="85"/>
      <c r="N353" s="85"/>
      <c r="O353" s="85"/>
      <c r="P353" s="85"/>
      <c r="Q353" s="85"/>
      <c r="R353" s="85"/>
      <c r="S353" s="85"/>
      <c r="T353" s="85"/>
      <c r="U353" s="85"/>
      <c r="V353" s="85"/>
      <c r="W353" s="85"/>
      <c r="X353" s="85"/>
      <c r="Y353" s="85"/>
      <c r="Z353" s="85"/>
    </row>
    <row r="354" spans="1:26" ht="15.75" customHeight="1">
      <c r="A354" s="205">
        <v>57</v>
      </c>
      <c r="B354" s="205" t="s">
        <v>327</v>
      </c>
      <c r="C354" s="205" t="s">
        <v>221</v>
      </c>
      <c r="D354" s="206">
        <v>34792</v>
      </c>
      <c r="E354" s="184" t="s">
        <v>1542</v>
      </c>
      <c r="F354" s="184">
        <v>62</v>
      </c>
      <c r="G354" s="14">
        <v>0</v>
      </c>
      <c r="H354" s="184">
        <v>0</v>
      </c>
      <c r="I354" s="14">
        <v>1</v>
      </c>
      <c r="J354" s="14" t="s">
        <v>1541</v>
      </c>
      <c r="K354" s="14"/>
      <c r="L354" s="85"/>
      <c r="M354" s="85"/>
      <c r="N354" s="85"/>
      <c r="O354" s="85"/>
      <c r="P354" s="85"/>
      <c r="Q354" s="85"/>
      <c r="R354" s="85"/>
      <c r="S354" s="85"/>
      <c r="T354" s="85"/>
      <c r="U354" s="85"/>
      <c r="V354" s="85"/>
      <c r="W354" s="85"/>
      <c r="X354" s="85"/>
      <c r="Y354" s="85"/>
      <c r="Z354" s="85"/>
    </row>
    <row r="355" spans="1:26" ht="15.75" customHeight="1">
      <c r="A355" s="205">
        <v>57</v>
      </c>
      <c r="B355" s="205" t="s">
        <v>327</v>
      </c>
      <c r="C355" s="205" t="s">
        <v>221</v>
      </c>
      <c r="D355" s="206">
        <v>34792</v>
      </c>
      <c r="E355" s="14" t="s">
        <v>1543</v>
      </c>
      <c r="F355" s="184">
        <v>34</v>
      </c>
      <c r="G355" s="14">
        <v>0</v>
      </c>
      <c r="H355" s="184">
        <v>0</v>
      </c>
      <c r="I355" s="14">
        <v>1</v>
      </c>
      <c r="J355" s="14" t="s">
        <v>1384</v>
      </c>
      <c r="K355" s="14"/>
      <c r="L355" s="85"/>
      <c r="M355" s="85"/>
      <c r="N355" s="85"/>
      <c r="O355" s="85"/>
      <c r="P355" s="85"/>
      <c r="Q355" s="85"/>
      <c r="R355" s="85"/>
      <c r="S355" s="85"/>
      <c r="T355" s="85"/>
      <c r="U355" s="85"/>
      <c r="V355" s="85"/>
      <c r="W355" s="85"/>
      <c r="X355" s="85"/>
      <c r="Y355" s="85"/>
      <c r="Z355" s="85"/>
    </row>
    <row r="356" spans="1:26" ht="15.75" customHeight="1">
      <c r="A356" s="199">
        <v>58</v>
      </c>
      <c r="B356" s="199" t="s">
        <v>330</v>
      </c>
      <c r="C356" s="199" t="s">
        <v>331</v>
      </c>
      <c r="D356" s="200">
        <v>34899</v>
      </c>
      <c r="E356" s="14" t="s">
        <v>1544</v>
      </c>
      <c r="F356" s="184">
        <v>61</v>
      </c>
      <c r="G356" s="14">
        <v>0</v>
      </c>
      <c r="H356" s="14"/>
      <c r="I356" s="14">
        <v>1</v>
      </c>
      <c r="J356" s="14" t="s">
        <v>1179</v>
      </c>
      <c r="K356" s="14"/>
      <c r="L356" s="85"/>
      <c r="M356" s="85"/>
      <c r="N356" s="85"/>
      <c r="O356" s="85"/>
      <c r="P356" s="85"/>
      <c r="Q356" s="85"/>
      <c r="R356" s="85"/>
      <c r="S356" s="85"/>
      <c r="T356" s="85"/>
      <c r="U356" s="85"/>
      <c r="V356" s="85"/>
      <c r="W356" s="85"/>
      <c r="X356" s="85"/>
      <c r="Y356" s="85"/>
      <c r="Z356" s="85"/>
    </row>
    <row r="357" spans="1:26" ht="15.75" customHeight="1">
      <c r="A357" s="199">
        <v>58</v>
      </c>
      <c r="B357" s="199" t="s">
        <v>330</v>
      </c>
      <c r="C357" s="199" t="s">
        <v>331</v>
      </c>
      <c r="D357" s="200">
        <v>34899</v>
      </c>
      <c r="E357" s="14" t="s">
        <v>1545</v>
      </c>
      <c r="F357" s="184">
        <v>78</v>
      </c>
      <c r="G357" s="14">
        <v>0</v>
      </c>
      <c r="H357" s="14"/>
      <c r="I357" s="14">
        <v>1</v>
      </c>
      <c r="J357" s="14" t="s">
        <v>1179</v>
      </c>
      <c r="K357" s="14"/>
      <c r="L357" s="85"/>
      <c r="M357" s="85"/>
      <c r="N357" s="85"/>
      <c r="O357" s="85"/>
      <c r="P357" s="85"/>
      <c r="Q357" s="85"/>
      <c r="R357" s="85"/>
      <c r="S357" s="85"/>
      <c r="T357" s="85"/>
      <c r="U357" s="85"/>
      <c r="V357" s="85"/>
      <c r="W357" s="85"/>
      <c r="X357" s="85"/>
      <c r="Y357" s="85"/>
      <c r="Z357" s="85"/>
    </row>
    <row r="358" spans="1:26" ht="15.75" customHeight="1">
      <c r="A358" s="199">
        <v>58</v>
      </c>
      <c r="B358" s="199" t="s">
        <v>330</v>
      </c>
      <c r="C358" s="199" t="s">
        <v>331</v>
      </c>
      <c r="D358" s="200">
        <v>34899</v>
      </c>
      <c r="E358" s="14" t="s">
        <v>1546</v>
      </c>
      <c r="F358" s="184">
        <v>60</v>
      </c>
      <c r="G358" s="14">
        <v>0</v>
      </c>
      <c r="H358" s="14"/>
      <c r="I358" s="14">
        <v>1</v>
      </c>
      <c r="J358" s="14" t="s">
        <v>1179</v>
      </c>
      <c r="K358" s="14"/>
      <c r="L358" s="85"/>
      <c r="M358" s="85"/>
      <c r="N358" s="85"/>
      <c r="O358" s="85"/>
      <c r="P358" s="85"/>
      <c r="Q358" s="85"/>
      <c r="R358" s="85"/>
      <c r="S358" s="85"/>
      <c r="T358" s="85"/>
      <c r="U358" s="85"/>
      <c r="V358" s="85"/>
      <c r="W358" s="85"/>
      <c r="X358" s="85"/>
      <c r="Y358" s="85"/>
      <c r="Z358" s="85"/>
    </row>
    <row r="359" spans="1:26" ht="15.75" customHeight="1">
      <c r="A359" s="199">
        <v>58</v>
      </c>
      <c r="B359" s="199" t="s">
        <v>330</v>
      </c>
      <c r="C359" s="199" t="s">
        <v>331</v>
      </c>
      <c r="D359" s="200">
        <v>34899</v>
      </c>
      <c r="E359" s="14" t="s">
        <v>1547</v>
      </c>
      <c r="F359" s="184">
        <v>57</v>
      </c>
      <c r="G359" s="14">
        <v>0</v>
      </c>
      <c r="H359" s="14"/>
      <c r="I359" s="14">
        <v>1</v>
      </c>
      <c r="J359" s="14" t="s">
        <v>1179</v>
      </c>
      <c r="K359" s="14"/>
      <c r="L359" s="85"/>
      <c r="M359" s="85"/>
      <c r="N359" s="85"/>
      <c r="O359" s="85"/>
      <c r="P359" s="85"/>
      <c r="Q359" s="85"/>
      <c r="R359" s="85"/>
      <c r="S359" s="85"/>
      <c r="T359" s="85"/>
      <c r="U359" s="85"/>
      <c r="V359" s="85"/>
      <c r="W359" s="85"/>
      <c r="X359" s="85"/>
      <c r="Y359" s="85"/>
      <c r="Z359" s="85"/>
    </row>
    <row r="360" spans="1:26" ht="15.75" customHeight="1">
      <c r="A360" s="193">
        <v>59</v>
      </c>
      <c r="B360" s="193" t="s">
        <v>334</v>
      </c>
      <c r="C360" s="193" t="s">
        <v>212</v>
      </c>
      <c r="D360" s="194">
        <v>35052</v>
      </c>
      <c r="E360" s="14" t="s">
        <v>1548</v>
      </c>
      <c r="F360" s="184">
        <v>41</v>
      </c>
      <c r="G360" s="14">
        <v>1</v>
      </c>
      <c r="H360" s="14">
        <v>3</v>
      </c>
      <c r="I360" s="14">
        <v>0</v>
      </c>
      <c r="J360" s="14" t="s">
        <v>100</v>
      </c>
      <c r="K360" s="14"/>
      <c r="L360" s="85"/>
      <c r="M360" s="85"/>
      <c r="N360" s="85"/>
      <c r="O360" s="85"/>
      <c r="P360" s="85"/>
      <c r="Q360" s="85"/>
      <c r="R360" s="85"/>
      <c r="S360" s="85"/>
      <c r="T360" s="85"/>
      <c r="U360" s="85"/>
      <c r="V360" s="85"/>
      <c r="W360" s="85"/>
      <c r="X360" s="85"/>
      <c r="Y360" s="85"/>
      <c r="Z360" s="85"/>
    </row>
    <row r="361" spans="1:26" ht="15.75" customHeight="1">
      <c r="A361" s="193">
        <v>59</v>
      </c>
      <c r="B361" s="193" t="s">
        <v>334</v>
      </c>
      <c r="C361" s="193" t="s">
        <v>212</v>
      </c>
      <c r="D361" s="194">
        <v>35052</v>
      </c>
      <c r="E361" s="14" t="s">
        <v>1549</v>
      </c>
      <c r="F361" s="184">
        <v>38</v>
      </c>
      <c r="G361" s="14">
        <v>1</v>
      </c>
      <c r="H361" s="14">
        <v>2</v>
      </c>
      <c r="I361" s="14">
        <v>0</v>
      </c>
      <c r="J361" s="14" t="s">
        <v>100</v>
      </c>
      <c r="K361" s="14"/>
      <c r="L361" s="85"/>
      <c r="M361" s="85"/>
      <c r="N361" s="85"/>
      <c r="O361" s="85"/>
      <c r="P361" s="85"/>
      <c r="Q361" s="85"/>
      <c r="R361" s="85"/>
      <c r="S361" s="85"/>
      <c r="T361" s="85"/>
      <c r="U361" s="85"/>
      <c r="V361" s="85"/>
      <c r="W361" s="85"/>
      <c r="X361" s="85"/>
      <c r="Y361" s="85"/>
      <c r="Z361" s="85"/>
    </row>
    <row r="362" spans="1:26" ht="15.75" customHeight="1">
      <c r="A362" s="193">
        <v>59</v>
      </c>
      <c r="B362" s="193" t="s">
        <v>334</v>
      </c>
      <c r="C362" s="193" t="s">
        <v>212</v>
      </c>
      <c r="D362" s="194">
        <v>35052</v>
      </c>
      <c r="E362" s="14" t="s">
        <v>1550</v>
      </c>
      <c r="F362" s="184">
        <v>12</v>
      </c>
      <c r="G362" s="14">
        <v>0</v>
      </c>
      <c r="H362" s="14">
        <v>2</v>
      </c>
      <c r="I362" s="14">
        <v>0</v>
      </c>
      <c r="J362" s="14" t="s">
        <v>100</v>
      </c>
      <c r="K362" s="14"/>
      <c r="L362" s="85"/>
      <c r="M362" s="85"/>
      <c r="N362" s="85"/>
      <c r="O362" s="85"/>
      <c r="P362" s="85"/>
      <c r="Q362" s="85"/>
      <c r="R362" s="85"/>
      <c r="S362" s="85"/>
      <c r="T362" s="85"/>
      <c r="U362" s="85"/>
      <c r="V362" s="85"/>
      <c r="W362" s="85"/>
      <c r="X362" s="85"/>
      <c r="Y362" s="85"/>
      <c r="Z362" s="85"/>
    </row>
    <row r="363" spans="1:26" ht="15.75" customHeight="1">
      <c r="A363" s="193">
        <v>59</v>
      </c>
      <c r="B363" s="193" t="s">
        <v>334</v>
      </c>
      <c r="C363" s="193" t="s">
        <v>212</v>
      </c>
      <c r="D363" s="194">
        <v>35052</v>
      </c>
      <c r="E363" s="14" t="s">
        <v>1551</v>
      </c>
      <c r="F363" s="184">
        <v>13</v>
      </c>
      <c r="G363" s="14">
        <v>0</v>
      </c>
      <c r="H363" s="14">
        <v>2</v>
      </c>
      <c r="I363" s="14">
        <v>0</v>
      </c>
      <c r="J363" s="14" t="s">
        <v>100</v>
      </c>
      <c r="K363" s="14"/>
      <c r="L363" s="85"/>
      <c r="M363" s="85"/>
      <c r="N363" s="85"/>
      <c r="O363" s="85"/>
      <c r="P363" s="85"/>
      <c r="Q363" s="85"/>
      <c r="R363" s="85"/>
      <c r="S363" s="85"/>
      <c r="T363" s="85"/>
      <c r="U363" s="85"/>
      <c r="V363" s="85"/>
      <c r="W363" s="85"/>
      <c r="X363" s="85"/>
      <c r="Y363" s="85"/>
      <c r="Z363" s="85"/>
    </row>
    <row r="364" spans="1:26" ht="15.75" customHeight="1">
      <c r="A364" s="193">
        <v>59</v>
      </c>
      <c r="B364" s="193" t="s">
        <v>334</v>
      </c>
      <c r="C364" s="193" t="s">
        <v>212</v>
      </c>
      <c r="D364" s="194">
        <v>35052</v>
      </c>
      <c r="E364" s="14" t="s">
        <v>1552</v>
      </c>
      <c r="F364" s="184">
        <v>22</v>
      </c>
      <c r="G364" s="14">
        <v>0</v>
      </c>
      <c r="H364" s="14">
        <v>2</v>
      </c>
      <c r="I364" s="14">
        <v>0</v>
      </c>
      <c r="J364" s="14" t="s">
        <v>100</v>
      </c>
      <c r="K364" s="14"/>
      <c r="L364" s="85"/>
      <c r="M364" s="85"/>
      <c r="N364" s="85"/>
      <c r="O364" s="85"/>
      <c r="P364" s="85"/>
      <c r="Q364" s="85"/>
      <c r="R364" s="85"/>
      <c r="S364" s="85"/>
      <c r="T364" s="85"/>
      <c r="U364" s="85"/>
      <c r="V364" s="85"/>
      <c r="W364" s="85"/>
      <c r="X364" s="85"/>
      <c r="Y364" s="85"/>
      <c r="Z364" s="85"/>
    </row>
    <row r="365" spans="1:26" ht="15.75" customHeight="1">
      <c r="A365" s="201">
        <v>60</v>
      </c>
      <c r="B365" s="201" t="s">
        <v>338</v>
      </c>
      <c r="C365" s="201" t="s">
        <v>339</v>
      </c>
      <c r="D365" s="202">
        <v>35104</v>
      </c>
      <c r="E365" s="14" t="s">
        <v>1553</v>
      </c>
      <c r="F365" s="184">
        <v>40</v>
      </c>
      <c r="G365" s="14">
        <v>0</v>
      </c>
      <c r="H365" s="184">
        <v>0</v>
      </c>
      <c r="I365" s="14">
        <v>1</v>
      </c>
      <c r="J365" s="14" t="s">
        <v>1384</v>
      </c>
      <c r="K365" s="14"/>
      <c r="L365" s="85"/>
      <c r="M365" s="85"/>
      <c r="N365" s="85"/>
      <c r="O365" s="85"/>
      <c r="P365" s="85"/>
      <c r="Q365" s="85"/>
      <c r="R365" s="85"/>
      <c r="S365" s="85"/>
      <c r="T365" s="85"/>
      <c r="U365" s="85"/>
      <c r="V365" s="85"/>
      <c r="W365" s="85"/>
      <c r="X365" s="85"/>
      <c r="Y365" s="85"/>
      <c r="Z365" s="85"/>
    </row>
    <row r="366" spans="1:26" ht="15.75" customHeight="1">
      <c r="A366" s="201">
        <v>60</v>
      </c>
      <c r="B366" s="201" t="s">
        <v>338</v>
      </c>
      <c r="C366" s="201" t="s">
        <v>339</v>
      </c>
      <c r="D366" s="202">
        <v>35104</v>
      </c>
      <c r="E366" s="14" t="s">
        <v>1554</v>
      </c>
      <c r="F366" s="184">
        <v>46</v>
      </c>
      <c r="G366" s="14">
        <v>0</v>
      </c>
      <c r="H366" s="184">
        <v>0</v>
      </c>
      <c r="I366" s="14">
        <v>1</v>
      </c>
      <c r="J366" s="14" t="s">
        <v>1384</v>
      </c>
      <c r="K366" s="14"/>
      <c r="L366" s="85"/>
      <c r="M366" s="85"/>
      <c r="N366" s="85"/>
      <c r="O366" s="85"/>
      <c r="P366" s="85"/>
      <c r="Q366" s="85"/>
      <c r="R366" s="85"/>
      <c r="S366" s="85"/>
      <c r="T366" s="85"/>
      <c r="U366" s="85"/>
      <c r="V366" s="85"/>
      <c r="W366" s="85"/>
      <c r="X366" s="85"/>
      <c r="Y366" s="85"/>
      <c r="Z366" s="85"/>
    </row>
    <row r="367" spans="1:26" ht="15.75" customHeight="1">
      <c r="A367" s="201">
        <v>60</v>
      </c>
      <c r="B367" s="201" t="s">
        <v>338</v>
      </c>
      <c r="C367" s="201" t="s">
        <v>339</v>
      </c>
      <c r="D367" s="202">
        <v>35104</v>
      </c>
      <c r="E367" s="14" t="s">
        <v>1555</v>
      </c>
      <c r="F367" s="184">
        <v>36</v>
      </c>
      <c r="G367" s="14">
        <v>0</v>
      </c>
      <c r="H367" s="184">
        <v>0</v>
      </c>
      <c r="I367" s="14">
        <v>1</v>
      </c>
      <c r="J367" s="14" t="s">
        <v>1384</v>
      </c>
      <c r="K367" s="14"/>
      <c r="L367" s="85"/>
      <c r="M367" s="85"/>
      <c r="N367" s="85"/>
      <c r="O367" s="85"/>
      <c r="P367" s="85"/>
      <c r="Q367" s="85"/>
      <c r="R367" s="85"/>
      <c r="S367" s="85"/>
      <c r="T367" s="85"/>
      <c r="U367" s="85"/>
      <c r="V367" s="85"/>
      <c r="W367" s="85"/>
      <c r="X367" s="85"/>
      <c r="Y367" s="85"/>
      <c r="Z367" s="85"/>
    </row>
    <row r="368" spans="1:26" ht="15.75" customHeight="1">
      <c r="A368" s="201">
        <v>60</v>
      </c>
      <c r="B368" s="201" t="s">
        <v>338</v>
      </c>
      <c r="C368" s="201" t="s">
        <v>339</v>
      </c>
      <c r="D368" s="202">
        <v>35104</v>
      </c>
      <c r="E368" s="14" t="s">
        <v>1556</v>
      </c>
      <c r="F368" s="184">
        <v>37</v>
      </c>
      <c r="G368" s="14">
        <v>0</v>
      </c>
      <c r="H368" s="184">
        <v>0</v>
      </c>
      <c r="I368" s="14">
        <v>1</v>
      </c>
      <c r="J368" s="14" t="s">
        <v>1430</v>
      </c>
      <c r="K368" s="14"/>
      <c r="L368" s="85"/>
      <c r="M368" s="85"/>
      <c r="N368" s="85"/>
      <c r="O368" s="85"/>
      <c r="P368" s="85"/>
      <c r="Q368" s="85"/>
      <c r="R368" s="85"/>
      <c r="S368" s="85"/>
      <c r="T368" s="85"/>
      <c r="U368" s="85"/>
      <c r="V368" s="85"/>
      <c r="W368" s="85"/>
      <c r="X368" s="85"/>
      <c r="Y368" s="85"/>
      <c r="Z368" s="85"/>
    </row>
    <row r="369" spans="1:26" ht="15.75" customHeight="1">
      <c r="A369" s="201">
        <v>60</v>
      </c>
      <c r="B369" s="201" t="s">
        <v>338</v>
      </c>
      <c r="C369" s="201" t="s">
        <v>339</v>
      </c>
      <c r="D369" s="202">
        <v>35104</v>
      </c>
      <c r="E369" s="14" t="s">
        <v>1557</v>
      </c>
      <c r="F369" s="184">
        <v>44</v>
      </c>
      <c r="G369" s="14">
        <v>0</v>
      </c>
      <c r="H369" s="184">
        <v>0</v>
      </c>
      <c r="I369" s="14">
        <v>1</v>
      </c>
      <c r="J369" s="14" t="s">
        <v>1384</v>
      </c>
      <c r="K369" s="14"/>
      <c r="L369" s="85"/>
      <c r="M369" s="85"/>
      <c r="N369" s="85"/>
      <c r="O369" s="85"/>
      <c r="P369" s="85"/>
      <c r="Q369" s="85"/>
      <c r="R369" s="85"/>
      <c r="S369" s="85"/>
      <c r="T369" s="85"/>
      <c r="U369" s="85"/>
      <c r="V369" s="85"/>
      <c r="W369" s="85"/>
      <c r="X369" s="85"/>
      <c r="Y369" s="85"/>
      <c r="Z369" s="85"/>
    </row>
    <row r="370" spans="1:26" ht="15.75" customHeight="1">
      <c r="A370" s="197">
        <v>61</v>
      </c>
      <c r="B370" s="197" t="s">
        <v>341</v>
      </c>
      <c r="C370" s="197" t="s">
        <v>306</v>
      </c>
      <c r="D370" s="198">
        <v>35179</v>
      </c>
      <c r="E370" s="14" t="s">
        <v>1558</v>
      </c>
      <c r="F370" s="184">
        <v>45</v>
      </c>
      <c r="G370" s="14">
        <v>0</v>
      </c>
      <c r="H370" s="184">
        <v>0</v>
      </c>
      <c r="I370" s="14">
        <v>1</v>
      </c>
      <c r="J370" s="14" t="s">
        <v>1179</v>
      </c>
      <c r="K370" s="14"/>
      <c r="L370" s="85"/>
      <c r="M370" s="85"/>
      <c r="N370" s="85"/>
      <c r="O370" s="85"/>
      <c r="P370" s="85"/>
      <c r="Q370" s="85"/>
      <c r="R370" s="85"/>
      <c r="S370" s="85"/>
      <c r="T370" s="85"/>
      <c r="U370" s="85"/>
      <c r="V370" s="85"/>
      <c r="W370" s="85"/>
      <c r="X370" s="85"/>
      <c r="Y370" s="85"/>
      <c r="Z370" s="85"/>
    </row>
    <row r="371" spans="1:26" ht="15.75" customHeight="1">
      <c r="A371" s="197">
        <v>61</v>
      </c>
      <c r="B371" s="197" t="s">
        <v>341</v>
      </c>
      <c r="C371" s="197" t="s">
        <v>306</v>
      </c>
      <c r="D371" s="198">
        <v>35179</v>
      </c>
      <c r="E371" s="14" t="s">
        <v>1559</v>
      </c>
      <c r="F371" s="184">
        <v>48</v>
      </c>
      <c r="G371" s="14">
        <v>0</v>
      </c>
      <c r="H371" s="184">
        <v>0</v>
      </c>
      <c r="I371" s="14">
        <v>1</v>
      </c>
      <c r="J371" s="14" t="s">
        <v>1179</v>
      </c>
      <c r="K371" s="14"/>
      <c r="L371" s="85"/>
      <c r="M371" s="85"/>
      <c r="N371" s="85"/>
      <c r="O371" s="85"/>
      <c r="P371" s="85"/>
      <c r="Q371" s="85"/>
      <c r="R371" s="85"/>
      <c r="S371" s="85"/>
      <c r="T371" s="85"/>
      <c r="U371" s="85"/>
      <c r="V371" s="85"/>
      <c r="W371" s="85"/>
      <c r="X371" s="85"/>
      <c r="Y371" s="85"/>
      <c r="Z371" s="85"/>
    </row>
    <row r="372" spans="1:26" ht="15.75" customHeight="1">
      <c r="A372" s="197">
        <v>61</v>
      </c>
      <c r="B372" s="197" t="s">
        <v>341</v>
      </c>
      <c r="C372" s="197" t="s">
        <v>306</v>
      </c>
      <c r="D372" s="198">
        <v>35179</v>
      </c>
      <c r="E372" s="14" t="s">
        <v>1560</v>
      </c>
      <c r="F372" s="184">
        <v>49</v>
      </c>
      <c r="G372" s="14">
        <v>1</v>
      </c>
      <c r="H372" s="184">
        <v>0</v>
      </c>
      <c r="I372" s="14">
        <v>1</v>
      </c>
      <c r="J372" s="14" t="s">
        <v>1179</v>
      </c>
      <c r="K372" s="14"/>
      <c r="L372" s="85"/>
      <c r="M372" s="85"/>
      <c r="N372" s="85"/>
      <c r="O372" s="85"/>
      <c r="P372" s="85"/>
      <c r="Q372" s="85"/>
      <c r="R372" s="85"/>
      <c r="S372" s="85"/>
      <c r="T372" s="85"/>
      <c r="U372" s="85"/>
      <c r="V372" s="85"/>
      <c r="W372" s="85"/>
      <c r="X372" s="85"/>
      <c r="Y372" s="85"/>
      <c r="Z372" s="85"/>
    </row>
    <row r="373" spans="1:26" ht="15.75" customHeight="1">
      <c r="A373" s="197">
        <v>61</v>
      </c>
      <c r="B373" s="197" t="s">
        <v>341</v>
      </c>
      <c r="C373" s="197" t="s">
        <v>306</v>
      </c>
      <c r="D373" s="198">
        <v>35179</v>
      </c>
      <c r="E373" s="14" t="s">
        <v>1561</v>
      </c>
      <c r="F373" s="184">
        <v>47</v>
      </c>
      <c r="G373" s="14">
        <v>0</v>
      </c>
      <c r="H373" s="184">
        <v>0</v>
      </c>
      <c r="I373" s="14">
        <v>1</v>
      </c>
      <c r="J373" s="14" t="s">
        <v>1179</v>
      </c>
      <c r="K373" s="14" t="s">
        <v>1562</v>
      </c>
      <c r="L373" s="85"/>
      <c r="M373" s="85"/>
      <c r="N373" s="85"/>
      <c r="O373" s="85"/>
      <c r="P373" s="85"/>
      <c r="Q373" s="85"/>
      <c r="R373" s="85"/>
      <c r="S373" s="85"/>
      <c r="T373" s="85"/>
      <c r="U373" s="85"/>
      <c r="V373" s="85"/>
      <c r="W373" s="85"/>
      <c r="X373" s="85"/>
      <c r="Y373" s="85"/>
      <c r="Z373" s="85"/>
    </row>
    <row r="374" spans="1:26" ht="15.75" customHeight="1">
      <c r="A374" s="197">
        <v>61</v>
      </c>
      <c r="B374" s="197" t="s">
        <v>341</v>
      </c>
      <c r="C374" s="197" t="s">
        <v>306</v>
      </c>
      <c r="D374" s="198">
        <v>35179</v>
      </c>
      <c r="E374" s="14" t="s">
        <v>1563</v>
      </c>
      <c r="F374" s="184">
        <v>42</v>
      </c>
      <c r="G374" s="14">
        <v>1</v>
      </c>
      <c r="H374" s="14"/>
      <c r="I374" s="14">
        <v>1</v>
      </c>
      <c r="J374" s="14" t="s">
        <v>1150</v>
      </c>
      <c r="K374" s="14"/>
      <c r="L374" s="85"/>
      <c r="M374" s="85"/>
      <c r="N374" s="85"/>
      <c r="O374" s="85"/>
      <c r="P374" s="85"/>
      <c r="Q374" s="85"/>
      <c r="R374" s="85"/>
      <c r="S374" s="85"/>
      <c r="T374" s="85"/>
      <c r="U374" s="85"/>
      <c r="V374" s="85"/>
      <c r="W374" s="85"/>
      <c r="X374" s="85"/>
      <c r="Y374" s="85"/>
      <c r="Z374" s="85"/>
    </row>
    <row r="375" spans="1:26" ht="15.75" customHeight="1">
      <c r="A375" s="207">
        <v>62</v>
      </c>
      <c r="B375" s="207" t="s">
        <v>344</v>
      </c>
      <c r="C375" s="207" t="s">
        <v>194</v>
      </c>
      <c r="D375" s="208">
        <v>35661</v>
      </c>
      <c r="E375" s="14" t="s">
        <v>1564</v>
      </c>
      <c r="F375" s="184">
        <v>45</v>
      </c>
      <c r="G375" s="14">
        <v>1</v>
      </c>
      <c r="H375" s="184" t="str">
        <f>HYPERLINK("https://www.findagrave.com/memorial/142345755/vickie-marie-bunnell","0")</f>
        <v>0</v>
      </c>
      <c r="I375" s="184">
        <v>1</v>
      </c>
      <c r="J375" s="14" t="s">
        <v>1565</v>
      </c>
      <c r="K375" s="14"/>
      <c r="L375" s="85"/>
      <c r="M375" s="85"/>
      <c r="N375" s="85"/>
      <c r="O375" s="85"/>
      <c r="P375" s="85"/>
      <c r="Q375" s="85"/>
      <c r="R375" s="85"/>
      <c r="S375" s="85"/>
      <c r="T375" s="85"/>
      <c r="U375" s="85"/>
      <c r="V375" s="85"/>
      <c r="W375" s="85"/>
      <c r="X375" s="85"/>
      <c r="Y375" s="85"/>
      <c r="Z375" s="85"/>
    </row>
    <row r="376" spans="1:26" ht="15.75" customHeight="1">
      <c r="A376" s="207">
        <v>62</v>
      </c>
      <c r="B376" s="207" t="s">
        <v>344</v>
      </c>
      <c r="C376" s="207" t="s">
        <v>194</v>
      </c>
      <c r="D376" s="208">
        <v>35661</v>
      </c>
      <c r="E376" s="14" t="s">
        <v>1566</v>
      </c>
      <c r="F376" s="184">
        <v>51</v>
      </c>
      <c r="G376" s="14">
        <v>0</v>
      </c>
      <c r="H376" s="184">
        <v>0</v>
      </c>
      <c r="I376" s="184">
        <v>1</v>
      </c>
      <c r="J376" s="14" t="s">
        <v>1565</v>
      </c>
      <c r="K376" s="14"/>
      <c r="L376" s="85"/>
      <c r="M376" s="85"/>
      <c r="N376" s="85"/>
      <c r="O376" s="85"/>
      <c r="P376" s="85"/>
      <c r="Q376" s="85"/>
      <c r="R376" s="85"/>
      <c r="S376" s="85"/>
      <c r="T376" s="85"/>
      <c r="U376" s="85"/>
      <c r="V376" s="85"/>
      <c r="W376" s="85"/>
      <c r="X376" s="85"/>
      <c r="Y376" s="85"/>
      <c r="Z376" s="85"/>
    </row>
    <row r="377" spans="1:26" ht="15.75" customHeight="1">
      <c r="A377" s="207">
        <v>62</v>
      </c>
      <c r="B377" s="207" t="s">
        <v>344</v>
      </c>
      <c r="C377" s="207" t="s">
        <v>194</v>
      </c>
      <c r="D377" s="208">
        <v>35661</v>
      </c>
      <c r="E377" s="14" t="s">
        <v>1567</v>
      </c>
      <c r="F377" s="184">
        <v>45</v>
      </c>
      <c r="G377" s="14">
        <v>0</v>
      </c>
      <c r="H377" s="184" t="str">
        <f>HYPERLINK("https://www.findagrave.com/memorial/51256254/leslie-g_-lord","0")</f>
        <v>0</v>
      </c>
      <c r="I377" s="184">
        <v>1</v>
      </c>
      <c r="J377" s="14" t="s">
        <v>1565</v>
      </c>
      <c r="K377" s="14"/>
      <c r="L377" s="85"/>
      <c r="M377" s="85"/>
      <c r="N377" s="85"/>
      <c r="O377" s="85"/>
      <c r="P377" s="85"/>
      <c r="Q377" s="85"/>
      <c r="R377" s="85"/>
      <c r="S377" s="85"/>
      <c r="T377" s="85"/>
      <c r="U377" s="85"/>
      <c r="V377" s="85"/>
      <c r="W377" s="85"/>
      <c r="X377" s="85"/>
      <c r="Y377" s="85"/>
      <c r="Z377" s="85"/>
    </row>
    <row r="378" spans="1:26" ht="15.75" customHeight="1">
      <c r="A378" s="207">
        <v>62</v>
      </c>
      <c r="B378" s="207" t="s">
        <v>344</v>
      </c>
      <c r="C378" s="207" t="s">
        <v>194</v>
      </c>
      <c r="D378" s="208">
        <v>35661</v>
      </c>
      <c r="E378" s="14" t="s">
        <v>1568</v>
      </c>
      <c r="F378" s="184">
        <v>32</v>
      </c>
      <c r="G378" s="14">
        <v>0</v>
      </c>
      <c r="H378" s="184" t="str">
        <f>HYPERLINK("https://www.findagrave.com/memorial/51220090/scott-e_-phillips","0")</f>
        <v>0</v>
      </c>
      <c r="I378" s="184">
        <v>1</v>
      </c>
      <c r="J378" s="14" t="s">
        <v>1565</v>
      </c>
      <c r="K378" s="14"/>
      <c r="L378" s="85"/>
      <c r="M378" s="85"/>
      <c r="N378" s="85"/>
      <c r="O378" s="85"/>
      <c r="P378" s="85"/>
      <c r="Q378" s="85"/>
      <c r="R378" s="85"/>
      <c r="S378" s="85"/>
      <c r="T378" s="85"/>
      <c r="U378" s="85"/>
      <c r="V378" s="85"/>
      <c r="W378" s="85"/>
      <c r="X378" s="85"/>
      <c r="Y378" s="85"/>
      <c r="Z378" s="85"/>
    </row>
    <row r="379" spans="1:26" ht="15.75" customHeight="1">
      <c r="A379" s="199">
        <v>63</v>
      </c>
      <c r="B379" s="199" t="s">
        <v>348</v>
      </c>
      <c r="C379" s="199" t="s">
        <v>349</v>
      </c>
      <c r="D379" s="200">
        <v>35688</v>
      </c>
      <c r="E379" s="14" t="s">
        <v>1569</v>
      </c>
      <c r="F379" s="184">
        <v>31</v>
      </c>
      <c r="G379" s="14">
        <v>0</v>
      </c>
      <c r="H379" s="184" t="str">
        <f>HYPERLINK("https://www.findagrave.com/memorial/123988570/ernest-leonard-filyaw/photo","0")</f>
        <v>0</v>
      </c>
      <c r="I379" s="14">
        <v>1</v>
      </c>
      <c r="J379" s="14" t="s">
        <v>1384</v>
      </c>
      <c r="K379" s="14"/>
      <c r="L379" s="85"/>
      <c r="M379" s="85"/>
      <c r="N379" s="85"/>
      <c r="O379" s="85"/>
      <c r="P379" s="85"/>
      <c r="Q379" s="85"/>
      <c r="R379" s="85"/>
      <c r="S379" s="85"/>
      <c r="T379" s="85"/>
      <c r="U379" s="85"/>
      <c r="V379" s="85"/>
      <c r="W379" s="85"/>
      <c r="X379" s="85"/>
      <c r="Y379" s="85"/>
      <c r="Z379" s="85"/>
    </row>
    <row r="380" spans="1:26" ht="15.75" customHeight="1">
      <c r="A380" s="199">
        <v>63</v>
      </c>
      <c r="B380" s="199" t="s">
        <v>348</v>
      </c>
      <c r="C380" s="199" t="s">
        <v>349</v>
      </c>
      <c r="D380" s="200">
        <v>35688</v>
      </c>
      <c r="E380" s="14" t="s">
        <v>1570</v>
      </c>
      <c r="F380" s="184" t="str">
        <f>HYPERLINK("https://www.findagrave.com/memorial/33419237/charles-bennett-griffeth","56")</f>
        <v>56</v>
      </c>
      <c r="G380" s="14">
        <v>0</v>
      </c>
      <c r="H380" s="14">
        <v>0</v>
      </c>
      <c r="I380" s="14">
        <v>1</v>
      </c>
      <c r="J380" s="14" t="s">
        <v>1384</v>
      </c>
      <c r="K380" s="14"/>
      <c r="L380" s="85"/>
      <c r="M380" s="85"/>
      <c r="N380" s="85"/>
      <c r="O380" s="85"/>
      <c r="P380" s="85"/>
      <c r="Q380" s="85"/>
      <c r="R380" s="85"/>
      <c r="S380" s="85"/>
      <c r="T380" s="85"/>
      <c r="U380" s="85"/>
      <c r="V380" s="85"/>
      <c r="W380" s="85"/>
      <c r="X380" s="85"/>
      <c r="Y380" s="85"/>
      <c r="Z380" s="85"/>
    </row>
    <row r="381" spans="1:26" ht="15.75" customHeight="1">
      <c r="A381" s="199">
        <v>63</v>
      </c>
      <c r="B381" s="199" t="s">
        <v>348</v>
      </c>
      <c r="C381" s="199" t="s">
        <v>349</v>
      </c>
      <c r="D381" s="200">
        <v>35688</v>
      </c>
      <c r="E381" s="14" t="s">
        <v>1571</v>
      </c>
      <c r="F381" s="184">
        <v>30</v>
      </c>
      <c r="G381" s="14">
        <v>0</v>
      </c>
      <c r="H381" s="184">
        <v>0</v>
      </c>
      <c r="I381" s="14">
        <v>1</v>
      </c>
      <c r="J381" s="14" t="s">
        <v>1384</v>
      </c>
      <c r="K381" s="14"/>
      <c r="L381" s="85"/>
      <c r="M381" s="85"/>
      <c r="N381" s="85"/>
      <c r="O381" s="85"/>
      <c r="P381" s="85"/>
      <c r="Q381" s="85"/>
      <c r="R381" s="85"/>
      <c r="S381" s="85"/>
      <c r="T381" s="85"/>
      <c r="U381" s="85"/>
      <c r="V381" s="85"/>
      <c r="W381" s="85"/>
      <c r="X381" s="85"/>
      <c r="Y381" s="85"/>
      <c r="Z381" s="85"/>
    </row>
    <row r="382" spans="1:26" ht="15.75" customHeight="1">
      <c r="A382" s="199">
        <v>63</v>
      </c>
      <c r="B382" s="199" t="s">
        <v>348</v>
      </c>
      <c r="C382" s="199" t="s">
        <v>349</v>
      </c>
      <c r="D382" s="200">
        <v>35688</v>
      </c>
      <c r="E382" s="14" t="s">
        <v>1572</v>
      </c>
      <c r="F382" s="184">
        <v>27</v>
      </c>
      <c r="G382" s="14">
        <v>1</v>
      </c>
      <c r="H382" s="184" t="str">
        <f>HYPERLINK("https://www.findagrave.com/memorial/11540449/esther-sheryl-wood","0")</f>
        <v>0</v>
      </c>
      <c r="I382" s="14">
        <v>1</v>
      </c>
      <c r="J382" s="14" t="s">
        <v>1384</v>
      </c>
      <c r="K382" s="14"/>
      <c r="L382" s="85"/>
      <c r="M382" s="85"/>
      <c r="N382" s="85"/>
      <c r="O382" s="85"/>
      <c r="P382" s="85"/>
      <c r="Q382" s="85"/>
      <c r="R382" s="85"/>
      <c r="S382" s="85"/>
      <c r="T382" s="85"/>
      <c r="U382" s="85"/>
      <c r="V382" s="85"/>
      <c r="W382" s="85"/>
      <c r="X382" s="85"/>
      <c r="Y382" s="85"/>
      <c r="Z382" s="85"/>
    </row>
    <row r="383" spans="1:26" ht="15.75" customHeight="1">
      <c r="A383" s="205">
        <v>64</v>
      </c>
      <c r="B383" s="205" t="s">
        <v>351</v>
      </c>
      <c r="C383" s="205" t="s">
        <v>352</v>
      </c>
      <c r="D383" s="206">
        <v>35767</v>
      </c>
      <c r="E383" s="14" t="s">
        <v>1573</v>
      </c>
      <c r="F383" s="184">
        <v>35</v>
      </c>
      <c r="G383" s="14">
        <v>0</v>
      </c>
      <c r="H383" s="184" t="str">
        <f>HYPERLINK("https://www.findagrave.com/memorial/50050258/frank-dosso","0")</f>
        <v>0</v>
      </c>
      <c r="I383" s="184">
        <v>1</v>
      </c>
      <c r="J383" s="14" t="s">
        <v>1574</v>
      </c>
      <c r="K383" s="14"/>
      <c r="L383" s="85"/>
      <c r="M383" s="85"/>
      <c r="N383" s="85"/>
      <c r="O383" s="85"/>
      <c r="P383" s="85"/>
      <c r="Q383" s="85"/>
      <c r="R383" s="85"/>
      <c r="S383" s="85"/>
      <c r="T383" s="85"/>
      <c r="U383" s="85"/>
      <c r="V383" s="85"/>
      <c r="W383" s="85"/>
      <c r="X383" s="85"/>
      <c r="Y383" s="85"/>
      <c r="Z383" s="85"/>
    </row>
    <row r="384" spans="1:26" ht="15.75" customHeight="1">
      <c r="A384" s="205">
        <v>64</v>
      </c>
      <c r="B384" s="205" t="s">
        <v>351</v>
      </c>
      <c r="C384" s="205" t="s">
        <v>352</v>
      </c>
      <c r="D384" s="206">
        <v>35767</v>
      </c>
      <c r="E384" s="14" t="s">
        <v>1575</v>
      </c>
      <c r="F384" s="184">
        <v>69</v>
      </c>
      <c r="G384" s="14">
        <v>0</v>
      </c>
      <c r="H384" s="184" t="str">
        <f>HYPERLINK("https://www.findagrave.com/memorial/50050258/frank-dosso","2")</f>
        <v>2</v>
      </c>
      <c r="I384" s="184">
        <v>1</v>
      </c>
      <c r="J384" s="14" t="s">
        <v>1576</v>
      </c>
      <c r="K384" s="14"/>
      <c r="L384" s="85"/>
      <c r="M384" s="85"/>
      <c r="N384" s="85"/>
      <c r="O384" s="85"/>
      <c r="P384" s="85"/>
      <c r="Q384" s="85"/>
      <c r="R384" s="85"/>
      <c r="S384" s="85"/>
      <c r="T384" s="85"/>
      <c r="U384" s="85"/>
      <c r="V384" s="85"/>
      <c r="W384" s="85"/>
      <c r="X384" s="85"/>
      <c r="Y384" s="85"/>
      <c r="Z384" s="85"/>
    </row>
    <row r="385" spans="1:26" ht="15.75" customHeight="1">
      <c r="A385" s="205">
        <v>64</v>
      </c>
      <c r="B385" s="205" t="s">
        <v>351</v>
      </c>
      <c r="C385" s="205" t="s">
        <v>352</v>
      </c>
      <c r="D385" s="206">
        <v>35767</v>
      </c>
      <c r="E385" s="14" t="s">
        <v>1577</v>
      </c>
      <c r="F385" s="184">
        <v>28</v>
      </c>
      <c r="G385" s="14">
        <v>1</v>
      </c>
      <c r="H385" s="184" t="str">
        <f t="shared" ref="H385:H386" si="7">HYPERLINK("https://www.findagrave.com/memorial/50050258/frank-dosso","0")</f>
        <v>0</v>
      </c>
      <c r="I385" s="184">
        <v>1</v>
      </c>
      <c r="J385" s="14" t="s">
        <v>1574</v>
      </c>
      <c r="K385" s="14"/>
      <c r="L385" s="85"/>
      <c r="M385" s="85"/>
      <c r="N385" s="85"/>
      <c r="O385" s="85"/>
      <c r="P385" s="85"/>
      <c r="Q385" s="85"/>
      <c r="R385" s="85"/>
      <c r="S385" s="85"/>
      <c r="T385" s="85"/>
      <c r="U385" s="85"/>
      <c r="V385" s="85"/>
      <c r="W385" s="85"/>
      <c r="X385" s="85"/>
      <c r="Y385" s="85"/>
      <c r="Z385" s="85"/>
    </row>
    <row r="386" spans="1:26" ht="15.75" customHeight="1">
      <c r="A386" s="205">
        <v>64</v>
      </c>
      <c r="B386" s="205" t="s">
        <v>351</v>
      </c>
      <c r="C386" s="205" t="s">
        <v>352</v>
      </c>
      <c r="D386" s="206">
        <v>35767</v>
      </c>
      <c r="E386" s="14" t="s">
        <v>1578</v>
      </c>
      <c r="F386" s="184">
        <v>27</v>
      </c>
      <c r="G386" s="14">
        <v>0</v>
      </c>
      <c r="H386" s="184" t="str">
        <f t="shared" si="7"/>
        <v>0</v>
      </c>
      <c r="I386" s="184">
        <v>1</v>
      </c>
      <c r="J386" s="14" t="s">
        <v>1574</v>
      </c>
      <c r="K386" s="14"/>
      <c r="L386" s="85"/>
      <c r="M386" s="85"/>
      <c r="N386" s="85"/>
      <c r="O386" s="85"/>
      <c r="P386" s="85"/>
      <c r="Q386" s="85"/>
      <c r="R386" s="85"/>
      <c r="S386" s="85"/>
      <c r="T386" s="85"/>
      <c r="U386" s="85"/>
      <c r="V386" s="85"/>
      <c r="W386" s="85"/>
      <c r="X386" s="85"/>
      <c r="Y386" s="85"/>
      <c r="Z386" s="85"/>
    </row>
    <row r="387" spans="1:26" ht="15.75" customHeight="1">
      <c r="A387" s="191">
        <v>65</v>
      </c>
      <c r="B387" s="191" t="s">
        <v>355</v>
      </c>
      <c r="C387" s="191" t="s">
        <v>356</v>
      </c>
      <c r="D387" s="192">
        <v>35782</v>
      </c>
      <c r="E387" s="14" t="s">
        <v>1579</v>
      </c>
      <c r="F387" s="184" t="str">
        <f>HYPERLINK("https://www.findagrave.com/memorial/366114/hal-bruce-bierlein","51")</f>
        <v>51</v>
      </c>
      <c r="G387" s="14">
        <v>0</v>
      </c>
      <c r="H387" s="184">
        <v>0</v>
      </c>
      <c r="I387" s="184">
        <v>1</v>
      </c>
      <c r="J387" s="14" t="s">
        <v>1430</v>
      </c>
      <c r="K387" s="14"/>
      <c r="L387" s="85"/>
      <c r="M387" s="85"/>
      <c r="N387" s="85"/>
      <c r="O387" s="85"/>
      <c r="P387" s="85"/>
      <c r="Q387" s="85"/>
      <c r="R387" s="85"/>
      <c r="S387" s="85"/>
      <c r="T387" s="85"/>
      <c r="U387" s="85"/>
      <c r="V387" s="85"/>
      <c r="W387" s="85"/>
      <c r="X387" s="85"/>
      <c r="Y387" s="85"/>
      <c r="Z387" s="85"/>
    </row>
    <row r="388" spans="1:26" ht="15.75" customHeight="1">
      <c r="A388" s="191">
        <v>65</v>
      </c>
      <c r="B388" s="191" t="s">
        <v>355</v>
      </c>
      <c r="C388" s="191" t="s">
        <v>356</v>
      </c>
      <c r="D388" s="192">
        <v>35782</v>
      </c>
      <c r="E388" s="14" t="s">
        <v>1580</v>
      </c>
      <c r="F388" s="184" t="str">
        <f>HYPERLINK("https://www.findagrave.com/memorial/71568754/wayne-allen-bowers","43")</f>
        <v>43</v>
      </c>
      <c r="G388" s="14">
        <v>0</v>
      </c>
      <c r="H388" s="184">
        <v>0</v>
      </c>
      <c r="I388" s="184">
        <v>1</v>
      </c>
      <c r="J388" s="14" t="s">
        <v>1384</v>
      </c>
      <c r="K388" s="14"/>
      <c r="L388" s="85"/>
      <c r="M388" s="85"/>
      <c r="N388" s="85"/>
      <c r="O388" s="85"/>
      <c r="P388" s="85"/>
      <c r="Q388" s="85"/>
      <c r="R388" s="85"/>
      <c r="S388" s="85"/>
      <c r="T388" s="85"/>
      <c r="U388" s="85"/>
      <c r="V388" s="85"/>
      <c r="W388" s="85"/>
      <c r="X388" s="85"/>
      <c r="Y388" s="85"/>
      <c r="Z388" s="85"/>
    </row>
    <row r="389" spans="1:26" ht="15.75" customHeight="1">
      <c r="A389" s="191">
        <v>65</v>
      </c>
      <c r="B389" s="191" t="s">
        <v>355</v>
      </c>
      <c r="C389" s="191" t="s">
        <v>356</v>
      </c>
      <c r="D389" s="192">
        <v>35782</v>
      </c>
      <c r="E389" s="14" t="s">
        <v>1581</v>
      </c>
      <c r="F389" s="184" t="str">
        <f>HYPERLINK("https://www.findagrave.com/memorial/73436230/michael-james-kelley","49")</f>
        <v>49</v>
      </c>
      <c r="G389" s="14">
        <v>0</v>
      </c>
      <c r="H389" s="14">
        <v>0</v>
      </c>
      <c r="I389" s="184">
        <v>1</v>
      </c>
      <c r="J389" s="14" t="s">
        <v>1384</v>
      </c>
      <c r="K389" s="14"/>
      <c r="L389" s="85"/>
      <c r="M389" s="85"/>
      <c r="N389" s="85"/>
      <c r="O389" s="85"/>
      <c r="P389" s="85"/>
      <c r="Q389" s="85"/>
      <c r="R389" s="85"/>
      <c r="S389" s="85"/>
      <c r="T389" s="85"/>
      <c r="U389" s="85"/>
      <c r="V389" s="85"/>
      <c r="W389" s="85"/>
      <c r="X389" s="85"/>
      <c r="Y389" s="85"/>
      <c r="Z389" s="85"/>
    </row>
    <row r="390" spans="1:26" ht="15.75" customHeight="1">
      <c r="A390" s="191">
        <v>65</v>
      </c>
      <c r="B390" s="191" t="s">
        <v>355</v>
      </c>
      <c r="C390" s="191" t="s">
        <v>356</v>
      </c>
      <c r="D390" s="192">
        <v>35782</v>
      </c>
      <c r="E390" s="14" t="s">
        <v>1582</v>
      </c>
      <c r="F390" s="184">
        <v>40</v>
      </c>
      <c r="G390" s="14">
        <v>0</v>
      </c>
      <c r="H390" s="184">
        <v>0</v>
      </c>
      <c r="I390" s="14">
        <v>1</v>
      </c>
      <c r="J390" s="14" t="s">
        <v>1384</v>
      </c>
      <c r="K390" s="14"/>
      <c r="L390" s="85"/>
      <c r="M390" s="85"/>
      <c r="N390" s="85"/>
      <c r="O390" s="85"/>
      <c r="P390" s="85"/>
      <c r="Q390" s="85"/>
      <c r="R390" s="85"/>
      <c r="S390" s="85"/>
      <c r="T390" s="85"/>
      <c r="U390" s="85"/>
      <c r="V390" s="85"/>
      <c r="W390" s="85"/>
      <c r="X390" s="85"/>
      <c r="Y390" s="85"/>
      <c r="Z390" s="85"/>
    </row>
    <row r="391" spans="1:26" ht="15.75" customHeight="1">
      <c r="A391" s="193">
        <v>66</v>
      </c>
      <c r="B391" s="193" t="s">
        <v>360</v>
      </c>
      <c r="C391" s="193" t="s">
        <v>361</v>
      </c>
      <c r="D391" s="194">
        <v>35860</v>
      </c>
      <c r="E391" s="14" t="s">
        <v>1583</v>
      </c>
      <c r="F391" s="184">
        <v>54</v>
      </c>
      <c r="G391" s="14">
        <v>0</v>
      </c>
      <c r="H391" s="184" t="str">
        <f>HYPERLINK("https://www.findagrave.com/memorial/45139473/otho-r_-brown","0")</f>
        <v>0</v>
      </c>
      <c r="I391" s="14">
        <v>1</v>
      </c>
      <c r="J391" s="14" t="s">
        <v>1179</v>
      </c>
      <c r="K391" s="14"/>
      <c r="L391" s="85"/>
      <c r="M391" s="85"/>
      <c r="N391" s="85"/>
      <c r="O391" s="85"/>
      <c r="P391" s="85"/>
      <c r="Q391" s="85"/>
      <c r="R391" s="85"/>
      <c r="S391" s="85"/>
      <c r="T391" s="85"/>
      <c r="U391" s="85"/>
      <c r="V391" s="85"/>
      <c r="W391" s="85"/>
      <c r="X391" s="85"/>
      <c r="Y391" s="85"/>
      <c r="Z391" s="85"/>
    </row>
    <row r="392" spans="1:26" ht="15.75" customHeight="1">
      <c r="A392" s="193">
        <v>66</v>
      </c>
      <c r="B392" s="193" t="s">
        <v>360</v>
      </c>
      <c r="C392" s="193" t="s">
        <v>361</v>
      </c>
      <c r="D392" s="194">
        <v>35860</v>
      </c>
      <c r="E392" s="14" t="s">
        <v>1584</v>
      </c>
      <c r="F392" s="184">
        <v>33</v>
      </c>
      <c r="G392" s="14">
        <v>0</v>
      </c>
      <c r="H392" s="184">
        <v>0</v>
      </c>
      <c r="I392" s="14">
        <v>1</v>
      </c>
      <c r="J392" s="14" t="s">
        <v>1179</v>
      </c>
      <c r="K392" s="14" t="s">
        <v>1562</v>
      </c>
      <c r="L392" s="85"/>
      <c r="M392" s="85"/>
      <c r="N392" s="85"/>
      <c r="O392" s="85"/>
      <c r="P392" s="85"/>
      <c r="Q392" s="85"/>
      <c r="R392" s="85"/>
      <c r="S392" s="85"/>
      <c r="T392" s="85"/>
      <c r="U392" s="85"/>
      <c r="V392" s="85"/>
      <c r="W392" s="85"/>
      <c r="X392" s="85"/>
      <c r="Y392" s="85"/>
      <c r="Z392" s="85"/>
    </row>
    <row r="393" spans="1:26" ht="15.75" customHeight="1">
      <c r="A393" s="193">
        <v>66</v>
      </c>
      <c r="B393" s="193" t="s">
        <v>360</v>
      </c>
      <c r="C393" s="193" t="s">
        <v>361</v>
      </c>
      <c r="D393" s="194">
        <v>35860</v>
      </c>
      <c r="E393" s="14" t="s">
        <v>1585</v>
      </c>
      <c r="F393" s="184">
        <v>38</v>
      </c>
      <c r="G393" s="14">
        <v>1</v>
      </c>
      <c r="H393" s="184" t="str">
        <f>HYPERLINK("https://www.findagrave.com/memorial/32001672/linda-a_-mlynarczyk","0")</f>
        <v>0</v>
      </c>
      <c r="I393" s="14">
        <v>1</v>
      </c>
      <c r="J393" s="14" t="s">
        <v>1179</v>
      </c>
      <c r="K393" s="14"/>
      <c r="L393" s="85"/>
      <c r="M393" s="85"/>
      <c r="N393" s="85"/>
      <c r="O393" s="85"/>
      <c r="P393" s="85"/>
      <c r="Q393" s="85"/>
      <c r="R393" s="85"/>
      <c r="S393" s="85"/>
      <c r="T393" s="85"/>
      <c r="U393" s="85"/>
      <c r="V393" s="85"/>
      <c r="W393" s="85"/>
      <c r="X393" s="85"/>
      <c r="Y393" s="85"/>
      <c r="Z393" s="85"/>
    </row>
    <row r="394" spans="1:26" ht="15.75" customHeight="1">
      <c r="A394" s="193">
        <v>66</v>
      </c>
      <c r="B394" s="193" t="s">
        <v>360</v>
      </c>
      <c r="C394" s="193" t="s">
        <v>361</v>
      </c>
      <c r="D394" s="194">
        <v>35860</v>
      </c>
      <c r="E394" s="14" t="s">
        <v>1586</v>
      </c>
      <c r="F394" s="184">
        <v>40</v>
      </c>
      <c r="G394" s="14">
        <v>0</v>
      </c>
      <c r="H394" s="184" t="str">
        <f>HYPERLINK("https://www.findagrave.com/memorial/12545968/frederick-w_-rubelmann","0")</f>
        <v>0</v>
      </c>
      <c r="I394" s="14">
        <v>1</v>
      </c>
      <c r="J394" s="14" t="s">
        <v>1179</v>
      </c>
      <c r="K394" s="14"/>
      <c r="L394" s="85"/>
      <c r="M394" s="85"/>
      <c r="N394" s="85"/>
      <c r="O394" s="85"/>
      <c r="P394" s="85"/>
      <c r="Q394" s="85"/>
      <c r="R394" s="85"/>
      <c r="S394" s="85"/>
      <c r="T394" s="85"/>
      <c r="U394" s="85"/>
      <c r="V394" s="85"/>
      <c r="W394" s="85"/>
      <c r="X394" s="85"/>
      <c r="Y394" s="85"/>
      <c r="Z394" s="85"/>
    </row>
    <row r="395" spans="1:26" ht="15.75" customHeight="1">
      <c r="A395" s="195" t="s">
        <v>983</v>
      </c>
      <c r="B395" s="195" t="s">
        <v>984</v>
      </c>
      <c r="C395" s="195" t="s">
        <v>985</v>
      </c>
      <c r="D395" s="196">
        <v>35878</v>
      </c>
      <c r="E395" s="14" t="s">
        <v>1587</v>
      </c>
      <c r="F395" s="184">
        <v>11</v>
      </c>
      <c r="G395" s="14">
        <v>1</v>
      </c>
      <c r="H395" s="184">
        <v>0</v>
      </c>
      <c r="I395" s="14">
        <v>1</v>
      </c>
      <c r="J395" s="14" t="s">
        <v>1462</v>
      </c>
      <c r="K395" s="14"/>
      <c r="L395" s="85"/>
      <c r="M395" s="85"/>
      <c r="N395" s="85"/>
      <c r="O395" s="85"/>
      <c r="P395" s="85"/>
      <c r="Q395" s="85"/>
      <c r="R395" s="85"/>
      <c r="S395" s="85"/>
      <c r="T395" s="85"/>
      <c r="U395" s="85"/>
      <c r="V395" s="85"/>
      <c r="W395" s="85"/>
      <c r="X395" s="85"/>
      <c r="Y395" s="85"/>
      <c r="Z395" s="85"/>
    </row>
    <row r="396" spans="1:26" ht="15.75" customHeight="1">
      <c r="A396" s="195" t="s">
        <v>983</v>
      </c>
      <c r="B396" s="195" t="s">
        <v>984</v>
      </c>
      <c r="C396" s="195" t="s">
        <v>985</v>
      </c>
      <c r="D396" s="196">
        <v>35878</v>
      </c>
      <c r="E396" s="14" t="s">
        <v>1588</v>
      </c>
      <c r="F396" s="184">
        <v>12</v>
      </c>
      <c r="G396" s="14">
        <v>1</v>
      </c>
      <c r="H396" s="184">
        <v>0</v>
      </c>
      <c r="I396" s="14">
        <v>1</v>
      </c>
      <c r="J396" s="14" t="s">
        <v>1462</v>
      </c>
      <c r="K396" s="14"/>
      <c r="L396" s="85"/>
      <c r="M396" s="85"/>
      <c r="N396" s="85"/>
      <c r="O396" s="85"/>
      <c r="P396" s="85"/>
      <c r="Q396" s="85"/>
      <c r="R396" s="85"/>
      <c r="S396" s="85"/>
      <c r="T396" s="85"/>
      <c r="U396" s="85"/>
      <c r="V396" s="85"/>
      <c r="W396" s="85"/>
      <c r="X396" s="85"/>
      <c r="Y396" s="85"/>
      <c r="Z396" s="85"/>
    </row>
    <row r="397" spans="1:26" ht="15.75" customHeight="1">
      <c r="A397" s="195" t="s">
        <v>983</v>
      </c>
      <c r="B397" s="195" t="s">
        <v>984</v>
      </c>
      <c r="C397" s="195" t="s">
        <v>985</v>
      </c>
      <c r="D397" s="196">
        <v>35878</v>
      </c>
      <c r="E397" s="14" t="s">
        <v>1589</v>
      </c>
      <c r="F397" s="184">
        <v>12</v>
      </c>
      <c r="G397" s="14">
        <v>1</v>
      </c>
      <c r="H397" s="184">
        <v>0</v>
      </c>
      <c r="I397" s="14">
        <v>1</v>
      </c>
      <c r="J397" s="14" t="s">
        <v>1462</v>
      </c>
      <c r="K397" s="14"/>
      <c r="L397" s="85"/>
      <c r="M397" s="85"/>
      <c r="N397" s="85"/>
      <c r="O397" s="85"/>
      <c r="P397" s="85"/>
      <c r="Q397" s="85"/>
      <c r="R397" s="85"/>
      <c r="S397" s="85"/>
      <c r="T397" s="85"/>
      <c r="U397" s="85"/>
      <c r="V397" s="85"/>
      <c r="W397" s="85"/>
      <c r="X397" s="85"/>
      <c r="Y397" s="85"/>
      <c r="Z397" s="85"/>
    </row>
    <row r="398" spans="1:26" ht="15.75" customHeight="1">
      <c r="A398" s="195" t="s">
        <v>983</v>
      </c>
      <c r="B398" s="195" t="s">
        <v>984</v>
      </c>
      <c r="C398" s="195" t="s">
        <v>985</v>
      </c>
      <c r="D398" s="196">
        <v>35878</v>
      </c>
      <c r="E398" s="14" t="s">
        <v>1590</v>
      </c>
      <c r="F398" s="184">
        <v>11</v>
      </c>
      <c r="G398" s="14">
        <v>1</v>
      </c>
      <c r="H398" s="184">
        <v>0</v>
      </c>
      <c r="I398" s="14">
        <v>1</v>
      </c>
      <c r="J398" s="14" t="s">
        <v>1462</v>
      </c>
      <c r="K398" s="14"/>
      <c r="L398" s="85"/>
      <c r="M398" s="85"/>
      <c r="N398" s="85"/>
      <c r="O398" s="85"/>
      <c r="P398" s="85"/>
      <c r="Q398" s="85"/>
      <c r="R398" s="85"/>
      <c r="S398" s="85"/>
      <c r="T398" s="85"/>
      <c r="U398" s="85"/>
      <c r="V398" s="85"/>
      <c r="W398" s="85"/>
      <c r="X398" s="85"/>
      <c r="Y398" s="85"/>
      <c r="Z398" s="85"/>
    </row>
    <row r="399" spans="1:26" ht="15.75" customHeight="1">
      <c r="A399" s="195" t="s">
        <v>983</v>
      </c>
      <c r="B399" s="195" t="s">
        <v>984</v>
      </c>
      <c r="C399" s="195" t="s">
        <v>985</v>
      </c>
      <c r="D399" s="196">
        <v>35878</v>
      </c>
      <c r="E399" s="14" t="s">
        <v>1591</v>
      </c>
      <c r="F399" s="184">
        <v>32</v>
      </c>
      <c r="G399" s="14">
        <v>1</v>
      </c>
      <c r="H399" s="184">
        <v>0</v>
      </c>
      <c r="I399" s="14">
        <v>1</v>
      </c>
      <c r="J399" s="14" t="s">
        <v>1592</v>
      </c>
      <c r="K399" s="14"/>
      <c r="L399" s="85"/>
      <c r="M399" s="85"/>
      <c r="N399" s="85"/>
      <c r="O399" s="85"/>
      <c r="P399" s="85"/>
      <c r="Q399" s="85"/>
      <c r="R399" s="85"/>
      <c r="S399" s="85"/>
      <c r="T399" s="85"/>
      <c r="U399" s="85"/>
      <c r="V399" s="85"/>
      <c r="W399" s="85"/>
      <c r="X399" s="85"/>
      <c r="Y399" s="85"/>
      <c r="Z399" s="85"/>
    </row>
    <row r="400" spans="1:26" ht="15.75" customHeight="1">
      <c r="A400" s="191">
        <v>69</v>
      </c>
      <c r="B400" s="191" t="s">
        <v>373</v>
      </c>
      <c r="C400" s="191" t="s">
        <v>374</v>
      </c>
      <c r="D400" s="192">
        <v>35935</v>
      </c>
      <c r="E400" s="14" t="s">
        <v>1593</v>
      </c>
      <c r="F400" s="184">
        <v>59</v>
      </c>
      <c r="G400" s="14">
        <v>0</v>
      </c>
      <c r="H400" s="184">
        <v>0</v>
      </c>
      <c r="I400" s="14">
        <v>1</v>
      </c>
      <c r="J400" s="14" t="s">
        <v>1594</v>
      </c>
      <c r="K400" s="14"/>
      <c r="L400" s="85"/>
      <c r="M400" s="85"/>
      <c r="N400" s="85"/>
      <c r="O400" s="85"/>
      <c r="P400" s="85"/>
      <c r="Q400" s="85"/>
      <c r="R400" s="85"/>
      <c r="S400" s="85"/>
      <c r="T400" s="85"/>
      <c r="U400" s="85"/>
      <c r="V400" s="85"/>
      <c r="W400" s="85"/>
      <c r="X400" s="85"/>
      <c r="Y400" s="85"/>
      <c r="Z400" s="85"/>
    </row>
    <row r="401" spans="1:26" ht="15.75" customHeight="1">
      <c r="A401" s="191">
        <v>69</v>
      </c>
      <c r="B401" s="191" t="s">
        <v>373</v>
      </c>
      <c r="C401" s="191" t="s">
        <v>374</v>
      </c>
      <c r="D401" s="192">
        <v>35935</v>
      </c>
      <c r="E401" s="14" t="s">
        <v>1595</v>
      </c>
      <c r="F401" s="184">
        <v>57</v>
      </c>
      <c r="G401" s="14">
        <v>1</v>
      </c>
      <c r="H401" s="184">
        <v>0</v>
      </c>
      <c r="I401" s="14">
        <v>1</v>
      </c>
      <c r="J401" s="14" t="s">
        <v>1152</v>
      </c>
      <c r="K401" s="14"/>
      <c r="L401" s="85"/>
      <c r="M401" s="85"/>
      <c r="N401" s="85"/>
      <c r="O401" s="85"/>
      <c r="P401" s="85"/>
      <c r="Q401" s="85"/>
      <c r="R401" s="85"/>
      <c r="S401" s="85"/>
      <c r="T401" s="85"/>
      <c r="U401" s="85"/>
      <c r="V401" s="85"/>
      <c r="W401" s="85"/>
      <c r="X401" s="85"/>
      <c r="Y401" s="85"/>
      <c r="Z401" s="85"/>
    </row>
    <row r="402" spans="1:26" ht="15.75" customHeight="1">
      <c r="A402" s="191">
        <v>69</v>
      </c>
      <c r="B402" s="191" t="s">
        <v>373</v>
      </c>
      <c r="C402" s="191" t="s">
        <v>374</v>
      </c>
      <c r="D402" s="192">
        <v>35935</v>
      </c>
      <c r="E402" s="14" t="s">
        <v>1596</v>
      </c>
      <c r="F402" s="184">
        <v>17</v>
      </c>
      <c r="G402" s="14">
        <v>0</v>
      </c>
      <c r="H402" s="184">
        <v>0</v>
      </c>
      <c r="I402" s="14">
        <v>1</v>
      </c>
      <c r="J402" s="14" t="s">
        <v>1462</v>
      </c>
      <c r="K402" s="14"/>
      <c r="L402" s="85"/>
      <c r="M402" s="85"/>
      <c r="N402" s="85"/>
      <c r="O402" s="85"/>
      <c r="P402" s="85"/>
      <c r="Q402" s="85"/>
      <c r="R402" s="85"/>
      <c r="S402" s="85"/>
      <c r="T402" s="85"/>
      <c r="U402" s="85"/>
      <c r="V402" s="85"/>
      <c r="W402" s="85"/>
      <c r="X402" s="85"/>
      <c r="Y402" s="85"/>
      <c r="Z402" s="85"/>
    </row>
    <row r="403" spans="1:26" ht="15.75" customHeight="1">
      <c r="A403" s="191">
        <v>69</v>
      </c>
      <c r="B403" s="191" t="s">
        <v>373</v>
      </c>
      <c r="C403" s="191" t="s">
        <v>374</v>
      </c>
      <c r="D403" s="192">
        <v>35935</v>
      </c>
      <c r="E403" s="14" t="s">
        <v>1597</v>
      </c>
      <c r="F403" s="184">
        <v>16</v>
      </c>
      <c r="G403" s="14">
        <v>0</v>
      </c>
      <c r="H403" s="184">
        <v>0</v>
      </c>
      <c r="I403" s="14">
        <v>1</v>
      </c>
      <c r="J403" s="14" t="s">
        <v>1462</v>
      </c>
      <c r="K403" s="14"/>
      <c r="L403" s="85"/>
      <c r="M403" s="85"/>
      <c r="N403" s="85"/>
      <c r="O403" s="85"/>
      <c r="P403" s="85"/>
      <c r="Q403" s="85"/>
      <c r="R403" s="85"/>
      <c r="S403" s="85"/>
      <c r="T403" s="85"/>
      <c r="U403" s="85"/>
      <c r="V403" s="85"/>
      <c r="W403" s="85"/>
      <c r="X403" s="85"/>
      <c r="Y403" s="85"/>
      <c r="Z403" s="85"/>
    </row>
    <row r="404" spans="1:26" ht="15.75" customHeight="1">
      <c r="A404" s="193">
        <v>70</v>
      </c>
      <c r="B404" s="193" t="s">
        <v>293</v>
      </c>
      <c r="C404" s="193" t="s">
        <v>377</v>
      </c>
      <c r="D404" s="194">
        <v>36229</v>
      </c>
      <c r="E404" s="14" t="s">
        <v>1598</v>
      </c>
      <c r="F404" s="184">
        <v>19</v>
      </c>
      <c r="G404" s="14">
        <v>0</v>
      </c>
      <c r="H404" s="14"/>
      <c r="I404" s="14">
        <v>0</v>
      </c>
      <c r="J404" s="14" t="s">
        <v>100</v>
      </c>
      <c r="K404" s="14"/>
      <c r="L404" s="85"/>
      <c r="M404" s="85"/>
      <c r="N404" s="85"/>
      <c r="O404" s="85"/>
      <c r="P404" s="85"/>
      <c r="Q404" s="85"/>
      <c r="R404" s="85"/>
      <c r="S404" s="85"/>
      <c r="T404" s="85"/>
      <c r="U404" s="85"/>
      <c r="V404" s="85"/>
      <c r="W404" s="85"/>
      <c r="X404" s="85"/>
      <c r="Y404" s="85"/>
      <c r="Z404" s="85"/>
    </row>
    <row r="405" spans="1:26" ht="15.75" customHeight="1">
      <c r="A405" s="193">
        <v>70</v>
      </c>
      <c r="B405" s="193" t="s">
        <v>293</v>
      </c>
      <c r="C405" s="193" t="s">
        <v>377</v>
      </c>
      <c r="D405" s="194">
        <v>36229</v>
      </c>
      <c r="E405" s="14" t="s">
        <v>1599</v>
      </c>
      <c r="F405" s="184">
        <v>25</v>
      </c>
      <c r="G405" s="14">
        <v>1</v>
      </c>
      <c r="H405" s="184">
        <v>1</v>
      </c>
      <c r="I405" s="14">
        <v>1</v>
      </c>
      <c r="J405" s="14" t="s">
        <v>1466</v>
      </c>
      <c r="K405" s="14"/>
      <c r="L405" s="85"/>
      <c r="M405" s="85"/>
      <c r="N405" s="85"/>
      <c r="O405" s="85"/>
      <c r="P405" s="85"/>
      <c r="Q405" s="85"/>
      <c r="R405" s="85"/>
      <c r="S405" s="85"/>
      <c r="T405" s="85"/>
      <c r="U405" s="85"/>
      <c r="V405" s="85"/>
      <c r="W405" s="85"/>
      <c r="X405" s="85"/>
      <c r="Y405" s="85"/>
      <c r="Z405" s="85"/>
    </row>
    <row r="406" spans="1:26" ht="15.75" customHeight="1">
      <c r="A406" s="193">
        <v>70</v>
      </c>
      <c r="B406" s="193" t="s">
        <v>293</v>
      </c>
      <c r="C406" s="193" t="s">
        <v>377</v>
      </c>
      <c r="D406" s="194">
        <v>36229</v>
      </c>
      <c r="E406" s="14" t="s">
        <v>1600</v>
      </c>
      <c r="F406" s="184">
        <v>2</v>
      </c>
      <c r="G406" s="14">
        <v>0</v>
      </c>
      <c r="H406" s="184">
        <v>1</v>
      </c>
      <c r="I406" s="14">
        <v>1</v>
      </c>
      <c r="J406" s="14" t="s">
        <v>1601</v>
      </c>
      <c r="K406" s="14"/>
      <c r="L406" s="85"/>
      <c r="M406" s="85"/>
      <c r="N406" s="85"/>
      <c r="O406" s="85"/>
      <c r="P406" s="85"/>
      <c r="Q406" s="85"/>
      <c r="R406" s="85"/>
      <c r="S406" s="85"/>
      <c r="T406" s="85"/>
      <c r="U406" s="85"/>
      <c r="V406" s="85"/>
      <c r="W406" s="85"/>
      <c r="X406" s="85"/>
      <c r="Y406" s="85"/>
      <c r="Z406" s="85"/>
    </row>
    <row r="407" spans="1:26" ht="15.75" customHeight="1">
      <c r="A407" s="193">
        <v>70</v>
      </c>
      <c r="B407" s="193" t="s">
        <v>293</v>
      </c>
      <c r="C407" s="193" t="s">
        <v>377</v>
      </c>
      <c r="D407" s="194">
        <v>36229</v>
      </c>
      <c r="E407" s="14" t="s">
        <v>1602</v>
      </c>
      <c r="F407" s="184">
        <v>53</v>
      </c>
      <c r="G407" s="14">
        <v>1</v>
      </c>
      <c r="H407" s="184">
        <v>1</v>
      </c>
      <c r="I407" s="14">
        <v>1</v>
      </c>
      <c r="J407" s="14" t="s">
        <v>1603</v>
      </c>
      <c r="K407" s="14"/>
      <c r="L407" s="85"/>
      <c r="M407" s="85"/>
      <c r="N407" s="85"/>
      <c r="O407" s="85"/>
      <c r="P407" s="85"/>
      <c r="Q407" s="85"/>
      <c r="R407" s="85"/>
      <c r="S407" s="85"/>
      <c r="T407" s="85"/>
      <c r="U407" s="85"/>
      <c r="V407" s="85"/>
      <c r="W407" s="85"/>
      <c r="X407" s="85"/>
      <c r="Y407" s="85"/>
      <c r="Z407" s="85"/>
    </row>
    <row r="408" spans="1:26" ht="15.75" customHeight="1">
      <c r="A408" s="195" t="s">
        <v>996</v>
      </c>
      <c r="B408" s="195" t="s">
        <v>997</v>
      </c>
      <c r="C408" s="195" t="s">
        <v>998</v>
      </c>
      <c r="D408" s="196">
        <v>36270</v>
      </c>
      <c r="E408" s="14" t="s">
        <v>1604</v>
      </c>
      <c r="F408" s="184">
        <v>17</v>
      </c>
      <c r="G408" s="14">
        <v>1</v>
      </c>
      <c r="H408" s="184">
        <v>0</v>
      </c>
      <c r="I408" s="14">
        <v>2</v>
      </c>
      <c r="J408" s="14" t="s">
        <v>1605</v>
      </c>
      <c r="K408" s="14"/>
      <c r="L408" s="85"/>
      <c r="M408" s="85"/>
      <c r="N408" s="85"/>
      <c r="O408" s="85"/>
      <c r="P408" s="85"/>
      <c r="Q408" s="85"/>
      <c r="R408" s="85"/>
      <c r="S408" s="85"/>
      <c r="T408" s="85"/>
      <c r="U408" s="85"/>
      <c r="V408" s="85"/>
      <c r="W408" s="85"/>
      <c r="X408" s="85"/>
      <c r="Y408" s="85"/>
      <c r="Z408" s="85"/>
    </row>
    <row r="409" spans="1:26" ht="15.75" customHeight="1">
      <c r="A409" s="195" t="s">
        <v>996</v>
      </c>
      <c r="B409" s="195" t="s">
        <v>997</v>
      </c>
      <c r="C409" s="195" t="s">
        <v>998</v>
      </c>
      <c r="D409" s="196">
        <v>36270</v>
      </c>
      <c r="E409" s="14" t="s">
        <v>1606</v>
      </c>
      <c r="F409" s="184">
        <v>14</v>
      </c>
      <c r="G409" s="14">
        <v>0</v>
      </c>
      <c r="H409" s="184">
        <v>0</v>
      </c>
      <c r="I409" s="14">
        <v>2</v>
      </c>
      <c r="J409" s="14" t="s">
        <v>1605</v>
      </c>
      <c r="K409" s="14"/>
      <c r="L409" s="85"/>
      <c r="M409" s="85"/>
      <c r="N409" s="85"/>
      <c r="O409" s="85"/>
      <c r="P409" s="85"/>
      <c r="Q409" s="85"/>
      <c r="R409" s="85"/>
      <c r="S409" s="85"/>
      <c r="T409" s="85"/>
      <c r="U409" s="85"/>
      <c r="V409" s="85"/>
      <c r="W409" s="85"/>
      <c r="X409" s="85"/>
      <c r="Y409" s="85"/>
      <c r="Z409" s="85"/>
    </row>
    <row r="410" spans="1:26" ht="15.75" customHeight="1">
      <c r="A410" s="195" t="s">
        <v>996</v>
      </c>
      <c r="B410" s="195" t="s">
        <v>997</v>
      </c>
      <c r="C410" s="195" t="s">
        <v>998</v>
      </c>
      <c r="D410" s="196">
        <v>36270</v>
      </c>
      <c r="E410" s="14" t="s">
        <v>1607</v>
      </c>
      <c r="F410" s="184">
        <v>17</v>
      </c>
      <c r="G410" s="14">
        <v>0</v>
      </c>
      <c r="H410" s="184">
        <v>0</v>
      </c>
      <c r="I410" s="14">
        <v>2</v>
      </c>
      <c r="J410" s="14" t="s">
        <v>1605</v>
      </c>
      <c r="K410" s="14"/>
      <c r="L410" s="85"/>
      <c r="M410" s="85"/>
      <c r="N410" s="85"/>
      <c r="O410" s="85"/>
      <c r="P410" s="85"/>
      <c r="Q410" s="85"/>
      <c r="R410" s="85"/>
      <c r="S410" s="85"/>
      <c r="T410" s="85"/>
      <c r="U410" s="85"/>
      <c r="V410" s="85"/>
      <c r="W410" s="85"/>
      <c r="X410" s="85"/>
      <c r="Y410" s="85"/>
      <c r="Z410" s="85"/>
    </row>
    <row r="411" spans="1:26" ht="15.75" customHeight="1">
      <c r="A411" s="195" t="s">
        <v>996</v>
      </c>
      <c r="B411" s="195" t="s">
        <v>997</v>
      </c>
      <c r="C411" s="195" t="s">
        <v>998</v>
      </c>
      <c r="D411" s="196">
        <v>36270</v>
      </c>
      <c r="E411" s="14" t="s">
        <v>1608</v>
      </c>
      <c r="F411" s="184">
        <v>16</v>
      </c>
      <c r="G411" s="14">
        <v>1</v>
      </c>
      <c r="H411" s="184">
        <v>0</v>
      </c>
      <c r="I411" s="14">
        <v>2</v>
      </c>
      <c r="J411" s="14" t="s">
        <v>1605</v>
      </c>
      <c r="K411" s="14"/>
      <c r="L411" s="85"/>
      <c r="M411" s="85"/>
      <c r="N411" s="85"/>
      <c r="O411" s="85"/>
      <c r="P411" s="85"/>
      <c r="Q411" s="85"/>
      <c r="R411" s="85"/>
      <c r="S411" s="85"/>
      <c r="T411" s="85"/>
      <c r="U411" s="85"/>
      <c r="V411" s="85"/>
      <c r="W411" s="85"/>
      <c r="X411" s="85"/>
      <c r="Y411" s="85"/>
      <c r="Z411" s="85"/>
    </row>
    <row r="412" spans="1:26" ht="15.75" customHeight="1">
      <c r="A412" s="195" t="s">
        <v>996</v>
      </c>
      <c r="B412" s="195" t="s">
        <v>997</v>
      </c>
      <c r="C412" s="195" t="s">
        <v>998</v>
      </c>
      <c r="D412" s="196">
        <v>36270</v>
      </c>
      <c r="E412" s="14" t="s">
        <v>1609</v>
      </c>
      <c r="F412" s="184">
        <v>16</v>
      </c>
      <c r="G412" s="14">
        <v>0</v>
      </c>
      <c r="H412" s="184">
        <v>0</v>
      </c>
      <c r="I412" s="14">
        <v>2</v>
      </c>
      <c r="J412" s="14" t="s">
        <v>1605</v>
      </c>
      <c r="K412" s="14"/>
      <c r="L412" s="85"/>
      <c r="M412" s="85"/>
      <c r="N412" s="85"/>
      <c r="O412" s="85"/>
      <c r="P412" s="85"/>
      <c r="Q412" s="85"/>
      <c r="R412" s="85"/>
      <c r="S412" s="85"/>
      <c r="T412" s="85"/>
      <c r="U412" s="85"/>
      <c r="V412" s="85"/>
      <c r="W412" s="85"/>
      <c r="X412" s="85"/>
      <c r="Y412" s="85"/>
      <c r="Z412" s="85"/>
    </row>
    <row r="413" spans="1:26" ht="15.75" customHeight="1">
      <c r="A413" s="195" t="s">
        <v>996</v>
      </c>
      <c r="B413" s="195" t="s">
        <v>997</v>
      </c>
      <c r="C413" s="195" t="s">
        <v>998</v>
      </c>
      <c r="D413" s="196">
        <v>36270</v>
      </c>
      <c r="E413" s="14" t="s">
        <v>1610</v>
      </c>
      <c r="F413" s="184">
        <v>15</v>
      </c>
      <c r="G413" s="14">
        <v>0</v>
      </c>
      <c r="H413" s="184">
        <v>0</v>
      </c>
      <c r="I413" s="14">
        <v>2</v>
      </c>
      <c r="J413" s="14" t="s">
        <v>1605</v>
      </c>
      <c r="K413" s="14"/>
      <c r="L413" s="85"/>
      <c r="M413" s="85"/>
      <c r="N413" s="85"/>
      <c r="O413" s="85"/>
      <c r="P413" s="85"/>
      <c r="Q413" s="85"/>
      <c r="R413" s="85"/>
      <c r="S413" s="85"/>
      <c r="T413" s="85"/>
      <c r="U413" s="85"/>
      <c r="V413" s="85"/>
      <c r="W413" s="85"/>
      <c r="X413" s="85"/>
      <c r="Y413" s="85"/>
      <c r="Z413" s="85"/>
    </row>
    <row r="414" spans="1:26" ht="15.75" customHeight="1">
      <c r="A414" s="195" t="s">
        <v>996</v>
      </c>
      <c r="B414" s="195" t="s">
        <v>997</v>
      </c>
      <c r="C414" s="195" t="s">
        <v>998</v>
      </c>
      <c r="D414" s="196">
        <v>36270</v>
      </c>
      <c r="E414" s="14" t="s">
        <v>1611</v>
      </c>
      <c r="F414" s="184">
        <v>15</v>
      </c>
      <c r="G414" s="14">
        <v>0</v>
      </c>
      <c r="H414" s="184">
        <v>0</v>
      </c>
      <c r="I414" s="184">
        <v>1</v>
      </c>
      <c r="J414" s="14" t="s">
        <v>1612</v>
      </c>
      <c r="K414" s="14"/>
      <c r="L414" s="85"/>
      <c r="M414" s="85"/>
      <c r="N414" s="85"/>
      <c r="O414" s="85"/>
      <c r="P414" s="85"/>
      <c r="Q414" s="85"/>
      <c r="R414" s="85"/>
      <c r="S414" s="85"/>
      <c r="T414" s="85"/>
      <c r="U414" s="85"/>
      <c r="V414" s="85"/>
      <c r="W414" s="85"/>
      <c r="X414" s="85"/>
      <c r="Y414" s="85"/>
      <c r="Z414" s="85"/>
    </row>
    <row r="415" spans="1:26" ht="15.75" customHeight="1">
      <c r="A415" s="195" t="s">
        <v>996</v>
      </c>
      <c r="B415" s="195" t="s">
        <v>997</v>
      </c>
      <c r="C415" s="195" t="s">
        <v>998</v>
      </c>
      <c r="D415" s="196">
        <v>36270</v>
      </c>
      <c r="E415" s="14" t="s">
        <v>1613</v>
      </c>
      <c r="F415" s="184">
        <v>47</v>
      </c>
      <c r="G415" s="14">
        <v>0</v>
      </c>
      <c r="H415" s="184">
        <v>0</v>
      </c>
      <c r="I415" s="14">
        <v>1</v>
      </c>
      <c r="J415" s="14" t="s">
        <v>1592</v>
      </c>
      <c r="K415" s="14"/>
      <c r="L415" s="85"/>
      <c r="M415" s="85"/>
      <c r="N415" s="85"/>
      <c r="O415" s="85"/>
      <c r="P415" s="85"/>
      <c r="Q415" s="85"/>
      <c r="R415" s="85"/>
      <c r="S415" s="85"/>
      <c r="T415" s="85"/>
      <c r="U415" s="85"/>
      <c r="V415" s="85"/>
      <c r="W415" s="85"/>
      <c r="X415" s="85"/>
      <c r="Y415" s="85"/>
      <c r="Z415" s="85"/>
    </row>
    <row r="416" spans="1:26" ht="15.75" customHeight="1">
      <c r="A416" s="195" t="s">
        <v>996</v>
      </c>
      <c r="B416" s="195" t="s">
        <v>997</v>
      </c>
      <c r="C416" s="195" t="s">
        <v>998</v>
      </c>
      <c r="D416" s="196">
        <v>36270</v>
      </c>
      <c r="E416" s="14" t="s">
        <v>1614</v>
      </c>
      <c r="F416" s="184">
        <v>17</v>
      </c>
      <c r="G416" s="14">
        <v>1</v>
      </c>
      <c r="H416" s="184">
        <v>0</v>
      </c>
      <c r="I416" s="184">
        <v>1</v>
      </c>
      <c r="J416" s="14" t="s">
        <v>1612</v>
      </c>
      <c r="K416" s="14"/>
      <c r="L416" s="85"/>
      <c r="M416" s="85"/>
      <c r="N416" s="85"/>
      <c r="O416" s="85"/>
      <c r="P416" s="85"/>
      <c r="Q416" s="85"/>
      <c r="R416" s="85"/>
      <c r="S416" s="85"/>
      <c r="T416" s="85"/>
      <c r="U416" s="85"/>
      <c r="V416" s="85"/>
      <c r="W416" s="85"/>
      <c r="X416" s="85"/>
      <c r="Y416" s="85"/>
      <c r="Z416" s="85"/>
    </row>
    <row r="417" spans="1:26" ht="15.75" customHeight="1">
      <c r="A417" s="195" t="s">
        <v>996</v>
      </c>
      <c r="B417" s="195" t="s">
        <v>997</v>
      </c>
      <c r="C417" s="195" t="s">
        <v>998</v>
      </c>
      <c r="D417" s="196">
        <v>36270</v>
      </c>
      <c r="E417" s="14" t="s">
        <v>1615</v>
      </c>
      <c r="F417" s="184">
        <v>18</v>
      </c>
      <c r="G417" s="14">
        <v>0</v>
      </c>
      <c r="H417" s="184">
        <v>1</v>
      </c>
      <c r="I417" s="14">
        <v>2</v>
      </c>
      <c r="J417" s="14" t="s">
        <v>1605</v>
      </c>
      <c r="K417" s="14"/>
      <c r="L417" s="85"/>
      <c r="M417" s="85"/>
      <c r="N417" s="85"/>
      <c r="O417" s="85"/>
      <c r="P417" s="85"/>
      <c r="Q417" s="85"/>
      <c r="R417" s="85"/>
      <c r="S417" s="85"/>
      <c r="T417" s="85"/>
      <c r="U417" s="85"/>
      <c r="V417" s="85"/>
      <c r="W417" s="85"/>
      <c r="X417" s="85"/>
      <c r="Y417" s="85"/>
      <c r="Z417" s="85"/>
    </row>
    <row r="418" spans="1:26" ht="15.75" customHeight="1">
      <c r="A418" s="195" t="s">
        <v>996</v>
      </c>
      <c r="B418" s="195" t="s">
        <v>997</v>
      </c>
      <c r="C418" s="195" t="s">
        <v>998</v>
      </c>
      <c r="D418" s="196">
        <v>36270</v>
      </c>
      <c r="E418" s="14" t="s">
        <v>1616</v>
      </c>
      <c r="F418" s="184">
        <v>16</v>
      </c>
      <c r="G418" s="14">
        <v>0</v>
      </c>
      <c r="H418" s="184">
        <v>0</v>
      </c>
      <c r="I418" s="14">
        <v>2</v>
      </c>
      <c r="J418" s="14" t="s">
        <v>1605</v>
      </c>
      <c r="K418" s="14"/>
      <c r="L418" s="85"/>
      <c r="M418" s="85"/>
      <c r="N418" s="85"/>
      <c r="O418" s="85"/>
      <c r="P418" s="85"/>
      <c r="Q418" s="85"/>
      <c r="R418" s="85"/>
      <c r="S418" s="85"/>
      <c r="T418" s="85"/>
      <c r="U418" s="85"/>
      <c r="V418" s="85"/>
      <c r="W418" s="85"/>
      <c r="X418" s="85"/>
      <c r="Y418" s="85"/>
      <c r="Z418" s="85"/>
    </row>
    <row r="419" spans="1:26" ht="15.75" customHeight="1">
      <c r="A419" s="195" t="s">
        <v>996</v>
      </c>
      <c r="B419" s="195" t="s">
        <v>997</v>
      </c>
      <c r="C419" s="195" t="s">
        <v>998</v>
      </c>
      <c r="D419" s="196">
        <v>36270</v>
      </c>
      <c r="E419" s="14" t="s">
        <v>1617</v>
      </c>
      <c r="F419" s="184">
        <v>18</v>
      </c>
      <c r="G419" s="14">
        <v>1</v>
      </c>
      <c r="H419" s="184">
        <v>0</v>
      </c>
      <c r="I419" s="14">
        <v>2</v>
      </c>
      <c r="J419" s="14" t="s">
        <v>1605</v>
      </c>
      <c r="K419" s="14"/>
      <c r="L419" s="85"/>
      <c r="M419" s="85"/>
      <c r="N419" s="85"/>
      <c r="O419" s="85"/>
      <c r="P419" s="85"/>
      <c r="Q419" s="85"/>
      <c r="R419" s="85"/>
      <c r="S419" s="85"/>
      <c r="T419" s="85"/>
      <c r="U419" s="85"/>
      <c r="V419" s="85"/>
      <c r="W419" s="85"/>
      <c r="X419" s="85"/>
      <c r="Y419" s="85"/>
      <c r="Z419" s="85"/>
    </row>
    <row r="420" spans="1:26" ht="15.75" customHeight="1">
      <c r="A420" s="195" t="s">
        <v>996</v>
      </c>
      <c r="B420" s="195" t="s">
        <v>997</v>
      </c>
      <c r="C420" s="195" t="s">
        <v>998</v>
      </c>
      <c r="D420" s="196">
        <v>36270</v>
      </c>
      <c r="E420" s="14" t="s">
        <v>1618</v>
      </c>
      <c r="F420" s="184">
        <v>16</v>
      </c>
      <c r="G420" s="14">
        <v>0</v>
      </c>
      <c r="H420" s="184">
        <v>2</v>
      </c>
      <c r="I420" s="14">
        <v>2</v>
      </c>
      <c r="J420" s="14" t="s">
        <v>1605</v>
      </c>
      <c r="K420" s="14"/>
      <c r="L420" s="85"/>
      <c r="M420" s="85"/>
      <c r="N420" s="85"/>
      <c r="O420" s="85"/>
      <c r="P420" s="85"/>
      <c r="Q420" s="85"/>
      <c r="R420" s="85"/>
      <c r="S420" s="85"/>
      <c r="T420" s="85"/>
      <c r="U420" s="85"/>
      <c r="V420" s="85"/>
      <c r="W420" s="85"/>
      <c r="X420" s="85"/>
      <c r="Y420" s="85"/>
      <c r="Z420" s="85"/>
    </row>
    <row r="421" spans="1:26" ht="15.75" customHeight="1">
      <c r="A421" s="193">
        <v>73</v>
      </c>
      <c r="B421" s="193" t="s">
        <v>386</v>
      </c>
      <c r="C421" s="193" t="s">
        <v>387</v>
      </c>
      <c r="D421" s="194">
        <v>36314</v>
      </c>
      <c r="E421" s="14" t="s">
        <v>1619</v>
      </c>
      <c r="F421" s="184">
        <v>40</v>
      </c>
      <c r="G421" s="14">
        <v>0</v>
      </c>
      <c r="H421" s="184">
        <v>0</v>
      </c>
      <c r="I421" s="14">
        <v>0</v>
      </c>
      <c r="J421" s="14" t="s">
        <v>100</v>
      </c>
      <c r="K421" s="14"/>
      <c r="L421" s="85"/>
      <c r="M421" s="85"/>
      <c r="N421" s="85"/>
      <c r="O421" s="85"/>
      <c r="P421" s="85"/>
      <c r="Q421" s="85"/>
      <c r="R421" s="85"/>
      <c r="S421" s="85"/>
      <c r="T421" s="85"/>
      <c r="U421" s="85"/>
      <c r="V421" s="85"/>
      <c r="W421" s="85"/>
      <c r="X421" s="85"/>
      <c r="Y421" s="85"/>
      <c r="Z421" s="85"/>
    </row>
    <row r="422" spans="1:26" ht="15.75" customHeight="1">
      <c r="A422" s="193">
        <v>73</v>
      </c>
      <c r="B422" s="193" t="s">
        <v>386</v>
      </c>
      <c r="C422" s="193" t="s">
        <v>387</v>
      </c>
      <c r="D422" s="194">
        <v>36314</v>
      </c>
      <c r="E422" s="184" t="s">
        <v>1620</v>
      </c>
      <c r="F422" s="184">
        <v>41</v>
      </c>
      <c r="G422" s="14">
        <v>0</v>
      </c>
      <c r="H422" s="184">
        <v>2</v>
      </c>
      <c r="I422" s="14">
        <v>0</v>
      </c>
      <c r="J422" s="14" t="s">
        <v>100</v>
      </c>
      <c r="K422" s="14"/>
      <c r="L422" s="85"/>
      <c r="M422" s="85"/>
      <c r="N422" s="85"/>
      <c r="O422" s="85"/>
      <c r="P422" s="85"/>
      <c r="Q422" s="85"/>
      <c r="R422" s="85"/>
      <c r="S422" s="85"/>
      <c r="T422" s="85"/>
      <c r="U422" s="85"/>
      <c r="V422" s="85"/>
      <c r="W422" s="85"/>
      <c r="X422" s="85"/>
      <c r="Y422" s="85"/>
      <c r="Z422" s="85"/>
    </row>
    <row r="423" spans="1:26" ht="15.75" customHeight="1">
      <c r="A423" s="193">
        <v>73</v>
      </c>
      <c r="B423" s="193" t="s">
        <v>386</v>
      </c>
      <c r="C423" s="193" t="s">
        <v>387</v>
      </c>
      <c r="D423" s="194">
        <v>36314</v>
      </c>
      <c r="E423" s="14" t="s">
        <v>1621</v>
      </c>
      <c r="F423" s="184">
        <v>29</v>
      </c>
      <c r="G423" s="14">
        <v>0</v>
      </c>
      <c r="H423" s="184">
        <v>0</v>
      </c>
      <c r="I423" s="14">
        <v>0</v>
      </c>
      <c r="J423" s="14" t="s">
        <v>100</v>
      </c>
      <c r="K423" s="14"/>
      <c r="L423" s="85"/>
      <c r="M423" s="85"/>
      <c r="N423" s="85"/>
      <c r="O423" s="85"/>
      <c r="P423" s="85"/>
      <c r="Q423" s="85"/>
      <c r="R423" s="85"/>
      <c r="S423" s="85"/>
      <c r="T423" s="85"/>
      <c r="U423" s="85"/>
      <c r="V423" s="85"/>
      <c r="W423" s="85"/>
      <c r="X423" s="85"/>
      <c r="Y423" s="85"/>
      <c r="Z423" s="85"/>
    </row>
    <row r="424" spans="1:26" ht="15.75" customHeight="1">
      <c r="A424" s="193">
        <v>73</v>
      </c>
      <c r="B424" s="193" t="s">
        <v>386</v>
      </c>
      <c r="C424" s="193" t="s">
        <v>387</v>
      </c>
      <c r="D424" s="194">
        <v>36314</v>
      </c>
      <c r="E424" s="14" t="s">
        <v>1622</v>
      </c>
      <c r="F424" s="184">
        <v>60</v>
      </c>
      <c r="G424" s="14">
        <v>1</v>
      </c>
      <c r="H424" s="184">
        <v>0</v>
      </c>
      <c r="I424" s="14">
        <v>0</v>
      </c>
      <c r="J424" s="14" t="s">
        <v>100</v>
      </c>
      <c r="K424" s="14"/>
      <c r="L424" s="85"/>
      <c r="M424" s="85"/>
      <c r="N424" s="85"/>
      <c r="O424" s="85"/>
      <c r="P424" s="85"/>
      <c r="Q424" s="85"/>
      <c r="R424" s="85"/>
      <c r="S424" s="85"/>
      <c r="T424" s="85"/>
      <c r="U424" s="85"/>
      <c r="V424" s="85"/>
      <c r="W424" s="85"/>
      <c r="X424" s="85"/>
      <c r="Y424" s="85"/>
      <c r="Z424" s="85"/>
    </row>
    <row r="425" spans="1:26" ht="15.75" customHeight="1">
      <c r="A425" s="199">
        <v>74</v>
      </c>
      <c r="B425" s="199" t="s">
        <v>390</v>
      </c>
      <c r="C425" s="199" t="s">
        <v>136</v>
      </c>
      <c r="D425" s="200">
        <v>36368</v>
      </c>
      <c r="E425" s="14" t="s">
        <v>1623</v>
      </c>
      <c r="F425" s="184">
        <v>27</v>
      </c>
      <c r="G425" s="14">
        <v>1</v>
      </c>
      <c r="H425" s="184">
        <v>0</v>
      </c>
      <c r="I425" s="14">
        <v>1</v>
      </c>
      <c r="J425" s="14" t="s">
        <v>1150</v>
      </c>
      <c r="K425" s="14"/>
      <c r="L425" s="85"/>
      <c r="M425" s="85"/>
      <c r="N425" s="85"/>
      <c r="O425" s="85"/>
      <c r="P425" s="85"/>
      <c r="Q425" s="85"/>
      <c r="R425" s="85"/>
      <c r="S425" s="85"/>
      <c r="T425" s="85"/>
      <c r="U425" s="85"/>
      <c r="V425" s="85"/>
      <c r="W425" s="85"/>
      <c r="X425" s="85"/>
      <c r="Y425" s="85"/>
      <c r="Z425" s="85"/>
    </row>
    <row r="426" spans="1:26" ht="15.75" customHeight="1">
      <c r="A426" s="199">
        <v>74</v>
      </c>
      <c r="B426" s="199" t="s">
        <v>390</v>
      </c>
      <c r="C426" s="199" t="s">
        <v>136</v>
      </c>
      <c r="D426" s="200">
        <v>36369</v>
      </c>
      <c r="E426" s="14" t="s">
        <v>1624</v>
      </c>
      <c r="F426" s="184">
        <v>11</v>
      </c>
      <c r="G426" s="14">
        <v>0</v>
      </c>
      <c r="H426" s="184">
        <v>0</v>
      </c>
      <c r="I426" s="14">
        <v>1</v>
      </c>
      <c r="J426" s="14" t="s">
        <v>1601</v>
      </c>
      <c r="K426" s="14" t="s">
        <v>1625</v>
      </c>
      <c r="L426" s="85"/>
      <c r="M426" s="85"/>
      <c r="N426" s="85"/>
      <c r="O426" s="85"/>
      <c r="P426" s="85"/>
      <c r="Q426" s="85"/>
      <c r="R426" s="85"/>
      <c r="S426" s="85"/>
      <c r="T426" s="85"/>
      <c r="U426" s="85"/>
      <c r="V426" s="85"/>
      <c r="W426" s="85"/>
      <c r="X426" s="85"/>
      <c r="Y426" s="85"/>
      <c r="Z426" s="85"/>
    </row>
    <row r="427" spans="1:26" ht="15.75" customHeight="1">
      <c r="A427" s="199">
        <v>74</v>
      </c>
      <c r="B427" s="199" t="s">
        <v>390</v>
      </c>
      <c r="C427" s="199" t="s">
        <v>136</v>
      </c>
      <c r="D427" s="200">
        <v>36369</v>
      </c>
      <c r="E427" s="14" t="s">
        <v>1626</v>
      </c>
      <c r="F427" s="184">
        <v>8</v>
      </c>
      <c r="G427" s="14">
        <v>1</v>
      </c>
      <c r="H427" s="184">
        <v>0</v>
      </c>
      <c r="I427" s="14">
        <v>1</v>
      </c>
      <c r="J427" s="14" t="s">
        <v>1627</v>
      </c>
      <c r="K427" s="14"/>
      <c r="L427" s="85"/>
      <c r="M427" s="85"/>
      <c r="N427" s="85"/>
      <c r="O427" s="85"/>
      <c r="P427" s="85"/>
      <c r="Q427" s="85"/>
      <c r="R427" s="85"/>
      <c r="S427" s="85"/>
      <c r="T427" s="85"/>
      <c r="U427" s="85"/>
      <c r="V427" s="85"/>
      <c r="W427" s="85"/>
      <c r="X427" s="85"/>
      <c r="Y427" s="85"/>
      <c r="Z427" s="85"/>
    </row>
    <row r="428" spans="1:26" ht="15.75" customHeight="1">
      <c r="A428" s="199">
        <v>74</v>
      </c>
      <c r="B428" s="199" t="s">
        <v>390</v>
      </c>
      <c r="C428" s="199" t="s">
        <v>136</v>
      </c>
      <c r="D428" s="200">
        <v>36370</v>
      </c>
      <c r="E428" s="14" t="s">
        <v>1628</v>
      </c>
      <c r="F428" s="184">
        <v>42</v>
      </c>
      <c r="G428" s="14">
        <v>0</v>
      </c>
      <c r="H428" s="14"/>
      <c r="I428" s="184">
        <v>2</v>
      </c>
      <c r="J428" s="14" t="s">
        <v>1629</v>
      </c>
      <c r="K428" s="14"/>
      <c r="L428" s="85"/>
      <c r="M428" s="85"/>
      <c r="N428" s="85"/>
      <c r="O428" s="85"/>
      <c r="P428" s="85"/>
      <c r="Q428" s="85"/>
      <c r="R428" s="85"/>
      <c r="S428" s="85"/>
      <c r="T428" s="85"/>
      <c r="U428" s="85"/>
      <c r="V428" s="85"/>
      <c r="W428" s="85"/>
      <c r="X428" s="85"/>
      <c r="Y428" s="85"/>
      <c r="Z428" s="85"/>
    </row>
    <row r="429" spans="1:26" ht="15.75" customHeight="1">
      <c r="A429" s="199">
        <v>74</v>
      </c>
      <c r="B429" s="199" t="s">
        <v>390</v>
      </c>
      <c r="C429" s="199" t="s">
        <v>136</v>
      </c>
      <c r="D429" s="200">
        <v>36370</v>
      </c>
      <c r="E429" s="14" t="s">
        <v>1630</v>
      </c>
      <c r="F429" s="184">
        <v>52</v>
      </c>
      <c r="G429" s="14">
        <v>0</v>
      </c>
      <c r="H429" s="184">
        <v>3</v>
      </c>
      <c r="I429" s="184">
        <v>2</v>
      </c>
      <c r="J429" s="185" t="s">
        <v>1629</v>
      </c>
      <c r="K429" s="14"/>
      <c r="L429" s="85"/>
      <c r="M429" s="85"/>
      <c r="N429" s="85"/>
      <c r="O429" s="85"/>
      <c r="P429" s="85"/>
      <c r="Q429" s="85"/>
      <c r="R429" s="85"/>
      <c r="S429" s="85"/>
      <c r="T429" s="85"/>
      <c r="U429" s="85"/>
      <c r="V429" s="85"/>
      <c r="W429" s="85"/>
      <c r="X429" s="85"/>
      <c r="Y429" s="85"/>
      <c r="Z429" s="85"/>
    </row>
    <row r="430" spans="1:26" ht="15.75" customHeight="1">
      <c r="A430" s="199">
        <v>74</v>
      </c>
      <c r="B430" s="199" t="s">
        <v>390</v>
      </c>
      <c r="C430" s="199" t="s">
        <v>136</v>
      </c>
      <c r="D430" s="200">
        <v>36370</v>
      </c>
      <c r="E430" s="14" t="s">
        <v>1631</v>
      </c>
      <c r="F430" s="184">
        <v>60</v>
      </c>
      <c r="G430" s="14">
        <v>0</v>
      </c>
      <c r="H430" s="14"/>
      <c r="I430" s="184">
        <v>2</v>
      </c>
      <c r="J430" s="185" t="s">
        <v>1629</v>
      </c>
      <c r="K430" s="14"/>
      <c r="L430" s="85"/>
      <c r="M430" s="85"/>
      <c r="N430" s="85"/>
      <c r="O430" s="85"/>
      <c r="P430" s="85"/>
      <c r="Q430" s="85"/>
      <c r="R430" s="85"/>
      <c r="S430" s="85"/>
      <c r="T430" s="85"/>
      <c r="U430" s="85"/>
      <c r="V430" s="85"/>
      <c r="W430" s="85"/>
      <c r="X430" s="85"/>
      <c r="Y430" s="85"/>
      <c r="Z430" s="85"/>
    </row>
    <row r="431" spans="1:26" ht="15.75" customHeight="1">
      <c r="A431" s="199">
        <v>74</v>
      </c>
      <c r="B431" s="199" t="s">
        <v>390</v>
      </c>
      <c r="C431" s="199" t="s">
        <v>136</v>
      </c>
      <c r="D431" s="200">
        <v>36370</v>
      </c>
      <c r="E431" s="14" t="s">
        <v>1632</v>
      </c>
      <c r="F431" s="184">
        <v>38</v>
      </c>
      <c r="G431" s="14">
        <v>0</v>
      </c>
      <c r="H431" s="184">
        <v>0</v>
      </c>
      <c r="I431" s="184">
        <v>1</v>
      </c>
      <c r="J431" s="14" t="s">
        <v>1633</v>
      </c>
      <c r="K431" s="14"/>
      <c r="L431" s="85"/>
      <c r="M431" s="85"/>
      <c r="N431" s="85"/>
      <c r="O431" s="85"/>
      <c r="P431" s="85"/>
      <c r="Q431" s="85"/>
      <c r="R431" s="85"/>
      <c r="S431" s="85"/>
      <c r="T431" s="85"/>
      <c r="U431" s="85"/>
      <c r="V431" s="85"/>
      <c r="W431" s="85"/>
      <c r="X431" s="85"/>
      <c r="Y431" s="85"/>
      <c r="Z431" s="85"/>
    </row>
    <row r="432" spans="1:26" ht="15.75" customHeight="1">
      <c r="A432" s="199">
        <v>74</v>
      </c>
      <c r="B432" s="199" t="s">
        <v>390</v>
      </c>
      <c r="C432" s="199" t="s">
        <v>136</v>
      </c>
      <c r="D432" s="200">
        <v>36370</v>
      </c>
      <c r="E432" s="14" t="s">
        <v>1634</v>
      </c>
      <c r="F432" s="184">
        <v>45</v>
      </c>
      <c r="G432" s="14">
        <v>0</v>
      </c>
      <c r="H432" s="184">
        <v>4</v>
      </c>
      <c r="I432" s="184">
        <v>2</v>
      </c>
      <c r="J432" s="185" t="s">
        <v>1629</v>
      </c>
      <c r="K432" s="14"/>
      <c r="L432" s="85"/>
      <c r="M432" s="85"/>
      <c r="N432" s="85"/>
      <c r="O432" s="85"/>
      <c r="P432" s="85"/>
      <c r="Q432" s="85"/>
      <c r="R432" s="85"/>
      <c r="S432" s="85"/>
      <c r="T432" s="85"/>
      <c r="U432" s="85"/>
      <c r="V432" s="85"/>
      <c r="W432" s="85"/>
      <c r="X432" s="85"/>
      <c r="Y432" s="85"/>
      <c r="Z432" s="85"/>
    </row>
    <row r="433" spans="1:26" ht="15.75" customHeight="1">
      <c r="A433" s="199">
        <v>74</v>
      </c>
      <c r="B433" s="199" t="s">
        <v>390</v>
      </c>
      <c r="C433" s="199" t="s">
        <v>136</v>
      </c>
      <c r="D433" s="200">
        <v>36370</v>
      </c>
      <c r="E433" s="14" t="s">
        <v>1635</v>
      </c>
      <c r="F433" s="184">
        <v>44</v>
      </c>
      <c r="G433" s="14">
        <v>1</v>
      </c>
      <c r="H433" s="184">
        <v>3</v>
      </c>
      <c r="I433" s="184">
        <v>0</v>
      </c>
      <c r="J433" s="185" t="s">
        <v>100</v>
      </c>
      <c r="K433" s="14"/>
      <c r="L433" s="85"/>
      <c r="M433" s="85"/>
      <c r="N433" s="85"/>
      <c r="O433" s="85"/>
      <c r="P433" s="85"/>
      <c r="Q433" s="85"/>
      <c r="R433" s="85"/>
      <c r="S433" s="85"/>
      <c r="T433" s="85"/>
      <c r="U433" s="85"/>
      <c r="V433" s="85"/>
      <c r="W433" s="85"/>
      <c r="X433" s="85"/>
      <c r="Y433" s="85"/>
      <c r="Z433" s="85"/>
    </row>
    <row r="434" spans="1:26" ht="15.75" customHeight="1">
      <c r="A434" s="199">
        <v>74</v>
      </c>
      <c r="B434" s="199" t="s">
        <v>390</v>
      </c>
      <c r="C434" s="199" t="s">
        <v>136</v>
      </c>
      <c r="D434" s="200">
        <v>36370</v>
      </c>
      <c r="E434" s="14" t="s">
        <v>1636</v>
      </c>
      <c r="F434" s="184">
        <v>58</v>
      </c>
      <c r="G434" s="14">
        <v>0</v>
      </c>
      <c r="H434" s="14"/>
      <c r="I434" s="184">
        <v>2</v>
      </c>
      <c r="J434" s="185" t="s">
        <v>1629</v>
      </c>
      <c r="K434" s="14"/>
      <c r="L434" s="85"/>
      <c r="M434" s="85"/>
      <c r="N434" s="85"/>
      <c r="O434" s="85"/>
      <c r="P434" s="85"/>
      <c r="Q434" s="85"/>
      <c r="R434" s="85"/>
      <c r="S434" s="85"/>
      <c r="T434" s="85"/>
      <c r="U434" s="85"/>
      <c r="V434" s="85"/>
      <c r="W434" s="85"/>
      <c r="X434" s="85"/>
      <c r="Y434" s="85"/>
      <c r="Z434" s="85"/>
    </row>
    <row r="435" spans="1:26" ht="15.75" customHeight="1">
      <c r="A435" s="199">
        <v>74</v>
      </c>
      <c r="B435" s="199" t="s">
        <v>390</v>
      </c>
      <c r="C435" s="199" t="s">
        <v>136</v>
      </c>
      <c r="D435" s="200">
        <v>36370</v>
      </c>
      <c r="E435" s="14" t="s">
        <v>1637</v>
      </c>
      <c r="F435" s="184">
        <v>48</v>
      </c>
      <c r="G435" s="14">
        <v>0</v>
      </c>
      <c r="H435" s="184">
        <v>0</v>
      </c>
      <c r="I435" s="184">
        <v>2</v>
      </c>
      <c r="J435" s="185" t="s">
        <v>1629</v>
      </c>
      <c r="K435" s="14"/>
      <c r="L435" s="85"/>
      <c r="M435" s="85"/>
      <c r="N435" s="85"/>
      <c r="O435" s="85"/>
      <c r="P435" s="85"/>
      <c r="Q435" s="85"/>
      <c r="R435" s="85"/>
      <c r="S435" s="85"/>
      <c r="T435" s="85"/>
      <c r="U435" s="85"/>
      <c r="V435" s="85"/>
      <c r="W435" s="85"/>
      <c r="X435" s="85"/>
      <c r="Y435" s="85"/>
      <c r="Z435" s="85"/>
    </row>
    <row r="436" spans="1:26" ht="15.75" customHeight="1">
      <c r="A436" s="199">
        <v>74</v>
      </c>
      <c r="B436" s="199" t="s">
        <v>390</v>
      </c>
      <c r="C436" s="199" t="s">
        <v>136</v>
      </c>
      <c r="D436" s="200">
        <v>36370</v>
      </c>
      <c r="E436" s="14" t="s">
        <v>1638</v>
      </c>
      <c r="F436" s="184">
        <v>30</v>
      </c>
      <c r="G436" s="14">
        <v>0</v>
      </c>
      <c r="H436" s="14"/>
      <c r="I436" s="184">
        <v>2</v>
      </c>
      <c r="J436" s="185" t="s">
        <v>1629</v>
      </c>
      <c r="K436" s="14"/>
      <c r="L436" s="85"/>
      <c r="M436" s="85"/>
      <c r="N436" s="85"/>
      <c r="O436" s="85"/>
      <c r="P436" s="85"/>
      <c r="Q436" s="85"/>
      <c r="R436" s="85"/>
      <c r="S436" s="85"/>
      <c r="T436" s="85"/>
      <c r="U436" s="85"/>
      <c r="V436" s="85"/>
      <c r="W436" s="85"/>
      <c r="X436" s="85"/>
      <c r="Y436" s="85"/>
      <c r="Z436" s="85"/>
    </row>
    <row r="437" spans="1:26" ht="15.75" customHeight="1">
      <c r="A437" s="205">
        <v>75</v>
      </c>
      <c r="B437" s="205" t="s">
        <v>393</v>
      </c>
      <c r="C437" s="205" t="s">
        <v>394</v>
      </c>
      <c r="D437" s="206">
        <v>36418</v>
      </c>
      <c r="E437" s="14" t="s">
        <v>1639</v>
      </c>
      <c r="F437" s="184">
        <v>14</v>
      </c>
      <c r="G437" s="14">
        <v>1</v>
      </c>
      <c r="H437" s="184">
        <v>0</v>
      </c>
      <c r="I437" s="14">
        <v>0</v>
      </c>
      <c r="J437" s="14" t="s">
        <v>100</v>
      </c>
      <c r="K437" s="14"/>
      <c r="L437" s="85"/>
      <c r="M437" s="85"/>
      <c r="N437" s="85"/>
      <c r="O437" s="85"/>
      <c r="P437" s="85"/>
      <c r="Q437" s="85"/>
      <c r="R437" s="85"/>
      <c r="S437" s="85"/>
      <c r="T437" s="85"/>
      <c r="U437" s="85"/>
      <c r="V437" s="85"/>
      <c r="W437" s="85"/>
      <c r="X437" s="85"/>
      <c r="Y437" s="85"/>
      <c r="Z437" s="85"/>
    </row>
    <row r="438" spans="1:26" ht="15.75" customHeight="1">
      <c r="A438" s="205">
        <v>75</v>
      </c>
      <c r="B438" s="205" t="s">
        <v>393</v>
      </c>
      <c r="C438" s="205" t="s">
        <v>394</v>
      </c>
      <c r="D438" s="206">
        <v>36418</v>
      </c>
      <c r="E438" s="14" t="s">
        <v>1640</v>
      </c>
      <c r="F438" s="184">
        <v>23</v>
      </c>
      <c r="G438" s="14">
        <v>0</v>
      </c>
      <c r="H438" s="184" t="str">
        <f>HYPERLINK("https://www.findagrave.com/memorial/50056121/shawn-christopher-brown","0")</f>
        <v>0</v>
      </c>
      <c r="I438" s="14">
        <v>0</v>
      </c>
      <c r="J438" s="14" t="s">
        <v>100</v>
      </c>
      <c r="K438" s="14"/>
      <c r="L438" s="85"/>
      <c r="M438" s="85"/>
      <c r="N438" s="85"/>
      <c r="O438" s="85"/>
      <c r="P438" s="85"/>
      <c r="Q438" s="85"/>
      <c r="R438" s="85"/>
      <c r="S438" s="85"/>
      <c r="T438" s="85"/>
      <c r="U438" s="85"/>
      <c r="V438" s="85"/>
      <c r="W438" s="85"/>
      <c r="X438" s="85"/>
      <c r="Y438" s="85"/>
      <c r="Z438" s="85"/>
    </row>
    <row r="439" spans="1:26" ht="15.75" customHeight="1">
      <c r="A439" s="205">
        <v>75</v>
      </c>
      <c r="B439" s="205" t="s">
        <v>393</v>
      </c>
      <c r="C439" s="205" t="s">
        <v>394</v>
      </c>
      <c r="D439" s="206">
        <v>36418</v>
      </c>
      <c r="E439" s="14" t="s">
        <v>1641</v>
      </c>
      <c r="F439" s="184">
        <v>36</v>
      </c>
      <c r="G439" s="14">
        <v>1</v>
      </c>
      <c r="H439" s="184" t="str">
        <f>HYPERLINK("https://www.findagrave.com/memorial/207376684/sydney-browning","0")</f>
        <v>0</v>
      </c>
      <c r="I439" s="14">
        <v>0</v>
      </c>
      <c r="J439" s="14" t="s">
        <v>100</v>
      </c>
      <c r="K439" s="14"/>
      <c r="L439" s="85"/>
      <c r="M439" s="85"/>
      <c r="N439" s="85"/>
      <c r="O439" s="85"/>
      <c r="P439" s="85"/>
      <c r="Q439" s="85"/>
      <c r="R439" s="85"/>
      <c r="S439" s="85"/>
      <c r="T439" s="85"/>
      <c r="U439" s="85"/>
      <c r="V439" s="85"/>
      <c r="W439" s="85"/>
      <c r="X439" s="85"/>
      <c r="Y439" s="85"/>
      <c r="Z439" s="85"/>
    </row>
    <row r="440" spans="1:26" ht="15.75" customHeight="1">
      <c r="A440" s="205">
        <v>75</v>
      </c>
      <c r="B440" s="205" t="s">
        <v>393</v>
      </c>
      <c r="C440" s="205" t="s">
        <v>394</v>
      </c>
      <c r="D440" s="206">
        <v>36418</v>
      </c>
      <c r="E440" s="14" t="s">
        <v>1642</v>
      </c>
      <c r="F440" s="184">
        <v>14</v>
      </c>
      <c r="G440" s="14">
        <v>0</v>
      </c>
      <c r="H440" s="184">
        <v>0</v>
      </c>
      <c r="I440" s="14">
        <v>0</v>
      </c>
      <c r="J440" s="14" t="s">
        <v>100</v>
      </c>
      <c r="K440" s="14"/>
      <c r="L440" s="85"/>
      <c r="M440" s="85"/>
      <c r="N440" s="85"/>
      <c r="O440" s="85"/>
      <c r="P440" s="85"/>
      <c r="Q440" s="85"/>
      <c r="R440" s="85"/>
      <c r="S440" s="85"/>
      <c r="T440" s="85"/>
      <c r="U440" s="85"/>
      <c r="V440" s="85"/>
      <c r="W440" s="85"/>
      <c r="X440" s="85"/>
      <c r="Y440" s="85"/>
      <c r="Z440" s="85"/>
    </row>
    <row r="441" spans="1:26" ht="15.75" customHeight="1">
      <c r="A441" s="205">
        <v>75</v>
      </c>
      <c r="B441" s="205" t="s">
        <v>393</v>
      </c>
      <c r="C441" s="205" t="s">
        <v>394</v>
      </c>
      <c r="D441" s="206">
        <v>36418</v>
      </c>
      <c r="E441" s="14" t="s">
        <v>1643</v>
      </c>
      <c r="F441" s="184">
        <v>14</v>
      </c>
      <c r="G441" s="14">
        <v>1</v>
      </c>
      <c r="H441" s="184">
        <v>0</v>
      </c>
      <c r="I441" s="14">
        <v>0</v>
      </c>
      <c r="J441" s="14" t="s">
        <v>100</v>
      </c>
      <c r="K441" s="14"/>
      <c r="L441" s="85"/>
      <c r="M441" s="85"/>
      <c r="N441" s="85"/>
      <c r="O441" s="85"/>
      <c r="P441" s="85"/>
      <c r="Q441" s="85"/>
      <c r="R441" s="85"/>
      <c r="S441" s="85"/>
      <c r="T441" s="85"/>
      <c r="U441" s="85"/>
      <c r="V441" s="85"/>
      <c r="W441" s="85"/>
      <c r="X441" s="85"/>
      <c r="Y441" s="85"/>
      <c r="Z441" s="85"/>
    </row>
    <row r="442" spans="1:26" ht="15.75" customHeight="1">
      <c r="A442" s="205">
        <v>75</v>
      </c>
      <c r="B442" s="205" t="s">
        <v>393</v>
      </c>
      <c r="C442" s="205" t="s">
        <v>394</v>
      </c>
      <c r="D442" s="206">
        <v>36418</v>
      </c>
      <c r="E442" s="14" t="s">
        <v>1644</v>
      </c>
      <c r="F442" s="184">
        <v>23</v>
      </c>
      <c r="G442" s="14">
        <v>1</v>
      </c>
      <c r="H442" s="184">
        <v>0</v>
      </c>
      <c r="I442" s="14">
        <v>0</v>
      </c>
      <c r="J442" s="14" t="s">
        <v>100</v>
      </c>
      <c r="K442" s="14"/>
      <c r="L442" s="85"/>
      <c r="M442" s="85"/>
      <c r="N442" s="85"/>
      <c r="O442" s="85"/>
      <c r="P442" s="85"/>
      <c r="Q442" s="85"/>
      <c r="R442" s="85"/>
      <c r="S442" s="85"/>
      <c r="T442" s="85"/>
      <c r="U442" s="85"/>
      <c r="V442" s="85"/>
      <c r="W442" s="85"/>
      <c r="X442" s="85"/>
      <c r="Y442" s="85"/>
      <c r="Z442" s="85"/>
    </row>
    <row r="443" spans="1:26" ht="15.75" customHeight="1">
      <c r="A443" s="205">
        <v>75</v>
      </c>
      <c r="B443" s="205" t="s">
        <v>393</v>
      </c>
      <c r="C443" s="205" t="s">
        <v>394</v>
      </c>
      <c r="D443" s="206">
        <v>36418</v>
      </c>
      <c r="E443" s="14" t="s">
        <v>1645</v>
      </c>
      <c r="F443" s="184">
        <v>17</v>
      </c>
      <c r="G443" s="14">
        <v>0</v>
      </c>
      <c r="H443" s="184">
        <v>0</v>
      </c>
      <c r="I443" s="14">
        <v>0</v>
      </c>
      <c r="J443" s="14" t="s">
        <v>100</v>
      </c>
      <c r="K443" s="14"/>
      <c r="L443" s="85"/>
      <c r="M443" s="85"/>
      <c r="N443" s="85"/>
      <c r="O443" s="85"/>
      <c r="P443" s="85"/>
      <c r="Q443" s="85"/>
      <c r="R443" s="85"/>
      <c r="S443" s="85"/>
      <c r="T443" s="85"/>
      <c r="U443" s="85"/>
      <c r="V443" s="85"/>
      <c r="W443" s="85"/>
      <c r="X443" s="85"/>
      <c r="Y443" s="85"/>
      <c r="Z443" s="85"/>
    </row>
    <row r="444" spans="1:26" ht="15.75" customHeight="1">
      <c r="A444" s="191">
        <v>76</v>
      </c>
      <c r="B444" s="191" t="s">
        <v>398</v>
      </c>
      <c r="C444" s="191" t="s">
        <v>399</v>
      </c>
      <c r="D444" s="192">
        <v>36466</v>
      </c>
      <c r="E444" s="14" t="s">
        <v>1646</v>
      </c>
      <c r="F444" s="184">
        <v>33</v>
      </c>
      <c r="G444" s="14">
        <v>0</v>
      </c>
      <c r="H444" s="184">
        <v>3</v>
      </c>
      <c r="I444" s="14">
        <v>1</v>
      </c>
      <c r="J444" s="14" t="s">
        <v>1175</v>
      </c>
      <c r="K444" s="14"/>
      <c r="L444" s="85"/>
      <c r="M444" s="85"/>
      <c r="N444" s="85"/>
      <c r="O444" s="85"/>
      <c r="P444" s="85"/>
      <c r="Q444" s="85"/>
      <c r="R444" s="85"/>
      <c r="S444" s="85"/>
      <c r="T444" s="85"/>
      <c r="U444" s="85"/>
      <c r="V444" s="85"/>
      <c r="W444" s="85"/>
      <c r="X444" s="85"/>
      <c r="Y444" s="85"/>
      <c r="Z444" s="85"/>
    </row>
    <row r="445" spans="1:26" ht="15.75" customHeight="1">
      <c r="A445" s="191">
        <v>76</v>
      </c>
      <c r="B445" s="191" t="s">
        <v>398</v>
      </c>
      <c r="C445" s="191" t="s">
        <v>399</v>
      </c>
      <c r="D445" s="192">
        <v>36466</v>
      </c>
      <c r="E445" s="14" t="s">
        <v>1647</v>
      </c>
      <c r="F445" s="184">
        <v>41</v>
      </c>
      <c r="G445" s="14">
        <v>0</v>
      </c>
      <c r="H445" s="184">
        <v>3</v>
      </c>
      <c r="I445" s="14">
        <v>1</v>
      </c>
      <c r="J445" s="14" t="s">
        <v>1175</v>
      </c>
      <c r="K445" s="14"/>
      <c r="L445" s="85"/>
      <c r="M445" s="85"/>
      <c r="N445" s="85"/>
      <c r="O445" s="85"/>
      <c r="P445" s="85"/>
      <c r="Q445" s="85"/>
      <c r="R445" s="85"/>
      <c r="S445" s="85"/>
      <c r="T445" s="85"/>
      <c r="U445" s="85"/>
      <c r="V445" s="85"/>
      <c r="W445" s="85"/>
      <c r="X445" s="85"/>
      <c r="Y445" s="85"/>
      <c r="Z445" s="85"/>
    </row>
    <row r="446" spans="1:26" ht="15.75" customHeight="1">
      <c r="A446" s="191">
        <v>76</v>
      </c>
      <c r="B446" s="191" t="s">
        <v>398</v>
      </c>
      <c r="C446" s="191" t="s">
        <v>399</v>
      </c>
      <c r="D446" s="192">
        <v>36466</v>
      </c>
      <c r="E446" s="14" t="s">
        <v>1648</v>
      </c>
      <c r="F446" s="184">
        <v>50</v>
      </c>
      <c r="G446" s="14">
        <v>0</v>
      </c>
      <c r="H446" s="184">
        <v>3</v>
      </c>
      <c r="I446" s="14">
        <v>1</v>
      </c>
      <c r="J446" s="14" t="s">
        <v>1175</v>
      </c>
      <c r="K446" s="14"/>
      <c r="L446" s="85"/>
      <c r="M446" s="85"/>
      <c r="N446" s="85"/>
      <c r="O446" s="85"/>
      <c r="P446" s="85"/>
      <c r="Q446" s="85"/>
      <c r="R446" s="85"/>
      <c r="S446" s="85"/>
      <c r="T446" s="85"/>
      <c r="U446" s="85"/>
      <c r="V446" s="85"/>
      <c r="W446" s="85"/>
      <c r="X446" s="85"/>
      <c r="Y446" s="85"/>
      <c r="Z446" s="85"/>
    </row>
    <row r="447" spans="1:26" ht="15.75" customHeight="1">
      <c r="A447" s="191">
        <v>76</v>
      </c>
      <c r="B447" s="191" t="s">
        <v>398</v>
      </c>
      <c r="C447" s="191" t="s">
        <v>399</v>
      </c>
      <c r="D447" s="192">
        <v>36466</v>
      </c>
      <c r="E447" s="14" t="s">
        <v>1649</v>
      </c>
      <c r="F447" s="184">
        <v>54</v>
      </c>
      <c r="G447" s="14">
        <v>0</v>
      </c>
      <c r="H447" s="184">
        <v>3</v>
      </c>
      <c r="I447" s="14">
        <v>1</v>
      </c>
      <c r="J447" s="14" t="s">
        <v>1175</v>
      </c>
      <c r="K447" s="14"/>
      <c r="L447" s="85"/>
      <c r="M447" s="85"/>
      <c r="N447" s="85"/>
      <c r="O447" s="85"/>
      <c r="P447" s="85"/>
      <c r="Q447" s="85"/>
      <c r="R447" s="85"/>
      <c r="S447" s="85"/>
      <c r="T447" s="85"/>
      <c r="U447" s="85"/>
      <c r="V447" s="85"/>
      <c r="W447" s="85"/>
      <c r="X447" s="85"/>
      <c r="Y447" s="85"/>
      <c r="Z447" s="85"/>
    </row>
    <row r="448" spans="1:26" ht="15.75" customHeight="1">
      <c r="A448" s="191">
        <v>76</v>
      </c>
      <c r="B448" s="191" t="s">
        <v>398</v>
      </c>
      <c r="C448" s="191" t="s">
        <v>399</v>
      </c>
      <c r="D448" s="192">
        <v>36466</v>
      </c>
      <c r="E448" s="14" t="s">
        <v>1650</v>
      </c>
      <c r="F448" s="184">
        <v>58</v>
      </c>
      <c r="G448" s="14">
        <v>0</v>
      </c>
      <c r="H448" s="184">
        <v>3</v>
      </c>
      <c r="I448" s="14">
        <v>1</v>
      </c>
      <c r="J448" s="14" t="s">
        <v>1175</v>
      </c>
      <c r="K448" s="14"/>
      <c r="L448" s="85"/>
      <c r="M448" s="85"/>
      <c r="N448" s="85"/>
      <c r="O448" s="85"/>
      <c r="P448" s="85"/>
      <c r="Q448" s="85"/>
      <c r="R448" s="85"/>
      <c r="S448" s="85"/>
      <c r="T448" s="85"/>
      <c r="U448" s="85"/>
      <c r="V448" s="85"/>
      <c r="W448" s="85"/>
      <c r="X448" s="85"/>
      <c r="Y448" s="85"/>
      <c r="Z448" s="85"/>
    </row>
    <row r="449" spans="1:26" ht="15.75" customHeight="1">
      <c r="A449" s="191">
        <v>76</v>
      </c>
      <c r="B449" s="191" t="s">
        <v>398</v>
      </c>
      <c r="C449" s="191" t="s">
        <v>399</v>
      </c>
      <c r="D449" s="192">
        <v>36466</v>
      </c>
      <c r="E449" s="14" t="s">
        <v>1651</v>
      </c>
      <c r="F449" s="184">
        <v>46</v>
      </c>
      <c r="G449" s="14">
        <v>0</v>
      </c>
      <c r="H449" s="184">
        <v>3</v>
      </c>
      <c r="I449" s="14">
        <v>1</v>
      </c>
      <c r="J449" s="14" t="s">
        <v>1175</v>
      </c>
      <c r="K449" s="14"/>
      <c r="L449" s="85"/>
      <c r="M449" s="85"/>
      <c r="N449" s="85"/>
      <c r="O449" s="85"/>
      <c r="P449" s="85"/>
      <c r="Q449" s="85"/>
      <c r="R449" s="85"/>
      <c r="S449" s="85"/>
      <c r="T449" s="85"/>
      <c r="U449" s="85"/>
      <c r="V449" s="85"/>
      <c r="W449" s="85"/>
      <c r="X449" s="85"/>
      <c r="Y449" s="85"/>
      <c r="Z449" s="85"/>
    </row>
    <row r="450" spans="1:26" ht="15.75" customHeight="1">
      <c r="A450" s="191">
        <v>76</v>
      </c>
      <c r="B450" s="191" t="s">
        <v>398</v>
      </c>
      <c r="C450" s="191" t="s">
        <v>399</v>
      </c>
      <c r="D450" s="192">
        <v>36466</v>
      </c>
      <c r="E450" s="14" t="s">
        <v>1652</v>
      </c>
      <c r="F450" s="184">
        <v>36</v>
      </c>
      <c r="G450" s="14">
        <v>0</v>
      </c>
      <c r="H450" s="184">
        <v>3</v>
      </c>
      <c r="I450" s="14">
        <v>1</v>
      </c>
      <c r="J450" s="14" t="s">
        <v>1175</v>
      </c>
      <c r="K450" s="14"/>
      <c r="L450" s="85"/>
      <c r="M450" s="85"/>
      <c r="N450" s="85"/>
      <c r="O450" s="85"/>
      <c r="P450" s="85"/>
      <c r="Q450" s="85"/>
      <c r="R450" s="85"/>
      <c r="S450" s="85"/>
      <c r="T450" s="85"/>
      <c r="U450" s="85"/>
      <c r="V450" s="85"/>
      <c r="W450" s="85"/>
      <c r="X450" s="85"/>
      <c r="Y450" s="85"/>
      <c r="Z450" s="85"/>
    </row>
    <row r="451" spans="1:26" ht="15.75" customHeight="1">
      <c r="A451" s="203">
        <v>77</v>
      </c>
      <c r="B451" s="203" t="s">
        <v>403</v>
      </c>
      <c r="C451" s="203" t="s">
        <v>404</v>
      </c>
      <c r="D451" s="204">
        <v>36524</v>
      </c>
      <c r="E451" s="14" t="s">
        <v>1653</v>
      </c>
      <c r="F451" s="184">
        <v>40</v>
      </c>
      <c r="G451" s="14">
        <v>0</v>
      </c>
      <c r="H451" s="14">
        <v>2</v>
      </c>
      <c r="I451" s="14">
        <v>1</v>
      </c>
      <c r="J451" s="14" t="s">
        <v>1175</v>
      </c>
      <c r="K451" s="14"/>
      <c r="L451" s="85"/>
      <c r="M451" s="85"/>
      <c r="N451" s="85"/>
      <c r="O451" s="85"/>
      <c r="P451" s="85"/>
      <c r="Q451" s="85"/>
      <c r="R451" s="85"/>
      <c r="S451" s="85"/>
      <c r="T451" s="85"/>
      <c r="U451" s="85"/>
      <c r="V451" s="85"/>
      <c r="W451" s="85"/>
      <c r="X451" s="85"/>
      <c r="Y451" s="85"/>
      <c r="Z451" s="85"/>
    </row>
    <row r="452" spans="1:26" ht="15.75" customHeight="1">
      <c r="A452" s="203">
        <v>77</v>
      </c>
      <c r="B452" s="203" t="s">
        <v>403</v>
      </c>
      <c r="C452" s="203" t="s">
        <v>404</v>
      </c>
      <c r="D452" s="204">
        <v>36524</v>
      </c>
      <c r="E452" s="14" t="s">
        <v>1654</v>
      </c>
      <c r="F452" s="184">
        <v>55</v>
      </c>
      <c r="G452" s="14">
        <v>1</v>
      </c>
      <c r="H452" s="14"/>
      <c r="I452" s="14">
        <v>1</v>
      </c>
      <c r="J452" s="14" t="s">
        <v>1175</v>
      </c>
      <c r="K452" s="14"/>
      <c r="L452" s="85"/>
      <c r="M452" s="85"/>
      <c r="N452" s="85"/>
      <c r="O452" s="85"/>
      <c r="P452" s="85"/>
      <c r="Q452" s="85"/>
      <c r="R452" s="85"/>
      <c r="S452" s="85"/>
      <c r="T452" s="85"/>
      <c r="U452" s="85"/>
      <c r="V452" s="85"/>
      <c r="W452" s="85"/>
      <c r="X452" s="85"/>
      <c r="Y452" s="85"/>
      <c r="Z452" s="85"/>
    </row>
    <row r="453" spans="1:26" ht="15.75" customHeight="1">
      <c r="A453" s="203">
        <v>77</v>
      </c>
      <c r="B453" s="203" t="s">
        <v>403</v>
      </c>
      <c r="C453" s="203" t="s">
        <v>404</v>
      </c>
      <c r="D453" s="204">
        <v>36524</v>
      </c>
      <c r="E453" s="14" t="s">
        <v>1655</v>
      </c>
      <c r="F453" s="184">
        <v>43</v>
      </c>
      <c r="G453" s="14">
        <v>0</v>
      </c>
      <c r="H453" s="14"/>
      <c r="I453" s="14">
        <v>1</v>
      </c>
      <c r="J453" s="14" t="s">
        <v>1175</v>
      </c>
      <c r="K453" s="14"/>
      <c r="L453" s="85"/>
      <c r="M453" s="85"/>
      <c r="N453" s="85"/>
      <c r="O453" s="85"/>
      <c r="P453" s="85"/>
      <c r="Q453" s="85"/>
      <c r="R453" s="85"/>
      <c r="S453" s="85"/>
      <c r="T453" s="85"/>
      <c r="U453" s="85"/>
      <c r="V453" s="85"/>
      <c r="W453" s="85"/>
      <c r="X453" s="85"/>
      <c r="Y453" s="85"/>
      <c r="Z453" s="85"/>
    </row>
    <row r="454" spans="1:26" ht="15.75" customHeight="1">
      <c r="A454" s="203">
        <v>77</v>
      </c>
      <c r="B454" s="203" t="s">
        <v>403</v>
      </c>
      <c r="C454" s="203" t="s">
        <v>404</v>
      </c>
      <c r="D454" s="204">
        <v>36524</v>
      </c>
      <c r="E454" s="14" t="s">
        <v>1656</v>
      </c>
      <c r="F454" s="184">
        <v>29</v>
      </c>
      <c r="G454" s="14">
        <v>0</v>
      </c>
      <c r="H454" s="14">
        <v>2</v>
      </c>
      <c r="I454" s="14">
        <v>1</v>
      </c>
      <c r="J454" s="14" t="s">
        <v>1175</v>
      </c>
      <c r="K454" s="14"/>
      <c r="L454" s="85"/>
      <c r="M454" s="85"/>
      <c r="N454" s="85"/>
      <c r="O454" s="85"/>
      <c r="P454" s="85"/>
      <c r="Q454" s="85"/>
      <c r="R454" s="85"/>
      <c r="S454" s="85"/>
      <c r="T454" s="85"/>
      <c r="U454" s="85"/>
      <c r="V454" s="85"/>
      <c r="W454" s="85"/>
      <c r="X454" s="85"/>
      <c r="Y454" s="85"/>
      <c r="Z454" s="85"/>
    </row>
    <row r="455" spans="1:26" ht="15.75" customHeight="1">
      <c r="A455" s="203">
        <v>77</v>
      </c>
      <c r="B455" s="203" t="s">
        <v>403</v>
      </c>
      <c r="C455" s="203" t="s">
        <v>404</v>
      </c>
      <c r="D455" s="204">
        <v>36524</v>
      </c>
      <c r="E455" s="14" t="s">
        <v>1657</v>
      </c>
      <c r="F455" s="184">
        <v>56</v>
      </c>
      <c r="G455" s="14">
        <v>1</v>
      </c>
      <c r="H455" s="14">
        <v>2</v>
      </c>
      <c r="I455" s="14">
        <v>0</v>
      </c>
      <c r="J455" s="14" t="s">
        <v>100</v>
      </c>
      <c r="K455" s="14"/>
      <c r="L455" s="85"/>
      <c r="M455" s="85"/>
      <c r="N455" s="85"/>
      <c r="O455" s="85"/>
      <c r="P455" s="85"/>
      <c r="Q455" s="85"/>
      <c r="R455" s="85"/>
      <c r="S455" s="85"/>
      <c r="T455" s="85"/>
      <c r="U455" s="85"/>
      <c r="V455" s="85"/>
      <c r="W455" s="85"/>
      <c r="X455" s="85"/>
      <c r="Y455" s="85"/>
      <c r="Z455" s="85"/>
    </row>
    <row r="456" spans="1:26" ht="15.75" customHeight="1">
      <c r="A456" s="193">
        <v>78</v>
      </c>
      <c r="B456" s="193" t="s">
        <v>263</v>
      </c>
      <c r="C456" s="193" t="s">
        <v>102</v>
      </c>
      <c r="D456" s="194">
        <v>36605</v>
      </c>
      <c r="E456" s="14" t="s">
        <v>1658</v>
      </c>
      <c r="F456" s="184">
        <v>15</v>
      </c>
      <c r="G456" s="14">
        <v>0</v>
      </c>
      <c r="H456" s="184">
        <v>2</v>
      </c>
      <c r="I456" s="14">
        <v>1</v>
      </c>
      <c r="J456" s="14" t="s">
        <v>1384</v>
      </c>
      <c r="K456" s="14"/>
      <c r="L456" s="85"/>
      <c r="M456" s="85"/>
      <c r="N456" s="85"/>
      <c r="O456" s="85"/>
      <c r="P456" s="85"/>
      <c r="Q456" s="85"/>
      <c r="R456" s="85"/>
      <c r="S456" s="85"/>
      <c r="T456" s="85"/>
      <c r="U456" s="85"/>
      <c r="V456" s="85"/>
      <c r="W456" s="85"/>
      <c r="X456" s="85"/>
      <c r="Y456" s="85"/>
      <c r="Z456" s="85"/>
    </row>
    <row r="457" spans="1:26" ht="15.75" customHeight="1">
      <c r="A457" s="193">
        <v>78</v>
      </c>
      <c r="B457" s="193" t="s">
        <v>263</v>
      </c>
      <c r="C457" s="193" t="s">
        <v>102</v>
      </c>
      <c r="D457" s="194">
        <v>36605</v>
      </c>
      <c r="E457" s="14" t="s">
        <v>1659</v>
      </c>
      <c r="F457" s="184">
        <v>48</v>
      </c>
      <c r="G457" s="14">
        <v>0</v>
      </c>
      <c r="H457" s="184">
        <v>0</v>
      </c>
      <c r="I457" s="14">
        <v>1</v>
      </c>
      <c r="J457" s="14" t="s">
        <v>1430</v>
      </c>
      <c r="K457" s="14"/>
      <c r="L457" s="85"/>
      <c r="M457" s="85"/>
      <c r="N457" s="85"/>
      <c r="O457" s="85"/>
      <c r="P457" s="85"/>
      <c r="Q457" s="85"/>
      <c r="R457" s="85"/>
      <c r="S457" s="85"/>
      <c r="T457" s="85"/>
      <c r="U457" s="85"/>
      <c r="V457" s="85"/>
      <c r="W457" s="85"/>
      <c r="X457" s="85"/>
      <c r="Y457" s="85"/>
      <c r="Z457" s="85"/>
    </row>
    <row r="458" spans="1:26" ht="15.75" customHeight="1">
      <c r="A458" s="193">
        <v>78</v>
      </c>
      <c r="B458" s="193" t="s">
        <v>263</v>
      </c>
      <c r="C458" s="193" t="s">
        <v>102</v>
      </c>
      <c r="D458" s="194">
        <v>36605</v>
      </c>
      <c r="E458" s="14" t="s">
        <v>1660</v>
      </c>
      <c r="F458" s="184">
        <v>36</v>
      </c>
      <c r="G458" s="14">
        <v>0</v>
      </c>
      <c r="H458" s="184">
        <v>2</v>
      </c>
      <c r="I458" s="14">
        <v>1</v>
      </c>
      <c r="J458" s="14" t="s">
        <v>1430</v>
      </c>
      <c r="K458" s="14"/>
      <c r="L458" s="85"/>
      <c r="M458" s="85"/>
      <c r="N458" s="85"/>
      <c r="O458" s="85"/>
      <c r="P458" s="85"/>
      <c r="Q458" s="85"/>
      <c r="R458" s="85"/>
      <c r="S458" s="85"/>
      <c r="T458" s="85"/>
      <c r="U458" s="85"/>
      <c r="V458" s="85"/>
      <c r="W458" s="85"/>
      <c r="X458" s="85"/>
      <c r="Y458" s="85"/>
      <c r="Z458" s="85"/>
    </row>
    <row r="459" spans="1:26" ht="15.75" customHeight="1">
      <c r="A459" s="193">
        <v>78</v>
      </c>
      <c r="B459" s="193" t="s">
        <v>263</v>
      </c>
      <c r="C459" s="193" t="s">
        <v>102</v>
      </c>
      <c r="D459" s="194">
        <v>36605</v>
      </c>
      <c r="E459" s="14" t="s">
        <v>1661</v>
      </c>
      <c r="F459" s="184">
        <v>32</v>
      </c>
      <c r="G459" s="14">
        <v>0</v>
      </c>
      <c r="H459" s="184">
        <v>2</v>
      </c>
      <c r="I459" s="14">
        <v>1</v>
      </c>
      <c r="J459" s="14" t="s">
        <v>1384</v>
      </c>
      <c r="K459" s="14"/>
      <c r="L459" s="85"/>
      <c r="M459" s="85"/>
      <c r="N459" s="85"/>
      <c r="O459" s="85"/>
      <c r="P459" s="85"/>
      <c r="Q459" s="85"/>
      <c r="R459" s="85"/>
      <c r="S459" s="85"/>
      <c r="T459" s="85"/>
      <c r="U459" s="85"/>
      <c r="V459" s="85"/>
      <c r="W459" s="85"/>
      <c r="X459" s="85"/>
      <c r="Y459" s="85"/>
      <c r="Z459" s="85"/>
    </row>
    <row r="460" spans="1:26" ht="15.75" customHeight="1">
      <c r="A460" s="193">
        <v>78</v>
      </c>
      <c r="B460" s="193" t="s">
        <v>263</v>
      </c>
      <c r="C460" s="193" t="s">
        <v>102</v>
      </c>
      <c r="D460" s="194">
        <v>36605</v>
      </c>
      <c r="E460" s="14" t="s">
        <v>1662</v>
      </c>
      <c r="F460" s="184">
        <v>46</v>
      </c>
      <c r="G460" s="14">
        <v>1</v>
      </c>
      <c r="H460" s="184">
        <v>0</v>
      </c>
      <c r="I460" s="14">
        <v>1</v>
      </c>
      <c r="J460" s="14" t="s">
        <v>1384</v>
      </c>
      <c r="K460" s="14"/>
      <c r="L460" s="85"/>
      <c r="M460" s="85"/>
      <c r="N460" s="85"/>
      <c r="O460" s="85"/>
      <c r="P460" s="85"/>
      <c r="Q460" s="85"/>
      <c r="R460" s="85"/>
      <c r="S460" s="85"/>
      <c r="T460" s="85"/>
      <c r="U460" s="85"/>
      <c r="V460" s="85"/>
      <c r="W460" s="85"/>
      <c r="X460" s="85"/>
      <c r="Y460" s="85"/>
      <c r="Z460" s="85"/>
    </row>
    <row r="461" spans="1:26" ht="15.75" customHeight="1">
      <c r="A461" s="195">
        <v>79</v>
      </c>
      <c r="B461" s="195" t="s">
        <v>409</v>
      </c>
      <c r="C461" s="195" t="s">
        <v>241</v>
      </c>
      <c r="D461" s="196">
        <v>36644</v>
      </c>
      <c r="E461" s="14" t="s">
        <v>1663</v>
      </c>
      <c r="F461" s="184">
        <v>63</v>
      </c>
      <c r="G461" s="14">
        <v>1</v>
      </c>
      <c r="H461" s="184">
        <v>0</v>
      </c>
      <c r="I461" s="14">
        <v>1</v>
      </c>
      <c r="J461" s="14" t="s">
        <v>1182</v>
      </c>
      <c r="K461" s="14"/>
      <c r="L461" s="85"/>
      <c r="M461" s="85"/>
      <c r="N461" s="85"/>
      <c r="O461" s="85"/>
      <c r="P461" s="85"/>
      <c r="Q461" s="85"/>
      <c r="R461" s="85"/>
      <c r="S461" s="85"/>
      <c r="T461" s="85"/>
      <c r="U461" s="85"/>
      <c r="V461" s="85"/>
      <c r="W461" s="85"/>
      <c r="X461" s="85"/>
      <c r="Y461" s="85"/>
      <c r="Z461" s="85"/>
    </row>
    <row r="462" spans="1:26" ht="15.75" customHeight="1">
      <c r="A462" s="195">
        <v>79</v>
      </c>
      <c r="B462" s="195" t="s">
        <v>409</v>
      </c>
      <c r="C462" s="195" t="s">
        <v>241</v>
      </c>
      <c r="D462" s="196">
        <v>36644</v>
      </c>
      <c r="E462" s="184" t="s">
        <v>1664</v>
      </c>
      <c r="F462" s="184">
        <v>22</v>
      </c>
      <c r="G462" s="14">
        <v>0</v>
      </c>
      <c r="H462" s="184">
        <v>1</v>
      </c>
      <c r="I462" s="14">
        <v>0</v>
      </c>
      <c r="J462" s="14" t="s">
        <v>100</v>
      </c>
      <c r="K462" s="14"/>
      <c r="L462" s="85"/>
      <c r="M462" s="85"/>
      <c r="N462" s="85"/>
      <c r="O462" s="85"/>
      <c r="P462" s="85"/>
      <c r="Q462" s="85"/>
      <c r="R462" s="85"/>
      <c r="S462" s="85"/>
      <c r="T462" s="85"/>
      <c r="U462" s="85"/>
      <c r="V462" s="85"/>
      <c r="W462" s="85"/>
      <c r="X462" s="85"/>
      <c r="Y462" s="85"/>
      <c r="Z462" s="85"/>
    </row>
    <row r="463" spans="1:26" ht="15.75" customHeight="1">
      <c r="A463" s="195">
        <v>79</v>
      </c>
      <c r="B463" s="195" t="s">
        <v>409</v>
      </c>
      <c r="C463" s="195" t="s">
        <v>241</v>
      </c>
      <c r="D463" s="196">
        <v>36644</v>
      </c>
      <c r="E463" s="14" t="s">
        <v>1665</v>
      </c>
      <c r="F463" s="184">
        <v>27</v>
      </c>
      <c r="G463" s="14">
        <v>0</v>
      </c>
      <c r="H463" s="184">
        <v>3</v>
      </c>
      <c r="I463" s="184">
        <v>0</v>
      </c>
      <c r="J463" s="14" t="s">
        <v>100</v>
      </c>
      <c r="K463" s="14"/>
      <c r="L463" s="85"/>
      <c r="M463" s="85"/>
      <c r="N463" s="85"/>
      <c r="O463" s="85"/>
      <c r="P463" s="85"/>
      <c r="Q463" s="85"/>
      <c r="R463" s="85"/>
      <c r="S463" s="85"/>
      <c r="T463" s="85"/>
      <c r="U463" s="85"/>
      <c r="V463" s="85"/>
      <c r="W463" s="85"/>
      <c r="X463" s="85"/>
      <c r="Y463" s="85"/>
      <c r="Z463" s="85"/>
    </row>
    <row r="464" spans="1:26" ht="15.75" customHeight="1">
      <c r="A464" s="195">
        <v>79</v>
      </c>
      <c r="B464" s="195" t="s">
        <v>409</v>
      </c>
      <c r="C464" s="195" t="s">
        <v>241</v>
      </c>
      <c r="D464" s="196">
        <v>36644</v>
      </c>
      <c r="E464" s="14" t="s">
        <v>1666</v>
      </c>
      <c r="F464" s="184">
        <v>34</v>
      </c>
      <c r="G464" s="14">
        <v>0</v>
      </c>
      <c r="H464" s="184">
        <v>3</v>
      </c>
      <c r="I464" s="184">
        <v>0</v>
      </c>
      <c r="J464" s="14" t="s">
        <v>100</v>
      </c>
      <c r="K464" s="14"/>
      <c r="L464" s="85"/>
      <c r="M464" s="85"/>
      <c r="N464" s="85"/>
      <c r="O464" s="85"/>
      <c r="P464" s="85"/>
      <c r="Q464" s="85"/>
      <c r="R464" s="85"/>
      <c r="S464" s="85"/>
      <c r="T464" s="85"/>
      <c r="U464" s="85"/>
      <c r="V464" s="85"/>
      <c r="W464" s="85"/>
      <c r="X464" s="85"/>
      <c r="Y464" s="85"/>
      <c r="Z464" s="85"/>
    </row>
    <row r="465" spans="1:26" ht="15.75" customHeight="1">
      <c r="A465" s="195">
        <v>79</v>
      </c>
      <c r="B465" s="195" t="s">
        <v>409</v>
      </c>
      <c r="C465" s="195" t="s">
        <v>241</v>
      </c>
      <c r="D465" s="196">
        <v>36644</v>
      </c>
      <c r="E465" s="14" t="s">
        <v>1667</v>
      </c>
      <c r="F465" s="184">
        <v>31</v>
      </c>
      <c r="G465" s="14">
        <v>0</v>
      </c>
      <c r="H465" s="184">
        <v>3</v>
      </c>
      <c r="I465" s="14">
        <v>0</v>
      </c>
      <c r="J465" s="14" t="s">
        <v>100</v>
      </c>
      <c r="K465" s="14"/>
      <c r="L465" s="85"/>
      <c r="M465" s="85"/>
      <c r="N465" s="85"/>
      <c r="O465" s="85"/>
      <c r="P465" s="85"/>
      <c r="Q465" s="85"/>
      <c r="R465" s="85"/>
      <c r="S465" s="85"/>
      <c r="T465" s="85"/>
      <c r="U465" s="85"/>
      <c r="V465" s="85"/>
      <c r="W465" s="85"/>
      <c r="X465" s="85"/>
      <c r="Y465" s="85"/>
      <c r="Z465" s="85"/>
    </row>
    <row r="466" spans="1:26" ht="15.75" customHeight="1">
      <c r="A466" s="197">
        <v>80</v>
      </c>
      <c r="B466" s="197" t="s">
        <v>413</v>
      </c>
      <c r="C466" s="197" t="s">
        <v>212</v>
      </c>
      <c r="D466" s="198">
        <v>36886</v>
      </c>
      <c r="E466" s="14" t="s">
        <v>1668</v>
      </c>
      <c r="F466" s="184">
        <v>29</v>
      </c>
      <c r="G466" s="14">
        <v>1</v>
      </c>
      <c r="H466" s="184">
        <v>0</v>
      </c>
      <c r="I466" s="14">
        <v>1</v>
      </c>
      <c r="J466" s="14" t="s">
        <v>1175</v>
      </c>
      <c r="K466" s="14"/>
      <c r="L466" s="85"/>
      <c r="M466" s="85"/>
      <c r="N466" s="85"/>
      <c r="O466" s="85"/>
      <c r="P466" s="85"/>
      <c r="Q466" s="85"/>
      <c r="R466" s="85"/>
      <c r="S466" s="85"/>
      <c r="T466" s="85"/>
      <c r="U466" s="85"/>
      <c r="V466" s="85"/>
      <c r="W466" s="85"/>
      <c r="X466" s="85"/>
      <c r="Y466" s="85"/>
      <c r="Z466" s="85"/>
    </row>
    <row r="467" spans="1:26" ht="15.75" customHeight="1">
      <c r="A467" s="197">
        <v>80</v>
      </c>
      <c r="B467" s="197" t="s">
        <v>413</v>
      </c>
      <c r="C467" s="197" t="s">
        <v>212</v>
      </c>
      <c r="D467" s="198">
        <v>36886</v>
      </c>
      <c r="E467" s="14" t="s">
        <v>1669</v>
      </c>
      <c r="F467" s="184">
        <v>46</v>
      </c>
      <c r="G467" s="14">
        <v>1</v>
      </c>
      <c r="H467" s="14"/>
      <c r="I467" s="14">
        <v>1</v>
      </c>
      <c r="J467" s="14" t="s">
        <v>1175</v>
      </c>
      <c r="K467" s="14"/>
      <c r="L467" s="85"/>
      <c r="M467" s="85"/>
      <c r="N467" s="85"/>
      <c r="O467" s="85"/>
      <c r="P467" s="85"/>
      <c r="Q467" s="85"/>
      <c r="R467" s="85"/>
      <c r="S467" s="85"/>
      <c r="T467" s="85"/>
      <c r="U467" s="85"/>
      <c r="V467" s="85"/>
      <c r="W467" s="85"/>
      <c r="X467" s="85"/>
      <c r="Y467" s="85"/>
      <c r="Z467" s="85"/>
    </row>
    <row r="468" spans="1:26" ht="15.75" customHeight="1">
      <c r="A468" s="197">
        <v>80</v>
      </c>
      <c r="B468" s="197" t="s">
        <v>413</v>
      </c>
      <c r="C468" s="197" t="s">
        <v>212</v>
      </c>
      <c r="D468" s="198">
        <v>36886</v>
      </c>
      <c r="E468" s="14" t="s">
        <v>1670</v>
      </c>
      <c r="F468" s="184">
        <v>58</v>
      </c>
      <c r="G468" s="14">
        <v>0</v>
      </c>
      <c r="H468" s="184">
        <v>0</v>
      </c>
      <c r="I468" s="14">
        <v>1</v>
      </c>
      <c r="J468" s="14" t="s">
        <v>1175</v>
      </c>
      <c r="K468" s="14"/>
      <c r="L468" s="85"/>
      <c r="M468" s="85"/>
      <c r="N468" s="85"/>
      <c r="O468" s="85"/>
      <c r="P468" s="85"/>
      <c r="Q468" s="85"/>
      <c r="R468" s="85"/>
      <c r="S468" s="85"/>
      <c r="T468" s="85"/>
      <c r="U468" s="85"/>
      <c r="V468" s="85"/>
      <c r="W468" s="85"/>
      <c r="X468" s="85"/>
      <c r="Y468" s="85"/>
      <c r="Z468" s="85"/>
    </row>
    <row r="469" spans="1:26" ht="15.75" customHeight="1">
      <c r="A469" s="197">
        <v>80</v>
      </c>
      <c r="B469" s="197" t="s">
        <v>413</v>
      </c>
      <c r="C469" s="197" t="s">
        <v>212</v>
      </c>
      <c r="D469" s="198">
        <v>36886</v>
      </c>
      <c r="E469" s="184" t="s">
        <v>1671</v>
      </c>
      <c r="F469" s="184">
        <v>48</v>
      </c>
      <c r="G469" s="14">
        <v>1</v>
      </c>
      <c r="H469" s="184">
        <v>0</v>
      </c>
      <c r="I469" s="14">
        <v>1</v>
      </c>
      <c r="J469" s="14" t="s">
        <v>1175</v>
      </c>
      <c r="K469" s="14"/>
      <c r="L469" s="85"/>
      <c r="M469" s="85"/>
      <c r="N469" s="85"/>
      <c r="O469" s="85"/>
      <c r="P469" s="85"/>
      <c r="Q469" s="85"/>
      <c r="R469" s="85"/>
      <c r="S469" s="85"/>
      <c r="T469" s="85"/>
      <c r="U469" s="85"/>
      <c r="V469" s="85"/>
      <c r="W469" s="85"/>
      <c r="X469" s="85"/>
      <c r="Y469" s="85"/>
      <c r="Z469" s="85"/>
    </row>
    <row r="470" spans="1:26" ht="15.75" customHeight="1">
      <c r="A470" s="197">
        <v>80</v>
      </c>
      <c r="B470" s="197" t="s">
        <v>413</v>
      </c>
      <c r="C470" s="197" t="s">
        <v>212</v>
      </c>
      <c r="D470" s="198">
        <v>36886</v>
      </c>
      <c r="E470" s="14" t="s">
        <v>1672</v>
      </c>
      <c r="F470" s="184">
        <v>36</v>
      </c>
      <c r="G470" s="14">
        <v>0</v>
      </c>
      <c r="H470" s="184">
        <v>0</v>
      </c>
      <c r="I470" s="14">
        <v>1</v>
      </c>
      <c r="J470" s="14" t="s">
        <v>1175</v>
      </c>
      <c r="K470" s="14"/>
      <c r="L470" s="85"/>
      <c r="M470" s="85"/>
      <c r="N470" s="85"/>
      <c r="O470" s="85"/>
      <c r="P470" s="85"/>
      <c r="Q470" s="85"/>
      <c r="R470" s="85"/>
      <c r="S470" s="85"/>
      <c r="T470" s="85"/>
      <c r="U470" s="85"/>
      <c r="V470" s="85"/>
      <c r="W470" s="85"/>
      <c r="X470" s="85"/>
      <c r="Y470" s="85"/>
      <c r="Z470" s="85"/>
    </row>
    <row r="471" spans="1:26" ht="15.75" customHeight="1">
      <c r="A471" s="197">
        <v>80</v>
      </c>
      <c r="B471" s="197" t="s">
        <v>413</v>
      </c>
      <c r="C471" s="197" t="s">
        <v>212</v>
      </c>
      <c r="D471" s="198">
        <v>36886</v>
      </c>
      <c r="E471" s="14" t="s">
        <v>1673</v>
      </c>
      <c r="F471" s="184">
        <v>50</v>
      </c>
      <c r="G471" s="14">
        <v>1</v>
      </c>
      <c r="H471" s="184">
        <v>0</v>
      </c>
      <c r="I471" s="14">
        <v>1</v>
      </c>
      <c r="J471" s="14" t="s">
        <v>1175</v>
      </c>
      <c r="K471" s="14"/>
      <c r="L471" s="85"/>
      <c r="M471" s="85"/>
      <c r="N471" s="85"/>
      <c r="O471" s="85"/>
      <c r="P471" s="85"/>
      <c r="Q471" s="85"/>
      <c r="R471" s="85"/>
      <c r="S471" s="85"/>
      <c r="T471" s="85"/>
      <c r="U471" s="85"/>
      <c r="V471" s="85"/>
      <c r="W471" s="85"/>
      <c r="X471" s="85"/>
      <c r="Y471" s="85"/>
      <c r="Z471" s="85"/>
    </row>
    <row r="472" spans="1:26" ht="15.75" customHeight="1">
      <c r="A472" s="197">
        <v>80</v>
      </c>
      <c r="B472" s="197" t="s">
        <v>413</v>
      </c>
      <c r="C472" s="197" t="s">
        <v>212</v>
      </c>
      <c r="D472" s="198">
        <v>36886</v>
      </c>
      <c r="E472" s="14" t="s">
        <v>1674</v>
      </c>
      <c r="F472" s="184">
        <v>29</v>
      </c>
      <c r="G472" s="14">
        <v>0</v>
      </c>
      <c r="H472" s="184">
        <v>0</v>
      </c>
      <c r="I472" s="14">
        <v>1</v>
      </c>
      <c r="J472" s="14" t="s">
        <v>1175</v>
      </c>
      <c r="K472" s="14"/>
      <c r="L472" s="85"/>
      <c r="M472" s="85"/>
      <c r="N472" s="85"/>
      <c r="O472" s="85"/>
      <c r="P472" s="85"/>
      <c r="Q472" s="85"/>
      <c r="R472" s="85"/>
      <c r="S472" s="85"/>
      <c r="T472" s="85"/>
      <c r="U472" s="85"/>
      <c r="V472" s="85"/>
      <c r="W472" s="85"/>
      <c r="X472" s="85"/>
      <c r="Y472" s="85"/>
      <c r="Z472" s="85"/>
    </row>
    <row r="473" spans="1:26" ht="15.75" customHeight="1">
      <c r="A473" s="207">
        <v>81</v>
      </c>
      <c r="B473" s="207" t="s">
        <v>417</v>
      </c>
      <c r="C473" s="207" t="s">
        <v>3034</v>
      </c>
      <c r="D473" s="208">
        <v>36900</v>
      </c>
      <c r="E473" s="14" t="s">
        <v>1675</v>
      </c>
      <c r="F473" s="184">
        <v>58</v>
      </c>
      <c r="G473" s="14">
        <v>0</v>
      </c>
      <c r="H473" s="14">
        <v>3</v>
      </c>
      <c r="I473" s="14">
        <v>1</v>
      </c>
      <c r="J473" s="14" t="s">
        <v>1676</v>
      </c>
      <c r="K473" s="14"/>
      <c r="L473" s="85"/>
      <c r="M473" s="85"/>
      <c r="N473" s="85"/>
      <c r="O473" s="85"/>
      <c r="P473" s="85"/>
      <c r="Q473" s="85"/>
      <c r="R473" s="85"/>
      <c r="S473" s="85"/>
      <c r="T473" s="85"/>
      <c r="U473" s="85"/>
      <c r="V473" s="85"/>
      <c r="W473" s="85"/>
      <c r="X473" s="85"/>
      <c r="Y473" s="85"/>
      <c r="Z473" s="85"/>
    </row>
    <row r="474" spans="1:26" ht="15.75" customHeight="1">
      <c r="A474" s="207">
        <v>81</v>
      </c>
      <c r="B474" s="207" t="s">
        <v>417</v>
      </c>
      <c r="C474" s="207" t="s">
        <v>3034</v>
      </c>
      <c r="D474" s="208">
        <v>36900</v>
      </c>
      <c r="E474" s="14" t="s">
        <v>1677</v>
      </c>
      <c r="F474" s="184">
        <v>54</v>
      </c>
      <c r="G474" s="14">
        <v>1</v>
      </c>
      <c r="H474" s="14">
        <v>3</v>
      </c>
      <c r="I474" s="14">
        <v>1</v>
      </c>
      <c r="J474" s="14" t="s">
        <v>1676</v>
      </c>
      <c r="K474" s="14"/>
      <c r="L474" s="85"/>
      <c r="M474" s="85"/>
      <c r="N474" s="85"/>
      <c r="O474" s="85"/>
      <c r="P474" s="85"/>
      <c r="Q474" s="85"/>
      <c r="R474" s="85"/>
      <c r="S474" s="85"/>
      <c r="T474" s="85"/>
      <c r="U474" s="85"/>
      <c r="V474" s="85"/>
      <c r="W474" s="85"/>
      <c r="X474" s="85"/>
      <c r="Y474" s="85"/>
      <c r="Z474" s="85"/>
    </row>
    <row r="475" spans="1:26" ht="15.75" customHeight="1">
      <c r="A475" s="207">
        <v>81</v>
      </c>
      <c r="B475" s="207" t="s">
        <v>417</v>
      </c>
      <c r="C475" s="207" t="s">
        <v>3034</v>
      </c>
      <c r="D475" s="208">
        <v>36900</v>
      </c>
      <c r="E475" s="14" t="s">
        <v>1678</v>
      </c>
      <c r="F475" s="184">
        <v>23</v>
      </c>
      <c r="G475" s="14">
        <v>1</v>
      </c>
      <c r="H475" s="14">
        <v>3</v>
      </c>
      <c r="I475" s="14">
        <v>1</v>
      </c>
      <c r="J475" s="14" t="s">
        <v>1676</v>
      </c>
      <c r="K475" s="14"/>
      <c r="L475" s="85"/>
      <c r="M475" s="85"/>
      <c r="N475" s="85"/>
      <c r="O475" s="85"/>
      <c r="P475" s="85"/>
      <c r="Q475" s="85"/>
      <c r="R475" s="85"/>
      <c r="S475" s="85"/>
      <c r="T475" s="85"/>
      <c r="U475" s="85"/>
      <c r="V475" s="85"/>
      <c r="W475" s="85"/>
      <c r="X475" s="85"/>
      <c r="Y475" s="85"/>
      <c r="Z475" s="85"/>
    </row>
    <row r="476" spans="1:26" ht="15.75" customHeight="1">
      <c r="A476" s="207">
        <v>81</v>
      </c>
      <c r="B476" s="207" t="s">
        <v>417</v>
      </c>
      <c r="C476" s="207" t="s">
        <v>3034</v>
      </c>
      <c r="D476" s="208">
        <v>36900</v>
      </c>
      <c r="E476" s="14" t="s">
        <v>1679</v>
      </c>
      <c r="F476" s="184">
        <v>42</v>
      </c>
      <c r="G476" s="14">
        <v>1</v>
      </c>
      <c r="H476" s="14">
        <v>3</v>
      </c>
      <c r="I476" s="14">
        <v>1</v>
      </c>
      <c r="J476" s="14" t="s">
        <v>1466</v>
      </c>
      <c r="K476" s="14"/>
      <c r="L476" s="85"/>
      <c r="M476" s="85"/>
      <c r="N476" s="85"/>
      <c r="O476" s="85"/>
      <c r="P476" s="85"/>
      <c r="Q476" s="85"/>
      <c r="R476" s="85"/>
      <c r="S476" s="85"/>
      <c r="T476" s="85"/>
      <c r="U476" s="85"/>
      <c r="V476" s="85"/>
      <c r="W476" s="85"/>
      <c r="X476" s="85"/>
      <c r="Y476" s="85"/>
      <c r="Z476" s="85"/>
    </row>
    <row r="477" spans="1:26" ht="15.75" customHeight="1">
      <c r="A477" s="205">
        <v>82</v>
      </c>
      <c r="B477" s="205" t="s">
        <v>419</v>
      </c>
      <c r="C477" s="205" t="s">
        <v>182</v>
      </c>
      <c r="D477" s="206">
        <v>36927</v>
      </c>
      <c r="E477" s="14" t="s">
        <v>1680</v>
      </c>
      <c r="F477" s="184">
        <v>48</v>
      </c>
      <c r="G477" s="14">
        <v>0</v>
      </c>
      <c r="H477" s="184" t="str">
        <f>HYPERLINK("https://www.findagrave.com/memorial/96898574/michael-victor-brus","0")</f>
        <v>0</v>
      </c>
      <c r="I477" s="184">
        <v>1</v>
      </c>
      <c r="J477" s="14" t="s">
        <v>1384</v>
      </c>
      <c r="K477" s="14"/>
      <c r="L477" s="85"/>
      <c r="M477" s="85"/>
      <c r="N477" s="85"/>
      <c r="O477" s="85"/>
      <c r="P477" s="85"/>
      <c r="Q477" s="85"/>
      <c r="R477" s="85"/>
      <c r="S477" s="85"/>
      <c r="T477" s="85"/>
      <c r="U477" s="85"/>
      <c r="V477" s="85"/>
      <c r="W477" s="85"/>
      <c r="X477" s="85"/>
      <c r="Y477" s="85"/>
      <c r="Z477" s="85"/>
    </row>
    <row r="478" spans="1:26" ht="15.75" customHeight="1">
      <c r="A478" s="205">
        <v>82</v>
      </c>
      <c r="B478" s="205" t="s">
        <v>419</v>
      </c>
      <c r="C478" s="205" t="s">
        <v>182</v>
      </c>
      <c r="D478" s="206">
        <v>36927</v>
      </c>
      <c r="E478" s="184" t="s">
        <v>1681</v>
      </c>
      <c r="F478" s="184">
        <v>52</v>
      </c>
      <c r="G478" s="14">
        <v>0</v>
      </c>
      <c r="H478" s="14"/>
      <c r="I478" s="184">
        <v>1</v>
      </c>
      <c r="J478" s="14" t="s">
        <v>1384</v>
      </c>
      <c r="K478" s="14"/>
      <c r="L478" s="85"/>
      <c r="M478" s="85"/>
      <c r="N478" s="85"/>
      <c r="O478" s="85"/>
      <c r="P478" s="85"/>
      <c r="Q478" s="85"/>
      <c r="R478" s="85"/>
      <c r="S478" s="85"/>
      <c r="T478" s="85"/>
      <c r="U478" s="85"/>
      <c r="V478" s="85"/>
      <c r="W478" s="85"/>
      <c r="X478" s="85"/>
      <c r="Y478" s="85"/>
      <c r="Z478" s="85"/>
    </row>
    <row r="479" spans="1:26" ht="15.75" customHeight="1">
      <c r="A479" s="205">
        <v>82</v>
      </c>
      <c r="B479" s="205" t="s">
        <v>419</v>
      </c>
      <c r="C479" s="205" t="s">
        <v>182</v>
      </c>
      <c r="D479" s="206">
        <v>36927</v>
      </c>
      <c r="E479" s="184" t="s">
        <v>1682</v>
      </c>
      <c r="F479" s="184">
        <v>44</v>
      </c>
      <c r="G479" s="14">
        <v>0</v>
      </c>
      <c r="H479" s="14"/>
      <c r="I479" s="184">
        <v>1</v>
      </c>
      <c r="J479" s="14" t="s">
        <v>1384</v>
      </c>
      <c r="K479" s="14"/>
      <c r="L479" s="85"/>
      <c r="M479" s="85"/>
      <c r="N479" s="85"/>
      <c r="O479" s="85"/>
      <c r="P479" s="85"/>
      <c r="Q479" s="85"/>
      <c r="R479" s="85"/>
      <c r="S479" s="85"/>
      <c r="T479" s="85"/>
      <c r="U479" s="85"/>
      <c r="V479" s="85"/>
      <c r="W479" s="85"/>
      <c r="X479" s="85"/>
      <c r="Y479" s="85"/>
      <c r="Z479" s="85"/>
    </row>
    <row r="480" spans="1:26" ht="15.75" customHeight="1">
      <c r="A480" s="205">
        <v>82</v>
      </c>
      <c r="B480" s="205" t="s">
        <v>419</v>
      </c>
      <c r="C480" s="205" t="s">
        <v>182</v>
      </c>
      <c r="D480" s="206">
        <v>36927</v>
      </c>
      <c r="E480" s="184" t="s">
        <v>1683</v>
      </c>
      <c r="F480" s="184">
        <v>47</v>
      </c>
      <c r="G480" s="14">
        <v>0</v>
      </c>
      <c r="H480" s="14"/>
      <c r="I480" s="184">
        <v>0</v>
      </c>
      <c r="J480" s="14" t="s">
        <v>100</v>
      </c>
      <c r="K480" s="14"/>
      <c r="L480" s="85"/>
      <c r="M480" s="85"/>
      <c r="N480" s="85"/>
      <c r="O480" s="85"/>
      <c r="P480" s="85"/>
      <c r="Q480" s="85"/>
      <c r="R480" s="85"/>
      <c r="S480" s="85"/>
      <c r="T480" s="85"/>
      <c r="U480" s="85"/>
      <c r="V480" s="85"/>
      <c r="W480" s="85"/>
      <c r="X480" s="85"/>
      <c r="Y480" s="85"/>
      <c r="Z480" s="85"/>
    </row>
    <row r="481" spans="1:26" ht="15.75" customHeight="1">
      <c r="A481" s="191">
        <v>83</v>
      </c>
      <c r="B481" s="191" t="s">
        <v>422</v>
      </c>
      <c r="C481" s="191" t="s">
        <v>423</v>
      </c>
      <c r="D481" s="213">
        <v>37075</v>
      </c>
      <c r="E481" s="14" t="s">
        <v>1684</v>
      </c>
      <c r="F481" s="184">
        <v>44</v>
      </c>
      <c r="G481" s="14">
        <v>0</v>
      </c>
      <c r="H481" s="14">
        <v>2</v>
      </c>
      <c r="I481" s="14">
        <v>0</v>
      </c>
      <c r="J481" s="14" t="s">
        <v>100</v>
      </c>
      <c r="K481" s="14"/>
      <c r="L481" s="85"/>
      <c r="M481" s="85"/>
      <c r="N481" s="85"/>
      <c r="O481" s="85"/>
      <c r="P481" s="85"/>
      <c r="Q481" s="85"/>
      <c r="R481" s="85"/>
      <c r="S481" s="85"/>
      <c r="T481" s="85"/>
      <c r="U481" s="85"/>
      <c r="V481" s="85"/>
      <c r="W481" s="85"/>
      <c r="X481" s="85"/>
      <c r="Y481" s="85"/>
      <c r="Z481" s="85"/>
    </row>
    <row r="482" spans="1:26" ht="15.75" customHeight="1">
      <c r="A482" s="191">
        <v>83</v>
      </c>
      <c r="B482" s="191" t="s">
        <v>422</v>
      </c>
      <c r="C482" s="191" t="s">
        <v>423</v>
      </c>
      <c r="D482" s="213">
        <v>37075</v>
      </c>
      <c r="E482" s="14" t="s">
        <v>1685</v>
      </c>
      <c r="F482" s="184">
        <v>23</v>
      </c>
      <c r="G482" s="14">
        <v>0</v>
      </c>
      <c r="H482" s="14">
        <v>2</v>
      </c>
      <c r="I482" s="14">
        <v>0</v>
      </c>
      <c r="J482" s="14" t="s">
        <v>100</v>
      </c>
      <c r="K482" s="14"/>
      <c r="L482" s="85"/>
      <c r="M482" s="85"/>
      <c r="N482" s="85"/>
      <c r="O482" s="85"/>
      <c r="P482" s="85"/>
      <c r="Q482" s="85"/>
      <c r="R482" s="85"/>
      <c r="S482" s="85"/>
      <c r="T482" s="85"/>
      <c r="U482" s="85"/>
      <c r="V482" s="85"/>
      <c r="W482" s="85"/>
      <c r="X482" s="85"/>
      <c r="Y482" s="85"/>
      <c r="Z482" s="85"/>
    </row>
    <row r="483" spans="1:26" ht="15.75" customHeight="1">
      <c r="A483" s="191">
        <v>83</v>
      </c>
      <c r="B483" s="191" t="s">
        <v>422</v>
      </c>
      <c r="C483" s="191" t="s">
        <v>423</v>
      </c>
      <c r="D483" s="213">
        <v>37075</v>
      </c>
      <c r="E483" s="14" t="s">
        <v>1686</v>
      </c>
      <c r="F483" s="184">
        <v>22</v>
      </c>
      <c r="G483" s="14">
        <v>0</v>
      </c>
      <c r="H483" s="14">
        <v>2</v>
      </c>
      <c r="I483" s="14">
        <v>0</v>
      </c>
      <c r="J483" s="14" t="s">
        <v>100</v>
      </c>
      <c r="K483" s="14"/>
      <c r="L483" s="85"/>
      <c r="M483" s="85"/>
      <c r="N483" s="85"/>
      <c r="O483" s="85"/>
      <c r="P483" s="85"/>
      <c r="Q483" s="85"/>
      <c r="R483" s="85"/>
      <c r="S483" s="85"/>
      <c r="T483" s="85"/>
      <c r="U483" s="85"/>
      <c r="V483" s="85"/>
      <c r="W483" s="85"/>
      <c r="X483" s="85"/>
      <c r="Y483" s="85"/>
      <c r="Z483" s="85"/>
    </row>
    <row r="484" spans="1:26" ht="15.75" customHeight="1">
      <c r="A484" s="191">
        <v>83</v>
      </c>
      <c r="B484" s="191" t="s">
        <v>422</v>
      </c>
      <c r="C484" s="191" t="s">
        <v>423</v>
      </c>
      <c r="D484" s="213">
        <v>37075</v>
      </c>
      <c r="E484" s="14" t="s">
        <v>1687</v>
      </c>
      <c r="F484" s="184">
        <v>19</v>
      </c>
      <c r="G484" s="14">
        <v>1</v>
      </c>
      <c r="H484" s="14">
        <v>2</v>
      </c>
      <c r="I484" s="14">
        <v>0</v>
      </c>
      <c r="J484" s="14" t="s">
        <v>100</v>
      </c>
      <c r="K484" s="14"/>
      <c r="L484" s="85"/>
      <c r="M484" s="85"/>
      <c r="N484" s="85"/>
      <c r="O484" s="85"/>
      <c r="P484" s="85"/>
      <c r="Q484" s="85"/>
      <c r="R484" s="85"/>
      <c r="S484" s="85"/>
      <c r="T484" s="85"/>
      <c r="U484" s="85"/>
      <c r="V484" s="85"/>
      <c r="W484" s="85"/>
      <c r="X484" s="85"/>
      <c r="Y484" s="85"/>
      <c r="Z484" s="85"/>
    </row>
    <row r="485" spans="1:26" ht="15.75" customHeight="1">
      <c r="A485" s="193">
        <v>84</v>
      </c>
      <c r="B485" s="193" t="s">
        <v>315</v>
      </c>
      <c r="C485" s="193" t="s">
        <v>122</v>
      </c>
      <c r="D485" s="214">
        <v>37142</v>
      </c>
      <c r="E485" s="14" t="s">
        <v>1688</v>
      </c>
      <c r="F485" s="184">
        <v>48</v>
      </c>
      <c r="G485" s="14">
        <v>0</v>
      </c>
      <c r="H485" s="184">
        <v>3</v>
      </c>
      <c r="I485" s="14">
        <v>1</v>
      </c>
      <c r="J485" s="14" t="s">
        <v>1175</v>
      </c>
      <c r="K485" s="14"/>
      <c r="L485" s="85"/>
      <c r="M485" s="85"/>
      <c r="N485" s="85"/>
      <c r="O485" s="85"/>
      <c r="P485" s="85"/>
      <c r="Q485" s="85"/>
      <c r="R485" s="85"/>
      <c r="S485" s="85"/>
      <c r="T485" s="85"/>
      <c r="U485" s="85"/>
      <c r="V485" s="85"/>
      <c r="W485" s="85"/>
      <c r="X485" s="85"/>
      <c r="Y485" s="85"/>
      <c r="Z485" s="85"/>
    </row>
    <row r="486" spans="1:26" ht="15.75" customHeight="1">
      <c r="A486" s="193">
        <v>84</v>
      </c>
      <c r="B486" s="193" t="s">
        <v>315</v>
      </c>
      <c r="C486" s="193" t="s">
        <v>122</v>
      </c>
      <c r="D486" s="214">
        <v>37142</v>
      </c>
      <c r="E486" s="14" t="s">
        <v>1689</v>
      </c>
      <c r="F486" s="184">
        <v>19</v>
      </c>
      <c r="G486" s="14">
        <v>0</v>
      </c>
      <c r="H486" s="184" t="str">
        <f>HYPERLINK("https://www.findagrave.com/memorial/156986991/john-derek-glimstad","0")</f>
        <v>0</v>
      </c>
      <c r="I486" s="14">
        <v>0</v>
      </c>
      <c r="J486" s="14" t="s">
        <v>100</v>
      </c>
      <c r="K486" s="14"/>
      <c r="L486" s="85"/>
      <c r="M486" s="85"/>
      <c r="N486" s="85"/>
      <c r="O486" s="85"/>
      <c r="P486" s="85"/>
      <c r="Q486" s="85"/>
      <c r="R486" s="85"/>
      <c r="S486" s="85"/>
      <c r="T486" s="85"/>
      <c r="U486" s="85"/>
      <c r="V486" s="85"/>
      <c r="W486" s="85"/>
      <c r="X486" s="85"/>
      <c r="Y486" s="85"/>
      <c r="Z486" s="85"/>
    </row>
    <row r="487" spans="1:26" ht="15.75" customHeight="1">
      <c r="A487" s="193">
        <v>84</v>
      </c>
      <c r="B487" s="193" t="s">
        <v>315</v>
      </c>
      <c r="C487" s="193" t="s">
        <v>122</v>
      </c>
      <c r="D487" s="214">
        <v>37142</v>
      </c>
      <c r="E487" s="184" t="s">
        <v>1690</v>
      </c>
      <c r="F487" s="184">
        <v>32</v>
      </c>
      <c r="G487" s="14">
        <v>1</v>
      </c>
      <c r="H487" s="184">
        <v>1</v>
      </c>
      <c r="I487" s="14">
        <v>1</v>
      </c>
      <c r="J487" s="14" t="s">
        <v>1175</v>
      </c>
      <c r="K487" s="14"/>
      <c r="L487" s="85"/>
      <c r="M487" s="85"/>
      <c r="N487" s="85"/>
      <c r="O487" s="85"/>
      <c r="P487" s="85"/>
      <c r="Q487" s="85"/>
      <c r="R487" s="85"/>
      <c r="S487" s="85"/>
      <c r="T487" s="85"/>
      <c r="U487" s="85"/>
      <c r="V487" s="85"/>
      <c r="W487" s="85"/>
      <c r="X487" s="85"/>
      <c r="Y487" s="85"/>
      <c r="Z487" s="85"/>
    </row>
    <row r="488" spans="1:26" ht="15.75" customHeight="1">
      <c r="A488" s="193">
        <v>84</v>
      </c>
      <c r="B488" s="193" t="s">
        <v>315</v>
      </c>
      <c r="C488" s="193" t="s">
        <v>122</v>
      </c>
      <c r="D488" s="214">
        <v>37142</v>
      </c>
      <c r="E488" s="14" t="s">
        <v>1691</v>
      </c>
      <c r="F488" s="184">
        <v>20</v>
      </c>
      <c r="G488" s="14">
        <v>1</v>
      </c>
      <c r="H488" s="184">
        <v>0</v>
      </c>
      <c r="I488" s="14">
        <v>1</v>
      </c>
      <c r="J488" s="14" t="s">
        <v>1326</v>
      </c>
      <c r="K488" s="14"/>
      <c r="L488" s="85"/>
      <c r="M488" s="85"/>
      <c r="N488" s="85"/>
      <c r="O488" s="85"/>
      <c r="P488" s="85"/>
      <c r="Q488" s="85"/>
      <c r="R488" s="85"/>
      <c r="S488" s="85"/>
      <c r="T488" s="85"/>
      <c r="U488" s="85"/>
      <c r="V488" s="85"/>
      <c r="W488" s="85"/>
      <c r="X488" s="85"/>
      <c r="Y488" s="85"/>
      <c r="Z488" s="85"/>
    </row>
    <row r="489" spans="1:26" ht="15.75" customHeight="1">
      <c r="A489" s="193">
        <v>84</v>
      </c>
      <c r="B489" s="193" t="s">
        <v>315</v>
      </c>
      <c r="C489" s="193" t="s">
        <v>122</v>
      </c>
      <c r="D489" s="214">
        <v>37143</v>
      </c>
      <c r="E489" s="14" t="s">
        <v>1692</v>
      </c>
      <c r="F489" s="184">
        <v>28</v>
      </c>
      <c r="G489" s="14">
        <v>0</v>
      </c>
      <c r="H489" s="184">
        <v>0</v>
      </c>
      <c r="I489" s="14">
        <v>1</v>
      </c>
      <c r="J489" s="14" t="s">
        <v>1179</v>
      </c>
      <c r="K489" s="14"/>
      <c r="L489" s="85"/>
      <c r="M489" s="85"/>
      <c r="N489" s="85"/>
      <c r="O489" s="85"/>
      <c r="P489" s="85"/>
      <c r="Q489" s="85"/>
      <c r="R489" s="85"/>
      <c r="S489" s="85"/>
      <c r="T489" s="85"/>
      <c r="U489" s="85"/>
      <c r="V489" s="85"/>
      <c r="W489" s="85"/>
      <c r="X489" s="85"/>
      <c r="Y489" s="85"/>
      <c r="Z489" s="85"/>
    </row>
    <row r="490" spans="1:26" ht="15.75" customHeight="1">
      <c r="A490" s="201">
        <v>85</v>
      </c>
      <c r="B490" s="201" t="s">
        <v>429</v>
      </c>
      <c r="C490" s="201" t="s">
        <v>182</v>
      </c>
      <c r="D490" s="202">
        <v>37337</v>
      </c>
      <c r="E490" s="14" t="s">
        <v>1693</v>
      </c>
      <c r="F490" s="184">
        <v>73</v>
      </c>
      <c r="G490" s="14">
        <v>0</v>
      </c>
      <c r="H490" s="14"/>
      <c r="I490" s="14">
        <v>1</v>
      </c>
      <c r="J490" s="14" t="s">
        <v>1694</v>
      </c>
      <c r="K490" s="14"/>
      <c r="L490" s="85"/>
      <c r="M490" s="85"/>
      <c r="N490" s="85"/>
      <c r="O490" s="85"/>
      <c r="P490" s="85"/>
      <c r="Q490" s="85"/>
      <c r="R490" s="85"/>
      <c r="S490" s="85"/>
      <c r="T490" s="85"/>
      <c r="U490" s="85"/>
      <c r="V490" s="85"/>
      <c r="W490" s="85"/>
      <c r="X490" s="85"/>
      <c r="Y490" s="85"/>
      <c r="Z490" s="85"/>
    </row>
    <row r="491" spans="1:26" ht="15.75" customHeight="1">
      <c r="A491" s="201">
        <v>85</v>
      </c>
      <c r="B491" s="201" t="s">
        <v>429</v>
      </c>
      <c r="C491" s="201" t="s">
        <v>182</v>
      </c>
      <c r="D491" s="202">
        <v>37337</v>
      </c>
      <c r="E491" s="14" t="s">
        <v>1695</v>
      </c>
      <c r="F491" s="184">
        <v>47</v>
      </c>
      <c r="G491" s="14">
        <v>0</v>
      </c>
      <c r="H491" s="14"/>
      <c r="I491" s="14">
        <v>1</v>
      </c>
      <c r="J491" s="14" t="s">
        <v>1694</v>
      </c>
      <c r="K491" s="14"/>
      <c r="L491" s="85"/>
      <c r="M491" s="85"/>
      <c r="N491" s="85"/>
      <c r="O491" s="85"/>
      <c r="P491" s="85"/>
      <c r="Q491" s="85"/>
      <c r="R491" s="85"/>
      <c r="S491" s="85"/>
      <c r="T491" s="85"/>
      <c r="U491" s="85"/>
      <c r="V491" s="85"/>
      <c r="W491" s="85"/>
      <c r="X491" s="85"/>
      <c r="Y491" s="85"/>
      <c r="Z491" s="85"/>
    </row>
    <row r="492" spans="1:26" ht="15.75" customHeight="1">
      <c r="A492" s="201">
        <v>85</v>
      </c>
      <c r="B492" s="201" t="s">
        <v>429</v>
      </c>
      <c r="C492" s="201" t="s">
        <v>182</v>
      </c>
      <c r="D492" s="202">
        <v>37337</v>
      </c>
      <c r="E492" s="14" t="s">
        <v>1696</v>
      </c>
      <c r="F492" s="184">
        <v>42</v>
      </c>
      <c r="G492" s="14">
        <v>0</v>
      </c>
      <c r="H492" s="184" t="str">
        <f>HYPERLINK("https://www.findagrave.com/memorial/53673919/robert-c_-downs","0")</f>
        <v>0</v>
      </c>
      <c r="I492" s="14">
        <v>1</v>
      </c>
      <c r="J492" s="14" t="s">
        <v>1694</v>
      </c>
      <c r="K492" s="14"/>
      <c r="L492" s="85"/>
      <c r="M492" s="85"/>
      <c r="N492" s="85"/>
      <c r="O492" s="85"/>
      <c r="P492" s="85"/>
      <c r="Q492" s="85"/>
      <c r="R492" s="85"/>
      <c r="S492" s="85"/>
      <c r="T492" s="85"/>
      <c r="U492" s="85"/>
      <c r="V492" s="85"/>
      <c r="W492" s="85"/>
      <c r="X492" s="85"/>
      <c r="Y492" s="85"/>
      <c r="Z492" s="85"/>
    </row>
    <row r="493" spans="1:26" ht="15.75" customHeight="1">
      <c r="A493" s="201">
        <v>85</v>
      </c>
      <c r="B493" s="201" t="s">
        <v>429</v>
      </c>
      <c r="C493" s="201" t="s">
        <v>182</v>
      </c>
      <c r="D493" s="202">
        <v>37337</v>
      </c>
      <c r="E493" s="14" t="s">
        <v>1697</v>
      </c>
      <c r="F493" s="184">
        <v>51</v>
      </c>
      <c r="G493" s="14">
        <v>0</v>
      </c>
      <c r="H493" s="14"/>
      <c r="I493" s="14">
        <v>1</v>
      </c>
      <c r="J493" s="14" t="s">
        <v>1694</v>
      </c>
      <c r="K493" s="14"/>
      <c r="L493" s="85"/>
      <c r="M493" s="85"/>
      <c r="N493" s="85"/>
      <c r="O493" s="85"/>
      <c r="P493" s="85"/>
      <c r="Q493" s="85"/>
      <c r="R493" s="85"/>
      <c r="S493" s="85"/>
      <c r="T493" s="85"/>
      <c r="U493" s="85"/>
      <c r="V493" s="85"/>
      <c r="W493" s="85"/>
      <c r="X493" s="85"/>
      <c r="Y493" s="85"/>
      <c r="Z493" s="85"/>
    </row>
    <row r="494" spans="1:26" ht="15.75" customHeight="1">
      <c r="A494" s="210">
        <v>86</v>
      </c>
      <c r="B494" s="210" t="s">
        <v>432</v>
      </c>
      <c r="C494" s="210" t="s">
        <v>433</v>
      </c>
      <c r="D494" s="209">
        <v>37677</v>
      </c>
      <c r="E494" s="14" t="s">
        <v>1698</v>
      </c>
      <c r="F494" s="184">
        <v>47</v>
      </c>
      <c r="G494" s="14">
        <v>0</v>
      </c>
      <c r="H494" s="14"/>
      <c r="I494" s="184">
        <v>1</v>
      </c>
      <c r="J494" s="14" t="s">
        <v>1699</v>
      </c>
      <c r="K494" s="14"/>
      <c r="L494" s="85"/>
      <c r="M494" s="85"/>
      <c r="N494" s="85"/>
      <c r="O494" s="85"/>
      <c r="P494" s="85"/>
      <c r="Q494" s="85"/>
      <c r="R494" s="85"/>
      <c r="S494" s="85"/>
      <c r="T494" s="85"/>
      <c r="U494" s="85"/>
      <c r="V494" s="85"/>
      <c r="W494" s="85"/>
      <c r="X494" s="85"/>
      <c r="Y494" s="85"/>
      <c r="Z494" s="85"/>
    </row>
    <row r="495" spans="1:26" ht="15.75" customHeight="1">
      <c r="A495" s="210">
        <v>86</v>
      </c>
      <c r="B495" s="210" t="s">
        <v>432</v>
      </c>
      <c r="C495" s="210" t="s">
        <v>433</v>
      </c>
      <c r="D495" s="209">
        <v>37677</v>
      </c>
      <c r="E495" s="14" t="s">
        <v>1700</v>
      </c>
      <c r="F495" s="184">
        <v>61</v>
      </c>
      <c r="G495" s="14">
        <v>0</v>
      </c>
      <c r="H495" s="14"/>
      <c r="I495" s="184">
        <v>1</v>
      </c>
      <c r="J495" s="14" t="s">
        <v>1699</v>
      </c>
      <c r="K495" s="14"/>
      <c r="L495" s="85"/>
      <c r="M495" s="85"/>
      <c r="N495" s="85"/>
      <c r="O495" s="85"/>
      <c r="P495" s="85"/>
      <c r="Q495" s="85"/>
      <c r="R495" s="85"/>
      <c r="S495" s="85"/>
      <c r="T495" s="85"/>
      <c r="U495" s="85"/>
      <c r="V495" s="85"/>
      <c r="W495" s="85"/>
      <c r="X495" s="85"/>
      <c r="Y495" s="85"/>
      <c r="Z495" s="85"/>
    </row>
    <row r="496" spans="1:26" ht="15.75" customHeight="1">
      <c r="A496" s="210">
        <v>86</v>
      </c>
      <c r="B496" s="210" t="s">
        <v>432</v>
      </c>
      <c r="C496" s="210" t="s">
        <v>433</v>
      </c>
      <c r="D496" s="209">
        <v>37677</v>
      </c>
      <c r="E496" s="184" t="s">
        <v>1701</v>
      </c>
      <c r="F496" s="184">
        <v>22</v>
      </c>
      <c r="G496" s="14">
        <v>0</v>
      </c>
      <c r="H496" s="14"/>
      <c r="I496" s="184">
        <v>1</v>
      </c>
      <c r="J496" s="14" t="s">
        <v>1699</v>
      </c>
      <c r="K496" s="14"/>
      <c r="L496" s="85"/>
      <c r="M496" s="85"/>
      <c r="N496" s="85"/>
      <c r="O496" s="85"/>
      <c r="P496" s="85"/>
      <c r="Q496" s="85"/>
      <c r="R496" s="85"/>
      <c r="S496" s="85"/>
      <c r="T496" s="85"/>
      <c r="U496" s="85"/>
      <c r="V496" s="85"/>
      <c r="W496" s="85"/>
      <c r="X496" s="85"/>
      <c r="Y496" s="85"/>
      <c r="Z496" s="85"/>
    </row>
    <row r="497" spans="1:26" ht="15.75" customHeight="1">
      <c r="A497" s="210">
        <v>86</v>
      </c>
      <c r="B497" s="210" t="s">
        <v>432</v>
      </c>
      <c r="C497" s="210" t="s">
        <v>433</v>
      </c>
      <c r="D497" s="209">
        <v>37677</v>
      </c>
      <c r="E497" s="14" t="s">
        <v>1702</v>
      </c>
      <c r="F497" s="184">
        <v>46</v>
      </c>
      <c r="G497" s="14">
        <v>0</v>
      </c>
      <c r="H497" s="14"/>
      <c r="I497" s="184">
        <v>1</v>
      </c>
      <c r="J497" s="14" t="s">
        <v>1699</v>
      </c>
      <c r="K497" s="14"/>
      <c r="L497" s="85"/>
      <c r="M497" s="85"/>
      <c r="N497" s="85"/>
      <c r="O497" s="85"/>
      <c r="P497" s="85"/>
      <c r="Q497" s="85"/>
      <c r="R497" s="85"/>
      <c r="S497" s="85"/>
      <c r="T497" s="85"/>
      <c r="U497" s="85"/>
      <c r="V497" s="85"/>
      <c r="W497" s="85"/>
      <c r="X497" s="85"/>
      <c r="Y497" s="85"/>
      <c r="Z497" s="85"/>
    </row>
    <row r="498" spans="1:26" ht="15.75" customHeight="1">
      <c r="A498" s="197">
        <v>87</v>
      </c>
      <c r="B498" s="197" t="s">
        <v>436</v>
      </c>
      <c r="C498" s="197" t="s">
        <v>437</v>
      </c>
      <c r="D498" s="198">
        <v>37810</v>
      </c>
      <c r="E498" s="14" t="s">
        <v>1703</v>
      </c>
      <c r="F498" s="184">
        <v>53</v>
      </c>
      <c r="G498" s="184">
        <v>1</v>
      </c>
      <c r="H498" s="184">
        <v>1</v>
      </c>
      <c r="I498" s="14">
        <v>1</v>
      </c>
      <c r="J498" s="14" t="s">
        <v>1175</v>
      </c>
      <c r="K498" s="14"/>
      <c r="L498" s="85"/>
      <c r="M498" s="85"/>
      <c r="N498" s="85"/>
      <c r="O498" s="85"/>
      <c r="P498" s="85"/>
      <c r="Q498" s="85"/>
      <c r="R498" s="85"/>
      <c r="S498" s="85"/>
      <c r="T498" s="85"/>
      <c r="U498" s="85"/>
      <c r="V498" s="85"/>
      <c r="W498" s="85"/>
      <c r="X498" s="85"/>
      <c r="Y498" s="85"/>
      <c r="Z498" s="85"/>
    </row>
    <row r="499" spans="1:26" ht="15.75" customHeight="1">
      <c r="A499" s="197">
        <v>87</v>
      </c>
      <c r="B499" s="197" t="s">
        <v>436</v>
      </c>
      <c r="C499" s="197" t="s">
        <v>437</v>
      </c>
      <c r="D499" s="198">
        <v>37810</v>
      </c>
      <c r="E499" s="14" t="s">
        <v>1704</v>
      </c>
      <c r="F499" s="184">
        <v>46</v>
      </c>
      <c r="G499" s="184">
        <v>0</v>
      </c>
      <c r="H499" s="184">
        <v>1</v>
      </c>
      <c r="I499" s="14">
        <v>1</v>
      </c>
      <c r="J499" s="14" t="s">
        <v>1175</v>
      </c>
      <c r="K499" s="14"/>
      <c r="L499" s="85"/>
      <c r="M499" s="85"/>
      <c r="N499" s="85"/>
      <c r="O499" s="85"/>
      <c r="P499" s="85"/>
      <c r="Q499" s="85"/>
      <c r="R499" s="85"/>
      <c r="S499" s="85"/>
      <c r="T499" s="85"/>
      <c r="U499" s="85"/>
      <c r="V499" s="85"/>
      <c r="W499" s="85"/>
      <c r="X499" s="85"/>
      <c r="Y499" s="85"/>
      <c r="Z499" s="85"/>
    </row>
    <row r="500" spans="1:26" ht="15.75" customHeight="1">
      <c r="A500" s="197">
        <v>87</v>
      </c>
      <c r="B500" s="197" t="s">
        <v>436</v>
      </c>
      <c r="C500" s="197" t="s">
        <v>437</v>
      </c>
      <c r="D500" s="198">
        <v>37810</v>
      </c>
      <c r="E500" s="14" t="s">
        <v>1705</v>
      </c>
      <c r="F500" s="184">
        <v>45</v>
      </c>
      <c r="G500" s="14">
        <v>0</v>
      </c>
      <c r="H500" s="184">
        <v>0</v>
      </c>
      <c r="I500" s="14">
        <v>1</v>
      </c>
      <c r="J500" s="14" t="s">
        <v>1175</v>
      </c>
      <c r="K500" s="14"/>
      <c r="L500" s="85"/>
      <c r="M500" s="85"/>
      <c r="N500" s="85"/>
      <c r="O500" s="85"/>
      <c r="P500" s="85"/>
      <c r="Q500" s="85"/>
      <c r="R500" s="85"/>
      <c r="S500" s="85"/>
      <c r="T500" s="85"/>
      <c r="U500" s="85"/>
      <c r="V500" s="85"/>
      <c r="W500" s="85"/>
      <c r="X500" s="85"/>
      <c r="Y500" s="85"/>
      <c r="Z500" s="85"/>
    </row>
    <row r="501" spans="1:26" ht="15.75" customHeight="1">
      <c r="A501" s="197">
        <v>87</v>
      </c>
      <c r="B501" s="197" t="s">
        <v>436</v>
      </c>
      <c r="C501" s="197" t="s">
        <v>437</v>
      </c>
      <c r="D501" s="198">
        <v>37810</v>
      </c>
      <c r="E501" s="14" t="s">
        <v>1706</v>
      </c>
      <c r="F501" s="184">
        <v>47</v>
      </c>
      <c r="G501" s="14">
        <v>1</v>
      </c>
      <c r="H501" s="14">
        <v>1</v>
      </c>
      <c r="I501" s="14">
        <v>1</v>
      </c>
      <c r="J501" s="14" t="s">
        <v>1175</v>
      </c>
      <c r="K501" s="14"/>
      <c r="L501" s="85"/>
      <c r="M501" s="85"/>
      <c r="N501" s="85"/>
      <c r="O501" s="85"/>
      <c r="P501" s="85"/>
      <c r="Q501" s="85"/>
      <c r="R501" s="85"/>
      <c r="S501" s="85"/>
      <c r="T501" s="85"/>
      <c r="U501" s="85"/>
      <c r="V501" s="85"/>
      <c r="W501" s="85"/>
      <c r="X501" s="85"/>
      <c r="Y501" s="85"/>
      <c r="Z501" s="85"/>
    </row>
    <row r="502" spans="1:26" ht="15.75" customHeight="1">
      <c r="A502" s="197">
        <v>87</v>
      </c>
      <c r="B502" s="197" t="s">
        <v>436</v>
      </c>
      <c r="C502" s="197" t="s">
        <v>437</v>
      </c>
      <c r="D502" s="198">
        <v>37810</v>
      </c>
      <c r="E502" s="14" t="s">
        <v>1707</v>
      </c>
      <c r="F502" s="184">
        <v>58</v>
      </c>
      <c r="G502" s="14">
        <v>0</v>
      </c>
      <c r="H502" s="184">
        <v>1</v>
      </c>
      <c r="I502" s="14">
        <v>1</v>
      </c>
      <c r="J502" s="14" t="s">
        <v>1175</v>
      </c>
      <c r="K502" s="14"/>
      <c r="L502" s="85"/>
      <c r="M502" s="85"/>
      <c r="N502" s="85"/>
      <c r="O502" s="85"/>
      <c r="P502" s="85"/>
      <c r="Q502" s="85"/>
      <c r="R502" s="85"/>
      <c r="S502" s="85"/>
      <c r="T502" s="85"/>
      <c r="U502" s="85"/>
      <c r="V502" s="85"/>
      <c r="W502" s="85"/>
      <c r="X502" s="85"/>
      <c r="Y502" s="85"/>
      <c r="Z502" s="85"/>
    </row>
    <row r="503" spans="1:26" ht="15.75" customHeight="1">
      <c r="A503" s="197">
        <v>87</v>
      </c>
      <c r="B503" s="197" t="s">
        <v>436</v>
      </c>
      <c r="C503" s="197" t="s">
        <v>437</v>
      </c>
      <c r="D503" s="198">
        <v>37810</v>
      </c>
      <c r="E503" s="14" t="s">
        <v>1708</v>
      </c>
      <c r="F503" s="184">
        <v>57</v>
      </c>
      <c r="G503" s="14">
        <v>0</v>
      </c>
      <c r="H503" s="184">
        <v>1</v>
      </c>
      <c r="I503" s="14">
        <v>1</v>
      </c>
      <c r="J503" s="14" t="s">
        <v>1175</v>
      </c>
      <c r="K503" s="14"/>
      <c r="L503" s="85"/>
      <c r="M503" s="85"/>
      <c r="N503" s="85"/>
      <c r="O503" s="85"/>
      <c r="P503" s="85"/>
      <c r="Q503" s="85"/>
      <c r="R503" s="85"/>
      <c r="S503" s="85"/>
      <c r="T503" s="85"/>
      <c r="U503" s="85"/>
      <c r="V503" s="85"/>
      <c r="W503" s="85"/>
      <c r="X503" s="85"/>
      <c r="Y503" s="85"/>
      <c r="Z503" s="85"/>
    </row>
    <row r="504" spans="1:26" ht="15.75" customHeight="1">
      <c r="A504" s="207">
        <v>88</v>
      </c>
      <c r="B504" s="207" t="s">
        <v>441</v>
      </c>
      <c r="C504" s="207" t="s">
        <v>442</v>
      </c>
      <c r="D504" s="208">
        <v>37860</v>
      </c>
      <c r="E504" s="14" t="s">
        <v>1709</v>
      </c>
      <c r="F504" s="184">
        <v>44</v>
      </c>
      <c r="G504" s="14">
        <v>0</v>
      </c>
      <c r="H504" s="14"/>
      <c r="I504" s="14">
        <v>1</v>
      </c>
      <c r="J504" s="14" t="s">
        <v>1384</v>
      </c>
      <c r="K504" s="14"/>
      <c r="L504" s="85"/>
      <c r="M504" s="85"/>
      <c r="N504" s="85"/>
      <c r="O504" s="85"/>
      <c r="P504" s="85"/>
      <c r="Q504" s="85"/>
      <c r="R504" s="85"/>
      <c r="S504" s="85"/>
      <c r="T504" s="85"/>
      <c r="U504" s="85"/>
      <c r="V504" s="85"/>
      <c r="W504" s="85"/>
      <c r="X504" s="85"/>
      <c r="Y504" s="85"/>
      <c r="Z504" s="85"/>
    </row>
    <row r="505" spans="1:26" ht="15.75" customHeight="1">
      <c r="A505" s="207">
        <v>88</v>
      </c>
      <c r="B505" s="207" t="s">
        <v>441</v>
      </c>
      <c r="C505" s="207" t="s">
        <v>442</v>
      </c>
      <c r="D505" s="208">
        <v>37860</v>
      </c>
      <c r="E505" s="14" t="s">
        <v>1710</v>
      </c>
      <c r="F505" s="184">
        <v>53</v>
      </c>
      <c r="G505" s="14">
        <v>0</v>
      </c>
      <c r="H505" s="14"/>
      <c r="I505" s="14">
        <v>1</v>
      </c>
      <c r="J505" s="14" t="s">
        <v>1384</v>
      </c>
      <c r="K505" s="14"/>
      <c r="L505" s="85"/>
      <c r="M505" s="85"/>
      <c r="N505" s="85"/>
      <c r="O505" s="85"/>
      <c r="P505" s="85"/>
      <c r="Q505" s="85"/>
      <c r="R505" s="85"/>
      <c r="S505" s="85"/>
      <c r="T505" s="85"/>
      <c r="U505" s="85"/>
      <c r="V505" s="85"/>
      <c r="W505" s="85"/>
      <c r="X505" s="85"/>
      <c r="Y505" s="85"/>
      <c r="Z505" s="85"/>
    </row>
    <row r="506" spans="1:26" ht="15.75" customHeight="1">
      <c r="A506" s="207">
        <v>88</v>
      </c>
      <c r="B506" s="207" t="s">
        <v>441</v>
      </c>
      <c r="C506" s="207" t="s">
        <v>442</v>
      </c>
      <c r="D506" s="208">
        <v>37860</v>
      </c>
      <c r="E506" s="14" t="s">
        <v>1711</v>
      </c>
      <c r="F506" s="184">
        <v>34</v>
      </c>
      <c r="G506" s="14">
        <v>0</v>
      </c>
      <c r="H506" s="184">
        <v>2</v>
      </c>
      <c r="I506" s="14">
        <v>1</v>
      </c>
      <c r="J506" s="14" t="s">
        <v>1384</v>
      </c>
      <c r="K506" s="14"/>
      <c r="L506" s="85"/>
      <c r="M506" s="85"/>
      <c r="N506" s="85"/>
      <c r="O506" s="85"/>
      <c r="P506" s="85"/>
      <c r="Q506" s="85"/>
      <c r="R506" s="85"/>
      <c r="S506" s="85"/>
      <c r="T506" s="85"/>
      <c r="U506" s="85"/>
      <c r="V506" s="85"/>
      <c r="W506" s="85"/>
      <c r="X506" s="85"/>
      <c r="Y506" s="85"/>
      <c r="Z506" s="85"/>
    </row>
    <row r="507" spans="1:26" ht="15.75" customHeight="1">
      <c r="A507" s="207">
        <v>88</v>
      </c>
      <c r="B507" s="207" t="s">
        <v>441</v>
      </c>
      <c r="C507" s="207" t="s">
        <v>442</v>
      </c>
      <c r="D507" s="208">
        <v>37860</v>
      </c>
      <c r="E507" s="184" t="s">
        <v>1712</v>
      </c>
      <c r="F507" s="184">
        <v>50</v>
      </c>
      <c r="G507" s="14">
        <v>0</v>
      </c>
      <c r="H507" s="14"/>
      <c r="I507" s="14">
        <v>1</v>
      </c>
      <c r="J507" s="14" t="s">
        <v>1384</v>
      </c>
      <c r="K507" s="14"/>
      <c r="L507" s="85"/>
      <c r="M507" s="85"/>
      <c r="N507" s="85"/>
      <c r="O507" s="85"/>
      <c r="P507" s="85"/>
      <c r="Q507" s="85"/>
      <c r="R507" s="85"/>
      <c r="S507" s="85"/>
      <c r="T507" s="85"/>
      <c r="U507" s="85"/>
      <c r="V507" s="85"/>
      <c r="W507" s="85"/>
      <c r="X507" s="85"/>
      <c r="Y507" s="85"/>
      <c r="Z507" s="85"/>
    </row>
    <row r="508" spans="1:26" ht="15.75" customHeight="1">
      <c r="A508" s="207">
        <v>88</v>
      </c>
      <c r="B508" s="207" t="s">
        <v>441</v>
      </c>
      <c r="C508" s="207" t="s">
        <v>442</v>
      </c>
      <c r="D508" s="208">
        <v>37860</v>
      </c>
      <c r="E508" s="14" t="s">
        <v>1713</v>
      </c>
      <c r="F508" s="184">
        <v>30</v>
      </c>
      <c r="G508" s="14">
        <v>0</v>
      </c>
      <c r="H508" s="14"/>
      <c r="I508" s="14">
        <v>1</v>
      </c>
      <c r="J508" s="14" t="s">
        <v>1384</v>
      </c>
      <c r="K508" s="14"/>
      <c r="L508" s="85"/>
      <c r="M508" s="85"/>
      <c r="N508" s="85"/>
      <c r="O508" s="85"/>
      <c r="P508" s="85"/>
      <c r="Q508" s="85"/>
      <c r="R508" s="85"/>
      <c r="S508" s="85"/>
      <c r="T508" s="85"/>
      <c r="U508" s="85"/>
      <c r="V508" s="85"/>
      <c r="W508" s="85"/>
      <c r="X508" s="85"/>
      <c r="Y508" s="85"/>
      <c r="Z508" s="85"/>
    </row>
    <row r="509" spans="1:26" ht="15.75" customHeight="1">
      <c r="A509" s="207">
        <v>88</v>
      </c>
      <c r="B509" s="207" t="s">
        <v>441</v>
      </c>
      <c r="C509" s="207" t="s">
        <v>442</v>
      </c>
      <c r="D509" s="208">
        <v>37860</v>
      </c>
      <c r="E509" s="14" t="s">
        <v>1714</v>
      </c>
      <c r="F509" s="184">
        <v>59</v>
      </c>
      <c r="G509" s="14">
        <v>0</v>
      </c>
      <c r="H509" s="14"/>
      <c r="I509" s="14">
        <v>1</v>
      </c>
      <c r="J509" s="14" t="s">
        <v>1384</v>
      </c>
      <c r="K509" s="14"/>
      <c r="L509" s="85"/>
      <c r="M509" s="85"/>
      <c r="N509" s="85"/>
      <c r="O509" s="85"/>
      <c r="P509" s="85"/>
      <c r="Q509" s="85"/>
      <c r="R509" s="85"/>
      <c r="S509" s="85"/>
      <c r="T509" s="85"/>
      <c r="U509" s="85"/>
      <c r="V509" s="85"/>
      <c r="W509" s="85"/>
      <c r="X509" s="85"/>
      <c r="Y509" s="85"/>
      <c r="Z509" s="85"/>
    </row>
    <row r="510" spans="1:26" ht="15.75" customHeight="1">
      <c r="A510" s="205">
        <v>89</v>
      </c>
      <c r="B510" s="205" t="s">
        <v>444</v>
      </c>
      <c r="C510" s="205" t="s">
        <v>445</v>
      </c>
      <c r="D510" s="206">
        <v>37918</v>
      </c>
      <c r="E510" s="14" t="s">
        <v>1715</v>
      </c>
      <c r="F510" s="184">
        <v>62</v>
      </c>
      <c r="G510" s="14">
        <v>0</v>
      </c>
      <c r="H510" s="14"/>
      <c r="I510" s="14">
        <v>0</v>
      </c>
      <c r="J510" s="14" t="s">
        <v>100</v>
      </c>
      <c r="K510" s="14"/>
      <c r="L510" s="85"/>
      <c r="M510" s="85"/>
      <c r="N510" s="85"/>
      <c r="O510" s="85"/>
      <c r="P510" s="85"/>
      <c r="Q510" s="85"/>
      <c r="R510" s="85"/>
      <c r="S510" s="85"/>
      <c r="T510" s="85"/>
      <c r="U510" s="85"/>
      <c r="V510" s="85"/>
      <c r="W510" s="85"/>
      <c r="X510" s="85"/>
      <c r="Y510" s="85"/>
      <c r="Z510" s="85"/>
    </row>
    <row r="511" spans="1:26" ht="15.75" customHeight="1">
      <c r="A511" s="205">
        <v>89</v>
      </c>
      <c r="B511" s="205" t="s">
        <v>444</v>
      </c>
      <c r="C511" s="205" t="s">
        <v>445</v>
      </c>
      <c r="D511" s="206">
        <v>37918</v>
      </c>
      <c r="E511" s="184" t="s">
        <v>1716</v>
      </c>
      <c r="F511" s="184">
        <v>63</v>
      </c>
      <c r="G511" s="14">
        <v>0</v>
      </c>
      <c r="H511" s="14"/>
      <c r="I511" s="14">
        <v>0</v>
      </c>
      <c r="J511" s="14" t="s">
        <v>100</v>
      </c>
      <c r="K511" s="14"/>
      <c r="L511" s="85"/>
      <c r="M511" s="85"/>
      <c r="N511" s="85"/>
      <c r="O511" s="85"/>
      <c r="P511" s="85"/>
      <c r="Q511" s="85"/>
      <c r="R511" s="85"/>
      <c r="S511" s="85"/>
      <c r="T511" s="85"/>
      <c r="U511" s="85"/>
      <c r="V511" s="85"/>
      <c r="W511" s="85"/>
      <c r="X511" s="85"/>
      <c r="Y511" s="85"/>
      <c r="Z511" s="85"/>
    </row>
    <row r="512" spans="1:26" ht="15.75" customHeight="1">
      <c r="A512" s="205">
        <v>89</v>
      </c>
      <c r="B512" s="205" t="s">
        <v>444</v>
      </c>
      <c r="C512" s="205" t="s">
        <v>445</v>
      </c>
      <c r="D512" s="206">
        <v>37918</v>
      </c>
      <c r="E512" s="14" t="s">
        <v>1717</v>
      </c>
      <c r="F512" s="184">
        <v>84</v>
      </c>
      <c r="G512" s="14">
        <v>0</v>
      </c>
      <c r="H512" s="14"/>
      <c r="I512" s="14">
        <v>0</v>
      </c>
      <c r="J512" s="14" t="s">
        <v>100</v>
      </c>
      <c r="K512" s="14"/>
      <c r="L512" s="85"/>
      <c r="M512" s="85"/>
      <c r="N512" s="85"/>
      <c r="O512" s="85"/>
      <c r="P512" s="85"/>
      <c r="Q512" s="85"/>
      <c r="R512" s="85"/>
      <c r="S512" s="85"/>
      <c r="T512" s="85"/>
      <c r="U512" s="85"/>
      <c r="V512" s="85"/>
      <c r="W512" s="85"/>
      <c r="X512" s="85"/>
      <c r="Y512" s="85"/>
      <c r="Z512" s="85"/>
    </row>
    <row r="513" spans="1:26" ht="15.75" customHeight="1">
      <c r="A513" s="205">
        <v>89</v>
      </c>
      <c r="B513" s="205" t="s">
        <v>444</v>
      </c>
      <c r="C513" s="205" t="s">
        <v>445</v>
      </c>
      <c r="D513" s="206">
        <v>37918</v>
      </c>
      <c r="E513" s="184" t="s">
        <v>1718</v>
      </c>
      <c r="F513" s="184">
        <v>41</v>
      </c>
      <c r="G513" s="14">
        <v>1</v>
      </c>
      <c r="H513" s="14"/>
      <c r="I513" s="14">
        <v>1</v>
      </c>
      <c r="J513" s="14" t="s">
        <v>1326</v>
      </c>
      <c r="K513" s="14"/>
      <c r="L513" s="85"/>
      <c r="M513" s="85"/>
      <c r="N513" s="85"/>
      <c r="O513" s="85"/>
      <c r="P513" s="85"/>
      <c r="Q513" s="85"/>
      <c r="R513" s="85"/>
      <c r="S513" s="85"/>
      <c r="T513" s="85"/>
      <c r="U513" s="85"/>
      <c r="V513" s="85"/>
      <c r="W513" s="85"/>
      <c r="X513" s="85"/>
      <c r="Y513" s="85"/>
      <c r="Z513" s="85"/>
    </row>
    <row r="514" spans="1:26" ht="15.75" customHeight="1">
      <c r="A514" s="191">
        <v>90</v>
      </c>
      <c r="B514" s="191" t="s">
        <v>193</v>
      </c>
      <c r="C514" s="191" t="s">
        <v>448</v>
      </c>
      <c r="D514" s="192">
        <v>38170</v>
      </c>
      <c r="E514" s="14" t="s">
        <v>1719</v>
      </c>
      <c r="F514" s="184">
        <v>55</v>
      </c>
      <c r="G514" s="14">
        <v>0</v>
      </c>
      <c r="H514" s="184">
        <v>1</v>
      </c>
      <c r="I514" s="14">
        <v>1</v>
      </c>
      <c r="J514" s="14" t="s">
        <v>1175</v>
      </c>
      <c r="K514" s="14"/>
      <c r="L514" s="85"/>
      <c r="M514" s="85"/>
      <c r="N514" s="85"/>
      <c r="O514" s="85"/>
      <c r="P514" s="85"/>
      <c r="Q514" s="85"/>
      <c r="R514" s="85"/>
      <c r="S514" s="85"/>
      <c r="T514" s="85"/>
      <c r="U514" s="85"/>
      <c r="V514" s="85"/>
      <c r="W514" s="85"/>
      <c r="X514" s="85"/>
      <c r="Y514" s="85"/>
      <c r="Z514" s="85"/>
    </row>
    <row r="515" spans="1:26" ht="15.75" customHeight="1">
      <c r="A515" s="191">
        <v>90</v>
      </c>
      <c r="B515" s="191" t="s">
        <v>193</v>
      </c>
      <c r="C515" s="191" t="s">
        <v>448</v>
      </c>
      <c r="D515" s="192">
        <v>38170</v>
      </c>
      <c r="E515" s="14" t="s">
        <v>1720</v>
      </c>
      <c r="F515" s="184">
        <v>46</v>
      </c>
      <c r="G515" s="14">
        <v>0</v>
      </c>
      <c r="H515" s="184">
        <v>1</v>
      </c>
      <c r="I515" s="14">
        <v>1</v>
      </c>
      <c r="J515" s="14" t="s">
        <v>1175</v>
      </c>
      <c r="K515" s="14"/>
      <c r="L515" s="85"/>
      <c r="M515" s="85"/>
      <c r="N515" s="85"/>
      <c r="O515" s="85"/>
      <c r="P515" s="85"/>
      <c r="Q515" s="85"/>
      <c r="R515" s="85"/>
      <c r="S515" s="85"/>
      <c r="T515" s="85"/>
      <c r="U515" s="85"/>
      <c r="V515" s="85"/>
      <c r="W515" s="85"/>
      <c r="X515" s="85"/>
      <c r="Y515" s="85"/>
      <c r="Z515" s="85"/>
    </row>
    <row r="516" spans="1:26" ht="15.75" customHeight="1">
      <c r="A516" s="191">
        <v>90</v>
      </c>
      <c r="B516" s="191" t="s">
        <v>193</v>
      </c>
      <c r="C516" s="191" t="s">
        <v>448</v>
      </c>
      <c r="D516" s="192">
        <v>38170</v>
      </c>
      <c r="E516" s="14" t="s">
        <v>1721</v>
      </c>
      <c r="F516" s="184">
        <v>45</v>
      </c>
      <c r="G516" s="14">
        <v>0</v>
      </c>
      <c r="H516" s="184">
        <v>2</v>
      </c>
      <c r="I516" s="14">
        <v>1</v>
      </c>
      <c r="J516" s="14" t="s">
        <v>1175</v>
      </c>
      <c r="K516" s="14"/>
      <c r="L516" s="85"/>
      <c r="M516" s="85"/>
      <c r="N516" s="85"/>
      <c r="O516" s="85"/>
      <c r="P516" s="85"/>
      <c r="Q516" s="85"/>
      <c r="R516" s="85"/>
      <c r="S516" s="85"/>
      <c r="T516" s="85"/>
      <c r="U516" s="85"/>
      <c r="V516" s="85"/>
      <c r="W516" s="85"/>
      <c r="X516" s="85"/>
      <c r="Y516" s="85"/>
      <c r="Z516" s="85"/>
    </row>
    <row r="517" spans="1:26" ht="15.75" customHeight="1">
      <c r="A517" s="191">
        <v>90</v>
      </c>
      <c r="B517" s="191" t="s">
        <v>193</v>
      </c>
      <c r="C517" s="191" t="s">
        <v>448</v>
      </c>
      <c r="D517" s="192">
        <v>38170</v>
      </c>
      <c r="E517" s="14" t="s">
        <v>1722</v>
      </c>
      <c r="F517" s="184">
        <v>23</v>
      </c>
      <c r="G517" s="14">
        <v>0</v>
      </c>
      <c r="H517" s="184" t="str">
        <f>HYPERLINK("https://www.findagrave.com/memorial/9256944/travis-lamont-nelson","1")</f>
        <v>1</v>
      </c>
      <c r="I517" s="14">
        <v>1</v>
      </c>
      <c r="J517" s="14" t="s">
        <v>1175</v>
      </c>
      <c r="K517" s="14"/>
      <c r="L517" s="85"/>
      <c r="M517" s="85"/>
      <c r="N517" s="85"/>
      <c r="O517" s="85"/>
      <c r="P517" s="85"/>
      <c r="Q517" s="85"/>
      <c r="R517" s="85"/>
      <c r="S517" s="85"/>
      <c r="T517" s="85"/>
      <c r="U517" s="85"/>
      <c r="V517" s="85"/>
      <c r="W517" s="85"/>
      <c r="X517" s="85"/>
      <c r="Y517" s="85"/>
      <c r="Z517" s="85"/>
    </row>
    <row r="518" spans="1:26" ht="15.75" customHeight="1">
      <c r="A518" s="191">
        <v>90</v>
      </c>
      <c r="B518" s="191" t="s">
        <v>193</v>
      </c>
      <c r="C518" s="191" t="s">
        <v>448</v>
      </c>
      <c r="D518" s="192">
        <v>38170</v>
      </c>
      <c r="E518" s="14" t="s">
        <v>1723</v>
      </c>
      <c r="F518" s="184">
        <v>49</v>
      </c>
      <c r="G518" s="14">
        <v>0</v>
      </c>
      <c r="H518" s="184">
        <v>2</v>
      </c>
      <c r="I518" s="14">
        <v>1</v>
      </c>
      <c r="J518" s="14" t="s">
        <v>1175</v>
      </c>
      <c r="K518" s="14"/>
      <c r="L518" s="85"/>
      <c r="M518" s="85"/>
      <c r="N518" s="85"/>
      <c r="O518" s="85"/>
      <c r="P518" s="85"/>
      <c r="Q518" s="85"/>
      <c r="R518" s="85"/>
      <c r="S518" s="85"/>
      <c r="T518" s="85"/>
      <c r="U518" s="85"/>
      <c r="V518" s="85"/>
      <c r="W518" s="85"/>
      <c r="X518" s="85"/>
      <c r="Y518" s="85"/>
      <c r="Z518" s="85"/>
    </row>
    <row r="519" spans="1:26" ht="15.75" customHeight="1">
      <c r="A519" s="193">
        <v>91</v>
      </c>
      <c r="B519" s="193" t="s">
        <v>450</v>
      </c>
      <c r="C519" s="193" t="s">
        <v>451</v>
      </c>
      <c r="D519" s="194">
        <v>38312</v>
      </c>
      <c r="E519" s="184" t="s">
        <v>1724</v>
      </c>
      <c r="F519" s="184">
        <v>42</v>
      </c>
      <c r="G519" s="14">
        <v>0</v>
      </c>
      <c r="H519" s="184">
        <v>0</v>
      </c>
      <c r="I519" s="14">
        <v>0</v>
      </c>
      <c r="J519" s="14" t="s">
        <v>100</v>
      </c>
      <c r="K519" s="14"/>
      <c r="L519" s="85"/>
      <c r="M519" s="85"/>
      <c r="N519" s="85"/>
      <c r="O519" s="85"/>
      <c r="P519" s="85"/>
      <c r="Q519" s="85"/>
      <c r="R519" s="85"/>
      <c r="S519" s="85"/>
      <c r="T519" s="85"/>
      <c r="U519" s="85"/>
      <c r="V519" s="85"/>
      <c r="W519" s="85"/>
      <c r="X519" s="85"/>
      <c r="Y519" s="85"/>
      <c r="Z519" s="85"/>
    </row>
    <row r="520" spans="1:26" ht="15.75" customHeight="1">
      <c r="A520" s="193">
        <v>91</v>
      </c>
      <c r="B520" s="193" t="s">
        <v>450</v>
      </c>
      <c r="C520" s="193" t="s">
        <v>451</v>
      </c>
      <c r="D520" s="194">
        <v>38312</v>
      </c>
      <c r="E520" s="14" t="s">
        <v>1725</v>
      </c>
      <c r="F520" s="184">
        <v>20</v>
      </c>
      <c r="G520" s="14">
        <v>0</v>
      </c>
      <c r="H520" s="184">
        <v>0</v>
      </c>
      <c r="I520" s="14">
        <v>0</v>
      </c>
      <c r="J520" s="14" t="s">
        <v>100</v>
      </c>
      <c r="K520" s="14"/>
      <c r="L520" s="85"/>
      <c r="M520" s="85"/>
      <c r="N520" s="85"/>
      <c r="O520" s="85"/>
      <c r="P520" s="85"/>
      <c r="Q520" s="85"/>
      <c r="R520" s="85"/>
      <c r="S520" s="85"/>
      <c r="T520" s="85"/>
      <c r="U520" s="85"/>
      <c r="V520" s="85"/>
      <c r="W520" s="85"/>
      <c r="X520" s="85"/>
      <c r="Y520" s="85"/>
      <c r="Z520" s="85"/>
    </row>
    <row r="521" spans="1:26" ht="15.75" customHeight="1">
      <c r="A521" s="193">
        <v>91</v>
      </c>
      <c r="B521" s="193" t="s">
        <v>450</v>
      </c>
      <c r="C521" s="193" t="s">
        <v>451</v>
      </c>
      <c r="D521" s="194">
        <v>38312</v>
      </c>
      <c r="E521" s="14" t="s">
        <v>1726</v>
      </c>
      <c r="F521" s="184">
        <v>55</v>
      </c>
      <c r="G521" s="14">
        <v>0</v>
      </c>
      <c r="H521" s="184">
        <v>0</v>
      </c>
      <c r="I521" s="14">
        <v>0</v>
      </c>
      <c r="J521" s="14" t="s">
        <v>100</v>
      </c>
      <c r="K521" s="14"/>
      <c r="L521" s="85"/>
      <c r="M521" s="85"/>
      <c r="N521" s="85"/>
      <c r="O521" s="85"/>
      <c r="P521" s="85"/>
      <c r="Q521" s="85"/>
      <c r="R521" s="85"/>
      <c r="S521" s="85"/>
      <c r="T521" s="85"/>
      <c r="U521" s="85"/>
      <c r="V521" s="85"/>
      <c r="W521" s="85"/>
      <c r="X521" s="85"/>
      <c r="Y521" s="85"/>
      <c r="Z521" s="85"/>
    </row>
    <row r="522" spans="1:26" ht="15.75" customHeight="1">
      <c r="A522" s="193">
        <v>91</v>
      </c>
      <c r="B522" s="193" t="s">
        <v>450</v>
      </c>
      <c r="C522" s="193" t="s">
        <v>451</v>
      </c>
      <c r="D522" s="194">
        <v>38312</v>
      </c>
      <c r="E522" s="184" t="s">
        <v>1727</v>
      </c>
      <c r="F522" s="184">
        <v>43</v>
      </c>
      <c r="G522" s="14">
        <v>0</v>
      </c>
      <c r="H522" s="184">
        <v>0</v>
      </c>
      <c r="I522" s="14">
        <v>0</v>
      </c>
      <c r="J522" s="14" t="s">
        <v>100</v>
      </c>
      <c r="K522" s="14"/>
      <c r="L522" s="85"/>
      <c r="M522" s="85"/>
      <c r="N522" s="85"/>
      <c r="O522" s="85"/>
      <c r="P522" s="85"/>
      <c r="Q522" s="85"/>
      <c r="R522" s="85"/>
      <c r="S522" s="85"/>
      <c r="T522" s="85"/>
      <c r="U522" s="85"/>
      <c r="V522" s="85"/>
      <c r="W522" s="85"/>
      <c r="X522" s="85"/>
      <c r="Y522" s="85"/>
      <c r="Z522" s="85"/>
    </row>
    <row r="523" spans="1:26" ht="15.75" customHeight="1">
      <c r="A523" s="193">
        <v>91</v>
      </c>
      <c r="B523" s="193" t="s">
        <v>450</v>
      </c>
      <c r="C523" s="193" t="s">
        <v>451</v>
      </c>
      <c r="D523" s="194">
        <v>38312</v>
      </c>
      <c r="E523" s="14" t="s">
        <v>1728</v>
      </c>
      <c r="F523" s="184">
        <v>28</v>
      </c>
      <c r="G523" s="14">
        <v>0</v>
      </c>
      <c r="H523" s="184">
        <v>0</v>
      </c>
      <c r="I523" s="14">
        <v>0</v>
      </c>
      <c r="J523" s="14" t="s">
        <v>100</v>
      </c>
      <c r="K523" s="14"/>
      <c r="L523" s="85"/>
      <c r="M523" s="85"/>
      <c r="N523" s="85"/>
      <c r="O523" s="85"/>
      <c r="P523" s="85"/>
      <c r="Q523" s="85"/>
      <c r="R523" s="85"/>
      <c r="S523" s="85"/>
      <c r="T523" s="85"/>
      <c r="U523" s="85"/>
      <c r="V523" s="85"/>
      <c r="W523" s="85"/>
      <c r="X523" s="85"/>
      <c r="Y523" s="85"/>
      <c r="Z523" s="85"/>
    </row>
    <row r="524" spans="1:26" ht="15.75" customHeight="1">
      <c r="A524" s="193">
        <v>91</v>
      </c>
      <c r="B524" s="193" t="s">
        <v>450</v>
      </c>
      <c r="C524" s="193" t="s">
        <v>451</v>
      </c>
      <c r="D524" s="194">
        <v>38312</v>
      </c>
      <c r="E524" s="14" t="s">
        <v>1729</v>
      </c>
      <c r="F524" s="184">
        <v>27</v>
      </c>
      <c r="G524" s="14">
        <v>1</v>
      </c>
      <c r="H524" s="184">
        <v>0</v>
      </c>
      <c r="I524" s="14">
        <v>0</v>
      </c>
      <c r="J524" s="14" t="s">
        <v>100</v>
      </c>
      <c r="K524" s="14"/>
      <c r="L524" s="85"/>
      <c r="M524" s="85"/>
      <c r="N524" s="85"/>
      <c r="O524" s="85"/>
      <c r="P524" s="85"/>
      <c r="Q524" s="85"/>
      <c r="R524" s="85"/>
      <c r="S524" s="85"/>
      <c r="T524" s="85"/>
      <c r="U524" s="85"/>
      <c r="V524" s="85"/>
      <c r="W524" s="85"/>
      <c r="X524" s="85"/>
      <c r="Y524" s="85"/>
      <c r="Z524" s="85"/>
    </row>
    <row r="525" spans="1:26" ht="15.75" customHeight="1">
      <c r="A525" s="195">
        <v>92</v>
      </c>
      <c r="B525" s="195" t="s">
        <v>454</v>
      </c>
      <c r="C525" s="195" t="s">
        <v>319</v>
      </c>
      <c r="D525" s="196">
        <v>38329</v>
      </c>
      <c r="E525" s="14" t="s">
        <v>1730</v>
      </c>
      <c r="F525" s="184">
        <v>38</v>
      </c>
      <c r="G525" s="14">
        <v>0</v>
      </c>
      <c r="H525" s="184">
        <v>0</v>
      </c>
      <c r="I525" s="14">
        <v>0</v>
      </c>
      <c r="J525" s="14" t="s">
        <v>1731</v>
      </c>
      <c r="K525" s="14"/>
      <c r="L525" s="85"/>
      <c r="M525" s="85"/>
      <c r="N525" s="85"/>
      <c r="O525" s="85"/>
      <c r="P525" s="85"/>
      <c r="Q525" s="85"/>
      <c r="R525" s="85"/>
      <c r="S525" s="85"/>
      <c r="T525" s="85"/>
      <c r="U525" s="85"/>
      <c r="V525" s="85"/>
      <c r="W525" s="85"/>
      <c r="X525" s="85"/>
      <c r="Y525" s="85"/>
      <c r="Z525" s="85"/>
    </row>
    <row r="526" spans="1:26" ht="15.75" customHeight="1">
      <c r="A526" s="195">
        <v>92</v>
      </c>
      <c r="B526" s="195" t="s">
        <v>454</v>
      </c>
      <c r="C526" s="195" t="s">
        <v>319</v>
      </c>
      <c r="D526" s="196">
        <v>38329</v>
      </c>
      <c r="E526" s="14" t="s">
        <v>1732</v>
      </c>
      <c r="F526" s="184">
        <v>29</v>
      </c>
      <c r="G526" s="14">
        <v>0</v>
      </c>
      <c r="H526" s="184" t="str">
        <f>HYPERLINK("https://www.findagrave.com/memorial/75699073/erin-alexander-halk/photo","0")</f>
        <v>0</v>
      </c>
      <c r="I526" s="14">
        <v>0</v>
      </c>
      <c r="J526" s="14" t="s">
        <v>100</v>
      </c>
      <c r="K526" s="14"/>
      <c r="L526" s="85"/>
      <c r="M526" s="85"/>
      <c r="N526" s="85"/>
      <c r="O526" s="85"/>
      <c r="P526" s="85"/>
      <c r="Q526" s="85"/>
      <c r="R526" s="85"/>
      <c r="S526" s="85"/>
      <c r="T526" s="85"/>
      <c r="U526" s="85"/>
      <c r="V526" s="85"/>
      <c r="W526" s="85"/>
      <c r="X526" s="85"/>
      <c r="Y526" s="85"/>
      <c r="Z526" s="85"/>
    </row>
    <row r="527" spans="1:26" ht="15.75" customHeight="1">
      <c r="A527" s="195">
        <v>92</v>
      </c>
      <c r="B527" s="195" t="s">
        <v>454</v>
      </c>
      <c r="C527" s="195" t="s">
        <v>319</v>
      </c>
      <c r="D527" s="196">
        <v>38329</v>
      </c>
      <c r="E527" s="14" t="s">
        <v>1733</v>
      </c>
      <c r="F527" s="184">
        <v>23</v>
      </c>
      <c r="G527" s="14">
        <v>0</v>
      </c>
      <c r="H527" s="184" t="str">
        <f>HYPERLINK("https://www.findagrave.com/memorial/75699582/nathan-anthony-bray","0")</f>
        <v>0</v>
      </c>
      <c r="I527" s="14">
        <v>0</v>
      </c>
      <c r="J527" s="14" t="s">
        <v>100</v>
      </c>
      <c r="K527" s="14"/>
      <c r="L527" s="85"/>
      <c r="M527" s="85"/>
      <c r="N527" s="85"/>
      <c r="O527" s="85"/>
      <c r="P527" s="85"/>
      <c r="Q527" s="85"/>
      <c r="R527" s="85"/>
      <c r="S527" s="85"/>
      <c r="T527" s="85"/>
      <c r="U527" s="85"/>
      <c r="V527" s="85"/>
      <c r="W527" s="85"/>
      <c r="X527" s="85"/>
      <c r="Y527" s="85"/>
      <c r="Z527" s="85"/>
    </row>
    <row r="528" spans="1:26" ht="15.75" customHeight="1">
      <c r="A528" s="195">
        <v>92</v>
      </c>
      <c r="B528" s="195" t="s">
        <v>454</v>
      </c>
      <c r="C528" s="195" t="s">
        <v>319</v>
      </c>
      <c r="D528" s="196">
        <v>38329</v>
      </c>
      <c r="E528" s="14" t="s">
        <v>1734</v>
      </c>
      <c r="F528" s="184">
        <v>40</v>
      </c>
      <c r="G528" s="14">
        <v>0</v>
      </c>
      <c r="H528" s="184" t="str">
        <f>HYPERLINK("https://www.findagrave.com/memorial/57023089/jeffery-allan-thompson","0")</f>
        <v>0</v>
      </c>
      <c r="I528" s="14">
        <v>0</v>
      </c>
      <c r="J528" s="14" t="s">
        <v>100</v>
      </c>
      <c r="K528" s="14"/>
      <c r="L528" s="85"/>
      <c r="M528" s="85"/>
      <c r="N528" s="85"/>
      <c r="O528" s="85"/>
      <c r="P528" s="85"/>
      <c r="Q528" s="85"/>
      <c r="R528" s="85"/>
      <c r="S528" s="85"/>
      <c r="T528" s="85"/>
      <c r="U528" s="85"/>
      <c r="V528" s="85"/>
      <c r="W528" s="85"/>
      <c r="X528" s="85"/>
      <c r="Y528" s="85"/>
      <c r="Z528" s="85"/>
    </row>
    <row r="529" spans="1:26" ht="15.75" customHeight="1">
      <c r="A529" s="197">
        <v>93</v>
      </c>
      <c r="B529" s="197" t="s">
        <v>457</v>
      </c>
      <c r="C529" s="197" t="s">
        <v>458</v>
      </c>
      <c r="D529" s="198">
        <v>38422</v>
      </c>
      <c r="E529" s="14" t="s">
        <v>1735</v>
      </c>
      <c r="F529" s="184">
        <v>64</v>
      </c>
      <c r="G529" s="14">
        <v>0</v>
      </c>
      <c r="H529" s="184" t="str">
        <f>HYPERLINK("https://www.findagrave.com/memorial/10605004/rowland-wayne-barnes","0")</f>
        <v>0</v>
      </c>
      <c r="I529" s="184">
        <v>1</v>
      </c>
      <c r="J529" s="14" t="s">
        <v>1736</v>
      </c>
      <c r="K529" s="14"/>
      <c r="L529" s="85"/>
      <c r="M529" s="85"/>
      <c r="N529" s="85"/>
      <c r="O529" s="85"/>
      <c r="P529" s="85"/>
      <c r="Q529" s="85"/>
      <c r="R529" s="85"/>
      <c r="S529" s="85"/>
      <c r="T529" s="85"/>
      <c r="U529" s="85"/>
      <c r="V529" s="85"/>
      <c r="W529" s="85"/>
      <c r="X529" s="85"/>
      <c r="Y529" s="85"/>
      <c r="Z529" s="85"/>
    </row>
    <row r="530" spans="1:26" ht="15.75" customHeight="1">
      <c r="A530" s="197">
        <v>93</v>
      </c>
      <c r="B530" s="197" t="s">
        <v>457</v>
      </c>
      <c r="C530" s="197" t="s">
        <v>458</v>
      </c>
      <c r="D530" s="198">
        <v>38422</v>
      </c>
      <c r="E530" s="14" t="s">
        <v>1737</v>
      </c>
      <c r="F530" s="184">
        <v>46</v>
      </c>
      <c r="G530" s="14">
        <v>1</v>
      </c>
      <c r="H530" s="184" t="str">
        <f>HYPERLINK("https://www.findagrave.com/memorial/25203386/julie-ann-brandau","0")</f>
        <v>0</v>
      </c>
      <c r="I530" s="14">
        <v>0</v>
      </c>
      <c r="J530" s="14" t="s">
        <v>100</v>
      </c>
      <c r="K530" s="14"/>
      <c r="L530" s="85"/>
      <c r="M530" s="85"/>
      <c r="N530" s="85"/>
      <c r="O530" s="85"/>
      <c r="P530" s="85"/>
      <c r="Q530" s="85"/>
      <c r="R530" s="85"/>
      <c r="S530" s="85"/>
      <c r="T530" s="85"/>
      <c r="U530" s="85"/>
      <c r="V530" s="85"/>
      <c r="W530" s="85"/>
      <c r="X530" s="85"/>
      <c r="Y530" s="85"/>
      <c r="Z530" s="85"/>
    </row>
    <row r="531" spans="1:26" ht="15.75" customHeight="1">
      <c r="A531" s="197">
        <v>93</v>
      </c>
      <c r="B531" s="197" t="s">
        <v>457</v>
      </c>
      <c r="C531" s="197" t="s">
        <v>458</v>
      </c>
      <c r="D531" s="198">
        <v>38422</v>
      </c>
      <c r="E531" s="14" t="s">
        <v>1738</v>
      </c>
      <c r="F531" s="184">
        <v>43</v>
      </c>
      <c r="G531" s="14">
        <v>0</v>
      </c>
      <c r="H531" s="184" t="str">
        <f>HYPERLINK("https://www.findagrave.com/memorial/10605344/hoyt-keith-teasley","1")</f>
        <v>1</v>
      </c>
      <c r="I531" s="14">
        <v>0</v>
      </c>
      <c r="J531" s="14" t="s">
        <v>100</v>
      </c>
      <c r="K531" s="14"/>
      <c r="L531" s="85"/>
      <c r="M531" s="85"/>
      <c r="N531" s="85"/>
      <c r="O531" s="85"/>
      <c r="P531" s="85"/>
      <c r="Q531" s="85"/>
      <c r="R531" s="85"/>
      <c r="S531" s="85"/>
      <c r="T531" s="85"/>
      <c r="U531" s="85"/>
      <c r="V531" s="85"/>
      <c r="W531" s="85"/>
      <c r="X531" s="85"/>
      <c r="Y531" s="85"/>
      <c r="Z531" s="85"/>
    </row>
    <row r="532" spans="1:26" ht="15.75" customHeight="1">
      <c r="A532" s="197">
        <v>93</v>
      </c>
      <c r="B532" s="197" t="s">
        <v>457</v>
      </c>
      <c r="C532" s="197" t="s">
        <v>458</v>
      </c>
      <c r="D532" s="198">
        <v>38422</v>
      </c>
      <c r="E532" s="14" t="s">
        <v>1739</v>
      </c>
      <c r="F532" s="184">
        <v>40</v>
      </c>
      <c r="G532" s="14">
        <v>0</v>
      </c>
      <c r="H532" s="184" t="str">
        <f>HYPERLINK("https://www.findagrave.com/memorial/11283129/david-gray-wilhelm","0")</f>
        <v>0</v>
      </c>
      <c r="I532" s="14">
        <v>0</v>
      </c>
      <c r="J532" s="14" t="s">
        <v>100</v>
      </c>
      <c r="K532" s="14"/>
      <c r="L532" s="85"/>
      <c r="M532" s="85"/>
      <c r="N532" s="85"/>
      <c r="O532" s="85"/>
      <c r="P532" s="85"/>
      <c r="Q532" s="85"/>
      <c r="R532" s="85"/>
      <c r="S532" s="85"/>
      <c r="T532" s="85"/>
      <c r="U532" s="85"/>
      <c r="V532" s="85"/>
      <c r="W532" s="85"/>
      <c r="X532" s="85"/>
      <c r="Y532" s="85"/>
      <c r="Z532" s="85"/>
    </row>
    <row r="533" spans="1:26" ht="15.75" customHeight="1">
      <c r="A533" s="207">
        <v>94</v>
      </c>
      <c r="B533" s="207" t="s">
        <v>460</v>
      </c>
      <c r="C533" s="207" t="s">
        <v>461</v>
      </c>
      <c r="D533" s="208">
        <v>38423</v>
      </c>
      <c r="E533" s="184" t="s">
        <v>1740</v>
      </c>
      <c r="F533" s="184">
        <v>55</v>
      </c>
      <c r="G533" s="14">
        <v>1</v>
      </c>
      <c r="H533" s="14"/>
      <c r="I533" s="14">
        <v>1</v>
      </c>
      <c r="J533" s="14" t="s">
        <v>1741</v>
      </c>
      <c r="K533" s="14"/>
      <c r="L533" s="85"/>
      <c r="M533" s="85"/>
      <c r="N533" s="85"/>
      <c r="O533" s="85"/>
      <c r="P533" s="85"/>
      <c r="Q533" s="85"/>
      <c r="R533" s="85"/>
      <c r="S533" s="85"/>
      <c r="T533" s="85"/>
      <c r="U533" s="85"/>
      <c r="V533" s="85"/>
      <c r="W533" s="85"/>
      <c r="X533" s="85"/>
      <c r="Y533" s="85"/>
      <c r="Z533" s="85"/>
    </row>
    <row r="534" spans="1:26" ht="15.75" customHeight="1">
      <c r="A534" s="207">
        <v>94</v>
      </c>
      <c r="B534" s="207" t="s">
        <v>460</v>
      </c>
      <c r="C534" s="207" t="s">
        <v>461</v>
      </c>
      <c r="D534" s="208">
        <v>38423</v>
      </c>
      <c r="E534" s="14" t="s">
        <v>1742</v>
      </c>
      <c r="F534" s="184">
        <v>74</v>
      </c>
      <c r="G534" s="184">
        <v>0</v>
      </c>
      <c r="H534" s="184">
        <v>0</v>
      </c>
      <c r="I534" s="14">
        <v>1</v>
      </c>
      <c r="J534" s="14" t="s">
        <v>1741</v>
      </c>
      <c r="K534" s="14"/>
      <c r="L534" s="85"/>
      <c r="M534" s="85"/>
      <c r="N534" s="85"/>
      <c r="O534" s="85"/>
      <c r="P534" s="85"/>
      <c r="Q534" s="85"/>
      <c r="R534" s="85"/>
      <c r="S534" s="85"/>
      <c r="T534" s="85"/>
      <c r="U534" s="85"/>
      <c r="V534" s="85"/>
      <c r="W534" s="85"/>
      <c r="X534" s="85"/>
      <c r="Y534" s="85"/>
      <c r="Z534" s="85"/>
    </row>
    <row r="535" spans="1:26" ht="15.75" customHeight="1">
      <c r="A535" s="207">
        <v>94</v>
      </c>
      <c r="B535" s="207" t="s">
        <v>460</v>
      </c>
      <c r="C535" s="207" t="s">
        <v>461</v>
      </c>
      <c r="D535" s="208">
        <v>38423</v>
      </c>
      <c r="E535" s="184" t="s">
        <v>1743</v>
      </c>
      <c r="F535" s="184">
        <v>16</v>
      </c>
      <c r="G535" s="14">
        <v>0</v>
      </c>
      <c r="H535" s="14"/>
      <c r="I535" s="14">
        <v>1</v>
      </c>
      <c r="J535" s="14" t="s">
        <v>1741</v>
      </c>
      <c r="K535" s="14"/>
      <c r="L535" s="85"/>
      <c r="M535" s="85"/>
      <c r="N535" s="85"/>
      <c r="O535" s="85"/>
      <c r="P535" s="85"/>
      <c r="Q535" s="85"/>
      <c r="R535" s="85"/>
      <c r="S535" s="85"/>
      <c r="T535" s="85"/>
      <c r="U535" s="85"/>
      <c r="V535" s="85"/>
      <c r="W535" s="85"/>
      <c r="X535" s="85"/>
      <c r="Y535" s="85"/>
      <c r="Z535" s="85"/>
    </row>
    <row r="536" spans="1:26" ht="15.75" customHeight="1">
      <c r="A536" s="207">
        <v>94</v>
      </c>
      <c r="B536" s="207" t="s">
        <v>460</v>
      </c>
      <c r="C536" s="207" t="s">
        <v>461</v>
      </c>
      <c r="D536" s="208">
        <v>38423</v>
      </c>
      <c r="E536" s="184" t="s">
        <v>1744</v>
      </c>
      <c r="F536" s="184">
        <v>51</v>
      </c>
      <c r="G536" s="14">
        <v>0</v>
      </c>
      <c r="H536" s="14"/>
      <c r="I536" s="14">
        <v>1</v>
      </c>
      <c r="J536" s="14" t="s">
        <v>1741</v>
      </c>
      <c r="K536" s="14"/>
      <c r="L536" s="85"/>
      <c r="M536" s="85"/>
      <c r="N536" s="85"/>
      <c r="O536" s="85"/>
      <c r="P536" s="85"/>
      <c r="Q536" s="85"/>
      <c r="R536" s="85"/>
      <c r="S536" s="85"/>
      <c r="T536" s="85"/>
      <c r="U536" s="85"/>
      <c r="V536" s="85"/>
      <c r="W536" s="85"/>
      <c r="X536" s="85"/>
      <c r="Y536" s="85"/>
      <c r="Z536" s="85"/>
    </row>
    <row r="537" spans="1:26" ht="15.75" customHeight="1">
      <c r="A537" s="207">
        <v>94</v>
      </c>
      <c r="B537" s="207" t="s">
        <v>460</v>
      </c>
      <c r="C537" s="207" t="s">
        <v>461</v>
      </c>
      <c r="D537" s="208">
        <v>38423</v>
      </c>
      <c r="E537" s="184" t="s">
        <v>1745</v>
      </c>
      <c r="F537" s="184">
        <v>44</v>
      </c>
      <c r="G537" s="14">
        <v>0</v>
      </c>
      <c r="H537" s="184">
        <v>0</v>
      </c>
      <c r="I537" s="14">
        <v>1</v>
      </c>
      <c r="J537" s="14" t="s">
        <v>1741</v>
      </c>
      <c r="K537" s="14"/>
      <c r="L537" s="85"/>
      <c r="M537" s="85"/>
      <c r="N537" s="85"/>
      <c r="O537" s="85"/>
      <c r="P537" s="85"/>
      <c r="Q537" s="85"/>
      <c r="R537" s="85"/>
      <c r="S537" s="85"/>
      <c r="T537" s="85"/>
      <c r="U537" s="85"/>
      <c r="V537" s="85"/>
      <c r="W537" s="85"/>
      <c r="X537" s="85"/>
      <c r="Y537" s="85"/>
      <c r="Z537" s="85"/>
    </row>
    <row r="538" spans="1:26" ht="15.75" customHeight="1">
      <c r="A538" s="207">
        <v>94</v>
      </c>
      <c r="B538" s="207" t="s">
        <v>460</v>
      </c>
      <c r="C538" s="207" t="s">
        <v>461</v>
      </c>
      <c r="D538" s="208">
        <v>38423</v>
      </c>
      <c r="E538" s="14" t="s">
        <v>1746</v>
      </c>
      <c r="F538" s="184">
        <v>15</v>
      </c>
      <c r="G538" s="14">
        <v>0</v>
      </c>
      <c r="H538" s="184">
        <v>0</v>
      </c>
      <c r="I538" s="14">
        <v>1</v>
      </c>
      <c r="J538" s="14" t="s">
        <v>1741</v>
      </c>
      <c r="K538" s="14"/>
      <c r="L538" s="85"/>
      <c r="M538" s="85"/>
      <c r="N538" s="85"/>
      <c r="O538" s="85"/>
      <c r="P538" s="85"/>
      <c r="Q538" s="85"/>
      <c r="R538" s="85"/>
      <c r="S538" s="85"/>
      <c r="T538" s="85"/>
      <c r="U538" s="85"/>
      <c r="V538" s="85"/>
      <c r="W538" s="85"/>
      <c r="X538" s="85"/>
      <c r="Y538" s="85"/>
      <c r="Z538" s="85"/>
    </row>
    <row r="539" spans="1:26" ht="15.75" customHeight="1">
      <c r="A539" s="207">
        <v>94</v>
      </c>
      <c r="B539" s="207" t="s">
        <v>460</v>
      </c>
      <c r="C539" s="207" t="s">
        <v>461</v>
      </c>
      <c r="D539" s="208">
        <v>38423</v>
      </c>
      <c r="E539" s="14" t="s">
        <v>1747</v>
      </c>
      <c r="F539" s="184">
        <v>58</v>
      </c>
      <c r="G539" s="14">
        <v>0</v>
      </c>
      <c r="H539" s="14"/>
      <c r="I539" s="14">
        <v>1</v>
      </c>
      <c r="J539" s="14" t="s">
        <v>1741</v>
      </c>
      <c r="K539" s="14"/>
      <c r="L539" s="85"/>
      <c r="M539" s="85"/>
      <c r="N539" s="85"/>
      <c r="O539" s="85"/>
      <c r="P539" s="85"/>
      <c r="Q539" s="85"/>
      <c r="R539" s="85"/>
      <c r="S539" s="85"/>
      <c r="T539" s="85"/>
      <c r="U539" s="85"/>
      <c r="V539" s="85"/>
      <c r="W539" s="85"/>
      <c r="X539" s="85"/>
      <c r="Y539" s="85"/>
      <c r="Z539" s="85"/>
    </row>
    <row r="540" spans="1:26" ht="15.75" customHeight="1">
      <c r="A540" s="203">
        <v>95</v>
      </c>
      <c r="B540" s="203" t="s">
        <v>464</v>
      </c>
      <c r="C540" s="203" t="s">
        <v>465</v>
      </c>
      <c r="D540" s="204">
        <v>38432</v>
      </c>
      <c r="E540" s="14" t="s">
        <v>1748</v>
      </c>
      <c r="F540" s="184">
        <v>28</v>
      </c>
      <c r="G540" s="14">
        <v>0</v>
      </c>
      <c r="H540" s="14">
        <v>5</v>
      </c>
      <c r="I540" s="14">
        <v>1</v>
      </c>
      <c r="J540" s="14" t="s">
        <v>1749</v>
      </c>
      <c r="K540" s="14"/>
      <c r="L540" s="85"/>
      <c r="M540" s="85"/>
      <c r="N540" s="85"/>
      <c r="O540" s="85"/>
      <c r="P540" s="85"/>
      <c r="Q540" s="85"/>
      <c r="R540" s="85"/>
      <c r="S540" s="85"/>
      <c r="T540" s="85"/>
      <c r="U540" s="85"/>
      <c r="V540" s="85"/>
      <c r="W540" s="85"/>
      <c r="X540" s="85"/>
      <c r="Y540" s="85"/>
      <c r="Z540" s="85"/>
    </row>
    <row r="541" spans="1:26" ht="15.75" customHeight="1">
      <c r="A541" s="203">
        <v>95</v>
      </c>
      <c r="B541" s="203" t="s">
        <v>464</v>
      </c>
      <c r="C541" s="203" t="s">
        <v>465</v>
      </c>
      <c r="D541" s="204">
        <v>38432</v>
      </c>
      <c r="E541" s="14" t="s">
        <v>1750</v>
      </c>
      <c r="F541" s="184">
        <v>15</v>
      </c>
      <c r="G541" s="14">
        <v>0</v>
      </c>
      <c r="H541" s="14">
        <v>5</v>
      </c>
      <c r="I541" s="14">
        <v>1</v>
      </c>
      <c r="J541" s="14" t="s">
        <v>1462</v>
      </c>
      <c r="K541" s="14"/>
      <c r="L541" s="85"/>
      <c r="M541" s="85"/>
      <c r="N541" s="85"/>
      <c r="O541" s="85"/>
      <c r="P541" s="85"/>
      <c r="Q541" s="85"/>
      <c r="R541" s="85"/>
      <c r="S541" s="85"/>
      <c r="T541" s="85"/>
      <c r="U541" s="85"/>
      <c r="V541" s="85"/>
      <c r="W541" s="85"/>
      <c r="X541" s="85"/>
      <c r="Y541" s="85"/>
      <c r="Z541" s="85"/>
    </row>
    <row r="542" spans="1:26" ht="15.75" customHeight="1">
      <c r="A542" s="203">
        <v>95</v>
      </c>
      <c r="B542" s="203" t="s">
        <v>464</v>
      </c>
      <c r="C542" s="203" t="s">
        <v>465</v>
      </c>
      <c r="D542" s="204">
        <v>38432</v>
      </c>
      <c r="E542" s="14" t="s">
        <v>1751</v>
      </c>
      <c r="F542" s="14">
        <v>15</v>
      </c>
      <c r="G542" s="14">
        <v>0</v>
      </c>
      <c r="H542" s="14">
        <v>5</v>
      </c>
      <c r="I542" s="14">
        <v>1</v>
      </c>
      <c r="J542" s="14" t="s">
        <v>1462</v>
      </c>
      <c r="K542" s="14"/>
      <c r="L542" s="85"/>
      <c r="M542" s="85"/>
      <c r="N542" s="85"/>
      <c r="O542" s="85"/>
      <c r="P542" s="85"/>
      <c r="Q542" s="85"/>
      <c r="R542" s="85"/>
      <c r="S542" s="85"/>
      <c r="T542" s="85"/>
      <c r="U542" s="85"/>
      <c r="V542" s="85"/>
      <c r="W542" s="85"/>
      <c r="X542" s="85"/>
      <c r="Y542" s="85"/>
      <c r="Z542" s="85"/>
    </row>
    <row r="543" spans="1:26" ht="15.75" customHeight="1">
      <c r="A543" s="203">
        <v>95</v>
      </c>
      <c r="B543" s="203" t="s">
        <v>464</v>
      </c>
      <c r="C543" s="203" t="s">
        <v>465</v>
      </c>
      <c r="D543" s="204">
        <v>38432</v>
      </c>
      <c r="E543" s="14" t="s">
        <v>1752</v>
      </c>
      <c r="F543" s="184">
        <v>58</v>
      </c>
      <c r="G543" s="14">
        <v>0</v>
      </c>
      <c r="H543" s="14">
        <v>5</v>
      </c>
      <c r="I543" s="14">
        <v>1</v>
      </c>
      <c r="J543" s="14" t="s">
        <v>1753</v>
      </c>
      <c r="K543" s="14"/>
      <c r="L543" s="85"/>
      <c r="M543" s="85"/>
      <c r="N543" s="85"/>
      <c r="O543" s="85"/>
      <c r="P543" s="85"/>
      <c r="Q543" s="85"/>
      <c r="R543" s="85"/>
      <c r="S543" s="85"/>
      <c r="T543" s="85"/>
      <c r="U543" s="85"/>
      <c r="V543" s="85"/>
      <c r="W543" s="85"/>
      <c r="X543" s="85"/>
      <c r="Y543" s="85"/>
      <c r="Z543" s="85"/>
    </row>
    <row r="544" spans="1:26" ht="15.75" customHeight="1">
      <c r="A544" s="203">
        <v>95</v>
      </c>
      <c r="B544" s="203" t="s">
        <v>464</v>
      </c>
      <c r="C544" s="203" t="s">
        <v>465</v>
      </c>
      <c r="D544" s="204">
        <v>38432</v>
      </c>
      <c r="E544" s="14" t="s">
        <v>1754</v>
      </c>
      <c r="F544" s="184">
        <v>62</v>
      </c>
      <c r="G544" s="14">
        <v>1</v>
      </c>
      <c r="H544" s="14">
        <v>0</v>
      </c>
      <c r="I544" s="14">
        <v>1</v>
      </c>
      <c r="J544" s="14" t="s">
        <v>1592</v>
      </c>
      <c r="K544" s="14"/>
      <c r="L544" s="85"/>
      <c r="M544" s="85"/>
      <c r="N544" s="85"/>
      <c r="O544" s="85"/>
      <c r="P544" s="85"/>
      <c r="Q544" s="85"/>
      <c r="R544" s="85"/>
      <c r="S544" s="85"/>
      <c r="T544" s="85"/>
      <c r="U544" s="85"/>
      <c r="V544" s="85"/>
      <c r="W544" s="85"/>
      <c r="X544" s="85"/>
      <c r="Y544" s="85"/>
      <c r="Z544" s="85"/>
    </row>
    <row r="545" spans="1:26" ht="15.75" customHeight="1">
      <c r="A545" s="203">
        <v>95</v>
      </c>
      <c r="B545" s="203" t="s">
        <v>464</v>
      </c>
      <c r="C545" s="203" t="s">
        <v>465</v>
      </c>
      <c r="D545" s="204">
        <v>38432</v>
      </c>
      <c r="E545" s="14" t="s">
        <v>1755</v>
      </c>
      <c r="F545" s="184">
        <v>15</v>
      </c>
      <c r="G545" s="14">
        <v>1</v>
      </c>
      <c r="H545" s="14">
        <v>5</v>
      </c>
      <c r="I545" s="14">
        <v>1</v>
      </c>
      <c r="J545" s="14" t="s">
        <v>1462</v>
      </c>
      <c r="K545" s="14"/>
      <c r="L545" s="85"/>
      <c r="M545" s="85"/>
      <c r="N545" s="85"/>
      <c r="O545" s="85"/>
      <c r="P545" s="85"/>
      <c r="Q545" s="85"/>
      <c r="R545" s="85"/>
      <c r="S545" s="85"/>
      <c r="T545" s="85"/>
      <c r="U545" s="85"/>
      <c r="V545" s="85"/>
      <c r="W545" s="85"/>
      <c r="X545" s="85"/>
      <c r="Y545" s="85"/>
      <c r="Z545" s="85"/>
    </row>
    <row r="546" spans="1:26" ht="15.75" customHeight="1">
      <c r="A546" s="203">
        <v>95</v>
      </c>
      <c r="B546" s="203" t="s">
        <v>464</v>
      </c>
      <c r="C546" s="203" t="s">
        <v>465</v>
      </c>
      <c r="D546" s="204">
        <v>38432</v>
      </c>
      <c r="E546" s="14" t="s">
        <v>1756</v>
      </c>
      <c r="F546" s="184">
        <v>32</v>
      </c>
      <c r="G546" s="14">
        <v>1</v>
      </c>
      <c r="H546" s="184">
        <v>5</v>
      </c>
      <c r="I546" s="14">
        <v>1</v>
      </c>
      <c r="J546" s="14" t="s">
        <v>1757</v>
      </c>
      <c r="K546" s="14"/>
      <c r="L546" s="85"/>
      <c r="M546" s="85"/>
      <c r="N546" s="85"/>
      <c r="O546" s="85"/>
      <c r="P546" s="85"/>
      <c r="Q546" s="85"/>
      <c r="R546" s="85"/>
      <c r="S546" s="85"/>
      <c r="T546" s="85"/>
      <c r="U546" s="85"/>
      <c r="V546" s="85"/>
      <c r="W546" s="85"/>
      <c r="X546" s="85"/>
      <c r="Y546" s="85"/>
      <c r="Z546" s="85"/>
    </row>
    <row r="547" spans="1:26" ht="15.75" customHeight="1">
      <c r="A547" s="203">
        <v>95</v>
      </c>
      <c r="B547" s="203" t="s">
        <v>464</v>
      </c>
      <c r="C547" s="203" t="s">
        <v>465</v>
      </c>
      <c r="D547" s="204">
        <v>38432</v>
      </c>
      <c r="E547" s="14" t="s">
        <v>1758</v>
      </c>
      <c r="F547" s="184">
        <v>15</v>
      </c>
      <c r="G547" s="14">
        <v>1</v>
      </c>
      <c r="H547" s="14">
        <v>5</v>
      </c>
      <c r="I547" s="14">
        <v>1</v>
      </c>
      <c r="J547" s="14" t="s">
        <v>1462</v>
      </c>
      <c r="K547" s="14"/>
      <c r="L547" s="85"/>
      <c r="M547" s="85"/>
      <c r="N547" s="85"/>
      <c r="O547" s="85"/>
      <c r="P547" s="85"/>
      <c r="Q547" s="85"/>
      <c r="R547" s="85"/>
      <c r="S547" s="85"/>
      <c r="T547" s="85"/>
      <c r="U547" s="85"/>
      <c r="V547" s="85"/>
      <c r="W547" s="85"/>
      <c r="X547" s="85"/>
      <c r="Y547" s="85"/>
      <c r="Z547" s="85"/>
    </row>
    <row r="548" spans="1:26" ht="15.75" customHeight="1">
      <c r="A548" s="203">
        <v>95</v>
      </c>
      <c r="B548" s="203" t="s">
        <v>464</v>
      </c>
      <c r="C548" s="203" t="s">
        <v>465</v>
      </c>
      <c r="D548" s="204">
        <v>38432</v>
      </c>
      <c r="E548" s="14" t="s">
        <v>1759</v>
      </c>
      <c r="F548" s="184">
        <v>15</v>
      </c>
      <c r="G548" s="14">
        <v>1</v>
      </c>
      <c r="H548" s="14">
        <v>5</v>
      </c>
      <c r="I548" s="14">
        <v>1</v>
      </c>
      <c r="J548" s="14" t="s">
        <v>1462</v>
      </c>
      <c r="K548" s="14"/>
      <c r="L548" s="85"/>
      <c r="M548" s="85"/>
      <c r="N548" s="85"/>
      <c r="O548" s="85"/>
      <c r="P548" s="85"/>
      <c r="Q548" s="85"/>
      <c r="R548" s="85"/>
      <c r="S548" s="85"/>
      <c r="T548" s="85"/>
      <c r="U548" s="85"/>
      <c r="V548" s="85"/>
      <c r="W548" s="85"/>
      <c r="X548" s="85"/>
      <c r="Y548" s="85"/>
      <c r="Z548" s="85"/>
    </row>
    <row r="549" spans="1:26" ht="15.75" customHeight="1">
      <c r="A549" s="205">
        <v>96</v>
      </c>
      <c r="B549" s="205" t="s">
        <v>469</v>
      </c>
      <c r="C549" s="205" t="s">
        <v>470</v>
      </c>
      <c r="D549" s="206">
        <v>38592</v>
      </c>
      <c r="E549" s="14" t="s">
        <v>1760</v>
      </c>
      <c r="F549" s="184">
        <v>42</v>
      </c>
      <c r="G549" s="14">
        <v>0</v>
      </c>
      <c r="H549" s="14"/>
      <c r="I549" s="184">
        <v>1</v>
      </c>
      <c r="J549" s="14" t="s">
        <v>1761</v>
      </c>
      <c r="K549" s="14"/>
      <c r="L549" s="85"/>
      <c r="M549" s="85"/>
      <c r="N549" s="85"/>
      <c r="O549" s="85"/>
      <c r="P549" s="85"/>
      <c r="Q549" s="85"/>
      <c r="R549" s="85"/>
      <c r="S549" s="85"/>
      <c r="T549" s="85"/>
      <c r="U549" s="85"/>
      <c r="V549" s="85"/>
      <c r="W549" s="85"/>
      <c r="X549" s="85"/>
      <c r="Y549" s="85"/>
      <c r="Z549" s="85"/>
    </row>
    <row r="550" spans="1:26" ht="15.75" customHeight="1">
      <c r="A550" s="205">
        <v>96</v>
      </c>
      <c r="B550" s="205" t="s">
        <v>469</v>
      </c>
      <c r="C550" s="205" t="s">
        <v>470</v>
      </c>
      <c r="D550" s="206">
        <v>38592</v>
      </c>
      <c r="E550" s="14" t="s">
        <v>1762</v>
      </c>
      <c r="F550" s="184">
        <v>61</v>
      </c>
      <c r="G550" s="14">
        <v>0</v>
      </c>
      <c r="H550" s="14"/>
      <c r="I550" s="184">
        <v>1</v>
      </c>
      <c r="J550" s="14" t="s">
        <v>1763</v>
      </c>
      <c r="K550" s="14"/>
      <c r="L550" s="85"/>
      <c r="M550" s="85"/>
      <c r="N550" s="85"/>
      <c r="O550" s="85"/>
      <c r="P550" s="85"/>
      <c r="Q550" s="85"/>
      <c r="R550" s="85"/>
      <c r="S550" s="85"/>
      <c r="T550" s="85"/>
      <c r="U550" s="85"/>
      <c r="V550" s="85"/>
      <c r="W550" s="85"/>
      <c r="X550" s="85"/>
      <c r="Y550" s="85"/>
      <c r="Z550" s="85"/>
    </row>
    <row r="551" spans="1:26" ht="15.75" customHeight="1">
      <c r="A551" s="205">
        <v>96</v>
      </c>
      <c r="B551" s="205" t="s">
        <v>469</v>
      </c>
      <c r="C551" s="205" t="s">
        <v>470</v>
      </c>
      <c r="D551" s="206">
        <v>38592</v>
      </c>
      <c r="E551" s="14" t="s">
        <v>1764</v>
      </c>
      <c r="F551" s="184">
        <v>50</v>
      </c>
      <c r="G551" s="14">
        <v>1</v>
      </c>
      <c r="H551" s="14"/>
      <c r="I551" s="14">
        <v>0</v>
      </c>
      <c r="J551" s="14" t="s">
        <v>100</v>
      </c>
      <c r="K551" s="14"/>
      <c r="L551" s="85"/>
      <c r="M551" s="85"/>
      <c r="N551" s="85"/>
      <c r="O551" s="85"/>
      <c r="P551" s="85"/>
      <c r="Q551" s="85"/>
      <c r="R551" s="85"/>
      <c r="S551" s="85"/>
      <c r="T551" s="85"/>
      <c r="U551" s="85"/>
      <c r="V551" s="85"/>
      <c r="W551" s="85"/>
      <c r="X551" s="85"/>
      <c r="Y551" s="85"/>
      <c r="Z551" s="85"/>
    </row>
    <row r="552" spans="1:26" ht="15.75" customHeight="1">
      <c r="A552" s="205">
        <v>96</v>
      </c>
      <c r="B552" s="205" t="s">
        <v>469</v>
      </c>
      <c r="C552" s="205" t="s">
        <v>470</v>
      </c>
      <c r="D552" s="206">
        <v>38592</v>
      </c>
      <c r="E552" s="14" t="s">
        <v>1765</v>
      </c>
      <c r="F552" s="184">
        <v>46</v>
      </c>
      <c r="G552" s="14">
        <v>1</v>
      </c>
      <c r="H552" s="14"/>
      <c r="I552" s="14">
        <v>0</v>
      </c>
      <c r="J552" s="14" t="s">
        <v>100</v>
      </c>
      <c r="K552" s="14"/>
      <c r="L552" s="85"/>
      <c r="M552" s="85"/>
      <c r="N552" s="85"/>
      <c r="O552" s="85"/>
      <c r="P552" s="85"/>
      <c r="Q552" s="85"/>
      <c r="R552" s="85"/>
      <c r="S552" s="85"/>
      <c r="T552" s="85"/>
      <c r="U552" s="85"/>
      <c r="V552" s="85"/>
      <c r="W552" s="85"/>
      <c r="X552" s="85"/>
      <c r="Y552" s="85"/>
      <c r="Z552" s="85"/>
    </row>
    <row r="553" spans="1:26" ht="15.75" customHeight="1">
      <c r="A553" s="191">
        <v>97</v>
      </c>
      <c r="B553" s="191" t="s">
        <v>472</v>
      </c>
      <c r="C553" s="191" t="s">
        <v>473</v>
      </c>
      <c r="D553" s="192">
        <v>38747</v>
      </c>
      <c r="E553" s="14" t="s">
        <v>1766</v>
      </c>
      <c r="F553" s="184">
        <v>37</v>
      </c>
      <c r="G553" s="14">
        <v>1</v>
      </c>
      <c r="H553" s="184" t="str">
        <f>HYPERLINK("https://www.findagrave.com/memorial/87087272/ze-vang-fairchild","3")</f>
        <v>3</v>
      </c>
      <c r="I553" s="14">
        <v>2</v>
      </c>
      <c r="J553" s="14" t="s">
        <v>1767</v>
      </c>
      <c r="K553" s="14"/>
      <c r="L553" s="85"/>
      <c r="M553" s="85"/>
      <c r="N553" s="85"/>
      <c r="O553" s="85"/>
      <c r="P553" s="85"/>
      <c r="Q553" s="85"/>
      <c r="R553" s="85"/>
      <c r="S553" s="85"/>
      <c r="T553" s="85"/>
      <c r="U553" s="85"/>
      <c r="V553" s="85"/>
      <c r="W553" s="85"/>
      <c r="X553" s="85"/>
      <c r="Y553" s="85"/>
      <c r="Z553" s="85"/>
    </row>
    <row r="554" spans="1:26" ht="15.75" customHeight="1">
      <c r="A554" s="191">
        <v>97</v>
      </c>
      <c r="B554" s="191" t="s">
        <v>472</v>
      </c>
      <c r="C554" s="191" t="s">
        <v>473</v>
      </c>
      <c r="D554" s="192">
        <v>38747</v>
      </c>
      <c r="E554" s="14" t="s">
        <v>1768</v>
      </c>
      <c r="F554" s="184">
        <v>54</v>
      </c>
      <c r="G554" s="14">
        <v>1</v>
      </c>
      <c r="H554" s="184" t="str">
        <f>HYPERLINK("https://www.findagrave.com/memorial/115577721/beverly-ann-graham","0")</f>
        <v>0</v>
      </c>
      <c r="I554" s="14">
        <v>1</v>
      </c>
      <c r="J554" s="14" t="s">
        <v>1769</v>
      </c>
      <c r="K554" s="14"/>
      <c r="L554" s="85"/>
      <c r="M554" s="85"/>
      <c r="N554" s="85"/>
      <c r="O554" s="85"/>
      <c r="P554" s="85"/>
      <c r="Q554" s="85"/>
      <c r="R554" s="85"/>
      <c r="S554" s="85"/>
      <c r="T554" s="85"/>
      <c r="U554" s="85"/>
      <c r="V554" s="85"/>
      <c r="W554" s="85"/>
      <c r="X554" s="85"/>
      <c r="Y554" s="85"/>
      <c r="Z554" s="85"/>
    </row>
    <row r="555" spans="1:26" ht="15.75" customHeight="1">
      <c r="A555" s="191">
        <v>97</v>
      </c>
      <c r="B555" s="191" t="s">
        <v>472</v>
      </c>
      <c r="C555" s="191" t="s">
        <v>473</v>
      </c>
      <c r="D555" s="192">
        <v>38747</v>
      </c>
      <c r="E555" s="14" t="s">
        <v>1770</v>
      </c>
      <c r="F555" s="184">
        <v>42</v>
      </c>
      <c r="G555" s="14">
        <v>1</v>
      </c>
      <c r="H555" s="184">
        <v>1</v>
      </c>
      <c r="I555" s="14">
        <v>2</v>
      </c>
      <c r="J555" s="14" t="s">
        <v>1767</v>
      </c>
      <c r="K555" s="14"/>
      <c r="L555" s="85"/>
      <c r="M555" s="85"/>
      <c r="N555" s="85"/>
      <c r="O555" s="85"/>
      <c r="P555" s="85"/>
      <c r="Q555" s="85"/>
      <c r="R555" s="85"/>
      <c r="S555" s="85"/>
      <c r="T555" s="85"/>
      <c r="U555" s="85"/>
      <c r="V555" s="85"/>
      <c r="W555" s="85"/>
      <c r="X555" s="85"/>
      <c r="Y555" s="85"/>
      <c r="Z555" s="85"/>
    </row>
    <row r="556" spans="1:26" ht="15.75" customHeight="1">
      <c r="A556" s="191">
        <v>97</v>
      </c>
      <c r="B556" s="191" t="s">
        <v>472</v>
      </c>
      <c r="C556" s="191" t="s">
        <v>473</v>
      </c>
      <c r="D556" s="192">
        <v>38747</v>
      </c>
      <c r="E556" s="14" t="s">
        <v>1771</v>
      </c>
      <c r="F556" s="184">
        <v>28</v>
      </c>
      <c r="G556" s="14">
        <v>1</v>
      </c>
      <c r="H556" s="184">
        <v>1</v>
      </c>
      <c r="I556" s="14">
        <v>2</v>
      </c>
      <c r="J556" s="14" t="s">
        <v>1767</v>
      </c>
      <c r="K556" s="14"/>
      <c r="L556" s="85"/>
      <c r="M556" s="85"/>
      <c r="N556" s="85"/>
      <c r="O556" s="85"/>
      <c r="P556" s="85"/>
      <c r="Q556" s="85"/>
      <c r="R556" s="85"/>
      <c r="S556" s="85"/>
      <c r="T556" s="85"/>
      <c r="U556" s="85"/>
      <c r="V556" s="85"/>
      <c r="W556" s="85"/>
      <c r="X556" s="85"/>
      <c r="Y556" s="85"/>
      <c r="Z556" s="85"/>
    </row>
    <row r="557" spans="1:26" ht="15.75" customHeight="1">
      <c r="A557" s="191">
        <v>97</v>
      </c>
      <c r="B557" s="191" t="s">
        <v>472</v>
      </c>
      <c r="C557" s="191" t="s">
        <v>473</v>
      </c>
      <c r="D557" s="192">
        <v>38747</v>
      </c>
      <c r="E557" s="14" t="s">
        <v>1772</v>
      </c>
      <c r="F557" s="184">
        <v>57</v>
      </c>
      <c r="G557" s="14">
        <v>0</v>
      </c>
      <c r="H557" s="184" t="str">
        <f>HYPERLINK("https://www.findagrave.com/memorial/18333779/dexter-e-shannon","1")</f>
        <v>1</v>
      </c>
      <c r="I557" s="14">
        <v>2</v>
      </c>
      <c r="J557" s="14" t="s">
        <v>1767</v>
      </c>
      <c r="K557" s="14"/>
      <c r="L557" s="85"/>
      <c r="M557" s="85"/>
      <c r="N557" s="85"/>
      <c r="O557" s="85"/>
      <c r="P557" s="85"/>
      <c r="Q557" s="85"/>
      <c r="R557" s="85"/>
      <c r="S557" s="85"/>
      <c r="T557" s="85"/>
      <c r="U557" s="85"/>
      <c r="V557" s="85"/>
      <c r="W557" s="85"/>
      <c r="X557" s="85"/>
      <c r="Y557" s="85"/>
      <c r="Z557" s="85"/>
    </row>
    <row r="558" spans="1:26" ht="15.75" customHeight="1">
      <c r="A558" s="191">
        <v>97</v>
      </c>
      <c r="B558" s="191" t="s">
        <v>472</v>
      </c>
      <c r="C558" s="191" t="s">
        <v>473</v>
      </c>
      <c r="D558" s="192">
        <v>38747</v>
      </c>
      <c r="E558" s="14" t="s">
        <v>1773</v>
      </c>
      <c r="F558" s="184">
        <v>52</v>
      </c>
      <c r="G558" s="14">
        <v>1</v>
      </c>
      <c r="H558" s="184" t="str">
        <f>HYPERLINK("https://www.findagrave.com/memorial/21153775/guadalupe-concepion-swartz","2")</f>
        <v>2</v>
      </c>
      <c r="I558" s="14">
        <v>2</v>
      </c>
      <c r="J558" s="14" t="s">
        <v>1767</v>
      </c>
      <c r="K558" s="14"/>
      <c r="L558" s="85"/>
      <c r="M558" s="85"/>
      <c r="N558" s="85"/>
      <c r="O558" s="85"/>
      <c r="P558" s="85"/>
      <c r="Q558" s="85"/>
      <c r="R558" s="85"/>
      <c r="S558" s="85"/>
      <c r="T558" s="85"/>
      <c r="U558" s="85"/>
      <c r="V558" s="85"/>
      <c r="W558" s="85"/>
      <c r="X558" s="85"/>
      <c r="Y558" s="85"/>
      <c r="Z558" s="85"/>
    </row>
    <row r="559" spans="1:26" ht="15.75" customHeight="1">
      <c r="A559" s="191">
        <v>97</v>
      </c>
      <c r="B559" s="191" t="s">
        <v>472</v>
      </c>
      <c r="C559" s="191" t="s">
        <v>473</v>
      </c>
      <c r="D559" s="192">
        <v>38747</v>
      </c>
      <c r="E559" s="14" t="s">
        <v>1774</v>
      </c>
      <c r="F559" s="184">
        <v>44</v>
      </c>
      <c r="G559" s="14">
        <v>1</v>
      </c>
      <c r="H559" s="184">
        <v>3</v>
      </c>
      <c r="I559" s="14">
        <v>2</v>
      </c>
      <c r="J559" s="14" t="s">
        <v>1767</v>
      </c>
      <c r="K559" s="14"/>
      <c r="L559" s="85"/>
      <c r="M559" s="85"/>
      <c r="N559" s="85"/>
      <c r="O559" s="85"/>
      <c r="P559" s="85"/>
      <c r="Q559" s="85"/>
      <c r="R559" s="85"/>
      <c r="S559" s="85"/>
      <c r="T559" s="85"/>
      <c r="U559" s="85"/>
      <c r="V559" s="85"/>
      <c r="W559" s="85"/>
      <c r="X559" s="85"/>
      <c r="Y559" s="85"/>
      <c r="Z559" s="85"/>
    </row>
    <row r="560" spans="1:26" ht="15.75" customHeight="1">
      <c r="A560" s="193">
        <v>98</v>
      </c>
      <c r="B560" s="193" t="s">
        <v>476</v>
      </c>
      <c r="C560" s="193" t="s">
        <v>477</v>
      </c>
      <c r="D560" s="194">
        <v>38801</v>
      </c>
      <c r="E560" s="184" t="s">
        <v>1775</v>
      </c>
      <c r="F560" s="184">
        <v>26</v>
      </c>
      <c r="G560" s="14">
        <v>0</v>
      </c>
      <c r="H560" s="184">
        <v>0</v>
      </c>
      <c r="I560" s="14">
        <v>0</v>
      </c>
      <c r="J560" s="14" t="s">
        <v>100</v>
      </c>
      <c r="K560" s="14"/>
      <c r="L560" s="85"/>
      <c r="M560" s="85"/>
      <c r="N560" s="85"/>
      <c r="O560" s="85"/>
      <c r="P560" s="85"/>
      <c r="Q560" s="85"/>
      <c r="R560" s="85"/>
      <c r="S560" s="85"/>
      <c r="T560" s="85"/>
      <c r="U560" s="85"/>
      <c r="V560" s="85"/>
      <c r="W560" s="85"/>
      <c r="X560" s="85"/>
      <c r="Y560" s="85"/>
      <c r="Z560" s="85"/>
    </row>
    <row r="561" spans="1:26" ht="15.75" customHeight="1">
      <c r="A561" s="193">
        <v>98</v>
      </c>
      <c r="B561" s="193" t="s">
        <v>476</v>
      </c>
      <c r="C561" s="193" t="s">
        <v>477</v>
      </c>
      <c r="D561" s="194">
        <v>38801</v>
      </c>
      <c r="E561" s="14" t="s">
        <v>1776</v>
      </c>
      <c r="F561" s="184">
        <v>14</v>
      </c>
      <c r="G561" s="14">
        <v>1</v>
      </c>
      <c r="H561" s="184">
        <v>3</v>
      </c>
      <c r="I561" s="14">
        <v>0</v>
      </c>
      <c r="J561" s="14" t="s">
        <v>100</v>
      </c>
      <c r="K561" s="14"/>
      <c r="L561" s="85"/>
      <c r="M561" s="85"/>
      <c r="N561" s="85"/>
      <c r="O561" s="85"/>
      <c r="P561" s="85"/>
      <c r="Q561" s="85"/>
      <c r="R561" s="85"/>
      <c r="S561" s="85"/>
      <c r="T561" s="85"/>
      <c r="U561" s="85"/>
      <c r="V561" s="85"/>
      <c r="W561" s="85"/>
      <c r="X561" s="85"/>
      <c r="Y561" s="85"/>
      <c r="Z561" s="85"/>
    </row>
    <row r="562" spans="1:26" ht="15.75" customHeight="1">
      <c r="A562" s="193">
        <v>98</v>
      </c>
      <c r="B562" s="193" t="s">
        <v>476</v>
      </c>
      <c r="C562" s="193" t="s">
        <v>477</v>
      </c>
      <c r="D562" s="194">
        <v>38801</v>
      </c>
      <c r="E562" s="14" t="s">
        <v>1777</v>
      </c>
      <c r="F562" s="184">
        <v>22</v>
      </c>
      <c r="G562" s="14">
        <v>0</v>
      </c>
      <c r="H562" s="184">
        <v>5</v>
      </c>
      <c r="I562" s="14">
        <v>0</v>
      </c>
      <c r="J562" s="14" t="s">
        <v>100</v>
      </c>
      <c r="K562" s="14"/>
      <c r="L562" s="85"/>
      <c r="M562" s="85"/>
      <c r="N562" s="85"/>
      <c r="O562" s="85"/>
      <c r="P562" s="85"/>
      <c r="Q562" s="85"/>
      <c r="R562" s="85"/>
      <c r="S562" s="85"/>
      <c r="T562" s="85"/>
      <c r="U562" s="85"/>
      <c r="V562" s="85"/>
      <c r="W562" s="85"/>
      <c r="X562" s="85"/>
      <c r="Y562" s="85"/>
      <c r="Z562" s="85"/>
    </row>
    <row r="563" spans="1:26" ht="15.75" customHeight="1">
      <c r="A563" s="193">
        <v>98</v>
      </c>
      <c r="B563" s="193" t="s">
        <v>476</v>
      </c>
      <c r="C563" s="193" t="s">
        <v>477</v>
      </c>
      <c r="D563" s="194">
        <v>38801</v>
      </c>
      <c r="E563" s="14" t="s">
        <v>1778</v>
      </c>
      <c r="F563" s="184">
        <v>15</v>
      </c>
      <c r="G563" s="14">
        <v>1</v>
      </c>
      <c r="H563" s="184">
        <v>0</v>
      </c>
      <c r="I563" s="14">
        <v>0</v>
      </c>
      <c r="J563" s="14" t="s">
        <v>100</v>
      </c>
      <c r="K563" s="14"/>
      <c r="L563" s="85"/>
      <c r="M563" s="85"/>
      <c r="N563" s="85"/>
      <c r="O563" s="85"/>
      <c r="P563" s="85"/>
      <c r="Q563" s="85"/>
      <c r="R563" s="85"/>
      <c r="S563" s="85"/>
      <c r="T563" s="85"/>
      <c r="U563" s="85"/>
      <c r="V563" s="85"/>
      <c r="W563" s="85"/>
      <c r="X563" s="85"/>
      <c r="Y563" s="85"/>
      <c r="Z563" s="85"/>
    </row>
    <row r="564" spans="1:26" ht="15.75" customHeight="1">
      <c r="A564" s="193">
        <v>98</v>
      </c>
      <c r="B564" s="193" t="s">
        <v>476</v>
      </c>
      <c r="C564" s="193" t="s">
        <v>477</v>
      </c>
      <c r="D564" s="194">
        <v>38801</v>
      </c>
      <c r="E564" s="14" t="s">
        <v>1779</v>
      </c>
      <c r="F564" s="184">
        <v>32</v>
      </c>
      <c r="G564" s="14">
        <v>0</v>
      </c>
      <c r="H564" s="184">
        <v>0</v>
      </c>
      <c r="I564" s="14">
        <v>0</v>
      </c>
      <c r="J564" s="14" t="s">
        <v>100</v>
      </c>
      <c r="K564" s="14"/>
      <c r="L564" s="85"/>
      <c r="M564" s="85"/>
      <c r="N564" s="85"/>
      <c r="O564" s="85"/>
      <c r="P564" s="85"/>
      <c r="Q564" s="85"/>
      <c r="R564" s="85"/>
      <c r="S564" s="85"/>
      <c r="T564" s="85"/>
      <c r="U564" s="85"/>
      <c r="V564" s="85"/>
      <c r="W564" s="85"/>
      <c r="X564" s="85"/>
      <c r="Y564" s="85"/>
      <c r="Z564" s="85"/>
    </row>
    <row r="565" spans="1:26" ht="15.75" customHeight="1">
      <c r="A565" s="193">
        <v>98</v>
      </c>
      <c r="B565" s="193" t="s">
        <v>476</v>
      </c>
      <c r="C565" s="193" t="s">
        <v>477</v>
      </c>
      <c r="D565" s="194">
        <v>38801</v>
      </c>
      <c r="E565" s="14" t="s">
        <v>1780</v>
      </c>
      <c r="F565" s="184">
        <v>21</v>
      </c>
      <c r="G565" s="14">
        <v>0</v>
      </c>
      <c r="H565" s="184">
        <v>0</v>
      </c>
      <c r="I565" s="14">
        <v>0</v>
      </c>
      <c r="J565" s="14" t="s">
        <v>100</v>
      </c>
      <c r="K565" s="14"/>
      <c r="L565" s="85"/>
      <c r="M565" s="85"/>
      <c r="N565" s="85"/>
      <c r="O565" s="85"/>
      <c r="P565" s="85"/>
      <c r="Q565" s="85"/>
      <c r="R565" s="85"/>
      <c r="S565" s="85"/>
      <c r="T565" s="85"/>
      <c r="U565" s="85"/>
      <c r="V565" s="85"/>
      <c r="W565" s="85"/>
      <c r="X565" s="85"/>
      <c r="Y565" s="85"/>
      <c r="Z565" s="85"/>
    </row>
    <row r="566" spans="1:26" ht="15.75" customHeight="1">
      <c r="A566" s="201">
        <v>99</v>
      </c>
      <c r="B566" s="201" t="s">
        <v>480</v>
      </c>
      <c r="C566" s="201" t="s">
        <v>481</v>
      </c>
      <c r="D566" s="202">
        <v>38858</v>
      </c>
      <c r="E566" s="14" t="s">
        <v>1781</v>
      </c>
      <c r="F566" s="184">
        <v>24</v>
      </c>
      <c r="G566" s="14">
        <v>1</v>
      </c>
      <c r="H566" s="14">
        <v>1</v>
      </c>
      <c r="I566" s="14">
        <v>1</v>
      </c>
      <c r="J566" s="14" t="s">
        <v>1150</v>
      </c>
      <c r="K566" s="14"/>
      <c r="L566" s="85"/>
      <c r="M566" s="85"/>
      <c r="N566" s="85"/>
      <c r="O566" s="85"/>
      <c r="P566" s="85"/>
      <c r="Q566" s="85"/>
      <c r="R566" s="85"/>
      <c r="S566" s="85"/>
      <c r="T566" s="85"/>
      <c r="U566" s="85"/>
      <c r="V566" s="85"/>
      <c r="W566" s="85"/>
      <c r="X566" s="85"/>
      <c r="Y566" s="85"/>
      <c r="Z566" s="85"/>
    </row>
    <row r="567" spans="1:26" ht="15.75" customHeight="1">
      <c r="A567" s="201">
        <v>99</v>
      </c>
      <c r="B567" s="201" t="s">
        <v>480</v>
      </c>
      <c r="C567" s="201" t="s">
        <v>481</v>
      </c>
      <c r="D567" s="202">
        <v>38858</v>
      </c>
      <c r="E567" s="14" t="s">
        <v>1782</v>
      </c>
      <c r="F567" s="184">
        <v>72</v>
      </c>
      <c r="G567" s="14">
        <v>1</v>
      </c>
      <c r="H567" s="14">
        <v>1</v>
      </c>
      <c r="I567" s="14">
        <v>1</v>
      </c>
      <c r="J567" s="14" t="s">
        <v>1783</v>
      </c>
      <c r="K567" s="14"/>
      <c r="L567" s="85"/>
      <c r="M567" s="85"/>
      <c r="N567" s="85"/>
      <c r="O567" s="85"/>
      <c r="P567" s="85"/>
      <c r="Q567" s="85"/>
      <c r="R567" s="85"/>
      <c r="S567" s="85"/>
      <c r="T567" s="85"/>
      <c r="U567" s="85"/>
      <c r="V567" s="85"/>
      <c r="W567" s="85"/>
      <c r="X567" s="85"/>
      <c r="Y567" s="85"/>
      <c r="Z567" s="85"/>
    </row>
    <row r="568" spans="1:26" ht="15.75" customHeight="1">
      <c r="A568" s="201">
        <v>99</v>
      </c>
      <c r="B568" s="201" t="s">
        <v>480</v>
      </c>
      <c r="C568" s="201" t="s">
        <v>481</v>
      </c>
      <c r="D568" s="202">
        <v>38858</v>
      </c>
      <c r="E568" s="14" t="s">
        <v>1784</v>
      </c>
      <c r="F568" s="184">
        <v>78</v>
      </c>
      <c r="G568" s="14">
        <v>0</v>
      </c>
      <c r="H568" s="14">
        <v>1</v>
      </c>
      <c r="I568" s="14">
        <v>1</v>
      </c>
      <c r="J568" s="14" t="s">
        <v>1783</v>
      </c>
      <c r="K568" s="14"/>
      <c r="L568" s="85"/>
      <c r="M568" s="85"/>
      <c r="N568" s="85"/>
      <c r="O568" s="85"/>
      <c r="P568" s="85"/>
      <c r="Q568" s="85"/>
      <c r="R568" s="85"/>
      <c r="S568" s="85"/>
      <c r="T568" s="85"/>
      <c r="U568" s="85"/>
      <c r="V568" s="85"/>
      <c r="W568" s="85"/>
      <c r="X568" s="85"/>
      <c r="Y568" s="85"/>
      <c r="Z568" s="85"/>
    </row>
    <row r="569" spans="1:26" ht="15.75" customHeight="1">
      <c r="A569" s="201">
        <v>99</v>
      </c>
      <c r="B569" s="201" t="s">
        <v>480</v>
      </c>
      <c r="C569" s="201" t="s">
        <v>481</v>
      </c>
      <c r="D569" s="202">
        <v>38858</v>
      </c>
      <c r="E569" s="14" t="s">
        <v>1785</v>
      </c>
      <c r="F569" s="184">
        <v>67</v>
      </c>
      <c r="G569" s="14">
        <v>1</v>
      </c>
      <c r="H569" s="184">
        <v>1</v>
      </c>
      <c r="I569" s="14">
        <v>1</v>
      </c>
      <c r="J569" s="14" t="s">
        <v>1783</v>
      </c>
      <c r="K569" s="14"/>
      <c r="L569" s="85"/>
      <c r="M569" s="85"/>
      <c r="N569" s="85"/>
      <c r="O569" s="85"/>
      <c r="P569" s="85"/>
      <c r="Q569" s="85"/>
      <c r="R569" s="85"/>
      <c r="S569" s="85"/>
      <c r="T569" s="85"/>
      <c r="U569" s="85"/>
      <c r="V569" s="85"/>
      <c r="W569" s="85"/>
      <c r="X569" s="85"/>
      <c r="Y569" s="85"/>
      <c r="Z569" s="85"/>
    </row>
    <row r="570" spans="1:26" ht="15.75" customHeight="1">
      <c r="A570" s="201">
        <v>99</v>
      </c>
      <c r="B570" s="201" t="s">
        <v>480</v>
      </c>
      <c r="C570" s="201" t="s">
        <v>481</v>
      </c>
      <c r="D570" s="202">
        <v>38858</v>
      </c>
      <c r="E570" s="184" t="s">
        <v>1786</v>
      </c>
      <c r="F570" s="184">
        <v>47</v>
      </c>
      <c r="G570" s="14">
        <v>1</v>
      </c>
      <c r="H570" s="184">
        <v>1</v>
      </c>
      <c r="I570" s="14">
        <v>1</v>
      </c>
      <c r="J570" s="14" t="s">
        <v>1783</v>
      </c>
      <c r="K570" s="14"/>
      <c r="L570" s="85"/>
      <c r="M570" s="85"/>
      <c r="N570" s="85"/>
      <c r="O570" s="85"/>
      <c r="P570" s="85"/>
      <c r="Q570" s="85"/>
      <c r="R570" s="85"/>
      <c r="S570" s="85"/>
      <c r="T570" s="85"/>
      <c r="U570" s="85"/>
      <c r="V570" s="85"/>
      <c r="W570" s="85"/>
      <c r="X570" s="85"/>
      <c r="Y570" s="85"/>
      <c r="Z570" s="85"/>
    </row>
    <row r="571" spans="1:26" ht="15.75" customHeight="1">
      <c r="A571" s="195">
        <v>100</v>
      </c>
      <c r="B571" s="195" t="s">
        <v>484</v>
      </c>
      <c r="C571" s="195" t="s">
        <v>94</v>
      </c>
      <c r="D571" s="196">
        <v>38992</v>
      </c>
      <c r="E571" s="14" t="s">
        <v>1787</v>
      </c>
      <c r="F571" s="184">
        <v>7</v>
      </c>
      <c r="G571" s="14">
        <v>1</v>
      </c>
      <c r="H571" s="14">
        <v>0</v>
      </c>
      <c r="I571" s="14">
        <v>2</v>
      </c>
      <c r="J571" s="14" t="s">
        <v>1788</v>
      </c>
      <c r="K571" s="14"/>
      <c r="L571" s="85"/>
      <c r="M571" s="85"/>
      <c r="N571" s="85"/>
      <c r="O571" s="85"/>
      <c r="P571" s="85"/>
      <c r="Q571" s="85"/>
      <c r="R571" s="85"/>
      <c r="S571" s="85"/>
      <c r="T571" s="85"/>
      <c r="U571" s="85"/>
      <c r="V571" s="85"/>
      <c r="W571" s="85"/>
      <c r="X571" s="85"/>
      <c r="Y571" s="85"/>
      <c r="Z571" s="85"/>
    </row>
    <row r="572" spans="1:26" ht="15.75" customHeight="1">
      <c r="A572" s="195">
        <v>100</v>
      </c>
      <c r="B572" s="195" t="s">
        <v>484</v>
      </c>
      <c r="C572" s="195" t="s">
        <v>94</v>
      </c>
      <c r="D572" s="196">
        <v>38992</v>
      </c>
      <c r="E572" s="14" t="s">
        <v>1789</v>
      </c>
      <c r="F572" s="184">
        <v>13</v>
      </c>
      <c r="G572" s="14">
        <v>1</v>
      </c>
      <c r="H572" s="14">
        <v>0</v>
      </c>
      <c r="I572" s="14">
        <v>2</v>
      </c>
      <c r="J572" s="185" t="s">
        <v>1788</v>
      </c>
      <c r="K572" s="14"/>
      <c r="L572" s="85"/>
      <c r="M572" s="85"/>
      <c r="N572" s="85"/>
      <c r="O572" s="85"/>
      <c r="P572" s="85"/>
      <c r="Q572" s="85"/>
      <c r="R572" s="85"/>
      <c r="S572" s="85"/>
      <c r="T572" s="85"/>
      <c r="U572" s="85"/>
      <c r="V572" s="85"/>
      <c r="W572" s="85"/>
      <c r="X572" s="85"/>
      <c r="Y572" s="85"/>
      <c r="Z572" s="85"/>
    </row>
    <row r="573" spans="1:26" ht="15.75" customHeight="1">
      <c r="A573" s="195">
        <v>100</v>
      </c>
      <c r="B573" s="195" t="s">
        <v>484</v>
      </c>
      <c r="C573" s="195" t="s">
        <v>94</v>
      </c>
      <c r="D573" s="196">
        <v>38992</v>
      </c>
      <c r="E573" s="14" t="s">
        <v>1790</v>
      </c>
      <c r="F573" s="184">
        <v>7</v>
      </c>
      <c r="G573" s="14">
        <v>1</v>
      </c>
      <c r="H573" s="14">
        <v>0</v>
      </c>
      <c r="I573" s="14">
        <v>2</v>
      </c>
      <c r="J573" s="185" t="s">
        <v>1788</v>
      </c>
      <c r="K573" s="14"/>
      <c r="L573" s="85"/>
      <c r="M573" s="85"/>
      <c r="N573" s="85"/>
      <c r="O573" s="85"/>
      <c r="P573" s="85"/>
      <c r="Q573" s="85"/>
      <c r="R573" s="85"/>
      <c r="S573" s="85"/>
      <c r="T573" s="85"/>
      <c r="U573" s="85"/>
      <c r="V573" s="85"/>
      <c r="W573" s="85"/>
      <c r="X573" s="85"/>
      <c r="Y573" s="85"/>
      <c r="Z573" s="85"/>
    </row>
    <row r="574" spans="1:26" ht="15.75" customHeight="1">
      <c r="A574" s="195">
        <v>100</v>
      </c>
      <c r="B574" s="195" t="s">
        <v>484</v>
      </c>
      <c r="C574" s="195" t="s">
        <v>94</v>
      </c>
      <c r="D574" s="196">
        <v>38992</v>
      </c>
      <c r="E574" s="14" t="s">
        <v>1791</v>
      </c>
      <c r="F574" s="184">
        <v>8</v>
      </c>
      <c r="G574" s="14">
        <v>1</v>
      </c>
      <c r="H574" s="14">
        <v>0</v>
      </c>
      <c r="I574" s="14">
        <v>2</v>
      </c>
      <c r="J574" s="185" t="s">
        <v>1788</v>
      </c>
      <c r="K574" s="14"/>
      <c r="L574" s="85"/>
      <c r="M574" s="85"/>
      <c r="N574" s="85"/>
      <c r="O574" s="85"/>
      <c r="P574" s="85"/>
      <c r="Q574" s="85"/>
      <c r="R574" s="85"/>
      <c r="S574" s="85"/>
      <c r="T574" s="85"/>
      <c r="U574" s="85"/>
      <c r="V574" s="85"/>
      <c r="W574" s="85"/>
      <c r="X574" s="85"/>
      <c r="Y574" s="85"/>
      <c r="Z574" s="85"/>
    </row>
    <row r="575" spans="1:26" ht="15.75" customHeight="1">
      <c r="A575" s="195">
        <v>100</v>
      </c>
      <c r="B575" s="195" t="s">
        <v>484</v>
      </c>
      <c r="C575" s="195" t="s">
        <v>94</v>
      </c>
      <c r="D575" s="196">
        <v>38992</v>
      </c>
      <c r="E575" s="14" t="s">
        <v>1792</v>
      </c>
      <c r="F575" s="184">
        <v>12</v>
      </c>
      <c r="G575" s="14">
        <v>1</v>
      </c>
      <c r="H575" s="14">
        <v>0</v>
      </c>
      <c r="I575" s="14">
        <v>2</v>
      </c>
      <c r="J575" s="185" t="s">
        <v>1788</v>
      </c>
      <c r="K575" s="14"/>
      <c r="L575" s="85"/>
      <c r="M575" s="85"/>
      <c r="N575" s="85"/>
      <c r="O575" s="85"/>
      <c r="P575" s="85"/>
      <c r="Q575" s="85"/>
      <c r="R575" s="85"/>
      <c r="S575" s="85"/>
      <c r="T575" s="85"/>
      <c r="U575" s="85"/>
      <c r="V575" s="85"/>
      <c r="W575" s="85"/>
      <c r="X575" s="85"/>
      <c r="Y575" s="85"/>
      <c r="Z575" s="85"/>
    </row>
    <row r="576" spans="1:26" ht="15.75" customHeight="1">
      <c r="A576" s="197">
        <v>101</v>
      </c>
      <c r="B576" s="197" t="s">
        <v>488</v>
      </c>
      <c r="C576" s="197" t="s">
        <v>489</v>
      </c>
      <c r="D576" s="198">
        <v>39125</v>
      </c>
      <c r="E576" s="14" t="s">
        <v>1793</v>
      </c>
      <c r="F576" s="184">
        <v>29</v>
      </c>
      <c r="G576" s="14">
        <v>1</v>
      </c>
      <c r="H576" s="184">
        <v>0</v>
      </c>
      <c r="I576" s="14">
        <v>0</v>
      </c>
      <c r="J576" s="14" t="s">
        <v>100</v>
      </c>
      <c r="K576" s="14"/>
      <c r="L576" s="85"/>
      <c r="M576" s="85"/>
      <c r="N576" s="85"/>
      <c r="O576" s="85"/>
      <c r="P576" s="85"/>
      <c r="Q576" s="85"/>
      <c r="R576" s="85"/>
      <c r="S576" s="85"/>
      <c r="T576" s="85"/>
      <c r="U576" s="85"/>
      <c r="V576" s="85"/>
      <c r="W576" s="85"/>
      <c r="X576" s="85"/>
      <c r="Y576" s="85"/>
      <c r="Z576" s="85"/>
    </row>
    <row r="577" spans="1:26" ht="15.75" customHeight="1">
      <c r="A577" s="197">
        <v>101</v>
      </c>
      <c r="B577" s="197" t="s">
        <v>488</v>
      </c>
      <c r="C577" s="197" t="s">
        <v>489</v>
      </c>
      <c r="D577" s="198">
        <v>39125</v>
      </c>
      <c r="E577" s="14" t="s">
        <v>1794</v>
      </c>
      <c r="F577" s="184">
        <v>24</v>
      </c>
      <c r="G577" s="14">
        <v>0</v>
      </c>
      <c r="H577" s="184">
        <v>0</v>
      </c>
      <c r="I577" s="14">
        <v>0</v>
      </c>
      <c r="J577" s="14" t="s">
        <v>100</v>
      </c>
      <c r="K577" s="14"/>
      <c r="L577" s="85"/>
      <c r="M577" s="85"/>
      <c r="N577" s="85"/>
      <c r="O577" s="85"/>
      <c r="P577" s="85"/>
      <c r="Q577" s="85"/>
      <c r="R577" s="85"/>
      <c r="S577" s="85"/>
      <c r="T577" s="85"/>
      <c r="U577" s="85"/>
      <c r="V577" s="85"/>
      <c r="W577" s="85"/>
      <c r="X577" s="85"/>
      <c r="Y577" s="85"/>
      <c r="Z577" s="85"/>
    </row>
    <row r="578" spans="1:26" ht="15.75" customHeight="1">
      <c r="A578" s="197">
        <v>101</v>
      </c>
      <c r="B578" s="197" t="s">
        <v>488</v>
      </c>
      <c r="C578" s="197" t="s">
        <v>489</v>
      </c>
      <c r="D578" s="198">
        <v>39125</v>
      </c>
      <c r="E578" s="14" t="s">
        <v>1795</v>
      </c>
      <c r="F578" s="184">
        <v>15</v>
      </c>
      <c r="G578" s="14">
        <v>1</v>
      </c>
      <c r="H578" s="184">
        <v>0</v>
      </c>
      <c r="I578" s="14">
        <v>0</v>
      </c>
      <c r="J578" s="14" t="s">
        <v>100</v>
      </c>
      <c r="K578" s="14"/>
      <c r="L578" s="85"/>
      <c r="M578" s="85"/>
      <c r="N578" s="85"/>
      <c r="O578" s="85"/>
      <c r="P578" s="85"/>
      <c r="Q578" s="85"/>
      <c r="R578" s="85"/>
      <c r="S578" s="85"/>
      <c r="T578" s="85"/>
      <c r="U578" s="85"/>
      <c r="V578" s="85"/>
      <c r="W578" s="85"/>
      <c r="X578" s="85"/>
      <c r="Y578" s="85"/>
      <c r="Z578" s="85"/>
    </row>
    <row r="579" spans="1:26" ht="15.75" customHeight="1">
      <c r="A579" s="197">
        <v>101</v>
      </c>
      <c r="B579" s="197" t="s">
        <v>488</v>
      </c>
      <c r="C579" s="197" t="s">
        <v>489</v>
      </c>
      <c r="D579" s="198">
        <v>39125</v>
      </c>
      <c r="E579" s="14" t="s">
        <v>1796</v>
      </c>
      <c r="F579" s="184">
        <v>29</v>
      </c>
      <c r="G579" s="14">
        <v>1</v>
      </c>
      <c r="H579" s="184">
        <v>0</v>
      </c>
      <c r="I579" s="14">
        <v>0</v>
      </c>
      <c r="J579" s="14" t="s">
        <v>100</v>
      </c>
      <c r="K579" s="14"/>
      <c r="L579" s="85"/>
      <c r="M579" s="85"/>
      <c r="N579" s="85"/>
      <c r="O579" s="85"/>
      <c r="P579" s="85"/>
      <c r="Q579" s="85"/>
      <c r="R579" s="85"/>
      <c r="S579" s="85"/>
      <c r="T579" s="85"/>
      <c r="U579" s="85"/>
      <c r="V579" s="85"/>
      <c r="W579" s="85"/>
      <c r="X579" s="85"/>
      <c r="Y579" s="85"/>
      <c r="Z579" s="85"/>
    </row>
    <row r="580" spans="1:26" ht="15.75" customHeight="1">
      <c r="A580" s="197">
        <v>101</v>
      </c>
      <c r="B580" s="197" t="s">
        <v>488</v>
      </c>
      <c r="C580" s="197" t="s">
        <v>489</v>
      </c>
      <c r="D580" s="198">
        <v>39125</v>
      </c>
      <c r="E580" s="14" t="s">
        <v>1797</v>
      </c>
      <c r="F580" s="184">
        <v>52</v>
      </c>
      <c r="G580" s="14">
        <v>0</v>
      </c>
      <c r="H580" s="184">
        <v>0</v>
      </c>
      <c r="I580" s="14">
        <v>0</v>
      </c>
      <c r="J580" s="14" t="s">
        <v>100</v>
      </c>
      <c r="K580" s="14" t="s">
        <v>1562</v>
      </c>
      <c r="L580" s="85"/>
      <c r="M580" s="85"/>
      <c r="N580" s="85"/>
      <c r="O580" s="85"/>
      <c r="P580" s="85"/>
      <c r="Q580" s="85"/>
      <c r="R580" s="85"/>
      <c r="S580" s="85"/>
      <c r="T580" s="85"/>
      <c r="U580" s="85"/>
      <c r="V580" s="85"/>
      <c r="W580" s="85"/>
      <c r="X580" s="85"/>
      <c r="Y580" s="85"/>
      <c r="Z580" s="85"/>
    </row>
    <row r="581" spans="1:26" ht="15.75" customHeight="1">
      <c r="A581" s="207">
        <v>102</v>
      </c>
      <c r="B581" s="207" t="s">
        <v>492</v>
      </c>
      <c r="C581" s="207" t="s">
        <v>493</v>
      </c>
      <c r="D581" s="208">
        <v>39188</v>
      </c>
      <c r="E581" s="14" t="s">
        <v>1798</v>
      </c>
      <c r="F581" s="184">
        <v>20</v>
      </c>
      <c r="G581" s="14">
        <v>0</v>
      </c>
      <c r="H581" s="184">
        <v>4</v>
      </c>
      <c r="I581" s="184">
        <v>1</v>
      </c>
      <c r="J581" s="14" t="s">
        <v>1462</v>
      </c>
      <c r="K581" s="14"/>
      <c r="L581" s="85"/>
      <c r="M581" s="85"/>
      <c r="N581" s="85"/>
      <c r="O581" s="85"/>
      <c r="P581" s="85"/>
      <c r="Q581" s="85"/>
      <c r="R581" s="85"/>
      <c r="S581" s="85"/>
      <c r="T581" s="85"/>
      <c r="U581" s="85"/>
      <c r="V581" s="85"/>
      <c r="W581" s="85"/>
      <c r="X581" s="85"/>
      <c r="Y581" s="85"/>
      <c r="Z581" s="85"/>
    </row>
    <row r="582" spans="1:26" ht="15.75" customHeight="1">
      <c r="A582" s="207">
        <v>102</v>
      </c>
      <c r="B582" s="207" t="s">
        <v>492</v>
      </c>
      <c r="C582" s="207" t="s">
        <v>493</v>
      </c>
      <c r="D582" s="208">
        <v>39188</v>
      </c>
      <c r="E582" s="14" t="s">
        <v>1799</v>
      </c>
      <c r="F582" s="184">
        <v>35</v>
      </c>
      <c r="G582" s="14">
        <v>0</v>
      </c>
      <c r="H582" s="184">
        <v>0</v>
      </c>
      <c r="I582" s="14">
        <v>2</v>
      </c>
      <c r="J582" s="14" t="s">
        <v>1800</v>
      </c>
      <c r="K582" s="14"/>
      <c r="L582" s="85"/>
      <c r="M582" s="85"/>
      <c r="N582" s="85"/>
      <c r="O582" s="85"/>
      <c r="P582" s="85"/>
      <c r="Q582" s="85"/>
      <c r="R582" s="85"/>
      <c r="S582" s="85"/>
      <c r="T582" s="85"/>
      <c r="U582" s="85"/>
      <c r="V582" s="85"/>
      <c r="W582" s="85"/>
      <c r="X582" s="85"/>
      <c r="Y582" s="85"/>
      <c r="Z582" s="85"/>
    </row>
    <row r="583" spans="1:26" ht="15.75" customHeight="1">
      <c r="A583" s="207">
        <v>102</v>
      </c>
      <c r="B583" s="207" t="s">
        <v>492</v>
      </c>
      <c r="C583" s="207" t="s">
        <v>493</v>
      </c>
      <c r="D583" s="208">
        <v>39188</v>
      </c>
      <c r="E583" s="14" t="s">
        <v>1801</v>
      </c>
      <c r="F583" s="184">
        <v>25</v>
      </c>
      <c r="G583" s="14">
        <v>0</v>
      </c>
      <c r="H583" s="184">
        <v>0</v>
      </c>
      <c r="I583" s="14">
        <v>2</v>
      </c>
      <c r="J583" s="14" t="s">
        <v>1462</v>
      </c>
      <c r="K583" s="14"/>
      <c r="L583" s="85"/>
      <c r="M583" s="85"/>
      <c r="N583" s="85"/>
      <c r="O583" s="85"/>
      <c r="P583" s="85"/>
      <c r="Q583" s="85"/>
      <c r="R583" s="85"/>
      <c r="S583" s="85"/>
      <c r="T583" s="85"/>
      <c r="U583" s="85"/>
      <c r="V583" s="85"/>
      <c r="W583" s="85"/>
      <c r="X583" s="85"/>
      <c r="Y583" s="85"/>
      <c r="Z583" s="85"/>
    </row>
    <row r="584" spans="1:26" ht="15.75" customHeight="1">
      <c r="A584" s="207">
        <v>102</v>
      </c>
      <c r="B584" s="207" t="s">
        <v>492</v>
      </c>
      <c r="C584" s="207" t="s">
        <v>493</v>
      </c>
      <c r="D584" s="208">
        <v>39188</v>
      </c>
      <c r="E584" s="14" t="s">
        <v>1802</v>
      </c>
      <c r="F584" s="184">
        <v>22</v>
      </c>
      <c r="G584" s="14">
        <v>0</v>
      </c>
      <c r="H584" s="184">
        <v>1</v>
      </c>
      <c r="I584" s="14">
        <v>2</v>
      </c>
      <c r="J584" s="14" t="s">
        <v>1462</v>
      </c>
      <c r="K584" s="14"/>
      <c r="L584" s="85"/>
      <c r="M584" s="85"/>
      <c r="N584" s="85"/>
      <c r="O584" s="85"/>
      <c r="P584" s="85"/>
      <c r="Q584" s="85"/>
      <c r="R584" s="85"/>
      <c r="S584" s="85"/>
      <c r="T584" s="85"/>
      <c r="U584" s="85"/>
      <c r="V584" s="85"/>
      <c r="W584" s="85"/>
      <c r="X584" s="85"/>
      <c r="Y584" s="85"/>
      <c r="Z584" s="85"/>
    </row>
    <row r="585" spans="1:26" ht="15.75" customHeight="1">
      <c r="A585" s="207">
        <v>102</v>
      </c>
      <c r="B585" s="207" t="s">
        <v>492</v>
      </c>
      <c r="C585" s="207" t="s">
        <v>493</v>
      </c>
      <c r="D585" s="208">
        <v>39188</v>
      </c>
      <c r="E585" s="14" t="s">
        <v>1803</v>
      </c>
      <c r="F585" s="184">
        <v>18</v>
      </c>
      <c r="G585" s="14">
        <v>1</v>
      </c>
      <c r="H585" s="184">
        <v>0</v>
      </c>
      <c r="I585" s="14">
        <v>2</v>
      </c>
      <c r="J585" s="14" t="s">
        <v>1462</v>
      </c>
      <c r="K585" s="14"/>
      <c r="L585" s="85"/>
      <c r="M585" s="85"/>
      <c r="N585" s="85"/>
      <c r="O585" s="85"/>
      <c r="P585" s="85"/>
      <c r="Q585" s="85"/>
      <c r="R585" s="85"/>
      <c r="S585" s="85"/>
      <c r="T585" s="85"/>
      <c r="U585" s="85"/>
      <c r="V585" s="85"/>
      <c r="W585" s="85"/>
      <c r="X585" s="85"/>
      <c r="Y585" s="85"/>
      <c r="Z585" s="85"/>
    </row>
    <row r="586" spans="1:26" ht="15.75" customHeight="1">
      <c r="A586" s="207">
        <v>102</v>
      </c>
      <c r="B586" s="207" t="s">
        <v>492</v>
      </c>
      <c r="C586" s="207" t="s">
        <v>493</v>
      </c>
      <c r="D586" s="208">
        <v>39188</v>
      </c>
      <c r="E586" s="14" t="s">
        <v>1804</v>
      </c>
      <c r="F586" s="184" t="str">
        <f>HYPERLINK("https://www.findagrave.com/memorial/201453367/jocelyne-nowak","49")</f>
        <v>49</v>
      </c>
      <c r="G586" s="14">
        <v>1</v>
      </c>
      <c r="H586" s="184">
        <v>0</v>
      </c>
      <c r="I586" s="14">
        <v>2</v>
      </c>
      <c r="J586" s="14" t="s">
        <v>1800</v>
      </c>
      <c r="K586" s="14"/>
      <c r="L586" s="85"/>
      <c r="M586" s="85"/>
      <c r="N586" s="85"/>
      <c r="O586" s="85"/>
      <c r="P586" s="85"/>
      <c r="Q586" s="85"/>
      <c r="R586" s="85"/>
      <c r="S586" s="85"/>
      <c r="T586" s="85"/>
      <c r="U586" s="85"/>
      <c r="V586" s="85"/>
      <c r="W586" s="85"/>
      <c r="X586" s="85"/>
      <c r="Y586" s="85"/>
      <c r="Z586" s="85"/>
    </row>
    <row r="587" spans="1:26" ht="15.75" customHeight="1">
      <c r="A587" s="207">
        <v>102</v>
      </c>
      <c r="B587" s="207" t="s">
        <v>492</v>
      </c>
      <c r="C587" s="207" t="s">
        <v>493</v>
      </c>
      <c r="D587" s="208">
        <v>39188</v>
      </c>
      <c r="E587" s="14" t="s">
        <v>1805</v>
      </c>
      <c r="F587" s="184">
        <v>45</v>
      </c>
      <c r="G587" s="14">
        <v>0</v>
      </c>
      <c r="H587" s="184">
        <v>0</v>
      </c>
      <c r="I587" s="14">
        <v>2</v>
      </c>
      <c r="J587" s="14" t="s">
        <v>1800</v>
      </c>
      <c r="K587" s="14"/>
      <c r="L587" s="85"/>
      <c r="M587" s="85"/>
      <c r="N587" s="85"/>
      <c r="O587" s="85"/>
      <c r="P587" s="85"/>
      <c r="Q587" s="85"/>
      <c r="R587" s="85"/>
      <c r="S587" s="85"/>
      <c r="T587" s="85"/>
      <c r="U587" s="85"/>
      <c r="V587" s="85"/>
      <c r="W587" s="85"/>
      <c r="X587" s="85"/>
      <c r="Y587" s="85"/>
      <c r="Z587" s="85"/>
    </row>
    <row r="588" spans="1:26" ht="15.75" customHeight="1">
      <c r="A588" s="207">
        <v>102</v>
      </c>
      <c r="B588" s="207" t="s">
        <v>492</v>
      </c>
      <c r="C588" s="207" t="s">
        <v>493</v>
      </c>
      <c r="D588" s="208">
        <v>39188</v>
      </c>
      <c r="E588" s="14" t="s">
        <v>1806</v>
      </c>
      <c r="F588" s="184">
        <v>24</v>
      </c>
      <c r="G588" s="14">
        <v>0</v>
      </c>
      <c r="H588" s="184">
        <v>0</v>
      </c>
      <c r="I588" s="14">
        <v>2</v>
      </c>
      <c r="J588" s="14" t="s">
        <v>1462</v>
      </c>
      <c r="K588" s="14"/>
      <c r="L588" s="85"/>
      <c r="M588" s="85"/>
      <c r="N588" s="85"/>
      <c r="O588" s="85"/>
      <c r="P588" s="85"/>
      <c r="Q588" s="85"/>
      <c r="R588" s="85"/>
      <c r="S588" s="85"/>
      <c r="T588" s="85"/>
      <c r="U588" s="85"/>
      <c r="V588" s="85"/>
      <c r="W588" s="85"/>
      <c r="X588" s="85"/>
      <c r="Y588" s="85"/>
      <c r="Z588" s="85"/>
    </row>
    <row r="589" spans="1:26" ht="15.75" customHeight="1">
      <c r="A589" s="207">
        <v>102</v>
      </c>
      <c r="B589" s="207" t="s">
        <v>492</v>
      </c>
      <c r="C589" s="207" t="s">
        <v>493</v>
      </c>
      <c r="D589" s="208">
        <v>39188</v>
      </c>
      <c r="E589" s="14" t="s">
        <v>1807</v>
      </c>
      <c r="F589" s="184">
        <v>19</v>
      </c>
      <c r="G589" s="14">
        <v>1</v>
      </c>
      <c r="H589" s="184">
        <v>0</v>
      </c>
      <c r="I589" s="14">
        <v>2</v>
      </c>
      <c r="J589" s="14" t="s">
        <v>1462</v>
      </c>
      <c r="K589" s="14"/>
      <c r="L589" s="85"/>
      <c r="M589" s="85"/>
      <c r="N589" s="85"/>
      <c r="O589" s="85"/>
      <c r="P589" s="85"/>
      <c r="Q589" s="85"/>
      <c r="R589" s="85"/>
      <c r="S589" s="85"/>
      <c r="T589" s="85"/>
      <c r="U589" s="85"/>
      <c r="V589" s="85"/>
      <c r="W589" s="85"/>
      <c r="X589" s="85"/>
      <c r="Y589" s="85"/>
      <c r="Z589" s="85"/>
    </row>
    <row r="590" spans="1:26" ht="15.75" customHeight="1">
      <c r="A590" s="207">
        <v>102</v>
      </c>
      <c r="B590" s="207" t="s">
        <v>492</v>
      </c>
      <c r="C590" s="207" t="s">
        <v>493</v>
      </c>
      <c r="D590" s="208">
        <v>39188</v>
      </c>
      <c r="E590" s="14" t="s">
        <v>1808</v>
      </c>
      <c r="F590" s="184">
        <v>27</v>
      </c>
      <c r="G590" s="14">
        <v>0</v>
      </c>
      <c r="H590" s="184">
        <v>0</v>
      </c>
      <c r="I590" s="14">
        <v>2</v>
      </c>
      <c r="J590" s="14" t="s">
        <v>1462</v>
      </c>
      <c r="K590" s="14"/>
      <c r="L590" s="85"/>
      <c r="M590" s="85"/>
      <c r="N590" s="85"/>
      <c r="O590" s="85"/>
      <c r="P590" s="85"/>
      <c r="Q590" s="85"/>
      <c r="R590" s="85"/>
      <c r="S590" s="85"/>
      <c r="T590" s="85"/>
      <c r="U590" s="85"/>
      <c r="V590" s="85"/>
      <c r="W590" s="85"/>
      <c r="X590" s="85"/>
      <c r="Y590" s="85"/>
      <c r="Z590" s="85"/>
    </row>
    <row r="591" spans="1:26" ht="15.75" customHeight="1">
      <c r="A591" s="207">
        <v>102</v>
      </c>
      <c r="B591" s="207" t="s">
        <v>492</v>
      </c>
      <c r="C591" s="207" t="s">
        <v>493</v>
      </c>
      <c r="D591" s="208">
        <v>39188</v>
      </c>
      <c r="E591" s="14" t="s">
        <v>1809</v>
      </c>
      <c r="F591" s="184">
        <v>18</v>
      </c>
      <c r="G591" s="14">
        <v>1</v>
      </c>
      <c r="H591" s="184">
        <v>0</v>
      </c>
      <c r="I591" s="14">
        <v>2</v>
      </c>
      <c r="J591" s="14" t="s">
        <v>1462</v>
      </c>
      <c r="K591" s="14"/>
      <c r="L591" s="85"/>
      <c r="M591" s="85"/>
      <c r="N591" s="85"/>
      <c r="O591" s="85"/>
      <c r="P591" s="85"/>
      <c r="Q591" s="85"/>
      <c r="R591" s="85"/>
      <c r="S591" s="85"/>
      <c r="T591" s="85"/>
      <c r="U591" s="85"/>
      <c r="V591" s="85"/>
      <c r="W591" s="85"/>
      <c r="X591" s="85"/>
      <c r="Y591" s="85"/>
      <c r="Z591" s="85"/>
    </row>
    <row r="592" spans="1:26" ht="15.75" customHeight="1">
      <c r="A592" s="207">
        <v>102</v>
      </c>
      <c r="B592" s="207" t="s">
        <v>492</v>
      </c>
      <c r="C592" s="207" t="s">
        <v>493</v>
      </c>
      <c r="D592" s="208">
        <v>39188</v>
      </c>
      <c r="E592" s="14" t="s">
        <v>1810</v>
      </c>
      <c r="F592" s="184">
        <v>19</v>
      </c>
      <c r="G592" s="14">
        <v>1</v>
      </c>
      <c r="H592" s="184">
        <v>0</v>
      </c>
      <c r="I592" s="184">
        <v>1</v>
      </c>
      <c r="J592" s="14" t="s">
        <v>1811</v>
      </c>
      <c r="K592" s="14"/>
      <c r="L592" s="85"/>
      <c r="M592" s="85"/>
      <c r="N592" s="85"/>
      <c r="O592" s="85"/>
      <c r="P592" s="85"/>
      <c r="Q592" s="85"/>
      <c r="R592" s="85"/>
      <c r="S592" s="85"/>
      <c r="T592" s="85"/>
      <c r="U592" s="85"/>
      <c r="V592" s="85"/>
      <c r="W592" s="85"/>
      <c r="X592" s="85"/>
      <c r="Y592" s="85"/>
      <c r="Z592" s="85"/>
    </row>
    <row r="593" spans="1:26" ht="15.75" customHeight="1">
      <c r="A593" s="207">
        <v>102</v>
      </c>
      <c r="B593" s="207" t="s">
        <v>492</v>
      </c>
      <c r="C593" s="207" t="s">
        <v>493</v>
      </c>
      <c r="D593" s="208">
        <v>39188</v>
      </c>
      <c r="E593" s="14" t="s">
        <v>1812</v>
      </c>
      <c r="F593" s="184">
        <v>22</v>
      </c>
      <c r="G593" s="14">
        <v>0</v>
      </c>
      <c r="H593" s="184">
        <v>0</v>
      </c>
      <c r="I593" s="14">
        <v>2</v>
      </c>
      <c r="J593" s="14" t="s">
        <v>1462</v>
      </c>
      <c r="K593" s="14"/>
      <c r="L593" s="85"/>
      <c r="M593" s="85"/>
      <c r="N593" s="85"/>
      <c r="O593" s="85"/>
      <c r="P593" s="85"/>
      <c r="Q593" s="85"/>
      <c r="R593" s="85"/>
      <c r="S593" s="85"/>
      <c r="T593" s="85"/>
      <c r="U593" s="85"/>
      <c r="V593" s="85"/>
      <c r="W593" s="85"/>
      <c r="X593" s="85"/>
      <c r="Y593" s="85"/>
      <c r="Z593" s="85"/>
    </row>
    <row r="594" spans="1:26" ht="15.75" customHeight="1">
      <c r="A594" s="207">
        <v>102</v>
      </c>
      <c r="B594" s="207" t="s">
        <v>492</v>
      </c>
      <c r="C594" s="207" t="s">
        <v>493</v>
      </c>
      <c r="D594" s="208">
        <v>39188</v>
      </c>
      <c r="E594" s="14" t="s">
        <v>1813</v>
      </c>
      <c r="F594" s="184">
        <v>20</v>
      </c>
      <c r="G594" s="14">
        <v>0</v>
      </c>
      <c r="H594" s="184">
        <v>0</v>
      </c>
      <c r="I594" s="14">
        <v>2</v>
      </c>
      <c r="J594" s="14" t="s">
        <v>1462</v>
      </c>
      <c r="K594" s="14"/>
      <c r="L594" s="85"/>
      <c r="M594" s="85"/>
      <c r="N594" s="85"/>
      <c r="O594" s="85"/>
      <c r="P594" s="85"/>
      <c r="Q594" s="85"/>
      <c r="R594" s="85"/>
      <c r="S594" s="85"/>
      <c r="T594" s="85"/>
      <c r="U594" s="85"/>
      <c r="V594" s="85"/>
      <c r="W594" s="85"/>
      <c r="X594" s="85"/>
      <c r="Y594" s="85"/>
      <c r="Z594" s="85"/>
    </row>
    <row r="595" spans="1:26" ht="15.75" customHeight="1">
      <c r="A595" s="207">
        <v>102</v>
      </c>
      <c r="B595" s="207" t="s">
        <v>492</v>
      </c>
      <c r="C595" s="207" t="s">
        <v>493</v>
      </c>
      <c r="D595" s="208">
        <v>39188</v>
      </c>
      <c r="E595" s="14" t="s">
        <v>1814</v>
      </c>
      <c r="F595" s="184">
        <v>20</v>
      </c>
      <c r="G595" s="14">
        <v>0</v>
      </c>
      <c r="H595" s="184">
        <v>3</v>
      </c>
      <c r="I595" s="14">
        <v>2</v>
      </c>
      <c r="J595" s="14" t="s">
        <v>1462</v>
      </c>
      <c r="K595" s="14"/>
      <c r="L595" s="85"/>
      <c r="M595" s="85"/>
      <c r="N595" s="85"/>
      <c r="O595" s="85"/>
      <c r="P595" s="85"/>
      <c r="Q595" s="85"/>
      <c r="R595" s="85"/>
      <c r="S595" s="85"/>
      <c r="T595" s="85"/>
      <c r="U595" s="85"/>
      <c r="V595" s="85"/>
      <c r="W595" s="85"/>
      <c r="X595" s="85"/>
      <c r="Y595" s="85"/>
      <c r="Z595" s="85"/>
    </row>
    <row r="596" spans="1:26" ht="15.75" customHeight="1">
      <c r="A596" s="207">
        <v>102</v>
      </c>
      <c r="B596" s="207" t="s">
        <v>492</v>
      </c>
      <c r="C596" s="207" t="s">
        <v>493</v>
      </c>
      <c r="D596" s="208">
        <v>39188</v>
      </c>
      <c r="E596" s="14" t="s">
        <v>1815</v>
      </c>
      <c r="F596" s="184">
        <v>76</v>
      </c>
      <c r="G596" s="14">
        <v>0</v>
      </c>
      <c r="H596" s="184">
        <v>0</v>
      </c>
      <c r="I596" s="14">
        <v>2</v>
      </c>
      <c r="J596" s="14" t="s">
        <v>1800</v>
      </c>
      <c r="K596" s="14"/>
      <c r="L596" s="85"/>
      <c r="M596" s="85"/>
      <c r="N596" s="85"/>
      <c r="O596" s="85"/>
      <c r="P596" s="85"/>
      <c r="Q596" s="85"/>
      <c r="R596" s="85"/>
      <c r="S596" s="85"/>
      <c r="T596" s="85"/>
      <c r="U596" s="85"/>
      <c r="V596" s="85"/>
      <c r="W596" s="85"/>
      <c r="X596" s="85"/>
      <c r="Y596" s="85"/>
      <c r="Z596" s="85"/>
    </row>
    <row r="597" spans="1:26" ht="15.75" customHeight="1">
      <c r="A597" s="207">
        <v>102</v>
      </c>
      <c r="B597" s="207" t="s">
        <v>492</v>
      </c>
      <c r="C597" s="207" t="s">
        <v>493</v>
      </c>
      <c r="D597" s="208">
        <v>39188</v>
      </c>
      <c r="E597" s="14" t="s">
        <v>1816</v>
      </c>
      <c r="F597" s="184">
        <v>51</v>
      </c>
      <c r="G597" s="14">
        <v>0</v>
      </c>
      <c r="H597" s="184">
        <v>3</v>
      </c>
      <c r="I597" s="14">
        <v>2</v>
      </c>
      <c r="J597" s="14" t="s">
        <v>1800</v>
      </c>
      <c r="K597" s="14"/>
      <c r="L597" s="85"/>
      <c r="M597" s="85"/>
      <c r="N597" s="85"/>
      <c r="O597" s="85"/>
      <c r="P597" s="85"/>
      <c r="Q597" s="85"/>
      <c r="R597" s="85"/>
      <c r="S597" s="85"/>
      <c r="T597" s="85"/>
      <c r="U597" s="85"/>
      <c r="V597" s="85"/>
      <c r="W597" s="85"/>
      <c r="X597" s="85"/>
      <c r="Y597" s="85"/>
      <c r="Z597" s="85"/>
    </row>
    <row r="598" spans="1:26" ht="15.75" customHeight="1">
      <c r="A598" s="207">
        <v>102</v>
      </c>
      <c r="B598" s="207" t="s">
        <v>492</v>
      </c>
      <c r="C598" s="207" t="s">
        <v>493</v>
      </c>
      <c r="D598" s="208">
        <v>39188</v>
      </c>
      <c r="E598" s="14" t="s">
        <v>1817</v>
      </c>
      <c r="F598" s="184">
        <v>34</v>
      </c>
      <c r="G598" s="14">
        <v>0</v>
      </c>
      <c r="H598" s="184">
        <v>3</v>
      </c>
      <c r="I598" s="14">
        <v>2</v>
      </c>
      <c r="J598" s="14" t="s">
        <v>1462</v>
      </c>
      <c r="K598" s="14"/>
      <c r="L598" s="85"/>
      <c r="M598" s="85"/>
      <c r="N598" s="85"/>
      <c r="O598" s="85"/>
      <c r="P598" s="85"/>
      <c r="Q598" s="85"/>
      <c r="R598" s="85"/>
      <c r="S598" s="85"/>
      <c r="T598" s="85"/>
      <c r="U598" s="85"/>
      <c r="V598" s="85"/>
      <c r="W598" s="85"/>
      <c r="X598" s="85"/>
      <c r="Y598" s="85"/>
      <c r="Z598" s="85"/>
    </row>
    <row r="599" spans="1:26" ht="15.75" customHeight="1">
      <c r="A599" s="207">
        <v>102</v>
      </c>
      <c r="B599" s="207" t="s">
        <v>492</v>
      </c>
      <c r="C599" s="207" t="s">
        <v>493</v>
      </c>
      <c r="D599" s="208">
        <v>39188</v>
      </c>
      <c r="E599" s="14" t="s">
        <v>1818</v>
      </c>
      <c r="F599" s="184">
        <v>20</v>
      </c>
      <c r="G599" s="14">
        <v>1</v>
      </c>
      <c r="H599" s="184">
        <v>5</v>
      </c>
      <c r="I599" s="14">
        <v>2</v>
      </c>
      <c r="J599" s="14" t="s">
        <v>1462</v>
      </c>
      <c r="K599" s="14"/>
      <c r="L599" s="85"/>
      <c r="M599" s="85"/>
      <c r="N599" s="85"/>
      <c r="O599" s="85"/>
      <c r="P599" s="85"/>
      <c r="Q599" s="85"/>
      <c r="R599" s="85"/>
      <c r="S599" s="85"/>
      <c r="T599" s="85"/>
      <c r="U599" s="85"/>
      <c r="V599" s="85"/>
      <c r="W599" s="85"/>
      <c r="X599" s="85"/>
      <c r="Y599" s="85"/>
      <c r="Z599" s="85"/>
    </row>
    <row r="600" spans="1:26" ht="15.75" customHeight="1">
      <c r="A600" s="207">
        <v>102</v>
      </c>
      <c r="B600" s="207" t="s">
        <v>492</v>
      </c>
      <c r="C600" s="207" t="s">
        <v>493</v>
      </c>
      <c r="D600" s="208">
        <v>39188</v>
      </c>
      <c r="E600" s="14" t="s">
        <v>1819</v>
      </c>
      <c r="F600" s="184">
        <v>22</v>
      </c>
      <c r="G600" s="14">
        <v>0</v>
      </c>
      <c r="H600" s="184">
        <v>0</v>
      </c>
      <c r="I600" s="14">
        <v>2</v>
      </c>
      <c r="J600" s="14" t="s">
        <v>1462</v>
      </c>
      <c r="K600" s="14"/>
      <c r="L600" s="85"/>
      <c r="M600" s="85"/>
      <c r="N600" s="85"/>
      <c r="O600" s="85"/>
      <c r="P600" s="85"/>
      <c r="Q600" s="85"/>
      <c r="R600" s="85"/>
      <c r="S600" s="85"/>
      <c r="T600" s="85"/>
      <c r="U600" s="85"/>
      <c r="V600" s="85"/>
      <c r="W600" s="85"/>
      <c r="X600" s="85"/>
      <c r="Y600" s="85"/>
      <c r="Z600" s="85"/>
    </row>
    <row r="601" spans="1:26" ht="15.75" customHeight="1">
      <c r="A601" s="207">
        <v>102</v>
      </c>
      <c r="B601" s="207" t="s">
        <v>492</v>
      </c>
      <c r="C601" s="207" t="s">
        <v>493</v>
      </c>
      <c r="D601" s="208">
        <v>39188</v>
      </c>
      <c r="E601" s="14" t="s">
        <v>1820</v>
      </c>
      <c r="F601" s="184">
        <v>26</v>
      </c>
      <c r="G601" s="14">
        <v>0</v>
      </c>
      <c r="H601" s="184">
        <v>2</v>
      </c>
      <c r="I601" s="14">
        <v>2</v>
      </c>
      <c r="J601" s="14" t="s">
        <v>1462</v>
      </c>
      <c r="K601" s="14"/>
      <c r="L601" s="85"/>
      <c r="M601" s="85"/>
      <c r="N601" s="85"/>
      <c r="O601" s="85"/>
      <c r="P601" s="85"/>
      <c r="Q601" s="85"/>
      <c r="R601" s="85"/>
      <c r="S601" s="85"/>
      <c r="T601" s="85"/>
      <c r="U601" s="85"/>
      <c r="V601" s="85"/>
      <c r="W601" s="85"/>
      <c r="X601" s="85"/>
      <c r="Y601" s="85"/>
      <c r="Z601" s="85"/>
    </row>
    <row r="602" spans="1:26" ht="15.75" customHeight="1">
      <c r="A602" s="207">
        <v>102</v>
      </c>
      <c r="B602" s="207" t="s">
        <v>492</v>
      </c>
      <c r="C602" s="207" t="s">
        <v>493</v>
      </c>
      <c r="D602" s="208">
        <v>39188</v>
      </c>
      <c r="E602" s="14" t="s">
        <v>1821</v>
      </c>
      <c r="F602" s="184">
        <v>26</v>
      </c>
      <c r="G602" s="14">
        <v>1</v>
      </c>
      <c r="H602" s="184">
        <v>3</v>
      </c>
      <c r="I602" s="14">
        <v>2</v>
      </c>
      <c r="J602" s="14" t="s">
        <v>1462</v>
      </c>
      <c r="K602" s="14"/>
      <c r="L602" s="85"/>
      <c r="M602" s="85"/>
      <c r="N602" s="85"/>
      <c r="O602" s="85"/>
      <c r="P602" s="85"/>
      <c r="Q602" s="85"/>
      <c r="R602" s="85"/>
      <c r="S602" s="85"/>
      <c r="T602" s="85"/>
      <c r="U602" s="85"/>
      <c r="V602" s="85"/>
      <c r="W602" s="85"/>
      <c r="X602" s="85"/>
      <c r="Y602" s="85"/>
      <c r="Z602" s="85"/>
    </row>
    <row r="603" spans="1:26" ht="15.75" customHeight="1">
      <c r="A603" s="207">
        <v>102</v>
      </c>
      <c r="B603" s="207" t="s">
        <v>492</v>
      </c>
      <c r="C603" s="207" t="s">
        <v>493</v>
      </c>
      <c r="D603" s="208">
        <v>39188</v>
      </c>
      <c r="E603" s="14" t="s">
        <v>1822</v>
      </c>
      <c r="F603" s="184">
        <v>21</v>
      </c>
      <c r="G603" s="14">
        <v>0</v>
      </c>
      <c r="H603" s="184">
        <v>2</v>
      </c>
      <c r="I603" s="14">
        <v>2</v>
      </c>
      <c r="J603" s="14" t="s">
        <v>1462</v>
      </c>
      <c r="K603" s="14"/>
      <c r="L603" s="85"/>
      <c r="M603" s="85"/>
      <c r="N603" s="85"/>
      <c r="O603" s="85"/>
      <c r="P603" s="85"/>
      <c r="Q603" s="85"/>
      <c r="R603" s="85"/>
      <c r="S603" s="85"/>
      <c r="T603" s="85"/>
      <c r="U603" s="85"/>
      <c r="V603" s="85"/>
      <c r="W603" s="85"/>
      <c r="X603" s="85"/>
      <c r="Y603" s="85"/>
      <c r="Z603" s="85"/>
    </row>
    <row r="604" spans="1:26" ht="15.75" customHeight="1">
      <c r="A604" s="207">
        <v>102</v>
      </c>
      <c r="B604" s="207" t="s">
        <v>492</v>
      </c>
      <c r="C604" s="207" t="s">
        <v>493</v>
      </c>
      <c r="D604" s="208">
        <v>39188</v>
      </c>
      <c r="E604" s="14" t="s">
        <v>1823</v>
      </c>
      <c r="F604" s="184">
        <v>18</v>
      </c>
      <c r="G604" s="14">
        <v>1</v>
      </c>
      <c r="H604" s="184">
        <v>1</v>
      </c>
      <c r="I604" s="14">
        <v>2</v>
      </c>
      <c r="J604" s="14" t="s">
        <v>1462</v>
      </c>
      <c r="K604" s="14"/>
      <c r="L604" s="85"/>
      <c r="M604" s="85"/>
      <c r="N604" s="85"/>
      <c r="O604" s="85"/>
      <c r="P604" s="85"/>
      <c r="Q604" s="85"/>
      <c r="R604" s="85"/>
      <c r="S604" s="85"/>
      <c r="T604" s="85"/>
      <c r="U604" s="85"/>
      <c r="V604" s="85"/>
      <c r="W604" s="85"/>
      <c r="X604" s="85"/>
      <c r="Y604" s="85"/>
      <c r="Z604" s="85"/>
    </row>
    <row r="605" spans="1:26" ht="15.75" customHeight="1">
      <c r="A605" s="207">
        <v>102</v>
      </c>
      <c r="B605" s="207" t="s">
        <v>492</v>
      </c>
      <c r="C605" s="207" t="s">
        <v>493</v>
      </c>
      <c r="D605" s="208">
        <v>39188</v>
      </c>
      <c r="E605" s="14" t="s">
        <v>1824</v>
      </c>
      <c r="F605" s="184">
        <v>23</v>
      </c>
      <c r="G605" s="14">
        <v>0</v>
      </c>
      <c r="H605" s="184">
        <v>0</v>
      </c>
      <c r="I605" s="14">
        <v>2</v>
      </c>
      <c r="J605" s="14" t="s">
        <v>1462</v>
      </c>
      <c r="K605" s="14"/>
      <c r="L605" s="85"/>
      <c r="M605" s="85"/>
      <c r="N605" s="85"/>
      <c r="O605" s="85"/>
      <c r="P605" s="85"/>
      <c r="Q605" s="85"/>
      <c r="R605" s="85"/>
      <c r="S605" s="85"/>
      <c r="T605" s="85"/>
      <c r="U605" s="85"/>
      <c r="V605" s="85"/>
      <c r="W605" s="85"/>
      <c r="X605" s="85"/>
      <c r="Y605" s="85"/>
      <c r="Z605" s="85"/>
    </row>
    <row r="606" spans="1:26" ht="15.75" customHeight="1">
      <c r="A606" s="207">
        <v>102</v>
      </c>
      <c r="B606" s="207" t="s">
        <v>492</v>
      </c>
      <c r="C606" s="207" t="s">
        <v>493</v>
      </c>
      <c r="D606" s="208">
        <v>39188</v>
      </c>
      <c r="E606" s="14" t="s">
        <v>1825</v>
      </c>
      <c r="F606" s="184">
        <v>23</v>
      </c>
      <c r="G606" s="14">
        <v>1</v>
      </c>
      <c r="H606" s="184">
        <v>0</v>
      </c>
      <c r="I606" s="14">
        <v>2</v>
      </c>
      <c r="J606" s="14" t="s">
        <v>1462</v>
      </c>
      <c r="K606" s="14"/>
      <c r="L606" s="85"/>
      <c r="M606" s="85"/>
      <c r="N606" s="85"/>
      <c r="O606" s="85"/>
      <c r="P606" s="85"/>
      <c r="Q606" s="85"/>
      <c r="R606" s="85"/>
      <c r="S606" s="85"/>
      <c r="T606" s="85"/>
      <c r="U606" s="85"/>
      <c r="V606" s="85"/>
      <c r="W606" s="85"/>
      <c r="X606" s="85"/>
      <c r="Y606" s="85"/>
      <c r="Z606" s="85"/>
    </row>
    <row r="607" spans="1:26" ht="15.75" customHeight="1">
      <c r="A607" s="207">
        <v>102</v>
      </c>
      <c r="B607" s="207" t="s">
        <v>492</v>
      </c>
      <c r="C607" s="207" t="s">
        <v>493</v>
      </c>
      <c r="D607" s="208">
        <v>39188</v>
      </c>
      <c r="E607" s="14" t="s">
        <v>1826</v>
      </c>
      <c r="F607" s="184">
        <v>19</v>
      </c>
      <c r="G607" s="14">
        <v>1</v>
      </c>
      <c r="H607" s="184">
        <v>3</v>
      </c>
      <c r="I607" s="14">
        <v>2</v>
      </c>
      <c r="J607" s="14" t="s">
        <v>1462</v>
      </c>
      <c r="K607" s="14"/>
      <c r="L607" s="85"/>
      <c r="M607" s="85"/>
      <c r="N607" s="85"/>
      <c r="O607" s="85"/>
      <c r="P607" s="85"/>
      <c r="Q607" s="85"/>
      <c r="R607" s="85"/>
      <c r="S607" s="85"/>
      <c r="T607" s="85"/>
      <c r="U607" s="85"/>
      <c r="V607" s="85"/>
      <c r="W607" s="85"/>
      <c r="X607" s="85"/>
      <c r="Y607" s="85"/>
      <c r="Z607" s="85"/>
    </row>
    <row r="608" spans="1:26" ht="15.75" customHeight="1">
      <c r="A608" s="207">
        <v>102</v>
      </c>
      <c r="B608" s="207" t="s">
        <v>492</v>
      </c>
      <c r="C608" s="207" t="s">
        <v>493</v>
      </c>
      <c r="D608" s="208">
        <v>39188</v>
      </c>
      <c r="E608" s="14" t="s">
        <v>1827</v>
      </c>
      <c r="F608" s="184">
        <v>18</v>
      </c>
      <c r="G608" s="14">
        <v>1</v>
      </c>
      <c r="H608" s="184">
        <v>4</v>
      </c>
      <c r="I608" s="14">
        <v>2</v>
      </c>
      <c r="J608" s="14" t="s">
        <v>1462</v>
      </c>
      <c r="K608" s="14"/>
      <c r="L608" s="85"/>
      <c r="M608" s="85"/>
      <c r="N608" s="85"/>
      <c r="O608" s="85"/>
      <c r="P608" s="85"/>
      <c r="Q608" s="85"/>
      <c r="R608" s="85"/>
      <c r="S608" s="85"/>
      <c r="T608" s="85"/>
      <c r="U608" s="85"/>
      <c r="V608" s="85"/>
      <c r="W608" s="85"/>
      <c r="X608" s="85"/>
      <c r="Y608" s="85"/>
      <c r="Z608" s="85"/>
    </row>
    <row r="609" spans="1:26" ht="15.75" customHeight="1">
      <c r="A609" s="207">
        <v>102</v>
      </c>
      <c r="B609" s="207" t="s">
        <v>492</v>
      </c>
      <c r="C609" s="207" t="s">
        <v>493</v>
      </c>
      <c r="D609" s="208">
        <v>39188</v>
      </c>
      <c r="E609" s="14" t="s">
        <v>1828</v>
      </c>
      <c r="F609" s="184">
        <v>32</v>
      </c>
      <c r="G609" s="14">
        <v>0</v>
      </c>
      <c r="H609" s="184">
        <v>1</v>
      </c>
      <c r="I609" s="14">
        <v>2</v>
      </c>
      <c r="J609" s="14" t="s">
        <v>1462</v>
      </c>
      <c r="K609" s="14"/>
      <c r="L609" s="85"/>
      <c r="M609" s="85"/>
      <c r="N609" s="85"/>
      <c r="O609" s="85"/>
      <c r="P609" s="85"/>
      <c r="Q609" s="85"/>
      <c r="R609" s="85"/>
      <c r="S609" s="85"/>
      <c r="T609" s="85"/>
      <c r="U609" s="85"/>
      <c r="V609" s="85"/>
      <c r="W609" s="85"/>
      <c r="X609" s="85"/>
      <c r="Y609" s="85"/>
      <c r="Z609" s="85"/>
    </row>
    <row r="610" spans="1:26" ht="15.75" customHeight="1">
      <c r="A610" s="207">
        <v>102</v>
      </c>
      <c r="B610" s="207" t="s">
        <v>492</v>
      </c>
      <c r="C610" s="207" t="s">
        <v>493</v>
      </c>
      <c r="D610" s="208">
        <v>39188</v>
      </c>
      <c r="E610" s="14" t="s">
        <v>1829</v>
      </c>
      <c r="F610" s="184">
        <v>20</v>
      </c>
      <c r="G610" s="14">
        <v>1</v>
      </c>
      <c r="H610" s="184">
        <v>0</v>
      </c>
      <c r="I610" s="14">
        <v>2</v>
      </c>
      <c r="J610" s="14" t="s">
        <v>1462</v>
      </c>
      <c r="K610" s="14"/>
      <c r="L610" s="85"/>
      <c r="M610" s="85"/>
      <c r="N610" s="85"/>
      <c r="O610" s="85"/>
      <c r="P610" s="85"/>
      <c r="Q610" s="85"/>
      <c r="R610" s="85"/>
      <c r="S610" s="85"/>
      <c r="T610" s="85"/>
      <c r="U610" s="85"/>
      <c r="V610" s="85"/>
      <c r="W610" s="85"/>
      <c r="X610" s="85"/>
      <c r="Y610" s="85"/>
      <c r="Z610" s="85"/>
    </row>
    <row r="611" spans="1:26" ht="15.75" customHeight="1">
      <c r="A611" s="207">
        <v>102</v>
      </c>
      <c r="B611" s="207" t="s">
        <v>492</v>
      </c>
      <c r="C611" s="207" t="s">
        <v>493</v>
      </c>
      <c r="D611" s="208">
        <v>39188</v>
      </c>
      <c r="E611" s="14" t="s">
        <v>1830</v>
      </c>
      <c r="F611" s="184">
        <v>22</v>
      </c>
      <c r="G611" s="14">
        <v>1</v>
      </c>
      <c r="H611" s="184">
        <v>0</v>
      </c>
      <c r="I611" s="14">
        <v>2</v>
      </c>
      <c r="J611" s="14" t="s">
        <v>1462</v>
      </c>
      <c r="K611" s="14"/>
      <c r="L611" s="85"/>
      <c r="M611" s="85"/>
      <c r="N611" s="85"/>
      <c r="O611" s="85"/>
      <c r="P611" s="85"/>
      <c r="Q611" s="85"/>
      <c r="R611" s="85"/>
      <c r="S611" s="85"/>
      <c r="T611" s="85"/>
      <c r="U611" s="85"/>
      <c r="V611" s="85"/>
      <c r="W611" s="85"/>
      <c r="X611" s="85"/>
      <c r="Y611" s="85"/>
      <c r="Z611" s="85"/>
    </row>
    <row r="612" spans="1:26" ht="15.75" customHeight="1">
      <c r="A612" s="207">
        <v>102</v>
      </c>
      <c r="B612" s="207" t="s">
        <v>492</v>
      </c>
      <c r="C612" s="207" t="s">
        <v>493</v>
      </c>
      <c r="D612" s="208">
        <v>39188</v>
      </c>
      <c r="E612" s="14" t="s">
        <v>1831</v>
      </c>
      <c r="F612" s="184">
        <v>20</v>
      </c>
      <c r="G612" s="14">
        <v>1</v>
      </c>
      <c r="H612" s="184">
        <v>0</v>
      </c>
      <c r="I612" s="14">
        <v>2</v>
      </c>
      <c r="J612" s="14" t="s">
        <v>1462</v>
      </c>
      <c r="K612" s="14"/>
      <c r="L612" s="85"/>
      <c r="M612" s="85"/>
      <c r="N612" s="85"/>
      <c r="O612" s="85"/>
      <c r="P612" s="85"/>
      <c r="Q612" s="85"/>
      <c r="R612" s="85"/>
      <c r="S612" s="85"/>
      <c r="T612" s="85"/>
      <c r="U612" s="85"/>
      <c r="V612" s="85"/>
      <c r="W612" s="85"/>
      <c r="X612" s="85"/>
      <c r="Y612" s="85"/>
      <c r="Z612" s="85"/>
    </row>
    <row r="613" spans="1:26" ht="15.75" customHeight="1">
      <c r="A613" s="203">
        <v>103</v>
      </c>
      <c r="B613" s="203" t="s">
        <v>498</v>
      </c>
      <c r="C613" s="203" t="s">
        <v>102</v>
      </c>
      <c r="D613" s="204">
        <v>39421</v>
      </c>
      <c r="E613" s="14" t="s">
        <v>1832</v>
      </c>
      <c r="F613" s="184">
        <v>47</v>
      </c>
      <c r="G613" s="14">
        <v>1</v>
      </c>
      <c r="H613" s="14">
        <v>0</v>
      </c>
      <c r="I613" s="14">
        <v>0</v>
      </c>
      <c r="J613" s="14" t="s">
        <v>100</v>
      </c>
      <c r="K613" s="14"/>
      <c r="L613" s="85"/>
      <c r="M613" s="85"/>
      <c r="N613" s="85"/>
      <c r="O613" s="85"/>
      <c r="P613" s="85"/>
      <c r="Q613" s="85"/>
      <c r="R613" s="85"/>
      <c r="S613" s="85"/>
      <c r="T613" s="85"/>
      <c r="U613" s="85"/>
      <c r="V613" s="85"/>
      <c r="W613" s="85"/>
      <c r="X613" s="85"/>
      <c r="Y613" s="85"/>
      <c r="Z613" s="85"/>
    </row>
    <row r="614" spans="1:26" ht="15.75" customHeight="1">
      <c r="A614" s="203">
        <v>103</v>
      </c>
      <c r="B614" s="203" t="s">
        <v>498</v>
      </c>
      <c r="C614" s="203" t="s">
        <v>102</v>
      </c>
      <c r="D614" s="204">
        <v>39421</v>
      </c>
      <c r="E614" s="14" t="s">
        <v>1833</v>
      </c>
      <c r="F614" s="184">
        <v>56</v>
      </c>
      <c r="G614" s="14">
        <v>0</v>
      </c>
      <c r="H614" s="14">
        <v>0</v>
      </c>
      <c r="I614" s="14">
        <v>0</v>
      </c>
      <c r="J614" s="14" t="s">
        <v>100</v>
      </c>
      <c r="K614" s="14"/>
      <c r="L614" s="85"/>
      <c r="M614" s="85"/>
      <c r="N614" s="85"/>
      <c r="O614" s="85"/>
      <c r="P614" s="85"/>
      <c r="Q614" s="85"/>
      <c r="R614" s="85"/>
      <c r="S614" s="85"/>
      <c r="T614" s="85"/>
      <c r="U614" s="85"/>
      <c r="V614" s="85"/>
      <c r="W614" s="85"/>
      <c r="X614" s="85"/>
      <c r="Y614" s="85"/>
      <c r="Z614" s="85"/>
    </row>
    <row r="615" spans="1:26" ht="15.75" customHeight="1">
      <c r="A615" s="203">
        <v>103</v>
      </c>
      <c r="B615" s="203" t="s">
        <v>498</v>
      </c>
      <c r="C615" s="203" t="s">
        <v>102</v>
      </c>
      <c r="D615" s="204">
        <v>39421</v>
      </c>
      <c r="E615" s="14" t="s">
        <v>1834</v>
      </c>
      <c r="F615" s="14">
        <v>66</v>
      </c>
      <c r="G615" s="14">
        <v>1</v>
      </c>
      <c r="H615" s="14">
        <v>0</v>
      </c>
      <c r="I615" s="14">
        <v>0</v>
      </c>
      <c r="J615" s="14" t="s">
        <v>100</v>
      </c>
      <c r="K615" s="14"/>
      <c r="L615" s="85"/>
      <c r="M615" s="85"/>
      <c r="N615" s="85"/>
      <c r="O615" s="85"/>
      <c r="P615" s="85"/>
      <c r="Q615" s="85"/>
      <c r="R615" s="85"/>
      <c r="S615" s="85"/>
      <c r="T615" s="85"/>
      <c r="U615" s="85"/>
      <c r="V615" s="85"/>
      <c r="W615" s="85"/>
      <c r="X615" s="85"/>
      <c r="Y615" s="85"/>
      <c r="Z615" s="85"/>
    </row>
    <row r="616" spans="1:26" ht="15.75" customHeight="1">
      <c r="A616" s="203">
        <v>103</v>
      </c>
      <c r="B616" s="203" t="s">
        <v>498</v>
      </c>
      <c r="C616" s="203" t="s">
        <v>102</v>
      </c>
      <c r="D616" s="204">
        <v>39421</v>
      </c>
      <c r="E616" s="14" t="s">
        <v>1835</v>
      </c>
      <c r="F616" s="184">
        <v>65</v>
      </c>
      <c r="G616" s="14">
        <v>0</v>
      </c>
      <c r="H616" s="14">
        <v>0</v>
      </c>
      <c r="I616" s="14">
        <v>0</v>
      </c>
      <c r="J616" s="14" t="s">
        <v>100</v>
      </c>
      <c r="K616" s="14"/>
      <c r="L616" s="85"/>
      <c r="M616" s="85"/>
      <c r="N616" s="85"/>
      <c r="O616" s="85"/>
      <c r="P616" s="85"/>
      <c r="Q616" s="85"/>
      <c r="R616" s="85"/>
      <c r="S616" s="85"/>
      <c r="T616" s="85"/>
      <c r="U616" s="85"/>
      <c r="V616" s="85"/>
      <c r="W616" s="85"/>
      <c r="X616" s="85"/>
      <c r="Y616" s="85"/>
      <c r="Z616" s="85"/>
    </row>
    <row r="617" spans="1:26" ht="15.75" customHeight="1">
      <c r="A617" s="203">
        <v>103</v>
      </c>
      <c r="B617" s="203" t="s">
        <v>498</v>
      </c>
      <c r="C617" s="203" t="s">
        <v>102</v>
      </c>
      <c r="D617" s="204">
        <v>39421</v>
      </c>
      <c r="E617" s="14" t="s">
        <v>1836</v>
      </c>
      <c r="F617" s="184">
        <v>48</v>
      </c>
      <c r="G617" s="14">
        <v>0</v>
      </c>
      <c r="H617" s="14">
        <v>0</v>
      </c>
      <c r="I617" s="14">
        <v>0</v>
      </c>
      <c r="J617" s="14" t="s">
        <v>100</v>
      </c>
      <c r="K617" s="14"/>
      <c r="L617" s="85"/>
      <c r="M617" s="85"/>
      <c r="N617" s="85"/>
      <c r="O617" s="85"/>
      <c r="P617" s="85"/>
      <c r="Q617" s="85"/>
      <c r="R617" s="85"/>
      <c r="S617" s="85"/>
      <c r="T617" s="85"/>
      <c r="U617" s="85"/>
      <c r="V617" s="85"/>
      <c r="W617" s="85"/>
      <c r="X617" s="85"/>
      <c r="Y617" s="85"/>
      <c r="Z617" s="85"/>
    </row>
    <row r="618" spans="1:26" ht="15.75" customHeight="1">
      <c r="A618" s="203">
        <v>103</v>
      </c>
      <c r="B618" s="203" t="s">
        <v>498</v>
      </c>
      <c r="C618" s="203" t="s">
        <v>102</v>
      </c>
      <c r="D618" s="204">
        <v>39421</v>
      </c>
      <c r="E618" s="14" t="s">
        <v>1837</v>
      </c>
      <c r="F618" s="184">
        <v>36</v>
      </c>
      <c r="G618" s="14">
        <v>1</v>
      </c>
      <c r="H618" s="14">
        <v>0</v>
      </c>
      <c r="I618" s="14">
        <v>0</v>
      </c>
      <c r="J618" s="14" t="s">
        <v>100</v>
      </c>
      <c r="K618" s="14"/>
      <c r="L618" s="85"/>
      <c r="M618" s="85"/>
      <c r="N618" s="85"/>
      <c r="O618" s="85"/>
      <c r="P618" s="85"/>
      <c r="Q618" s="85"/>
      <c r="R618" s="85"/>
      <c r="S618" s="85"/>
      <c r="T618" s="85"/>
      <c r="U618" s="85"/>
      <c r="V618" s="85"/>
      <c r="W618" s="85"/>
      <c r="X618" s="85"/>
      <c r="Y618" s="85"/>
      <c r="Z618" s="85"/>
    </row>
    <row r="619" spans="1:26" ht="15.75" customHeight="1">
      <c r="A619" s="203">
        <v>103</v>
      </c>
      <c r="B619" s="203" t="s">
        <v>498</v>
      </c>
      <c r="C619" s="203" t="s">
        <v>102</v>
      </c>
      <c r="D619" s="204">
        <v>39421</v>
      </c>
      <c r="E619" s="14" t="s">
        <v>1838</v>
      </c>
      <c r="F619" s="184">
        <v>53</v>
      </c>
      <c r="G619" s="14">
        <v>1</v>
      </c>
      <c r="H619" s="14">
        <v>0</v>
      </c>
      <c r="I619" s="14">
        <v>0</v>
      </c>
      <c r="J619" s="14" t="s">
        <v>100</v>
      </c>
      <c r="K619" s="14"/>
      <c r="L619" s="85"/>
      <c r="M619" s="85"/>
      <c r="N619" s="85"/>
      <c r="O619" s="85"/>
      <c r="P619" s="85"/>
      <c r="Q619" s="85"/>
      <c r="R619" s="85"/>
      <c r="S619" s="85"/>
      <c r="T619" s="85"/>
      <c r="U619" s="85"/>
      <c r="V619" s="85"/>
      <c r="W619" s="85"/>
      <c r="X619" s="85"/>
      <c r="Y619" s="85"/>
      <c r="Z619" s="85"/>
    </row>
    <row r="620" spans="1:26" ht="15.75" customHeight="1">
      <c r="A620" s="203">
        <v>103</v>
      </c>
      <c r="B620" s="203" t="s">
        <v>498</v>
      </c>
      <c r="C620" s="203" t="s">
        <v>102</v>
      </c>
      <c r="D620" s="204">
        <v>39421</v>
      </c>
      <c r="E620" s="14" t="s">
        <v>1839</v>
      </c>
      <c r="F620" s="184">
        <v>24</v>
      </c>
      <c r="G620" s="14">
        <v>1</v>
      </c>
      <c r="H620" s="14">
        <v>0</v>
      </c>
      <c r="I620" s="14">
        <v>0</v>
      </c>
      <c r="J620" s="14" t="s">
        <v>100</v>
      </c>
      <c r="K620" s="14"/>
      <c r="L620" s="85"/>
      <c r="M620" s="85"/>
      <c r="N620" s="85"/>
      <c r="O620" s="85"/>
      <c r="P620" s="85"/>
      <c r="Q620" s="85"/>
      <c r="R620" s="85"/>
      <c r="S620" s="85"/>
      <c r="T620" s="85"/>
      <c r="U620" s="85"/>
      <c r="V620" s="85"/>
      <c r="W620" s="85"/>
      <c r="X620" s="85"/>
      <c r="Y620" s="85"/>
      <c r="Z620" s="85"/>
    </row>
    <row r="621" spans="1:26" ht="15.75" customHeight="1">
      <c r="A621" s="205">
        <v>104</v>
      </c>
      <c r="B621" s="205" t="s">
        <v>502</v>
      </c>
      <c r="C621" s="205" t="s">
        <v>361</v>
      </c>
      <c r="D621" s="206">
        <v>39425</v>
      </c>
      <c r="E621" s="14" t="s">
        <v>1840</v>
      </c>
      <c r="F621" s="184">
        <v>22</v>
      </c>
      <c r="G621" s="14">
        <v>0</v>
      </c>
      <c r="H621" s="184">
        <v>0</v>
      </c>
      <c r="I621" s="14">
        <v>0</v>
      </c>
      <c r="J621" s="14" t="s">
        <v>100</v>
      </c>
      <c r="K621" s="14"/>
      <c r="L621" s="85"/>
      <c r="M621" s="85"/>
      <c r="N621" s="85"/>
      <c r="O621" s="85"/>
      <c r="P621" s="85"/>
      <c r="Q621" s="85"/>
      <c r="R621" s="85"/>
      <c r="S621" s="85"/>
      <c r="T621" s="85"/>
      <c r="U621" s="85"/>
      <c r="V621" s="85"/>
      <c r="W621" s="85"/>
      <c r="X621" s="85"/>
      <c r="Y621" s="85"/>
      <c r="Z621" s="85"/>
    </row>
    <row r="622" spans="1:26" ht="15.75" customHeight="1">
      <c r="A622" s="205">
        <v>104</v>
      </c>
      <c r="B622" s="205" t="s">
        <v>502</v>
      </c>
      <c r="C622" s="205" t="s">
        <v>361</v>
      </c>
      <c r="D622" s="206">
        <v>39425</v>
      </c>
      <c r="E622" s="14" t="s">
        <v>1841</v>
      </c>
      <c r="F622" s="184">
        <v>25</v>
      </c>
      <c r="G622" s="14">
        <v>1</v>
      </c>
      <c r="H622" s="184">
        <v>0</v>
      </c>
      <c r="I622" s="14">
        <v>0</v>
      </c>
      <c r="J622" s="14" t="s">
        <v>100</v>
      </c>
      <c r="K622" s="14"/>
      <c r="L622" s="85"/>
      <c r="M622" s="85"/>
      <c r="N622" s="85"/>
      <c r="O622" s="85"/>
      <c r="P622" s="85"/>
      <c r="Q622" s="85"/>
      <c r="R622" s="85"/>
      <c r="S622" s="85"/>
      <c r="T622" s="85"/>
      <c r="U622" s="85"/>
      <c r="V622" s="85"/>
      <c r="W622" s="85"/>
      <c r="X622" s="85"/>
      <c r="Y622" s="85"/>
      <c r="Z622" s="85"/>
    </row>
    <row r="623" spans="1:26" ht="15.75" customHeight="1">
      <c r="A623" s="205">
        <v>104</v>
      </c>
      <c r="B623" s="205" t="s">
        <v>502</v>
      </c>
      <c r="C623" s="205" t="s">
        <v>361</v>
      </c>
      <c r="D623" s="206">
        <v>39425</v>
      </c>
      <c r="E623" s="14" t="s">
        <v>1842</v>
      </c>
      <c r="F623" s="184">
        <v>16</v>
      </c>
      <c r="G623" s="14">
        <v>1</v>
      </c>
      <c r="H623" s="184" t="str">
        <f>HYPERLINK("https://www.findagrave.com/memorial/25654364/rachel-elizabeth-works","0")</f>
        <v>0</v>
      </c>
      <c r="I623" s="14">
        <v>0</v>
      </c>
      <c r="J623" s="14" t="s">
        <v>100</v>
      </c>
      <c r="K623" s="14"/>
      <c r="L623" s="85"/>
      <c r="M623" s="85"/>
      <c r="N623" s="85"/>
      <c r="O623" s="85"/>
      <c r="P623" s="85"/>
      <c r="Q623" s="85"/>
      <c r="R623" s="85"/>
      <c r="S623" s="85"/>
      <c r="T623" s="85"/>
      <c r="U623" s="85"/>
      <c r="V623" s="85"/>
      <c r="W623" s="85"/>
      <c r="X623" s="85"/>
      <c r="Y623" s="85"/>
      <c r="Z623" s="85"/>
    </row>
    <row r="624" spans="1:26" ht="15.75" customHeight="1">
      <c r="A624" s="205">
        <v>104</v>
      </c>
      <c r="B624" s="205" t="s">
        <v>502</v>
      </c>
      <c r="C624" s="205" t="s">
        <v>361</v>
      </c>
      <c r="D624" s="206">
        <v>39425</v>
      </c>
      <c r="E624" s="14" t="s">
        <v>1843</v>
      </c>
      <c r="F624" s="184">
        <v>18</v>
      </c>
      <c r="G624" s="14">
        <v>1</v>
      </c>
      <c r="H624" s="184" t="str">
        <f>HYPERLINK("https://www.findagrave.com/memorial/25654357/stephanie-works","0")</f>
        <v>0</v>
      </c>
      <c r="I624" s="14">
        <v>0</v>
      </c>
      <c r="J624" s="14" t="s">
        <v>100</v>
      </c>
      <c r="K624" s="14"/>
      <c r="L624" s="85"/>
      <c r="M624" s="85"/>
      <c r="N624" s="85"/>
      <c r="O624" s="85"/>
      <c r="P624" s="85"/>
      <c r="Q624" s="85"/>
      <c r="R624" s="85"/>
      <c r="S624" s="85"/>
      <c r="T624" s="85"/>
      <c r="U624" s="85"/>
      <c r="V624" s="85"/>
      <c r="W624" s="85"/>
      <c r="X624" s="85"/>
      <c r="Y624" s="85"/>
      <c r="Z624" s="85"/>
    </row>
    <row r="625" spans="1:26" ht="15.75" customHeight="1">
      <c r="A625" s="191">
        <v>105</v>
      </c>
      <c r="B625" s="191" t="s">
        <v>507</v>
      </c>
      <c r="C625" s="191" t="s">
        <v>94</v>
      </c>
      <c r="D625" s="192">
        <v>39485</v>
      </c>
      <c r="E625" s="14" t="s">
        <v>1844</v>
      </c>
      <c r="F625" s="184" t="str">
        <f>HYPERLINK("https://www.findagrave.com/memorial/118473085/thomas-frederick-ballman","37")</f>
        <v>37</v>
      </c>
      <c r="G625" s="14">
        <v>0</v>
      </c>
      <c r="H625" s="184">
        <v>0</v>
      </c>
      <c r="I625" s="184">
        <v>1</v>
      </c>
      <c r="J625" s="14" t="s">
        <v>1845</v>
      </c>
      <c r="K625" s="14"/>
      <c r="L625" s="85"/>
      <c r="M625" s="85"/>
      <c r="N625" s="85"/>
      <c r="O625" s="85"/>
      <c r="P625" s="85"/>
      <c r="Q625" s="85"/>
      <c r="R625" s="85"/>
      <c r="S625" s="85"/>
      <c r="T625" s="85"/>
      <c r="U625" s="85"/>
      <c r="V625" s="85"/>
      <c r="W625" s="85"/>
      <c r="X625" s="85"/>
      <c r="Y625" s="85"/>
      <c r="Z625" s="85"/>
    </row>
    <row r="626" spans="1:26" ht="15.75" customHeight="1">
      <c r="A626" s="191">
        <v>105</v>
      </c>
      <c r="B626" s="191" t="s">
        <v>507</v>
      </c>
      <c r="C626" s="191" t="s">
        <v>94</v>
      </c>
      <c r="D626" s="192">
        <v>39485</v>
      </c>
      <c r="E626" s="14" t="s">
        <v>1846</v>
      </c>
      <c r="F626" s="184" t="str">
        <f>HYPERLINK("https://www.findagrave.com/memorial/24482087/william-king-biggs","50")</f>
        <v>50</v>
      </c>
      <c r="G626" s="14">
        <v>0</v>
      </c>
      <c r="H626" s="184">
        <v>0</v>
      </c>
      <c r="I626" s="184">
        <v>1</v>
      </c>
      <c r="J626" s="185" t="s">
        <v>1845</v>
      </c>
      <c r="K626" s="14"/>
      <c r="L626" s="85"/>
      <c r="M626" s="85"/>
      <c r="N626" s="85"/>
      <c r="O626" s="85"/>
      <c r="P626" s="85"/>
      <c r="Q626" s="85"/>
      <c r="R626" s="85"/>
      <c r="S626" s="85"/>
      <c r="T626" s="85"/>
      <c r="U626" s="85"/>
      <c r="V626" s="85"/>
      <c r="W626" s="85"/>
      <c r="X626" s="85"/>
      <c r="Y626" s="85"/>
      <c r="Z626" s="85"/>
    </row>
    <row r="627" spans="1:26" ht="15.75" customHeight="1">
      <c r="A627" s="191">
        <v>105</v>
      </c>
      <c r="B627" s="191" t="s">
        <v>507</v>
      </c>
      <c r="C627" s="191" t="s">
        <v>94</v>
      </c>
      <c r="D627" s="192">
        <v>39485</v>
      </c>
      <c r="E627" s="14" t="s">
        <v>1847</v>
      </c>
      <c r="F627" s="184">
        <v>51</v>
      </c>
      <c r="G627" s="14">
        <v>1</v>
      </c>
      <c r="H627" s="184">
        <v>0</v>
      </c>
      <c r="I627" s="184">
        <v>1</v>
      </c>
      <c r="J627" s="185" t="s">
        <v>1845</v>
      </c>
      <c r="K627" s="14"/>
      <c r="L627" s="85"/>
      <c r="M627" s="85"/>
      <c r="N627" s="85"/>
      <c r="O627" s="85"/>
      <c r="P627" s="85"/>
      <c r="Q627" s="85"/>
      <c r="R627" s="85"/>
      <c r="S627" s="85"/>
      <c r="T627" s="85"/>
      <c r="U627" s="85"/>
      <c r="V627" s="85"/>
      <c r="W627" s="85"/>
      <c r="X627" s="85"/>
      <c r="Y627" s="85"/>
      <c r="Z627" s="85"/>
    </row>
    <row r="628" spans="1:26" ht="15.75" customHeight="1">
      <c r="A628" s="191">
        <v>105</v>
      </c>
      <c r="B628" s="191" t="s">
        <v>507</v>
      </c>
      <c r="C628" s="191" t="s">
        <v>94</v>
      </c>
      <c r="D628" s="192">
        <v>39485</v>
      </c>
      <c r="E628" s="14" t="s">
        <v>1848</v>
      </c>
      <c r="F628" s="184" t="str">
        <f>HYPERLINK("https://www.findagrave.com/memorial/24482851/michael-h_t_-lynch","63")</f>
        <v>63</v>
      </c>
      <c r="G628" s="14">
        <v>0</v>
      </c>
      <c r="H628" s="184">
        <v>0</v>
      </c>
      <c r="I628" s="184">
        <v>1</v>
      </c>
      <c r="J628" s="185" t="s">
        <v>1845</v>
      </c>
      <c r="K628" s="14"/>
      <c r="L628" s="85"/>
      <c r="M628" s="85"/>
      <c r="N628" s="85"/>
      <c r="O628" s="85"/>
      <c r="P628" s="85"/>
      <c r="Q628" s="85"/>
      <c r="R628" s="85"/>
      <c r="S628" s="85"/>
      <c r="T628" s="85"/>
      <c r="U628" s="85"/>
      <c r="V628" s="85"/>
      <c r="W628" s="85"/>
      <c r="X628" s="85"/>
      <c r="Y628" s="85"/>
      <c r="Z628" s="85"/>
    </row>
    <row r="629" spans="1:26" ht="15.75" customHeight="1">
      <c r="A629" s="191">
        <v>105</v>
      </c>
      <c r="B629" s="191" t="s">
        <v>507</v>
      </c>
      <c r="C629" s="191" t="s">
        <v>94</v>
      </c>
      <c r="D629" s="192">
        <v>39485</v>
      </c>
      <c r="E629" s="14" t="s">
        <v>1849</v>
      </c>
      <c r="F629" s="184" t="str">
        <f>HYPERLINK("https://www.findagrave.com/memorial/29618498/michael-emil-swoboda","69")</f>
        <v>69</v>
      </c>
      <c r="G629" s="14">
        <v>0</v>
      </c>
      <c r="H629" s="184">
        <v>0</v>
      </c>
      <c r="I629" s="184">
        <v>1</v>
      </c>
      <c r="J629" s="185" t="s">
        <v>1845</v>
      </c>
      <c r="K629" s="14"/>
      <c r="L629" s="85"/>
      <c r="M629" s="85"/>
      <c r="N629" s="85"/>
      <c r="O629" s="85"/>
      <c r="P629" s="85"/>
      <c r="Q629" s="85"/>
      <c r="R629" s="85"/>
      <c r="S629" s="85"/>
      <c r="T629" s="85"/>
      <c r="U629" s="85"/>
      <c r="V629" s="85"/>
      <c r="W629" s="85"/>
      <c r="X629" s="85"/>
      <c r="Y629" s="85"/>
      <c r="Z629" s="85"/>
    </row>
    <row r="630" spans="1:26" ht="15.75" customHeight="1">
      <c r="A630" s="191">
        <v>105</v>
      </c>
      <c r="B630" s="191" t="s">
        <v>507</v>
      </c>
      <c r="C630" s="191" t="s">
        <v>94</v>
      </c>
      <c r="D630" s="192">
        <v>39485</v>
      </c>
      <c r="E630" s="14" t="s">
        <v>1850</v>
      </c>
      <c r="F630" s="184" t="str">
        <f>HYPERLINK("https://www.findagrave.com/memorial/24482698/kenneth-dale-yost","61")</f>
        <v>61</v>
      </c>
      <c r="G630" s="14">
        <v>0</v>
      </c>
      <c r="H630" s="184">
        <v>0</v>
      </c>
      <c r="I630" s="184">
        <v>1</v>
      </c>
      <c r="J630" s="185" t="s">
        <v>1845</v>
      </c>
      <c r="K630" s="14"/>
      <c r="L630" s="85"/>
      <c r="M630" s="85"/>
      <c r="N630" s="85"/>
      <c r="O630" s="85"/>
      <c r="P630" s="85"/>
      <c r="Q630" s="85"/>
      <c r="R630" s="85"/>
      <c r="S630" s="85"/>
      <c r="T630" s="85"/>
      <c r="U630" s="85"/>
      <c r="V630" s="85"/>
      <c r="W630" s="85"/>
      <c r="X630" s="85"/>
      <c r="Y630" s="85"/>
      <c r="Z630" s="85"/>
    </row>
    <row r="631" spans="1:26" ht="15.75" customHeight="1">
      <c r="A631" s="193">
        <v>106</v>
      </c>
      <c r="B631" s="193" t="s">
        <v>510</v>
      </c>
      <c r="C631" s="193" t="s">
        <v>423</v>
      </c>
      <c r="D631" s="194">
        <v>39492</v>
      </c>
      <c r="E631" s="14" t="s">
        <v>1851</v>
      </c>
      <c r="F631" s="184">
        <v>20</v>
      </c>
      <c r="G631" s="14">
        <v>1</v>
      </c>
      <c r="H631" s="184">
        <v>0</v>
      </c>
      <c r="I631" s="14">
        <v>0</v>
      </c>
      <c r="J631" s="14" t="s">
        <v>100</v>
      </c>
      <c r="K631" s="14"/>
      <c r="L631" s="85"/>
      <c r="M631" s="85"/>
      <c r="N631" s="85"/>
      <c r="O631" s="85"/>
      <c r="P631" s="85"/>
      <c r="Q631" s="85"/>
      <c r="R631" s="85"/>
      <c r="S631" s="85"/>
      <c r="T631" s="85"/>
      <c r="U631" s="85"/>
      <c r="V631" s="85"/>
      <c r="W631" s="85"/>
      <c r="X631" s="85"/>
      <c r="Y631" s="85"/>
      <c r="Z631" s="85"/>
    </row>
    <row r="632" spans="1:26" ht="15.75" customHeight="1">
      <c r="A632" s="193">
        <v>106</v>
      </c>
      <c r="B632" s="193" t="s">
        <v>510</v>
      </c>
      <c r="C632" s="193" t="s">
        <v>423</v>
      </c>
      <c r="D632" s="194">
        <v>39492</v>
      </c>
      <c r="E632" s="14" t="s">
        <v>1852</v>
      </c>
      <c r="F632" s="184">
        <v>20</v>
      </c>
      <c r="G632" s="14">
        <v>1</v>
      </c>
      <c r="H632" s="184">
        <v>2</v>
      </c>
      <c r="I632" s="14">
        <v>0</v>
      </c>
      <c r="J632" s="14" t="s">
        <v>100</v>
      </c>
      <c r="K632" s="14"/>
      <c r="L632" s="85"/>
      <c r="M632" s="85"/>
      <c r="N632" s="85"/>
      <c r="O632" s="85"/>
      <c r="P632" s="85"/>
      <c r="Q632" s="85"/>
      <c r="R632" s="85"/>
      <c r="S632" s="85"/>
      <c r="T632" s="85"/>
      <c r="U632" s="85"/>
      <c r="V632" s="85"/>
      <c r="W632" s="85"/>
      <c r="X632" s="85"/>
      <c r="Y632" s="85"/>
      <c r="Z632" s="85"/>
    </row>
    <row r="633" spans="1:26" ht="15.75" customHeight="1">
      <c r="A633" s="193">
        <v>106</v>
      </c>
      <c r="B633" s="193" t="s">
        <v>510</v>
      </c>
      <c r="C633" s="193" t="s">
        <v>423</v>
      </c>
      <c r="D633" s="194">
        <v>39492</v>
      </c>
      <c r="E633" s="14" t="s">
        <v>1853</v>
      </c>
      <c r="F633" s="184">
        <v>32</v>
      </c>
      <c r="G633" s="14">
        <v>1</v>
      </c>
      <c r="H633" s="184">
        <v>0</v>
      </c>
      <c r="I633" s="14">
        <v>0</v>
      </c>
      <c r="J633" s="14" t="s">
        <v>100</v>
      </c>
      <c r="K633" s="14"/>
      <c r="L633" s="85"/>
      <c r="M633" s="85"/>
      <c r="N633" s="85"/>
      <c r="O633" s="85"/>
      <c r="P633" s="85"/>
      <c r="Q633" s="85"/>
      <c r="R633" s="85"/>
      <c r="S633" s="85"/>
      <c r="T633" s="85"/>
      <c r="U633" s="85"/>
      <c r="V633" s="85"/>
      <c r="W633" s="85"/>
      <c r="X633" s="85"/>
      <c r="Y633" s="85"/>
      <c r="Z633" s="85"/>
    </row>
    <row r="634" spans="1:26" ht="15.75" customHeight="1">
      <c r="A634" s="193">
        <v>106</v>
      </c>
      <c r="B634" s="193" t="s">
        <v>510</v>
      </c>
      <c r="C634" s="193" t="s">
        <v>423</v>
      </c>
      <c r="D634" s="194">
        <v>39492</v>
      </c>
      <c r="E634" s="14" t="s">
        <v>1854</v>
      </c>
      <c r="F634" s="184">
        <v>19</v>
      </c>
      <c r="G634" s="14">
        <v>1</v>
      </c>
      <c r="H634" s="184">
        <v>0</v>
      </c>
      <c r="I634" s="14">
        <v>0</v>
      </c>
      <c r="J634" s="14" t="s">
        <v>100</v>
      </c>
      <c r="K634" s="14"/>
      <c r="L634" s="85"/>
      <c r="M634" s="85"/>
      <c r="N634" s="85"/>
      <c r="O634" s="85"/>
      <c r="P634" s="85"/>
      <c r="Q634" s="85"/>
      <c r="R634" s="85"/>
      <c r="S634" s="85"/>
      <c r="T634" s="85"/>
      <c r="U634" s="85"/>
      <c r="V634" s="85"/>
      <c r="W634" s="85"/>
      <c r="X634" s="85"/>
      <c r="Y634" s="85"/>
      <c r="Z634" s="85"/>
    </row>
    <row r="635" spans="1:26" ht="15.75" customHeight="1">
      <c r="A635" s="193">
        <v>106</v>
      </c>
      <c r="B635" s="193" t="s">
        <v>510</v>
      </c>
      <c r="C635" s="193" t="s">
        <v>423</v>
      </c>
      <c r="D635" s="194">
        <v>39492</v>
      </c>
      <c r="E635" s="14" t="s">
        <v>1855</v>
      </c>
      <c r="F635" s="184">
        <v>20</v>
      </c>
      <c r="G635" s="14">
        <v>0</v>
      </c>
      <c r="H635" s="184">
        <v>0</v>
      </c>
      <c r="I635" s="14">
        <v>0</v>
      </c>
      <c r="J635" s="14" t="s">
        <v>100</v>
      </c>
      <c r="K635" s="14"/>
      <c r="L635" s="85"/>
      <c r="M635" s="85"/>
      <c r="N635" s="85"/>
      <c r="O635" s="85"/>
      <c r="P635" s="85"/>
      <c r="Q635" s="85"/>
      <c r="R635" s="85"/>
      <c r="S635" s="85"/>
      <c r="T635" s="85"/>
      <c r="U635" s="85"/>
      <c r="V635" s="85"/>
      <c r="W635" s="85"/>
      <c r="X635" s="85"/>
      <c r="Y635" s="85"/>
      <c r="Z635" s="85"/>
    </row>
    <row r="636" spans="1:26" ht="15.75" customHeight="1">
      <c r="A636" s="195">
        <v>107</v>
      </c>
      <c r="B636" s="195" t="s">
        <v>513</v>
      </c>
      <c r="C636" s="195" t="s">
        <v>514</v>
      </c>
      <c r="D636" s="196">
        <v>39525</v>
      </c>
      <c r="E636" s="14" t="s">
        <v>1856</v>
      </c>
      <c r="F636" s="184">
        <v>45</v>
      </c>
      <c r="G636" s="14">
        <v>0</v>
      </c>
      <c r="H636" s="14"/>
      <c r="I636" s="14">
        <v>0</v>
      </c>
      <c r="J636" s="14" t="s">
        <v>100</v>
      </c>
      <c r="K636" s="14"/>
      <c r="L636" s="85"/>
      <c r="M636" s="85"/>
      <c r="N636" s="85"/>
      <c r="O636" s="85"/>
      <c r="P636" s="85"/>
      <c r="Q636" s="85"/>
      <c r="R636" s="85"/>
      <c r="S636" s="85"/>
      <c r="T636" s="85"/>
      <c r="U636" s="85"/>
      <c r="V636" s="85"/>
      <c r="W636" s="85"/>
      <c r="X636" s="85"/>
      <c r="Y636" s="85"/>
      <c r="Z636" s="85"/>
    </row>
    <row r="637" spans="1:26" ht="15.75" customHeight="1">
      <c r="A637" s="195">
        <v>107</v>
      </c>
      <c r="B637" s="195" t="s">
        <v>513</v>
      </c>
      <c r="C637" s="195" t="s">
        <v>514</v>
      </c>
      <c r="D637" s="196">
        <v>39525</v>
      </c>
      <c r="E637" s="14" t="s">
        <v>1857</v>
      </c>
      <c r="F637" s="184">
        <v>33</v>
      </c>
      <c r="G637" s="14">
        <v>0</v>
      </c>
      <c r="H637" s="184" t="str">
        <f>HYPERLINK("https://www.findagrave.com/memorial/25520926/ricardo-cardenas_leal","2")</f>
        <v>2</v>
      </c>
      <c r="I637" s="14">
        <v>0</v>
      </c>
      <c r="J637" s="14" t="s">
        <v>100</v>
      </c>
      <c r="K637" s="14"/>
      <c r="L637" s="85"/>
      <c r="M637" s="85"/>
      <c r="N637" s="85"/>
      <c r="O637" s="85"/>
      <c r="P637" s="85"/>
      <c r="Q637" s="85"/>
      <c r="R637" s="85"/>
      <c r="S637" s="85"/>
      <c r="T637" s="85"/>
      <c r="U637" s="85"/>
      <c r="V637" s="85"/>
      <c r="W637" s="85"/>
      <c r="X637" s="85"/>
      <c r="Y637" s="85"/>
      <c r="Z637" s="85"/>
    </row>
    <row r="638" spans="1:26" ht="15.75" customHeight="1">
      <c r="A638" s="195">
        <v>107</v>
      </c>
      <c r="B638" s="195" t="s">
        <v>513</v>
      </c>
      <c r="C638" s="195" t="s">
        <v>514</v>
      </c>
      <c r="D638" s="196">
        <v>39525</v>
      </c>
      <c r="E638" s="14" t="s">
        <v>1858</v>
      </c>
      <c r="F638" s="184">
        <v>66</v>
      </c>
      <c r="G638" s="14">
        <v>0</v>
      </c>
      <c r="H638" s="184">
        <v>0</v>
      </c>
      <c r="I638" s="14">
        <v>1</v>
      </c>
      <c r="J638" s="14" t="s">
        <v>1594</v>
      </c>
      <c r="K638" s="14"/>
      <c r="L638" s="85"/>
      <c r="M638" s="85"/>
      <c r="N638" s="85"/>
      <c r="O638" s="85"/>
      <c r="P638" s="85"/>
      <c r="Q638" s="85"/>
      <c r="R638" s="85"/>
      <c r="S638" s="85"/>
      <c r="T638" s="85"/>
      <c r="U638" s="85"/>
      <c r="V638" s="85"/>
      <c r="W638" s="85"/>
      <c r="X638" s="85"/>
      <c r="Y638" s="85"/>
      <c r="Z638" s="85"/>
    </row>
    <row r="639" spans="1:26" ht="15.75" customHeight="1">
      <c r="A639" s="195">
        <v>107</v>
      </c>
      <c r="B639" s="195" t="s">
        <v>513</v>
      </c>
      <c r="C639" s="195" t="s">
        <v>514</v>
      </c>
      <c r="D639" s="196">
        <v>39525</v>
      </c>
      <c r="E639" s="14" t="s">
        <v>1859</v>
      </c>
      <c r="F639" s="184" t="str">
        <f>HYPERLINK("https://www.legacy.com/obituaries/santacruzsentinel/obituary.aspx?n=terry-edward-majan&amp;pid=106466787&amp;fhid=2408","38")</f>
        <v>38</v>
      </c>
      <c r="G639" s="14">
        <v>0</v>
      </c>
      <c r="H639" s="184">
        <v>0</v>
      </c>
      <c r="I639" s="184">
        <v>1</v>
      </c>
      <c r="J639" s="14" t="s">
        <v>1175</v>
      </c>
      <c r="K639" s="14"/>
      <c r="L639" s="85"/>
      <c r="M639" s="85"/>
      <c r="N639" s="85"/>
      <c r="O639" s="85"/>
      <c r="P639" s="85"/>
      <c r="Q639" s="85"/>
      <c r="R639" s="85"/>
      <c r="S639" s="85"/>
      <c r="T639" s="85"/>
      <c r="U639" s="85"/>
      <c r="V639" s="85"/>
      <c r="W639" s="85"/>
      <c r="X639" s="85"/>
      <c r="Y639" s="85"/>
      <c r="Z639" s="85"/>
    </row>
    <row r="640" spans="1:26" ht="15.75" customHeight="1">
      <c r="A640" s="197">
        <v>108</v>
      </c>
      <c r="B640" s="197" t="s">
        <v>517</v>
      </c>
      <c r="C640" s="197" t="s">
        <v>518</v>
      </c>
      <c r="D640" s="198">
        <v>39624</v>
      </c>
      <c r="E640" s="14" t="s">
        <v>1860</v>
      </c>
      <c r="F640" s="184">
        <v>28</v>
      </c>
      <c r="G640" s="14">
        <v>0</v>
      </c>
      <c r="H640" s="184">
        <v>2</v>
      </c>
      <c r="I640" s="14">
        <v>1</v>
      </c>
      <c r="J640" s="14" t="s">
        <v>1175</v>
      </c>
      <c r="K640" s="14"/>
      <c r="L640" s="85"/>
      <c r="M640" s="85"/>
      <c r="N640" s="85"/>
      <c r="O640" s="85"/>
      <c r="P640" s="85"/>
      <c r="Q640" s="85"/>
      <c r="R640" s="85"/>
      <c r="S640" s="85"/>
      <c r="T640" s="85"/>
      <c r="U640" s="85"/>
      <c r="V640" s="85"/>
      <c r="W640" s="85"/>
      <c r="X640" s="85"/>
      <c r="Y640" s="85"/>
      <c r="Z640" s="85"/>
    </row>
    <row r="641" spans="1:26" ht="15.75" customHeight="1">
      <c r="A641" s="197">
        <v>108</v>
      </c>
      <c r="B641" s="197" t="s">
        <v>517</v>
      </c>
      <c r="C641" s="197" t="s">
        <v>518</v>
      </c>
      <c r="D641" s="198">
        <v>39624</v>
      </c>
      <c r="E641" s="14" t="s">
        <v>1861</v>
      </c>
      <c r="F641" s="184">
        <v>25</v>
      </c>
      <c r="G641" s="14">
        <v>1</v>
      </c>
      <c r="H641" s="184">
        <v>2</v>
      </c>
      <c r="I641" s="14">
        <v>1</v>
      </c>
      <c r="J641" s="14" t="s">
        <v>1175</v>
      </c>
      <c r="K641" s="14"/>
      <c r="L641" s="85"/>
      <c r="M641" s="85"/>
      <c r="N641" s="85"/>
      <c r="O641" s="85"/>
      <c r="P641" s="85"/>
      <c r="Q641" s="85"/>
      <c r="R641" s="85"/>
      <c r="S641" s="85"/>
      <c r="T641" s="85"/>
      <c r="U641" s="85"/>
      <c r="V641" s="85"/>
      <c r="W641" s="85"/>
      <c r="X641" s="85"/>
      <c r="Y641" s="85"/>
      <c r="Z641" s="85"/>
    </row>
    <row r="642" spans="1:26" ht="15.75" customHeight="1">
      <c r="A642" s="197">
        <v>108</v>
      </c>
      <c r="B642" s="197" t="s">
        <v>517</v>
      </c>
      <c r="C642" s="197" t="s">
        <v>518</v>
      </c>
      <c r="D642" s="198">
        <v>39624</v>
      </c>
      <c r="E642" s="14" t="s">
        <v>1862</v>
      </c>
      <c r="F642" s="184">
        <v>29</v>
      </c>
      <c r="G642" s="14">
        <v>0</v>
      </c>
      <c r="H642" s="14"/>
      <c r="I642" s="14">
        <v>1</v>
      </c>
      <c r="J642" s="14" t="s">
        <v>1175</v>
      </c>
      <c r="K642" s="14"/>
      <c r="L642" s="85"/>
      <c r="M642" s="85"/>
      <c r="N642" s="85"/>
      <c r="O642" s="85"/>
      <c r="P642" s="85"/>
      <c r="Q642" s="85"/>
      <c r="R642" s="85"/>
      <c r="S642" s="85"/>
      <c r="T642" s="85"/>
      <c r="U642" s="85"/>
      <c r="V642" s="85"/>
      <c r="W642" s="85"/>
      <c r="X642" s="85"/>
      <c r="Y642" s="85"/>
      <c r="Z642" s="85"/>
    </row>
    <row r="643" spans="1:26" ht="15.75" customHeight="1">
      <c r="A643" s="197">
        <v>108</v>
      </c>
      <c r="B643" s="197" t="s">
        <v>517</v>
      </c>
      <c r="C643" s="197" t="s">
        <v>518</v>
      </c>
      <c r="D643" s="198">
        <v>39624</v>
      </c>
      <c r="E643" s="14" t="s">
        <v>1863</v>
      </c>
      <c r="F643" s="184">
        <v>30</v>
      </c>
      <c r="G643" s="14">
        <v>0</v>
      </c>
      <c r="H643" s="14"/>
      <c r="I643" s="14">
        <v>1</v>
      </c>
      <c r="J643" s="14" t="s">
        <v>1179</v>
      </c>
      <c r="K643" s="14"/>
      <c r="L643" s="85"/>
      <c r="M643" s="85"/>
      <c r="N643" s="85"/>
      <c r="O643" s="85"/>
      <c r="P643" s="85"/>
      <c r="Q643" s="85"/>
      <c r="R643" s="85"/>
      <c r="S643" s="85"/>
      <c r="T643" s="85"/>
      <c r="U643" s="85"/>
      <c r="V643" s="85"/>
      <c r="W643" s="85"/>
      <c r="X643" s="85"/>
      <c r="Y643" s="85"/>
      <c r="Z643" s="85"/>
    </row>
    <row r="644" spans="1:26" ht="15.75" customHeight="1">
      <c r="A644" s="197">
        <v>108</v>
      </c>
      <c r="B644" s="197" t="s">
        <v>517</v>
      </c>
      <c r="C644" s="197" t="s">
        <v>518</v>
      </c>
      <c r="D644" s="198">
        <v>39624</v>
      </c>
      <c r="E644" s="14" t="s">
        <v>1864</v>
      </c>
      <c r="F644" s="184">
        <v>26</v>
      </c>
      <c r="G644" s="14">
        <v>1</v>
      </c>
      <c r="H644" s="184">
        <v>2</v>
      </c>
      <c r="I644" s="14">
        <v>1</v>
      </c>
      <c r="J644" s="14" t="s">
        <v>1175</v>
      </c>
      <c r="K644" s="14"/>
      <c r="L644" s="85"/>
      <c r="M644" s="85"/>
      <c r="N644" s="85"/>
      <c r="O644" s="85"/>
      <c r="P644" s="85"/>
      <c r="Q644" s="85"/>
      <c r="R644" s="85"/>
      <c r="S644" s="85"/>
      <c r="T644" s="85"/>
      <c r="U644" s="85"/>
      <c r="V644" s="85"/>
      <c r="W644" s="85"/>
      <c r="X644" s="85"/>
      <c r="Y644" s="85"/>
      <c r="Z644" s="85"/>
    </row>
    <row r="645" spans="1:26" ht="15.75" customHeight="1">
      <c r="A645" s="207">
        <v>109</v>
      </c>
      <c r="B645" s="207" t="s">
        <v>520</v>
      </c>
      <c r="C645" s="207" t="s">
        <v>521</v>
      </c>
      <c r="D645" s="208">
        <v>39693</v>
      </c>
      <c r="E645" s="14" t="s">
        <v>1865</v>
      </c>
      <c r="F645" s="184">
        <v>47</v>
      </c>
      <c r="G645" s="14">
        <v>1</v>
      </c>
      <c r="H645" s="184" t="str">
        <f>HYPERLINK("https://www.findagrave.com/memorial/29645639/julie-ann-binschus","0")</f>
        <v>0</v>
      </c>
      <c r="I645" s="14">
        <v>1</v>
      </c>
      <c r="J645" s="14" t="s">
        <v>1182</v>
      </c>
      <c r="K645" s="14"/>
      <c r="L645" s="85"/>
      <c r="M645" s="85"/>
      <c r="N645" s="85"/>
      <c r="O645" s="85"/>
      <c r="P645" s="85"/>
      <c r="Q645" s="85"/>
      <c r="R645" s="85"/>
      <c r="S645" s="85"/>
      <c r="T645" s="85"/>
      <c r="U645" s="85"/>
      <c r="V645" s="85"/>
      <c r="W645" s="85"/>
      <c r="X645" s="85"/>
      <c r="Y645" s="85"/>
      <c r="Z645" s="85"/>
    </row>
    <row r="646" spans="1:26" ht="15.75" customHeight="1">
      <c r="A646" s="207">
        <v>109</v>
      </c>
      <c r="B646" s="207" t="s">
        <v>520</v>
      </c>
      <c r="C646" s="207" t="s">
        <v>521</v>
      </c>
      <c r="D646" s="208">
        <v>39693</v>
      </c>
      <c r="E646" s="14" t="s">
        <v>1866</v>
      </c>
      <c r="F646" s="184">
        <v>38</v>
      </c>
      <c r="G646" s="14">
        <v>0</v>
      </c>
      <c r="H646" s="184" t="str">
        <f>HYPERLINK("https://www.findagrave.com/memorial/29615325/greg-n-gillum","0")</f>
        <v>0</v>
      </c>
      <c r="I646" s="14">
        <v>0</v>
      </c>
      <c r="J646" s="14" t="s">
        <v>100</v>
      </c>
      <c r="K646" s="14"/>
      <c r="L646" s="85"/>
      <c r="M646" s="85"/>
      <c r="N646" s="85"/>
      <c r="O646" s="85"/>
      <c r="P646" s="85"/>
      <c r="Q646" s="85"/>
      <c r="R646" s="85"/>
      <c r="S646" s="85"/>
      <c r="T646" s="85"/>
      <c r="U646" s="85"/>
      <c r="V646" s="85"/>
      <c r="W646" s="85"/>
      <c r="X646" s="85"/>
      <c r="Y646" s="85"/>
      <c r="Z646" s="85"/>
    </row>
    <row r="647" spans="1:26" ht="15.75" customHeight="1">
      <c r="A647" s="207">
        <v>109</v>
      </c>
      <c r="B647" s="207" t="s">
        <v>520</v>
      </c>
      <c r="C647" s="207" t="s">
        <v>521</v>
      </c>
      <c r="D647" s="208">
        <v>39693</v>
      </c>
      <c r="E647" s="14" t="s">
        <v>1867</v>
      </c>
      <c r="F647" s="184">
        <v>40</v>
      </c>
      <c r="G647" s="14">
        <v>1</v>
      </c>
      <c r="H647" s="184">
        <v>0</v>
      </c>
      <c r="I647" s="184">
        <v>1</v>
      </c>
      <c r="J647" s="14" t="s">
        <v>1868</v>
      </c>
      <c r="K647" s="14"/>
      <c r="L647" s="85"/>
      <c r="M647" s="85"/>
      <c r="N647" s="85"/>
      <c r="O647" s="85"/>
      <c r="P647" s="85"/>
      <c r="Q647" s="85"/>
      <c r="R647" s="85"/>
      <c r="S647" s="85"/>
      <c r="T647" s="85"/>
      <c r="U647" s="85"/>
      <c r="V647" s="85"/>
      <c r="W647" s="85"/>
      <c r="X647" s="85"/>
      <c r="Y647" s="85"/>
      <c r="Z647" s="85"/>
    </row>
    <row r="648" spans="1:26" ht="15.75" customHeight="1">
      <c r="A648" s="207">
        <v>109</v>
      </c>
      <c r="B648" s="207" t="s">
        <v>520</v>
      </c>
      <c r="C648" s="207" t="s">
        <v>521</v>
      </c>
      <c r="D648" s="208">
        <v>39693</v>
      </c>
      <c r="E648" s="14" t="s">
        <v>1869</v>
      </c>
      <c r="F648" s="184">
        <v>64</v>
      </c>
      <c r="G648" s="14">
        <v>0</v>
      </c>
      <c r="H648" s="184" t="str">
        <f>HYPERLINK("https://www.findagrave.com/memorial/29579499/leroy-b-lange","0")</f>
        <v>0</v>
      </c>
      <c r="I648" s="14">
        <v>0</v>
      </c>
      <c r="J648" s="14" t="s">
        <v>100</v>
      </c>
      <c r="K648" s="14"/>
      <c r="L648" s="85"/>
      <c r="M648" s="85"/>
      <c r="N648" s="85"/>
      <c r="O648" s="85"/>
      <c r="P648" s="85"/>
      <c r="Q648" s="85"/>
      <c r="R648" s="85"/>
      <c r="S648" s="85"/>
      <c r="T648" s="85"/>
      <c r="U648" s="85"/>
      <c r="V648" s="85"/>
      <c r="W648" s="85"/>
      <c r="X648" s="85"/>
      <c r="Y648" s="85"/>
      <c r="Z648" s="85"/>
    </row>
    <row r="649" spans="1:26" ht="15.75" customHeight="1">
      <c r="A649" s="207">
        <v>109</v>
      </c>
      <c r="B649" s="207" t="s">
        <v>520</v>
      </c>
      <c r="C649" s="207" t="s">
        <v>521</v>
      </c>
      <c r="D649" s="208">
        <v>39693</v>
      </c>
      <c r="E649" s="14" t="s">
        <v>1870</v>
      </c>
      <c r="F649" s="184">
        <v>57</v>
      </c>
      <c r="G649" s="14">
        <v>0</v>
      </c>
      <c r="H649" s="184">
        <v>0</v>
      </c>
      <c r="I649" s="14">
        <v>0</v>
      </c>
      <c r="J649" s="14" t="s">
        <v>100</v>
      </c>
      <c r="K649" s="14"/>
      <c r="L649" s="85"/>
      <c r="M649" s="85"/>
      <c r="N649" s="85"/>
      <c r="O649" s="85"/>
      <c r="P649" s="85"/>
      <c r="Q649" s="85"/>
      <c r="R649" s="85"/>
      <c r="S649" s="85"/>
      <c r="T649" s="85"/>
      <c r="U649" s="85"/>
      <c r="V649" s="85"/>
      <c r="W649" s="85"/>
      <c r="X649" s="85"/>
      <c r="Y649" s="85"/>
      <c r="Z649" s="85"/>
    </row>
    <row r="650" spans="1:26" ht="15.75" customHeight="1">
      <c r="A650" s="207">
        <v>109</v>
      </c>
      <c r="B650" s="207" t="s">
        <v>520</v>
      </c>
      <c r="C650" s="207" t="s">
        <v>521</v>
      </c>
      <c r="D650" s="208">
        <v>39693</v>
      </c>
      <c r="E650" s="14" t="s">
        <v>1871</v>
      </c>
      <c r="F650" s="184">
        <v>58</v>
      </c>
      <c r="G650" s="14">
        <v>0</v>
      </c>
      <c r="H650" s="184" t="str">
        <f>HYPERLINK("https://www.findagrave.com/memorial/29710071/chester-rose","0")</f>
        <v>0</v>
      </c>
      <c r="I650" s="14">
        <v>1</v>
      </c>
      <c r="J650" s="14" t="s">
        <v>1182</v>
      </c>
      <c r="K650" s="14"/>
      <c r="L650" s="85"/>
      <c r="M650" s="85"/>
      <c r="N650" s="85"/>
      <c r="O650" s="85"/>
      <c r="P650" s="85"/>
      <c r="Q650" s="85"/>
      <c r="R650" s="85"/>
      <c r="S650" s="85"/>
      <c r="T650" s="85"/>
      <c r="U650" s="85"/>
      <c r="V650" s="85"/>
      <c r="W650" s="85"/>
      <c r="X650" s="85"/>
      <c r="Y650" s="85"/>
      <c r="Z650" s="85"/>
    </row>
    <row r="651" spans="1:26" ht="15.75" customHeight="1">
      <c r="A651" s="199">
        <v>110</v>
      </c>
      <c r="B651" s="199" t="s">
        <v>524</v>
      </c>
      <c r="C651" s="199" t="s">
        <v>102</v>
      </c>
      <c r="D651" s="200">
        <v>39901</v>
      </c>
      <c r="E651" s="14" t="s">
        <v>1872</v>
      </c>
      <c r="F651" s="184">
        <v>39</v>
      </c>
      <c r="G651" s="14">
        <v>0</v>
      </c>
      <c r="H651" s="184">
        <v>3</v>
      </c>
      <c r="I651" s="14">
        <v>0</v>
      </c>
      <c r="J651" s="14" t="s">
        <v>100</v>
      </c>
      <c r="K651" s="14"/>
      <c r="L651" s="85"/>
      <c r="M651" s="85"/>
      <c r="N651" s="85"/>
      <c r="O651" s="85"/>
      <c r="P651" s="85"/>
      <c r="Q651" s="85"/>
      <c r="R651" s="85"/>
      <c r="S651" s="85"/>
      <c r="T651" s="85"/>
      <c r="U651" s="85"/>
      <c r="V651" s="85"/>
      <c r="W651" s="85"/>
      <c r="X651" s="85"/>
      <c r="Y651" s="85"/>
      <c r="Z651" s="85"/>
    </row>
    <row r="652" spans="1:26" ht="15.75" customHeight="1">
      <c r="A652" s="199">
        <v>110</v>
      </c>
      <c r="B652" s="199" t="s">
        <v>524</v>
      </c>
      <c r="C652" s="199" t="s">
        <v>102</v>
      </c>
      <c r="D652" s="200">
        <v>39901</v>
      </c>
      <c r="E652" s="14" t="s">
        <v>1873</v>
      </c>
      <c r="F652" s="184">
        <v>98</v>
      </c>
      <c r="G652" s="14">
        <v>1</v>
      </c>
      <c r="H652" s="184">
        <v>0</v>
      </c>
      <c r="I652" s="14">
        <v>0</v>
      </c>
      <c r="J652" s="14" t="s">
        <v>100</v>
      </c>
      <c r="K652" s="14"/>
      <c r="L652" s="85"/>
      <c r="M652" s="85"/>
      <c r="N652" s="85"/>
      <c r="O652" s="85"/>
      <c r="P652" s="85"/>
      <c r="Q652" s="85"/>
      <c r="R652" s="85"/>
      <c r="S652" s="85"/>
      <c r="T652" s="85"/>
      <c r="U652" s="85"/>
      <c r="V652" s="85"/>
      <c r="W652" s="85"/>
      <c r="X652" s="85"/>
      <c r="Y652" s="85"/>
      <c r="Z652" s="85"/>
    </row>
    <row r="653" spans="1:26" ht="15.75" customHeight="1">
      <c r="A653" s="199">
        <v>110</v>
      </c>
      <c r="B653" s="199" t="s">
        <v>524</v>
      </c>
      <c r="C653" s="199" t="s">
        <v>102</v>
      </c>
      <c r="D653" s="200">
        <v>39901</v>
      </c>
      <c r="E653" s="14" t="s">
        <v>1874</v>
      </c>
      <c r="F653" s="184">
        <v>89</v>
      </c>
      <c r="G653" s="14">
        <v>1</v>
      </c>
      <c r="H653" s="184">
        <v>0</v>
      </c>
      <c r="I653" s="14">
        <v>0</v>
      </c>
      <c r="J653" s="14" t="s">
        <v>100</v>
      </c>
      <c r="K653" s="14"/>
      <c r="L653" s="85"/>
      <c r="M653" s="85"/>
      <c r="N653" s="85"/>
      <c r="O653" s="85"/>
      <c r="P653" s="85"/>
      <c r="Q653" s="85"/>
      <c r="R653" s="85"/>
      <c r="S653" s="85"/>
      <c r="T653" s="85"/>
      <c r="U653" s="85"/>
      <c r="V653" s="85"/>
      <c r="W653" s="85"/>
      <c r="X653" s="85"/>
      <c r="Y653" s="85"/>
      <c r="Z653" s="85"/>
    </row>
    <row r="654" spans="1:26" ht="15.75" customHeight="1">
      <c r="A654" s="199">
        <v>110</v>
      </c>
      <c r="B654" s="199" t="s">
        <v>524</v>
      </c>
      <c r="C654" s="199" t="s">
        <v>102</v>
      </c>
      <c r="D654" s="200">
        <v>39901</v>
      </c>
      <c r="E654" s="14" t="s">
        <v>1875</v>
      </c>
      <c r="F654" s="184">
        <v>88</v>
      </c>
      <c r="G654" s="14">
        <v>1</v>
      </c>
      <c r="H654" s="14"/>
      <c r="I654" s="14">
        <v>0</v>
      </c>
      <c r="J654" s="14" t="s">
        <v>100</v>
      </c>
      <c r="K654" s="14"/>
      <c r="L654" s="85"/>
      <c r="M654" s="85"/>
      <c r="N654" s="85"/>
      <c r="O654" s="85"/>
      <c r="P654" s="85"/>
      <c r="Q654" s="85"/>
      <c r="R654" s="85"/>
      <c r="S654" s="85"/>
      <c r="T654" s="85"/>
      <c r="U654" s="85"/>
      <c r="V654" s="85"/>
      <c r="W654" s="85"/>
      <c r="X654" s="85"/>
      <c r="Y654" s="85"/>
      <c r="Z654" s="85"/>
    </row>
    <row r="655" spans="1:26" ht="15.75" customHeight="1">
      <c r="A655" s="199">
        <v>110</v>
      </c>
      <c r="B655" s="199" t="s">
        <v>524</v>
      </c>
      <c r="C655" s="199" t="s">
        <v>102</v>
      </c>
      <c r="D655" s="200">
        <v>39901</v>
      </c>
      <c r="E655" s="14" t="s">
        <v>1876</v>
      </c>
      <c r="F655" s="184">
        <v>78</v>
      </c>
      <c r="G655" s="14">
        <v>0</v>
      </c>
      <c r="H655" s="184" t="str">
        <f>HYPERLINK("https://www.findagrave.com/memorial/35340404/john-walter-goldston","0")</f>
        <v>0</v>
      </c>
      <c r="I655" s="14">
        <v>0</v>
      </c>
      <c r="J655" s="14" t="s">
        <v>100</v>
      </c>
      <c r="K655" s="14"/>
      <c r="L655" s="85"/>
      <c r="M655" s="85"/>
      <c r="N655" s="85"/>
      <c r="O655" s="85"/>
      <c r="P655" s="85"/>
      <c r="Q655" s="85"/>
      <c r="R655" s="85"/>
      <c r="S655" s="85"/>
      <c r="T655" s="85"/>
      <c r="U655" s="85"/>
      <c r="V655" s="85"/>
      <c r="W655" s="85"/>
      <c r="X655" s="85"/>
      <c r="Y655" s="85"/>
      <c r="Z655" s="85"/>
    </row>
    <row r="656" spans="1:26" ht="15.75" customHeight="1">
      <c r="A656" s="199">
        <v>110</v>
      </c>
      <c r="B656" s="199" t="s">
        <v>524</v>
      </c>
      <c r="C656" s="199" t="s">
        <v>102</v>
      </c>
      <c r="D656" s="200">
        <v>39901</v>
      </c>
      <c r="E656" s="14" t="s">
        <v>1877</v>
      </c>
      <c r="F656" s="184">
        <v>78</v>
      </c>
      <c r="G656" s="14">
        <v>1</v>
      </c>
      <c r="H656" s="184">
        <v>0</v>
      </c>
      <c r="I656" s="14">
        <v>0</v>
      </c>
      <c r="J656" s="14" t="s">
        <v>100</v>
      </c>
      <c r="K656" s="14"/>
      <c r="L656" s="85"/>
      <c r="M656" s="85"/>
      <c r="N656" s="85"/>
      <c r="O656" s="85"/>
      <c r="P656" s="85"/>
      <c r="Q656" s="85"/>
      <c r="R656" s="85"/>
      <c r="S656" s="85"/>
      <c r="T656" s="85"/>
      <c r="U656" s="85"/>
      <c r="V656" s="85"/>
      <c r="W656" s="85"/>
      <c r="X656" s="85"/>
      <c r="Y656" s="85"/>
      <c r="Z656" s="85"/>
    </row>
    <row r="657" spans="1:26" ht="15.75" customHeight="1">
      <c r="A657" s="199">
        <v>110</v>
      </c>
      <c r="B657" s="199" t="s">
        <v>524</v>
      </c>
      <c r="C657" s="199" t="s">
        <v>102</v>
      </c>
      <c r="D657" s="200">
        <v>39901</v>
      </c>
      <c r="E657" s="14" t="s">
        <v>1878</v>
      </c>
      <c r="F657" s="184">
        <v>89</v>
      </c>
      <c r="G657" s="14">
        <v>1</v>
      </c>
      <c r="H657" s="14"/>
      <c r="I657" s="14">
        <v>0</v>
      </c>
      <c r="J657" s="14" t="s">
        <v>100</v>
      </c>
      <c r="K657" s="14"/>
      <c r="L657" s="85"/>
      <c r="M657" s="85"/>
      <c r="N657" s="85"/>
      <c r="O657" s="85"/>
      <c r="P657" s="85"/>
      <c r="Q657" s="85"/>
      <c r="R657" s="85"/>
      <c r="S657" s="85"/>
      <c r="T657" s="85"/>
      <c r="U657" s="85"/>
      <c r="V657" s="85"/>
      <c r="W657" s="85"/>
      <c r="X657" s="85"/>
      <c r="Y657" s="85"/>
      <c r="Z657" s="85"/>
    </row>
    <row r="658" spans="1:26" ht="15.75" customHeight="1">
      <c r="A658" s="199">
        <v>110</v>
      </c>
      <c r="B658" s="199" t="s">
        <v>524</v>
      </c>
      <c r="C658" s="199" t="s">
        <v>102</v>
      </c>
      <c r="D658" s="200">
        <v>39901</v>
      </c>
      <c r="E658" s="14" t="s">
        <v>1879</v>
      </c>
      <c r="F658" s="184">
        <v>88</v>
      </c>
      <c r="G658" s="14">
        <v>0</v>
      </c>
      <c r="H658" s="184">
        <v>0</v>
      </c>
      <c r="I658" s="14">
        <v>0</v>
      </c>
      <c r="J658" s="325" t="s">
        <v>100</v>
      </c>
      <c r="K658" s="14"/>
      <c r="L658" s="85"/>
      <c r="M658" s="85"/>
      <c r="N658" s="85"/>
      <c r="O658" s="85"/>
      <c r="P658" s="85"/>
      <c r="Q658" s="85"/>
      <c r="R658" s="85"/>
      <c r="S658" s="85"/>
      <c r="T658" s="85"/>
      <c r="U658" s="85"/>
      <c r="V658" s="85"/>
      <c r="W658" s="85"/>
      <c r="X658" s="85"/>
      <c r="Y658" s="85"/>
      <c r="Z658" s="85"/>
    </row>
    <row r="659" spans="1:26" ht="15.75" customHeight="1">
      <c r="A659" s="205">
        <v>111</v>
      </c>
      <c r="B659" s="205" t="s">
        <v>527</v>
      </c>
      <c r="C659" s="205" t="s">
        <v>528</v>
      </c>
      <c r="D659" s="206">
        <v>39906</v>
      </c>
      <c r="E659" s="14" t="s">
        <v>1880</v>
      </c>
      <c r="F659" s="184">
        <v>26</v>
      </c>
      <c r="G659" s="14">
        <v>1</v>
      </c>
      <c r="H659" s="184">
        <v>4</v>
      </c>
      <c r="I659" s="323">
        <v>1</v>
      </c>
      <c r="J659" s="48" t="s">
        <v>1881</v>
      </c>
      <c r="K659" s="324"/>
      <c r="L659" s="85"/>
      <c r="M659" s="85"/>
      <c r="N659" s="85"/>
      <c r="O659" s="85"/>
      <c r="P659" s="85"/>
      <c r="Q659" s="85"/>
      <c r="R659" s="85"/>
      <c r="S659" s="85"/>
      <c r="T659" s="85"/>
      <c r="U659" s="85"/>
      <c r="V659" s="85"/>
      <c r="W659" s="85"/>
      <c r="X659" s="85"/>
      <c r="Y659" s="85"/>
      <c r="Z659" s="85"/>
    </row>
    <row r="660" spans="1:26" ht="15.75" customHeight="1">
      <c r="A660" s="205">
        <v>111</v>
      </c>
      <c r="B660" s="205" t="s">
        <v>527</v>
      </c>
      <c r="C660" s="205" t="s">
        <v>528</v>
      </c>
      <c r="D660" s="206">
        <v>39906</v>
      </c>
      <c r="E660" s="14" t="s">
        <v>1882</v>
      </c>
      <c r="F660" s="184">
        <v>43</v>
      </c>
      <c r="G660" s="14">
        <v>0</v>
      </c>
      <c r="H660" s="184">
        <v>2</v>
      </c>
      <c r="I660" s="323">
        <v>1</v>
      </c>
      <c r="J660" s="48" t="s">
        <v>1881</v>
      </c>
      <c r="K660" s="327"/>
      <c r="L660" s="85"/>
      <c r="M660" s="85"/>
      <c r="N660" s="85"/>
      <c r="O660" s="85"/>
      <c r="P660" s="85"/>
      <c r="Q660" s="85"/>
      <c r="R660" s="85"/>
      <c r="S660" s="85"/>
      <c r="T660" s="85"/>
      <c r="U660" s="85"/>
      <c r="V660" s="85"/>
      <c r="W660" s="85"/>
      <c r="X660" s="85"/>
      <c r="Y660" s="85"/>
      <c r="Z660" s="85"/>
    </row>
    <row r="661" spans="1:26" ht="15.75" customHeight="1">
      <c r="A661" s="205">
        <v>111</v>
      </c>
      <c r="B661" s="205" t="s">
        <v>527</v>
      </c>
      <c r="C661" s="205" t="s">
        <v>528</v>
      </c>
      <c r="D661" s="206">
        <v>39906</v>
      </c>
      <c r="E661" s="14" t="s">
        <v>1883</v>
      </c>
      <c r="F661" s="184">
        <v>46</v>
      </c>
      <c r="G661" s="14">
        <v>1</v>
      </c>
      <c r="H661" s="184">
        <v>1</v>
      </c>
      <c r="I661" s="323">
        <v>1</v>
      </c>
      <c r="J661" s="48" t="s">
        <v>1884</v>
      </c>
      <c r="K661" s="48"/>
      <c r="L661" s="326"/>
      <c r="M661" s="85"/>
      <c r="N661" s="85"/>
      <c r="O661" s="85"/>
      <c r="P661" s="85"/>
      <c r="Q661" s="85"/>
      <c r="R661" s="85"/>
      <c r="S661" s="85"/>
      <c r="T661" s="85"/>
      <c r="U661" s="85"/>
      <c r="V661" s="85"/>
      <c r="W661" s="85"/>
      <c r="X661" s="85"/>
      <c r="Y661" s="85"/>
      <c r="Z661" s="85"/>
    </row>
    <row r="662" spans="1:26" ht="15.75" customHeight="1">
      <c r="A662" s="205">
        <v>111</v>
      </c>
      <c r="B662" s="205" t="s">
        <v>527</v>
      </c>
      <c r="C662" s="205" t="s">
        <v>528</v>
      </c>
      <c r="D662" s="206">
        <v>39906</v>
      </c>
      <c r="E662" s="14" t="s">
        <v>1885</v>
      </c>
      <c r="F662" s="184">
        <v>44</v>
      </c>
      <c r="G662" s="14">
        <v>0</v>
      </c>
      <c r="H662" s="184">
        <v>1</v>
      </c>
      <c r="I662" s="323">
        <v>1</v>
      </c>
      <c r="J662" s="48" t="s">
        <v>1881</v>
      </c>
      <c r="K662" s="328"/>
      <c r="L662" s="85"/>
      <c r="M662" s="85"/>
      <c r="N662" s="85"/>
      <c r="O662" s="85"/>
      <c r="P662" s="85"/>
      <c r="Q662" s="85"/>
      <c r="R662" s="85"/>
      <c r="S662" s="85"/>
      <c r="T662" s="85"/>
      <c r="U662" s="85"/>
      <c r="V662" s="85"/>
      <c r="W662" s="85"/>
      <c r="X662" s="85"/>
      <c r="Y662" s="85"/>
      <c r="Z662" s="85"/>
    </row>
    <row r="663" spans="1:26" ht="15.75" customHeight="1">
      <c r="A663" s="205">
        <v>111</v>
      </c>
      <c r="B663" s="205" t="s">
        <v>527</v>
      </c>
      <c r="C663" s="205" t="s">
        <v>528</v>
      </c>
      <c r="D663" s="206">
        <v>39906</v>
      </c>
      <c r="E663" s="14" t="s">
        <v>1886</v>
      </c>
      <c r="F663" s="184">
        <v>47</v>
      </c>
      <c r="G663" s="14">
        <v>1</v>
      </c>
      <c r="H663" s="184">
        <v>3</v>
      </c>
      <c r="I663" s="323">
        <v>1</v>
      </c>
      <c r="J663" s="48" t="s">
        <v>1881</v>
      </c>
      <c r="K663" s="324"/>
      <c r="L663" s="85"/>
      <c r="M663" s="85"/>
      <c r="N663" s="85"/>
      <c r="O663" s="85"/>
      <c r="P663" s="85"/>
      <c r="Q663" s="85"/>
      <c r="R663" s="85"/>
      <c r="S663" s="85"/>
      <c r="T663" s="85"/>
      <c r="U663" s="85"/>
      <c r="V663" s="85"/>
      <c r="W663" s="85"/>
      <c r="X663" s="85"/>
      <c r="Y663" s="85"/>
      <c r="Z663" s="85"/>
    </row>
    <row r="664" spans="1:26" ht="15.75" customHeight="1">
      <c r="A664" s="205">
        <v>111</v>
      </c>
      <c r="B664" s="205" t="s">
        <v>527</v>
      </c>
      <c r="C664" s="205" t="s">
        <v>528</v>
      </c>
      <c r="D664" s="206">
        <v>39906</v>
      </c>
      <c r="E664" s="14" t="s">
        <v>1887</v>
      </c>
      <c r="F664" s="184">
        <v>39</v>
      </c>
      <c r="G664" s="14">
        <v>1</v>
      </c>
      <c r="H664" s="184">
        <v>3</v>
      </c>
      <c r="I664" s="323">
        <v>1</v>
      </c>
      <c r="J664" s="48" t="s">
        <v>1888</v>
      </c>
      <c r="K664" s="324"/>
      <c r="L664" s="85"/>
      <c r="M664" s="85"/>
      <c r="N664" s="85"/>
      <c r="O664" s="85"/>
      <c r="P664" s="85"/>
      <c r="Q664" s="85"/>
      <c r="R664" s="85"/>
      <c r="S664" s="85"/>
      <c r="T664" s="85"/>
      <c r="U664" s="85"/>
      <c r="V664" s="85"/>
      <c r="W664" s="85"/>
      <c r="X664" s="85"/>
      <c r="Y664" s="85"/>
      <c r="Z664" s="85"/>
    </row>
    <row r="665" spans="1:26" ht="15.75" customHeight="1">
      <c r="A665" s="205">
        <v>111</v>
      </c>
      <c r="B665" s="205" t="s">
        <v>527</v>
      </c>
      <c r="C665" s="205" t="s">
        <v>528</v>
      </c>
      <c r="D665" s="206">
        <v>39906</v>
      </c>
      <c r="E665" s="14" t="s">
        <v>1889</v>
      </c>
      <c r="F665" s="184">
        <v>57</v>
      </c>
      <c r="G665" s="14">
        <v>1</v>
      </c>
      <c r="H665" s="184">
        <v>4</v>
      </c>
      <c r="I665" s="184">
        <v>0</v>
      </c>
      <c r="J665" s="185" t="s">
        <v>100</v>
      </c>
      <c r="K665" s="14"/>
      <c r="L665" s="85"/>
      <c r="M665" s="85"/>
      <c r="N665" s="85"/>
      <c r="O665" s="85"/>
      <c r="P665" s="85"/>
      <c r="Q665" s="85"/>
      <c r="R665" s="85"/>
      <c r="S665" s="85"/>
      <c r="T665" s="85"/>
      <c r="U665" s="85"/>
      <c r="V665" s="85"/>
      <c r="W665" s="85"/>
      <c r="X665" s="85"/>
      <c r="Y665" s="85"/>
      <c r="Z665" s="85"/>
    </row>
    <row r="666" spans="1:26" ht="15.75" customHeight="1">
      <c r="A666" s="205">
        <v>111</v>
      </c>
      <c r="B666" s="205" t="s">
        <v>527</v>
      </c>
      <c r="C666" s="205" t="s">
        <v>528</v>
      </c>
      <c r="D666" s="206">
        <v>39906</v>
      </c>
      <c r="E666" s="14" t="s">
        <v>1890</v>
      </c>
      <c r="F666" s="184">
        <v>72</v>
      </c>
      <c r="G666" s="14">
        <v>1</v>
      </c>
      <c r="H666" s="184">
        <v>0</v>
      </c>
      <c r="I666" s="184">
        <v>2</v>
      </c>
      <c r="J666" s="14" t="s">
        <v>1891</v>
      </c>
      <c r="K666" s="14"/>
      <c r="L666" s="85"/>
      <c r="M666" s="85"/>
      <c r="N666" s="85"/>
      <c r="O666" s="85"/>
      <c r="P666" s="85"/>
      <c r="Q666" s="85"/>
      <c r="R666" s="85"/>
      <c r="S666" s="85"/>
      <c r="T666" s="85"/>
      <c r="U666" s="85"/>
      <c r="V666" s="85"/>
      <c r="W666" s="85"/>
      <c r="X666" s="85"/>
      <c r="Y666" s="85"/>
      <c r="Z666" s="85"/>
    </row>
    <row r="667" spans="1:26" ht="15.75" customHeight="1">
      <c r="A667" s="205">
        <v>111</v>
      </c>
      <c r="B667" s="205" t="s">
        <v>527</v>
      </c>
      <c r="C667" s="205" t="s">
        <v>528</v>
      </c>
      <c r="D667" s="206">
        <v>39906</v>
      </c>
      <c r="E667" s="14" t="s">
        <v>1892</v>
      </c>
      <c r="F667" s="184">
        <v>22</v>
      </c>
      <c r="G667" s="14">
        <v>1</v>
      </c>
      <c r="H667" s="184">
        <v>3</v>
      </c>
      <c r="I667" s="184">
        <v>1</v>
      </c>
      <c r="J667" s="14" t="s">
        <v>1881</v>
      </c>
      <c r="K667" s="14"/>
      <c r="L667" s="85"/>
      <c r="M667" s="85"/>
      <c r="N667" s="85"/>
      <c r="O667" s="85"/>
      <c r="P667" s="85"/>
      <c r="Q667" s="85"/>
      <c r="R667" s="85"/>
      <c r="S667" s="85"/>
      <c r="T667" s="85"/>
      <c r="U667" s="85"/>
      <c r="V667" s="85"/>
      <c r="W667" s="85"/>
      <c r="X667" s="85"/>
      <c r="Y667" s="85"/>
      <c r="Z667" s="85"/>
    </row>
    <row r="668" spans="1:26" ht="15.75" customHeight="1">
      <c r="A668" s="205">
        <v>111</v>
      </c>
      <c r="B668" s="205" t="s">
        <v>527</v>
      </c>
      <c r="C668" s="205" t="s">
        <v>528</v>
      </c>
      <c r="D668" s="206">
        <v>39906</v>
      </c>
      <c r="E668" s="14" t="s">
        <v>1893</v>
      </c>
      <c r="F668" s="184">
        <v>35</v>
      </c>
      <c r="G668" s="14">
        <v>1</v>
      </c>
      <c r="H668" s="184">
        <v>3</v>
      </c>
      <c r="I668" s="184">
        <v>1</v>
      </c>
      <c r="J668" s="185" t="s">
        <v>1881</v>
      </c>
      <c r="K668" s="14"/>
      <c r="L668" s="85"/>
      <c r="M668" s="85"/>
      <c r="N668" s="85"/>
      <c r="O668" s="85"/>
      <c r="P668" s="85"/>
      <c r="Q668" s="85"/>
      <c r="R668" s="85"/>
      <c r="S668" s="85"/>
      <c r="T668" s="85"/>
      <c r="U668" s="85"/>
      <c r="V668" s="85"/>
      <c r="W668" s="85"/>
      <c r="X668" s="85"/>
      <c r="Y668" s="85"/>
      <c r="Z668" s="85"/>
    </row>
    <row r="669" spans="1:26" ht="15.75" customHeight="1">
      <c r="A669" s="205">
        <v>111</v>
      </c>
      <c r="B669" s="205" t="s">
        <v>527</v>
      </c>
      <c r="C669" s="205" t="s">
        <v>528</v>
      </c>
      <c r="D669" s="206">
        <v>39906</v>
      </c>
      <c r="E669" s="14" t="s">
        <v>1894</v>
      </c>
      <c r="F669" s="184">
        <v>53</v>
      </c>
      <c r="G669" s="14">
        <v>1</v>
      </c>
      <c r="H669" s="184">
        <v>3</v>
      </c>
      <c r="I669" s="184">
        <v>1</v>
      </c>
      <c r="J669" s="185" t="s">
        <v>1881</v>
      </c>
      <c r="K669" s="14"/>
      <c r="L669" s="85"/>
      <c r="M669" s="85"/>
      <c r="N669" s="85"/>
      <c r="O669" s="85"/>
      <c r="P669" s="85"/>
      <c r="Q669" s="85"/>
      <c r="R669" s="85"/>
      <c r="S669" s="85"/>
      <c r="T669" s="85"/>
      <c r="U669" s="85"/>
      <c r="V669" s="85"/>
      <c r="W669" s="85"/>
      <c r="X669" s="85"/>
      <c r="Y669" s="85"/>
      <c r="Z669" s="85"/>
    </row>
    <row r="670" spans="1:26" ht="15.75" customHeight="1">
      <c r="A670" s="205">
        <v>111</v>
      </c>
      <c r="B670" s="205" t="s">
        <v>527</v>
      </c>
      <c r="C670" s="205" t="s">
        <v>528</v>
      </c>
      <c r="D670" s="206">
        <v>39906</v>
      </c>
      <c r="E670" s="14" t="s">
        <v>1895</v>
      </c>
      <c r="F670" s="184">
        <v>54</v>
      </c>
      <c r="G670" s="14">
        <v>1</v>
      </c>
      <c r="H670" s="184">
        <v>3</v>
      </c>
      <c r="I670" s="184">
        <v>1</v>
      </c>
      <c r="J670" s="185" t="s">
        <v>1881</v>
      </c>
      <c r="K670" s="14"/>
      <c r="L670" s="85"/>
      <c r="M670" s="85"/>
      <c r="N670" s="85"/>
      <c r="O670" s="85"/>
      <c r="P670" s="85"/>
      <c r="Q670" s="85"/>
      <c r="R670" s="85"/>
      <c r="S670" s="85"/>
      <c r="T670" s="85"/>
      <c r="U670" s="85"/>
      <c r="V670" s="85"/>
      <c r="W670" s="85"/>
      <c r="X670" s="85"/>
      <c r="Y670" s="85"/>
      <c r="Z670" s="85"/>
    </row>
    <row r="671" spans="1:26" ht="15.75" customHeight="1">
      <c r="A671" s="205">
        <v>111</v>
      </c>
      <c r="B671" s="205" t="s">
        <v>527</v>
      </c>
      <c r="C671" s="205" t="s">
        <v>528</v>
      </c>
      <c r="D671" s="206">
        <v>39906</v>
      </c>
      <c r="E671" s="14" t="s">
        <v>1896</v>
      </c>
      <c r="F671" s="184">
        <v>60</v>
      </c>
      <c r="G671" s="14">
        <v>1</v>
      </c>
      <c r="H671" s="184">
        <v>0</v>
      </c>
      <c r="I671" s="184">
        <v>2</v>
      </c>
      <c r="J671" s="185" t="s">
        <v>1891</v>
      </c>
      <c r="K671" s="14"/>
      <c r="L671" s="85"/>
      <c r="M671" s="85"/>
      <c r="N671" s="85"/>
      <c r="O671" s="85"/>
      <c r="P671" s="85"/>
      <c r="Q671" s="85"/>
      <c r="R671" s="85"/>
      <c r="S671" s="85"/>
      <c r="T671" s="85"/>
      <c r="U671" s="85"/>
      <c r="V671" s="85"/>
      <c r="W671" s="85"/>
      <c r="X671" s="85"/>
      <c r="Y671" s="85"/>
      <c r="Z671" s="85"/>
    </row>
    <row r="672" spans="1:26" ht="15.75" customHeight="1">
      <c r="A672" s="191">
        <v>112</v>
      </c>
      <c r="B672" s="191" t="s">
        <v>532</v>
      </c>
      <c r="C672" s="191" t="s">
        <v>533</v>
      </c>
      <c r="D672" s="192">
        <v>40118</v>
      </c>
      <c r="E672" s="14" t="s">
        <v>1897</v>
      </c>
      <c r="F672" s="184">
        <v>21</v>
      </c>
      <c r="G672" s="14">
        <v>0</v>
      </c>
      <c r="H672" s="14">
        <v>2</v>
      </c>
      <c r="I672" s="14">
        <v>1</v>
      </c>
      <c r="J672" s="14" t="s">
        <v>1898</v>
      </c>
      <c r="K672" s="14"/>
      <c r="L672" s="85"/>
      <c r="M672" s="85"/>
      <c r="N672" s="85"/>
      <c r="O672" s="85"/>
      <c r="P672" s="85"/>
      <c r="Q672" s="85"/>
      <c r="R672" s="85"/>
      <c r="S672" s="85"/>
      <c r="T672" s="85"/>
      <c r="U672" s="85"/>
      <c r="V672" s="85"/>
      <c r="W672" s="85"/>
      <c r="X672" s="85"/>
      <c r="Y672" s="85"/>
      <c r="Z672" s="85"/>
    </row>
    <row r="673" spans="1:26" ht="15.75" customHeight="1">
      <c r="A673" s="191">
        <v>112</v>
      </c>
      <c r="B673" s="191" t="s">
        <v>532</v>
      </c>
      <c r="C673" s="191" t="s">
        <v>533</v>
      </c>
      <c r="D673" s="192">
        <v>40118</v>
      </c>
      <c r="E673" s="14" t="s">
        <v>1899</v>
      </c>
      <c r="F673" s="184">
        <v>26</v>
      </c>
      <c r="G673" s="14">
        <v>0</v>
      </c>
      <c r="H673" s="14">
        <v>2</v>
      </c>
      <c r="I673" s="14">
        <v>1</v>
      </c>
      <c r="J673" s="14" t="s">
        <v>1898</v>
      </c>
      <c r="K673" s="14"/>
      <c r="L673" s="85"/>
      <c r="M673" s="85"/>
      <c r="N673" s="85"/>
      <c r="O673" s="85"/>
      <c r="P673" s="85"/>
      <c r="Q673" s="85"/>
      <c r="R673" s="85"/>
      <c r="S673" s="85"/>
      <c r="T673" s="85"/>
      <c r="U673" s="85"/>
      <c r="V673" s="85"/>
      <c r="W673" s="85"/>
      <c r="X673" s="85"/>
      <c r="Y673" s="85"/>
      <c r="Z673" s="85"/>
    </row>
    <row r="674" spans="1:26" ht="15.75" customHeight="1">
      <c r="A674" s="191">
        <v>112</v>
      </c>
      <c r="B674" s="191" t="s">
        <v>532</v>
      </c>
      <c r="C674" s="191" t="s">
        <v>533</v>
      </c>
      <c r="D674" s="192">
        <v>40118</v>
      </c>
      <c r="E674" s="14" t="s">
        <v>1900</v>
      </c>
      <c r="F674" s="184">
        <v>22</v>
      </c>
      <c r="G674" s="14">
        <v>0</v>
      </c>
      <c r="H674" s="14">
        <v>2</v>
      </c>
      <c r="I674" s="14">
        <v>1</v>
      </c>
      <c r="J674" s="14" t="s">
        <v>1898</v>
      </c>
      <c r="K674" s="14"/>
      <c r="L674" s="85"/>
      <c r="M674" s="85"/>
      <c r="N674" s="85"/>
      <c r="O674" s="85"/>
      <c r="P674" s="85"/>
      <c r="Q674" s="85"/>
      <c r="R674" s="85"/>
      <c r="S674" s="85"/>
      <c r="T674" s="85"/>
      <c r="U674" s="85"/>
      <c r="V674" s="85"/>
      <c r="W674" s="85"/>
      <c r="X674" s="85"/>
      <c r="Y674" s="85"/>
      <c r="Z674" s="85"/>
    </row>
    <row r="675" spans="1:26" ht="15.75" customHeight="1">
      <c r="A675" s="191">
        <v>112</v>
      </c>
      <c r="B675" s="191" t="s">
        <v>532</v>
      </c>
      <c r="C675" s="191" t="s">
        <v>533</v>
      </c>
      <c r="D675" s="192">
        <v>40118</v>
      </c>
      <c r="E675" s="14" t="s">
        <v>1901</v>
      </c>
      <c r="F675" s="184">
        <v>21</v>
      </c>
      <c r="G675" s="14">
        <v>0</v>
      </c>
      <c r="H675" s="14">
        <v>2</v>
      </c>
      <c r="I675" s="14">
        <v>1</v>
      </c>
      <c r="J675" s="14" t="s">
        <v>1898</v>
      </c>
      <c r="K675" s="14"/>
      <c r="L675" s="85"/>
      <c r="M675" s="85"/>
      <c r="N675" s="85"/>
      <c r="O675" s="85"/>
      <c r="P675" s="85"/>
      <c r="Q675" s="85"/>
      <c r="R675" s="85"/>
      <c r="S675" s="85"/>
      <c r="T675" s="85"/>
      <c r="U675" s="85"/>
      <c r="V675" s="85"/>
      <c r="W675" s="85"/>
      <c r="X675" s="85"/>
      <c r="Y675" s="85"/>
      <c r="Z675" s="85"/>
    </row>
    <row r="676" spans="1:26" ht="15.75" customHeight="1">
      <c r="A676" s="193">
        <v>113</v>
      </c>
      <c r="B676" s="193" t="s">
        <v>536</v>
      </c>
      <c r="C676" s="193" t="s">
        <v>537</v>
      </c>
      <c r="D676" s="194">
        <v>40122</v>
      </c>
      <c r="E676" s="14" t="s">
        <v>1902</v>
      </c>
      <c r="F676" s="184">
        <v>62</v>
      </c>
      <c r="G676" s="14">
        <v>0</v>
      </c>
      <c r="H676" s="14">
        <v>0</v>
      </c>
      <c r="I676" s="14">
        <v>2</v>
      </c>
      <c r="J676" s="14" t="s">
        <v>1903</v>
      </c>
      <c r="K676" s="14"/>
      <c r="L676" s="85"/>
      <c r="M676" s="85"/>
      <c r="N676" s="85"/>
      <c r="O676" s="85"/>
      <c r="P676" s="85"/>
      <c r="Q676" s="85"/>
      <c r="R676" s="85"/>
      <c r="S676" s="85"/>
      <c r="T676" s="85"/>
      <c r="U676" s="85"/>
      <c r="V676" s="85"/>
      <c r="W676" s="85"/>
      <c r="X676" s="85"/>
      <c r="Y676" s="85"/>
      <c r="Z676" s="85"/>
    </row>
    <row r="677" spans="1:26" ht="15.75" customHeight="1">
      <c r="A677" s="193">
        <v>113</v>
      </c>
      <c r="B677" s="193" t="s">
        <v>536</v>
      </c>
      <c r="C677" s="193" t="s">
        <v>537</v>
      </c>
      <c r="D677" s="194">
        <v>40122</v>
      </c>
      <c r="E677" s="14" t="s">
        <v>1904</v>
      </c>
      <c r="F677" s="184">
        <v>52</v>
      </c>
      <c r="G677" s="14">
        <v>0</v>
      </c>
      <c r="H677" s="14">
        <v>2</v>
      </c>
      <c r="I677" s="14">
        <v>0</v>
      </c>
      <c r="J677" s="14" t="s">
        <v>1905</v>
      </c>
      <c r="K677" s="14"/>
      <c r="L677" s="85"/>
      <c r="M677" s="85"/>
      <c r="N677" s="85"/>
      <c r="O677" s="85"/>
      <c r="P677" s="85"/>
      <c r="Q677" s="85"/>
      <c r="R677" s="85"/>
      <c r="S677" s="85"/>
      <c r="T677" s="85"/>
      <c r="U677" s="85"/>
      <c r="V677" s="85"/>
      <c r="W677" s="85"/>
      <c r="X677" s="85"/>
      <c r="Y677" s="85"/>
      <c r="Z677" s="85"/>
    </row>
    <row r="678" spans="1:26" ht="15.75" customHeight="1">
      <c r="A678" s="193">
        <v>113</v>
      </c>
      <c r="B678" s="193" t="s">
        <v>536</v>
      </c>
      <c r="C678" s="193" t="s">
        <v>537</v>
      </c>
      <c r="D678" s="194">
        <v>40122</v>
      </c>
      <c r="E678" s="14" t="s">
        <v>1906</v>
      </c>
      <c r="F678" s="184">
        <v>32</v>
      </c>
      <c r="G678" s="14">
        <v>0</v>
      </c>
      <c r="H678" s="14">
        <v>0</v>
      </c>
      <c r="I678" s="14">
        <v>2</v>
      </c>
      <c r="J678" s="14" t="s">
        <v>1907</v>
      </c>
      <c r="K678" s="14"/>
      <c r="L678" s="85"/>
      <c r="M678" s="85"/>
      <c r="N678" s="85"/>
      <c r="O678" s="85"/>
      <c r="P678" s="85"/>
      <c r="Q678" s="85"/>
      <c r="R678" s="85"/>
      <c r="S678" s="85"/>
      <c r="T678" s="85"/>
      <c r="U678" s="85"/>
      <c r="V678" s="85"/>
      <c r="W678" s="85"/>
      <c r="X678" s="85"/>
      <c r="Y678" s="85"/>
      <c r="Z678" s="85"/>
    </row>
    <row r="679" spans="1:26" ht="15.75" customHeight="1">
      <c r="A679" s="193">
        <v>113</v>
      </c>
      <c r="B679" s="193" t="s">
        <v>536</v>
      </c>
      <c r="C679" s="193" t="s">
        <v>537</v>
      </c>
      <c r="D679" s="194">
        <v>40122</v>
      </c>
      <c r="E679" s="14" t="s">
        <v>1908</v>
      </c>
      <c r="F679" s="184">
        <v>56</v>
      </c>
      <c r="G679" s="14">
        <v>0</v>
      </c>
      <c r="H679" s="184">
        <v>0</v>
      </c>
      <c r="I679" s="14">
        <v>0</v>
      </c>
      <c r="J679" s="14" t="s">
        <v>1905</v>
      </c>
      <c r="K679" s="14"/>
      <c r="L679" s="85"/>
      <c r="M679" s="85"/>
      <c r="N679" s="85"/>
      <c r="O679" s="85"/>
      <c r="P679" s="85"/>
      <c r="Q679" s="85"/>
      <c r="R679" s="85"/>
      <c r="S679" s="85"/>
      <c r="T679" s="85"/>
      <c r="U679" s="85"/>
      <c r="V679" s="85"/>
      <c r="W679" s="85"/>
      <c r="X679" s="85"/>
      <c r="Y679" s="85"/>
      <c r="Z679" s="85"/>
    </row>
    <row r="680" spans="1:26" ht="15.75" customHeight="1">
      <c r="A680" s="193">
        <v>113</v>
      </c>
      <c r="B680" s="193" t="s">
        <v>536</v>
      </c>
      <c r="C680" s="193" t="s">
        <v>537</v>
      </c>
      <c r="D680" s="194">
        <v>40122</v>
      </c>
      <c r="E680" s="14" t="s">
        <v>1909</v>
      </c>
      <c r="F680" s="184">
        <v>29</v>
      </c>
      <c r="G680" s="14">
        <v>0</v>
      </c>
      <c r="H680" s="14">
        <v>0</v>
      </c>
      <c r="I680" s="14">
        <v>2</v>
      </c>
      <c r="J680" s="14" t="s">
        <v>1907</v>
      </c>
      <c r="K680" s="14"/>
      <c r="L680" s="85"/>
      <c r="M680" s="85"/>
      <c r="N680" s="85"/>
      <c r="O680" s="85"/>
      <c r="P680" s="85"/>
      <c r="Q680" s="85"/>
      <c r="R680" s="85"/>
      <c r="S680" s="85"/>
      <c r="T680" s="85"/>
      <c r="U680" s="85"/>
      <c r="V680" s="85"/>
      <c r="W680" s="85"/>
      <c r="X680" s="85"/>
      <c r="Y680" s="85"/>
      <c r="Z680" s="85"/>
    </row>
    <row r="681" spans="1:26" ht="15.75" customHeight="1">
      <c r="A681" s="193">
        <v>113</v>
      </c>
      <c r="B681" s="193" t="s">
        <v>536</v>
      </c>
      <c r="C681" s="193" t="s">
        <v>537</v>
      </c>
      <c r="D681" s="194">
        <v>40122</v>
      </c>
      <c r="E681" s="14" t="s">
        <v>1910</v>
      </c>
      <c r="F681" s="184">
        <v>22</v>
      </c>
      <c r="G681" s="14">
        <v>0</v>
      </c>
      <c r="H681" s="14">
        <v>0</v>
      </c>
      <c r="I681" s="14">
        <v>2</v>
      </c>
      <c r="J681" s="14" t="s">
        <v>1907</v>
      </c>
      <c r="K681" s="14"/>
      <c r="L681" s="85"/>
      <c r="M681" s="85"/>
      <c r="N681" s="85"/>
      <c r="O681" s="85"/>
      <c r="P681" s="85"/>
      <c r="Q681" s="85"/>
      <c r="R681" s="85"/>
      <c r="S681" s="85"/>
      <c r="T681" s="85"/>
      <c r="U681" s="85"/>
      <c r="V681" s="85"/>
      <c r="W681" s="85"/>
      <c r="X681" s="85"/>
      <c r="Y681" s="85"/>
      <c r="Z681" s="85"/>
    </row>
    <row r="682" spans="1:26" ht="15.75" customHeight="1">
      <c r="A682" s="193">
        <v>113</v>
      </c>
      <c r="B682" s="193" t="s">
        <v>536</v>
      </c>
      <c r="C682" s="193" t="s">
        <v>537</v>
      </c>
      <c r="D682" s="194">
        <v>40122</v>
      </c>
      <c r="E682" s="14" t="s">
        <v>1911</v>
      </c>
      <c r="F682" s="184">
        <v>29</v>
      </c>
      <c r="G682" s="14">
        <v>1</v>
      </c>
      <c r="H682" s="14">
        <v>0</v>
      </c>
      <c r="I682" s="14">
        <v>0</v>
      </c>
      <c r="J682" s="14" t="s">
        <v>1912</v>
      </c>
      <c r="K682" s="14"/>
      <c r="L682" s="85"/>
      <c r="M682" s="85"/>
      <c r="N682" s="85"/>
      <c r="O682" s="85"/>
      <c r="P682" s="85"/>
      <c r="Q682" s="85"/>
      <c r="R682" s="85"/>
      <c r="S682" s="85"/>
      <c r="T682" s="85"/>
      <c r="U682" s="85"/>
      <c r="V682" s="85"/>
      <c r="W682" s="85"/>
      <c r="X682" s="85"/>
      <c r="Y682" s="85"/>
      <c r="Z682" s="85"/>
    </row>
    <row r="683" spans="1:26" ht="15.75" customHeight="1">
      <c r="A683" s="193">
        <v>113</v>
      </c>
      <c r="B683" s="193" t="s">
        <v>536</v>
      </c>
      <c r="C683" s="193" t="s">
        <v>537</v>
      </c>
      <c r="D683" s="194">
        <v>40122</v>
      </c>
      <c r="E683" s="14" t="s">
        <v>1913</v>
      </c>
      <c r="F683" s="184">
        <v>19</v>
      </c>
      <c r="G683" s="14">
        <v>0</v>
      </c>
      <c r="H683" s="14">
        <v>0</v>
      </c>
      <c r="I683" s="14">
        <v>2</v>
      </c>
      <c r="J683" s="14" t="s">
        <v>1907</v>
      </c>
      <c r="K683" s="14"/>
      <c r="L683" s="85"/>
      <c r="M683" s="85"/>
      <c r="N683" s="85"/>
      <c r="O683" s="85"/>
      <c r="P683" s="85"/>
      <c r="Q683" s="85"/>
      <c r="R683" s="85"/>
      <c r="S683" s="85"/>
      <c r="T683" s="85"/>
      <c r="U683" s="85"/>
      <c r="V683" s="85"/>
      <c r="W683" s="85"/>
      <c r="X683" s="85"/>
      <c r="Y683" s="85"/>
      <c r="Z683" s="85"/>
    </row>
    <row r="684" spans="1:26" ht="15.75" customHeight="1">
      <c r="A684" s="193">
        <v>113</v>
      </c>
      <c r="B684" s="193" t="s">
        <v>536</v>
      </c>
      <c r="C684" s="193" t="s">
        <v>537</v>
      </c>
      <c r="D684" s="194">
        <v>40122</v>
      </c>
      <c r="E684" s="14" t="s">
        <v>1914</v>
      </c>
      <c r="F684" s="184">
        <v>22</v>
      </c>
      <c r="G684" s="14">
        <v>0</v>
      </c>
      <c r="H684" s="14">
        <v>0</v>
      </c>
      <c r="I684" s="14">
        <v>2</v>
      </c>
      <c r="J684" s="14" t="s">
        <v>1907</v>
      </c>
      <c r="K684" s="14"/>
      <c r="L684" s="85"/>
      <c r="M684" s="85"/>
      <c r="N684" s="85"/>
      <c r="O684" s="85"/>
      <c r="P684" s="85"/>
      <c r="Q684" s="85"/>
      <c r="R684" s="85"/>
      <c r="S684" s="85"/>
      <c r="T684" s="85"/>
      <c r="U684" s="85"/>
      <c r="V684" s="85"/>
      <c r="W684" s="85"/>
      <c r="X684" s="85"/>
      <c r="Y684" s="85"/>
      <c r="Z684" s="85"/>
    </row>
    <row r="685" spans="1:26" ht="15.75" customHeight="1">
      <c r="A685" s="193">
        <v>113</v>
      </c>
      <c r="B685" s="193" t="s">
        <v>536</v>
      </c>
      <c r="C685" s="193" t="s">
        <v>537</v>
      </c>
      <c r="D685" s="194">
        <v>40122</v>
      </c>
      <c r="E685" s="14" t="s">
        <v>1915</v>
      </c>
      <c r="F685" s="184">
        <v>51</v>
      </c>
      <c r="G685" s="14">
        <v>0</v>
      </c>
      <c r="H685" s="14">
        <v>0</v>
      </c>
      <c r="I685" s="14">
        <v>2</v>
      </c>
      <c r="J685" s="14" t="s">
        <v>1916</v>
      </c>
      <c r="K685" s="14"/>
      <c r="L685" s="85"/>
      <c r="M685" s="85"/>
      <c r="N685" s="85"/>
      <c r="O685" s="85"/>
      <c r="P685" s="85"/>
      <c r="Q685" s="85"/>
      <c r="R685" s="85"/>
      <c r="S685" s="85"/>
      <c r="T685" s="85"/>
      <c r="U685" s="85"/>
      <c r="V685" s="85"/>
      <c r="W685" s="85"/>
      <c r="X685" s="85"/>
      <c r="Y685" s="85"/>
      <c r="Z685" s="85"/>
    </row>
    <row r="686" spans="1:26" ht="15.75" customHeight="1">
      <c r="A686" s="193">
        <v>113</v>
      </c>
      <c r="B686" s="193" t="s">
        <v>536</v>
      </c>
      <c r="C686" s="193" t="s">
        <v>537</v>
      </c>
      <c r="D686" s="194">
        <v>40122</v>
      </c>
      <c r="E686" s="14" t="s">
        <v>1917</v>
      </c>
      <c r="F686" s="184">
        <v>21</v>
      </c>
      <c r="G686" s="14">
        <v>1</v>
      </c>
      <c r="H686" s="14">
        <v>2</v>
      </c>
      <c r="I686" s="14">
        <v>2</v>
      </c>
      <c r="J686" s="14" t="s">
        <v>1907</v>
      </c>
      <c r="K686" s="14"/>
      <c r="L686" s="85"/>
      <c r="M686" s="85"/>
      <c r="N686" s="85"/>
      <c r="O686" s="85"/>
      <c r="P686" s="85"/>
      <c r="Q686" s="85"/>
      <c r="R686" s="85"/>
      <c r="S686" s="85"/>
      <c r="T686" s="85"/>
      <c r="U686" s="85"/>
      <c r="V686" s="85"/>
      <c r="W686" s="85"/>
      <c r="X686" s="85"/>
      <c r="Y686" s="85"/>
      <c r="Z686" s="85"/>
    </row>
    <row r="687" spans="1:26" ht="15.75" customHeight="1">
      <c r="A687" s="193">
        <v>113</v>
      </c>
      <c r="B687" s="193" t="s">
        <v>536</v>
      </c>
      <c r="C687" s="193" t="s">
        <v>537</v>
      </c>
      <c r="D687" s="194">
        <v>40122</v>
      </c>
      <c r="E687" s="14" t="s">
        <v>1918</v>
      </c>
      <c r="F687" s="184">
        <v>55</v>
      </c>
      <c r="G687" s="14">
        <v>1</v>
      </c>
      <c r="H687" s="14">
        <v>0</v>
      </c>
      <c r="I687" s="14">
        <v>2</v>
      </c>
      <c r="J687" s="14" t="s">
        <v>1903</v>
      </c>
      <c r="K687" s="14"/>
      <c r="L687" s="85"/>
      <c r="M687" s="85"/>
      <c r="N687" s="85"/>
      <c r="O687" s="85"/>
      <c r="P687" s="85"/>
      <c r="Q687" s="85"/>
      <c r="R687" s="85"/>
      <c r="S687" s="85"/>
      <c r="T687" s="85"/>
      <c r="U687" s="85"/>
      <c r="V687" s="85"/>
      <c r="W687" s="85"/>
      <c r="X687" s="85"/>
      <c r="Y687" s="85"/>
      <c r="Z687" s="85"/>
    </row>
    <row r="688" spans="1:26" ht="15.75" customHeight="1">
      <c r="A688" s="193">
        <v>113</v>
      </c>
      <c r="B688" s="193" t="s">
        <v>536</v>
      </c>
      <c r="C688" s="193" t="s">
        <v>537</v>
      </c>
      <c r="D688" s="194">
        <v>40122</v>
      </c>
      <c r="E688" s="14" t="s">
        <v>1919</v>
      </c>
      <c r="F688" s="184">
        <v>23</v>
      </c>
      <c r="G688" s="14">
        <v>1</v>
      </c>
      <c r="H688" s="14">
        <v>3</v>
      </c>
      <c r="I688" s="14">
        <v>2</v>
      </c>
      <c r="J688" s="14" t="s">
        <v>1907</v>
      </c>
      <c r="K688" s="14"/>
      <c r="L688" s="85"/>
      <c r="M688" s="85"/>
      <c r="N688" s="85"/>
      <c r="O688" s="85"/>
      <c r="P688" s="85"/>
      <c r="Q688" s="85"/>
      <c r="R688" s="85"/>
      <c r="S688" s="85"/>
      <c r="T688" s="85"/>
      <c r="U688" s="85"/>
      <c r="V688" s="85"/>
      <c r="W688" s="85"/>
      <c r="X688" s="85"/>
      <c r="Y688" s="85"/>
      <c r="Z688" s="85"/>
    </row>
    <row r="689" spans="1:26" ht="15.75" customHeight="1">
      <c r="A689" s="195">
        <v>114</v>
      </c>
      <c r="B689" s="195" t="s">
        <v>540</v>
      </c>
      <c r="C689" s="195" t="s">
        <v>541</v>
      </c>
      <c r="D689" s="196">
        <v>40146</v>
      </c>
      <c r="E689" s="14" t="s">
        <v>1920</v>
      </c>
      <c r="F689" s="184">
        <v>40</v>
      </c>
      <c r="G689" s="14">
        <v>1</v>
      </c>
      <c r="H689" s="14">
        <v>0</v>
      </c>
      <c r="I689" s="14">
        <v>0</v>
      </c>
      <c r="J689" s="14" t="s">
        <v>100</v>
      </c>
      <c r="K689" s="14"/>
      <c r="L689" s="85"/>
      <c r="M689" s="85"/>
      <c r="N689" s="85"/>
      <c r="O689" s="85"/>
      <c r="P689" s="85"/>
      <c r="Q689" s="85"/>
      <c r="R689" s="85"/>
      <c r="S689" s="85"/>
      <c r="T689" s="85"/>
      <c r="U689" s="85"/>
      <c r="V689" s="85"/>
      <c r="W689" s="85"/>
      <c r="X689" s="85"/>
      <c r="Y689" s="85"/>
      <c r="Z689" s="85"/>
    </row>
    <row r="690" spans="1:26" ht="15.75" customHeight="1">
      <c r="A690" s="195">
        <v>114</v>
      </c>
      <c r="B690" s="195" t="s">
        <v>540</v>
      </c>
      <c r="C690" s="195" t="s">
        <v>541</v>
      </c>
      <c r="D690" s="196">
        <v>40146</v>
      </c>
      <c r="E690" s="14" t="s">
        <v>1921</v>
      </c>
      <c r="F690" s="184">
        <v>37</v>
      </c>
      <c r="G690" s="14">
        <v>0</v>
      </c>
      <c r="H690" s="14">
        <v>0</v>
      </c>
      <c r="I690" s="14">
        <v>0</v>
      </c>
      <c r="J690" s="14" t="s">
        <v>100</v>
      </c>
      <c r="K690" s="14"/>
      <c r="L690" s="85"/>
      <c r="M690" s="85"/>
      <c r="N690" s="85"/>
      <c r="O690" s="85"/>
      <c r="P690" s="85"/>
      <c r="Q690" s="85"/>
      <c r="R690" s="85"/>
      <c r="S690" s="85"/>
      <c r="T690" s="85"/>
      <c r="U690" s="85"/>
      <c r="V690" s="85"/>
      <c r="W690" s="85"/>
      <c r="X690" s="85"/>
      <c r="Y690" s="85"/>
      <c r="Z690" s="85"/>
    </row>
    <row r="691" spans="1:26" ht="15.75" customHeight="1">
      <c r="A691" s="195">
        <v>114</v>
      </c>
      <c r="B691" s="195" t="s">
        <v>540</v>
      </c>
      <c r="C691" s="195" t="s">
        <v>541</v>
      </c>
      <c r="D691" s="196">
        <v>40146</v>
      </c>
      <c r="E691" s="14" t="s">
        <v>1922</v>
      </c>
      <c r="F691" s="184">
        <v>39</v>
      </c>
      <c r="G691" s="14">
        <v>0</v>
      </c>
      <c r="H691" s="14">
        <v>0</v>
      </c>
      <c r="I691" s="14">
        <v>0</v>
      </c>
      <c r="J691" s="14" t="s">
        <v>100</v>
      </c>
      <c r="K691" s="14"/>
      <c r="L691" s="85"/>
      <c r="M691" s="85"/>
      <c r="N691" s="85"/>
      <c r="O691" s="85"/>
      <c r="P691" s="85"/>
      <c r="Q691" s="85"/>
      <c r="R691" s="85"/>
      <c r="S691" s="85"/>
      <c r="T691" s="85"/>
      <c r="U691" s="85"/>
      <c r="V691" s="85"/>
      <c r="W691" s="85"/>
      <c r="X691" s="85"/>
      <c r="Y691" s="85"/>
      <c r="Z691" s="85"/>
    </row>
    <row r="692" spans="1:26" ht="15.75" customHeight="1">
      <c r="A692" s="195">
        <v>114</v>
      </c>
      <c r="B692" s="195" t="s">
        <v>540</v>
      </c>
      <c r="C692" s="195" t="s">
        <v>541</v>
      </c>
      <c r="D692" s="196">
        <v>40146</v>
      </c>
      <c r="E692" s="14" t="s">
        <v>1923</v>
      </c>
      <c r="F692" s="184">
        <v>42</v>
      </c>
      <c r="G692" s="14">
        <v>0</v>
      </c>
      <c r="H692" s="14">
        <v>0</v>
      </c>
      <c r="I692" s="14">
        <v>0</v>
      </c>
      <c r="J692" s="14" t="s">
        <v>100</v>
      </c>
      <c r="K692" s="14"/>
      <c r="L692" s="85"/>
      <c r="M692" s="85"/>
      <c r="N692" s="85"/>
      <c r="O692" s="85"/>
      <c r="P692" s="85"/>
      <c r="Q692" s="85"/>
      <c r="R692" s="85"/>
      <c r="S692" s="85"/>
      <c r="T692" s="85"/>
      <c r="U692" s="85"/>
      <c r="V692" s="85"/>
      <c r="W692" s="85"/>
      <c r="X692" s="85"/>
      <c r="Y692" s="85"/>
      <c r="Z692" s="85"/>
    </row>
    <row r="693" spans="1:26" ht="15.75" customHeight="1">
      <c r="A693" s="197">
        <v>115</v>
      </c>
      <c r="B693" s="197" t="s">
        <v>544</v>
      </c>
      <c r="C693" s="197" t="s">
        <v>545</v>
      </c>
      <c r="D693" s="198">
        <v>40271</v>
      </c>
      <c r="E693" s="14" t="s">
        <v>1924</v>
      </c>
      <c r="F693" s="184">
        <v>28</v>
      </c>
      <c r="G693" s="14">
        <v>0</v>
      </c>
      <c r="H693" s="184">
        <v>3</v>
      </c>
      <c r="I693" s="14">
        <v>1</v>
      </c>
      <c r="J693" s="14" t="s">
        <v>1535</v>
      </c>
      <c r="K693" s="14"/>
      <c r="L693" s="85"/>
      <c r="M693" s="85"/>
      <c r="N693" s="85"/>
      <c r="O693" s="85"/>
      <c r="P693" s="85"/>
      <c r="Q693" s="85"/>
      <c r="R693" s="85"/>
      <c r="S693" s="85"/>
      <c r="T693" s="85"/>
      <c r="U693" s="85"/>
      <c r="V693" s="85"/>
      <c r="W693" s="85"/>
      <c r="X693" s="85"/>
      <c r="Y693" s="85"/>
      <c r="Z693" s="85"/>
    </row>
    <row r="694" spans="1:26" ht="15.75" customHeight="1">
      <c r="A694" s="197">
        <v>115</v>
      </c>
      <c r="B694" s="197" t="s">
        <v>544</v>
      </c>
      <c r="C694" s="197" t="s">
        <v>545</v>
      </c>
      <c r="D694" s="198">
        <v>40271</v>
      </c>
      <c r="E694" s="14" t="s">
        <v>1925</v>
      </c>
      <c r="F694" s="184">
        <v>26</v>
      </c>
      <c r="G694" s="14">
        <v>0</v>
      </c>
      <c r="H694" s="184">
        <v>3</v>
      </c>
      <c r="I694" s="14">
        <v>1</v>
      </c>
      <c r="J694" s="14" t="s">
        <v>1535</v>
      </c>
      <c r="K694" s="14"/>
      <c r="L694" s="85"/>
      <c r="M694" s="85"/>
      <c r="N694" s="85"/>
      <c r="O694" s="85"/>
      <c r="P694" s="85"/>
      <c r="Q694" s="85"/>
      <c r="R694" s="85"/>
      <c r="S694" s="85"/>
      <c r="T694" s="85"/>
      <c r="U694" s="85"/>
      <c r="V694" s="85"/>
      <c r="W694" s="85"/>
      <c r="X694" s="85"/>
      <c r="Y694" s="85"/>
      <c r="Z694" s="85"/>
    </row>
    <row r="695" spans="1:26" ht="15.75" customHeight="1">
      <c r="A695" s="197">
        <v>115</v>
      </c>
      <c r="B695" s="197" t="s">
        <v>544</v>
      </c>
      <c r="C695" s="197" t="s">
        <v>545</v>
      </c>
      <c r="D695" s="198">
        <v>40271</v>
      </c>
      <c r="E695" s="14" t="s">
        <v>1926</v>
      </c>
      <c r="F695" s="184">
        <v>31</v>
      </c>
      <c r="G695" s="14">
        <v>0</v>
      </c>
      <c r="H695" s="184">
        <v>3</v>
      </c>
      <c r="I695" s="14">
        <v>1</v>
      </c>
      <c r="J695" s="14" t="s">
        <v>1535</v>
      </c>
      <c r="K695" s="14"/>
      <c r="L695" s="85"/>
      <c r="M695" s="85"/>
      <c r="N695" s="85"/>
      <c r="O695" s="85"/>
      <c r="P695" s="85"/>
      <c r="Q695" s="85"/>
      <c r="R695" s="85"/>
      <c r="S695" s="85"/>
      <c r="T695" s="85"/>
      <c r="U695" s="85"/>
      <c r="V695" s="85"/>
      <c r="W695" s="85"/>
      <c r="X695" s="85"/>
      <c r="Y695" s="85"/>
      <c r="Z695" s="85"/>
    </row>
    <row r="696" spans="1:26" ht="15.75" customHeight="1">
      <c r="A696" s="197">
        <v>115</v>
      </c>
      <c r="B696" s="197" t="s">
        <v>544</v>
      </c>
      <c r="C696" s="197" t="s">
        <v>545</v>
      </c>
      <c r="D696" s="198">
        <v>40271</v>
      </c>
      <c r="E696" s="14" t="s">
        <v>1927</v>
      </c>
      <c r="F696" s="184">
        <v>25</v>
      </c>
      <c r="G696" s="14">
        <v>0</v>
      </c>
      <c r="H696" s="184">
        <v>3</v>
      </c>
      <c r="I696" s="14">
        <v>1</v>
      </c>
      <c r="J696" s="14" t="s">
        <v>1535</v>
      </c>
      <c r="K696" s="14"/>
      <c r="L696" s="85"/>
      <c r="M696" s="85"/>
      <c r="N696" s="85"/>
      <c r="O696" s="85"/>
      <c r="P696" s="85"/>
      <c r="Q696" s="85"/>
      <c r="R696" s="85"/>
      <c r="S696" s="85"/>
      <c r="T696" s="85"/>
      <c r="U696" s="85"/>
      <c r="V696" s="85"/>
      <c r="W696" s="85"/>
      <c r="X696" s="85"/>
      <c r="Y696" s="85"/>
      <c r="Z696" s="85"/>
    </row>
    <row r="697" spans="1:26" ht="15.75" customHeight="1">
      <c r="A697" s="207">
        <v>116</v>
      </c>
      <c r="B697" s="207" t="s">
        <v>547</v>
      </c>
      <c r="C697" s="207" t="s">
        <v>548</v>
      </c>
      <c r="D697" s="208">
        <v>40335</v>
      </c>
      <c r="E697" s="14" t="s">
        <v>1928</v>
      </c>
      <c r="F697" s="184">
        <v>56</v>
      </c>
      <c r="G697" s="14">
        <v>1</v>
      </c>
      <c r="H697" s="14">
        <v>2</v>
      </c>
      <c r="I697" s="14">
        <v>0</v>
      </c>
      <c r="J697" s="14" t="s">
        <v>100</v>
      </c>
      <c r="K697" s="14"/>
      <c r="L697" s="85"/>
      <c r="M697" s="85"/>
      <c r="N697" s="85"/>
      <c r="O697" s="85"/>
      <c r="P697" s="85"/>
      <c r="Q697" s="85"/>
      <c r="R697" s="85"/>
      <c r="S697" s="85"/>
      <c r="T697" s="85"/>
      <c r="U697" s="85"/>
      <c r="V697" s="85"/>
      <c r="W697" s="85"/>
      <c r="X697" s="85"/>
      <c r="Y697" s="85"/>
      <c r="Z697" s="85"/>
    </row>
    <row r="698" spans="1:26" ht="15.75" customHeight="1">
      <c r="A698" s="207">
        <v>116</v>
      </c>
      <c r="B698" s="207" t="s">
        <v>547</v>
      </c>
      <c r="C698" s="207" t="s">
        <v>548</v>
      </c>
      <c r="D698" s="208">
        <v>40335</v>
      </c>
      <c r="E698" s="14" t="s">
        <v>1929</v>
      </c>
      <c r="F698" s="184">
        <v>32</v>
      </c>
      <c r="G698" s="14">
        <v>1</v>
      </c>
      <c r="H698" s="14">
        <v>2</v>
      </c>
      <c r="I698" s="14">
        <v>0</v>
      </c>
      <c r="J698" s="14" t="s">
        <v>100</v>
      </c>
      <c r="K698" s="14"/>
      <c r="L698" s="85"/>
      <c r="M698" s="85"/>
      <c r="N698" s="85"/>
      <c r="O698" s="85"/>
      <c r="P698" s="85"/>
      <c r="Q698" s="85"/>
      <c r="R698" s="85"/>
      <c r="S698" s="85"/>
      <c r="T698" s="85"/>
      <c r="U698" s="85"/>
      <c r="V698" s="85"/>
      <c r="W698" s="85"/>
      <c r="X698" s="85"/>
      <c r="Y698" s="85"/>
      <c r="Z698" s="85"/>
    </row>
    <row r="699" spans="1:26" ht="15.75" customHeight="1">
      <c r="A699" s="207">
        <v>116</v>
      </c>
      <c r="B699" s="207" t="s">
        <v>547</v>
      </c>
      <c r="C699" s="207" t="s">
        <v>548</v>
      </c>
      <c r="D699" s="208">
        <v>40335</v>
      </c>
      <c r="E699" s="14" t="s">
        <v>1930</v>
      </c>
      <c r="F699" s="184">
        <v>47</v>
      </c>
      <c r="G699" s="14">
        <v>1</v>
      </c>
      <c r="H699" s="14">
        <v>2</v>
      </c>
      <c r="I699" s="14">
        <v>0</v>
      </c>
      <c r="J699" s="14" t="s">
        <v>100</v>
      </c>
      <c r="K699" s="14"/>
      <c r="L699" s="85"/>
      <c r="M699" s="85"/>
      <c r="N699" s="85"/>
      <c r="O699" s="85"/>
      <c r="P699" s="85"/>
      <c r="Q699" s="85"/>
      <c r="R699" s="85"/>
      <c r="S699" s="85"/>
      <c r="T699" s="85"/>
      <c r="U699" s="85"/>
      <c r="V699" s="85"/>
      <c r="W699" s="85"/>
      <c r="X699" s="85"/>
      <c r="Y699" s="85"/>
      <c r="Z699" s="85"/>
    </row>
    <row r="700" spans="1:26" ht="15.75" customHeight="1">
      <c r="A700" s="207">
        <v>116</v>
      </c>
      <c r="B700" s="207" t="s">
        <v>547</v>
      </c>
      <c r="C700" s="207" t="s">
        <v>548</v>
      </c>
      <c r="D700" s="208">
        <v>40335</v>
      </c>
      <c r="E700" s="14" t="s">
        <v>1931</v>
      </c>
      <c r="F700" s="184">
        <v>24</v>
      </c>
      <c r="G700" s="14">
        <v>1</v>
      </c>
      <c r="H700" s="14">
        <v>2</v>
      </c>
      <c r="I700" s="14">
        <v>1</v>
      </c>
      <c r="J700" s="14" t="s">
        <v>1150</v>
      </c>
      <c r="K700" s="14"/>
      <c r="L700" s="85"/>
      <c r="M700" s="85"/>
      <c r="N700" s="85"/>
      <c r="O700" s="85"/>
      <c r="P700" s="85"/>
      <c r="Q700" s="85"/>
      <c r="R700" s="85"/>
      <c r="S700" s="85"/>
      <c r="T700" s="85"/>
      <c r="U700" s="85"/>
      <c r="V700" s="85"/>
      <c r="W700" s="85"/>
      <c r="X700" s="85"/>
      <c r="Y700" s="85"/>
      <c r="Z700" s="85"/>
    </row>
    <row r="701" spans="1:26" ht="15.75" customHeight="1">
      <c r="A701" s="199">
        <v>117</v>
      </c>
      <c r="B701" s="199" t="s">
        <v>507</v>
      </c>
      <c r="C701" s="199" t="s">
        <v>551</v>
      </c>
      <c r="D701" s="200">
        <v>40393</v>
      </c>
      <c r="E701" s="14" t="s">
        <v>1932</v>
      </c>
      <c r="F701" s="184">
        <v>51</v>
      </c>
      <c r="G701" s="14">
        <v>0</v>
      </c>
      <c r="H701" s="184">
        <v>0</v>
      </c>
      <c r="I701" s="14">
        <v>1</v>
      </c>
      <c r="J701" s="14" t="s">
        <v>1175</v>
      </c>
      <c r="K701" s="14"/>
      <c r="L701" s="85"/>
      <c r="M701" s="85"/>
      <c r="N701" s="85"/>
      <c r="O701" s="85"/>
      <c r="P701" s="85"/>
      <c r="Q701" s="85"/>
      <c r="R701" s="85"/>
      <c r="S701" s="85"/>
      <c r="T701" s="85"/>
      <c r="U701" s="85"/>
      <c r="V701" s="85"/>
      <c r="W701" s="85"/>
      <c r="X701" s="85"/>
      <c r="Y701" s="85"/>
      <c r="Z701" s="85"/>
    </row>
    <row r="702" spans="1:26" ht="15.75" customHeight="1">
      <c r="A702" s="199">
        <v>117</v>
      </c>
      <c r="B702" s="199" t="s">
        <v>507</v>
      </c>
      <c r="C702" s="199" t="s">
        <v>551</v>
      </c>
      <c r="D702" s="200">
        <v>40393</v>
      </c>
      <c r="E702" s="14" t="s">
        <v>1933</v>
      </c>
      <c r="F702" s="184">
        <v>51</v>
      </c>
      <c r="G702" s="14">
        <v>0</v>
      </c>
      <c r="H702" s="184">
        <v>0</v>
      </c>
      <c r="I702" s="14">
        <v>1</v>
      </c>
      <c r="J702" s="14" t="s">
        <v>1934</v>
      </c>
      <c r="K702" s="14"/>
      <c r="L702" s="85"/>
      <c r="M702" s="85"/>
      <c r="N702" s="85"/>
      <c r="O702" s="85"/>
      <c r="P702" s="85"/>
      <c r="Q702" s="85"/>
      <c r="R702" s="85"/>
      <c r="S702" s="85"/>
      <c r="T702" s="85"/>
      <c r="U702" s="85"/>
      <c r="V702" s="85"/>
      <c r="W702" s="85"/>
      <c r="X702" s="85"/>
      <c r="Y702" s="85"/>
      <c r="Z702" s="85"/>
    </row>
    <row r="703" spans="1:26" ht="15.75" customHeight="1">
      <c r="A703" s="199">
        <v>117</v>
      </c>
      <c r="B703" s="199" t="s">
        <v>507</v>
      </c>
      <c r="C703" s="199" t="s">
        <v>551</v>
      </c>
      <c r="D703" s="200">
        <v>40393</v>
      </c>
      <c r="E703" s="14" t="s">
        <v>1935</v>
      </c>
      <c r="F703" s="184">
        <v>57</v>
      </c>
      <c r="G703" s="14">
        <v>0</v>
      </c>
      <c r="H703" s="184">
        <v>0</v>
      </c>
      <c r="I703" s="14">
        <v>1</v>
      </c>
      <c r="J703" s="14" t="s">
        <v>1175</v>
      </c>
      <c r="K703" s="14"/>
      <c r="L703" s="85"/>
      <c r="M703" s="85"/>
      <c r="N703" s="85"/>
      <c r="O703" s="85"/>
      <c r="P703" s="85"/>
      <c r="Q703" s="85"/>
      <c r="R703" s="85"/>
      <c r="S703" s="85"/>
      <c r="T703" s="85"/>
      <c r="U703" s="85"/>
      <c r="V703" s="85"/>
      <c r="W703" s="85"/>
      <c r="X703" s="85"/>
      <c r="Y703" s="85"/>
      <c r="Z703" s="85"/>
    </row>
    <row r="704" spans="1:26" ht="15.75" customHeight="1">
      <c r="A704" s="199">
        <v>117</v>
      </c>
      <c r="B704" s="199" t="s">
        <v>507</v>
      </c>
      <c r="C704" s="199" t="s">
        <v>551</v>
      </c>
      <c r="D704" s="200">
        <v>40393</v>
      </c>
      <c r="E704" s="14" t="s">
        <v>1936</v>
      </c>
      <c r="F704" s="184">
        <v>50</v>
      </c>
      <c r="G704" s="14">
        <v>0</v>
      </c>
      <c r="H704" s="184">
        <v>0</v>
      </c>
      <c r="I704" s="184">
        <v>1</v>
      </c>
      <c r="J704" s="14" t="s">
        <v>1179</v>
      </c>
      <c r="K704" s="14"/>
      <c r="L704" s="85"/>
      <c r="M704" s="85"/>
      <c r="N704" s="85"/>
      <c r="O704" s="85"/>
      <c r="P704" s="85"/>
      <c r="Q704" s="85"/>
      <c r="R704" s="85"/>
      <c r="S704" s="85"/>
      <c r="T704" s="85"/>
      <c r="U704" s="85"/>
      <c r="V704" s="85"/>
      <c r="W704" s="85"/>
      <c r="X704" s="85"/>
      <c r="Y704" s="85"/>
      <c r="Z704" s="85"/>
    </row>
    <row r="705" spans="1:26" ht="15.75" customHeight="1">
      <c r="A705" s="199">
        <v>117</v>
      </c>
      <c r="B705" s="199" t="s">
        <v>507</v>
      </c>
      <c r="C705" s="199" t="s">
        <v>551</v>
      </c>
      <c r="D705" s="200">
        <v>40393</v>
      </c>
      <c r="E705" s="14" t="s">
        <v>1937</v>
      </c>
      <c r="F705" s="184">
        <v>59</v>
      </c>
      <c r="G705" s="14">
        <v>0</v>
      </c>
      <c r="H705" s="184">
        <v>0</v>
      </c>
      <c r="I705" s="14">
        <v>1</v>
      </c>
      <c r="J705" s="14" t="s">
        <v>1175</v>
      </c>
      <c r="K705" s="14"/>
      <c r="L705" s="85"/>
      <c r="M705" s="85"/>
      <c r="N705" s="85"/>
      <c r="O705" s="85"/>
      <c r="P705" s="85"/>
      <c r="Q705" s="85"/>
      <c r="R705" s="85"/>
      <c r="S705" s="85"/>
      <c r="T705" s="85"/>
      <c r="U705" s="85"/>
      <c r="V705" s="85"/>
      <c r="W705" s="85"/>
      <c r="X705" s="85"/>
      <c r="Y705" s="85"/>
      <c r="Z705" s="85"/>
    </row>
    <row r="706" spans="1:26" ht="15.75" customHeight="1">
      <c r="A706" s="199">
        <v>117</v>
      </c>
      <c r="B706" s="199" t="s">
        <v>507</v>
      </c>
      <c r="C706" s="199" t="s">
        <v>551</v>
      </c>
      <c r="D706" s="200">
        <v>40393</v>
      </c>
      <c r="E706" s="14" t="s">
        <v>1938</v>
      </c>
      <c r="F706" s="184">
        <v>49</v>
      </c>
      <c r="G706" s="14">
        <v>0</v>
      </c>
      <c r="H706" s="184">
        <v>0</v>
      </c>
      <c r="I706" s="14">
        <v>2</v>
      </c>
      <c r="J706" s="14" t="s">
        <v>1939</v>
      </c>
      <c r="K706" s="14"/>
      <c r="L706" s="85"/>
      <c r="M706" s="85"/>
      <c r="N706" s="85"/>
      <c r="O706" s="85"/>
      <c r="P706" s="85"/>
      <c r="Q706" s="85"/>
      <c r="R706" s="85"/>
      <c r="S706" s="85"/>
      <c r="T706" s="85"/>
      <c r="U706" s="85"/>
      <c r="V706" s="85"/>
      <c r="W706" s="85"/>
      <c r="X706" s="85"/>
      <c r="Y706" s="85"/>
      <c r="Z706" s="85"/>
    </row>
    <row r="707" spans="1:26" ht="15.75" customHeight="1">
      <c r="A707" s="199">
        <v>117</v>
      </c>
      <c r="B707" s="199" t="s">
        <v>507</v>
      </c>
      <c r="C707" s="199" t="s">
        <v>551</v>
      </c>
      <c r="D707" s="200">
        <v>40393</v>
      </c>
      <c r="E707" s="14" t="s">
        <v>1940</v>
      </c>
      <c r="F707" s="184">
        <v>60</v>
      </c>
      <c r="G707" s="14">
        <v>0</v>
      </c>
      <c r="H707" s="184">
        <v>0</v>
      </c>
      <c r="I707" s="14">
        <v>1</v>
      </c>
      <c r="J707" s="14" t="s">
        <v>1175</v>
      </c>
      <c r="K707" s="14"/>
      <c r="L707" s="85"/>
      <c r="M707" s="85"/>
      <c r="N707" s="85"/>
      <c r="O707" s="85"/>
      <c r="P707" s="85"/>
      <c r="Q707" s="85"/>
      <c r="R707" s="85"/>
      <c r="S707" s="85"/>
      <c r="T707" s="85"/>
      <c r="U707" s="85"/>
      <c r="V707" s="85"/>
      <c r="W707" s="85"/>
      <c r="X707" s="85"/>
      <c r="Y707" s="85"/>
      <c r="Z707" s="85"/>
    </row>
    <row r="708" spans="1:26" ht="15.75" customHeight="1">
      <c r="A708" s="199">
        <v>117</v>
      </c>
      <c r="B708" s="199" t="s">
        <v>507</v>
      </c>
      <c r="C708" s="199" t="s">
        <v>551</v>
      </c>
      <c r="D708" s="200">
        <v>40393</v>
      </c>
      <c r="E708" s="14" t="s">
        <v>1941</v>
      </c>
      <c r="F708" s="184">
        <v>56</v>
      </c>
      <c r="G708" s="14">
        <v>0</v>
      </c>
      <c r="H708" s="184">
        <v>0</v>
      </c>
      <c r="I708" s="14">
        <v>1</v>
      </c>
      <c r="J708" s="14" t="s">
        <v>1175</v>
      </c>
      <c r="K708" s="14"/>
      <c r="L708" s="85"/>
      <c r="M708" s="85"/>
      <c r="N708" s="85"/>
      <c r="O708" s="85"/>
      <c r="P708" s="85"/>
      <c r="Q708" s="85"/>
      <c r="R708" s="85"/>
      <c r="S708" s="85"/>
      <c r="T708" s="85"/>
      <c r="U708" s="85"/>
      <c r="V708" s="85"/>
      <c r="W708" s="85"/>
      <c r="X708" s="85"/>
      <c r="Y708" s="85"/>
      <c r="Z708" s="85"/>
    </row>
    <row r="709" spans="1:26" ht="15.75" customHeight="1">
      <c r="A709" s="205">
        <v>118</v>
      </c>
      <c r="B709" s="205" t="s">
        <v>553</v>
      </c>
      <c r="C709" s="205" t="s">
        <v>554</v>
      </c>
      <c r="D709" s="206">
        <v>40404</v>
      </c>
      <c r="E709" s="14" t="s">
        <v>1942</v>
      </c>
      <c r="F709" s="184">
        <v>27</v>
      </c>
      <c r="G709" s="14">
        <v>1</v>
      </c>
      <c r="H709" s="184">
        <v>1</v>
      </c>
      <c r="I709" s="14">
        <v>0</v>
      </c>
      <c r="J709" s="14" t="s">
        <v>100</v>
      </c>
      <c r="K709" s="14"/>
      <c r="L709" s="85"/>
      <c r="M709" s="85"/>
      <c r="N709" s="85"/>
      <c r="O709" s="85"/>
      <c r="P709" s="85"/>
      <c r="Q709" s="85"/>
      <c r="R709" s="85"/>
      <c r="S709" s="85"/>
      <c r="T709" s="85"/>
      <c r="U709" s="85"/>
      <c r="V709" s="85"/>
      <c r="W709" s="85"/>
      <c r="X709" s="85"/>
      <c r="Y709" s="85"/>
      <c r="Z709" s="85"/>
    </row>
    <row r="710" spans="1:26" ht="15.75" customHeight="1">
      <c r="A710" s="205">
        <v>118</v>
      </c>
      <c r="B710" s="205" t="s">
        <v>553</v>
      </c>
      <c r="C710" s="205" t="s">
        <v>554</v>
      </c>
      <c r="D710" s="206">
        <v>40404</v>
      </c>
      <c r="E710" s="14" t="s">
        <v>1943</v>
      </c>
      <c r="F710" s="184">
        <v>26</v>
      </c>
      <c r="G710" s="14">
        <v>0</v>
      </c>
      <c r="H710" s="184">
        <v>1</v>
      </c>
      <c r="I710" s="14">
        <v>0</v>
      </c>
      <c r="J710" s="14" t="s">
        <v>100</v>
      </c>
      <c r="K710" s="14"/>
      <c r="L710" s="85"/>
      <c r="M710" s="85"/>
      <c r="N710" s="85"/>
      <c r="O710" s="85"/>
      <c r="P710" s="85"/>
      <c r="Q710" s="85"/>
      <c r="R710" s="85"/>
      <c r="S710" s="85"/>
      <c r="T710" s="85"/>
      <c r="U710" s="85"/>
      <c r="V710" s="85"/>
      <c r="W710" s="85"/>
      <c r="X710" s="85"/>
      <c r="Y710" s="85"/>
      <c r="Z710" s="85"/>
    </row>
    <row r="711" spans="1:26" ht="15.75" customHeight="1">
      <c r="A711" s="205">
        <v>118</v>
      </c>
      <c r="B711" s="205" t="s">
        <v>553</v>
      </c>
      <c r="C711" s="205" t="s">
        <v>554</v>
      </c>
      <c r="D711" s="206">
        <v>40404</v>
      </c>
      <c r="E711" s="14" t="s">
        <v>1944</v>
      </c>
      <c r="F711" s="184">
        <v>30</v>
      </c>
      <c r="G711" s="14">
        <v>0</v>
      </c>
      <c r="H711" s="184">
        <v>1</v>
      </c>
      <c r="I711" s="14">
        <v>0</v>
      </c>
      <c r="J711" s="14" t="s">
        <v>100</v>
      </c>
      <c r="K711" s="14"/>
      <c r="L711" s="85"/>
      <c r="M711" s="85"/>
      <c r="N711" s="85"/>
      <c r="O711" s="85"/>
      <c r="P711" s="85"/>
      <c r="Q711" s="85"/>
      <c r="R711" s="85"/>
      <c r="S711" s="85"/>
      <c r="T711" s="85"/>
      <c r="U711" s="85"/>
      <c r="V711" s="85"/>
      <c r="W711" s="85"/>
      <c r="X711" s="85"/>
      <c r="Y711" s="85"/>
      <c r="Z711" s="85"/>
    </row>
    <row r="712" spans="1:26" ht="15.75" customHeight="1">
      <c r="A712" s="205">
        <v>118</v>
      </c>
      <c r="B712" s="205" t="s">
        <v>553</v>
      </c>
      <c r="C712" s="205" t="s">
        <v>554</v>
      </c>
      <c r="D712" s="206">
        <v>40404</v>
      </c>
      <c r="E712" s="14" t="s">
        <v>1945</v>
      </c>
      <c r="F712" s="184">
        <v>32</v>
      </c>
      <c r="G712" s="14">
        <v>1</v>
      </c>
      <c r="H712" s="184">
        <v>1</v>
      </c>
      <c r="I712" s="14">
        <v>0</v>
      </c>
      <c r="J712" s="14" t="s">
        <v>100</v>
      </c>
      <c r="K712" s="14"/>
      <c r="L712" s="85"/>
      <c r="M712" s="85"/>
      <c r="N712" s="85"/>
      <c r="O712" s="85"/>
      <c r="P712" s="85"/>
      <c r="Q712" s="85"/>
      <c r="R712" s="85"/>
      <c r="S712" s="85"/>
      <c r="T712" s="85"/>
      <c r="U712" s="85"/>
      <c r="V712" s="85"/>
      <c r="W712" s="85"/>
      <c r="X712" s="85"/>
      <c r="Y712" s="85"/>
      <c r="Z712" s="85"/>
    </row>
    <row r="713" spans="1:26" ht="15.75" customHeight="1">
      <c r="A713" s="191">
        <v>119</v>
      </c>
      <c r="B713" s="191" t="s">
        <v>556</v>
      </c>
      <c r="C713" s="191" t="s">
        <v>557</v>
      </c>
      <c r="D713" s="192">
        <v>40432</v>
      </c>
      <c r="E713" s="14" t="s">
        <v>1946</v>
      </c>
      <c r="F713" s="184">
        <v>30</v>
      </c>
      <c r="G713" s="14">
        <v>1</v>
      </c>
      <c r="H713" s="184">
        <v>0</v>
      </c>
      <c r="I713" s="14">
        <v>1</v>
      </c>
      <c r="J713" s="14" t="s">
        <v>1182</v>
      </c>
      <c r="K713" s="14"/>
      <c r="L713" s="85"/>
      <c r="M713" s="85"/>
      <c r="N713" s="85"/>
      <c r="O713" s="85"/>
      <c r="P713" s="85"/>
      <c r="Q713" s="85"/>
      <c r="R713" s="85"/>
      <c r="S713" s="85"/>
      <c r="T713" s="85"/>
      <c r="U713" s="85"/>
      <c r="V713" s="85"/>
      <c r="W713" s="85"/>
      <c r="X713" s="85"/>
      <c r="Y713" s="85"/>
      <c r="Z713" s="85"/>
    </row>
    <row r="714" spans="1:26" ht="15.75" customHeight="1">
      <c r="A714" s="191">
        <v>119</v>
      </c>
      <c r="B714" s="191" t="s">
        <v>556</v>
      </c>
      <c r="C714" s="191" t="s">
        <v>557</v>
      </c>
      <c r="D714" s="192">
        <v>40432</v>
      </c>
      <c r="E714" s="14" t="s">
        <v>1947</v>
      </c>
      <c r="F714" s="184">
        <v>40</v>
      </c>
      <c r="G714" s="14">
        <v>1</v>
      </c>
      <c r="H714" s="184">
        <v>0</v>
      </c>
      <c r="I714" s="14">
        <v>1</v>
      </c>
      <c r="J714" s="14" t="s">
        <v>1182</v>
      </c>
      <c r="K714" s="14"/>
      <c r="L714" s="85"/>
      <c r="M714" s="85"/>
      <c r="N714" s="85"/>
      <c r="O714" s="85"/>
      <c r="P714" s="85"/>
      <c r="Q714" s="85"/>
      <c r="R714" s="85"/>
      <c r="S714" s="85"/>
      <c r="T714" s="85"/>
      <c r="U714" s="85"/>
      <c r="V714" s="85"/>
      <c r="W714" s="85"/>
      <c r="X714" s="85"/>
      <c r="Y714" s="85"/>
      <c r="Z714" s="85"/>
    </row>
    <row r="715" spans="1:26" ht="15.75" customHeight="1">
      <c r="A715" s="191">
        <v>119</v>
      </c>
      <c r="B715" s="191" t="s">
        <v>556</v>
      </c>
      <c r="C715" s="191" t="s">
        <v>557</v>
      </c>
      <c r="D715" s="192">
        <v>40432</v>
      </c>
      <c r="E715" s="14" t="s">
        <v>1948</v>
      </c>
      <c r="F715" s="184">
        <v>54</v>
      </c>
      <c r="G715" s="14">
        <v>1</v>
      </c>
      <c r="H715" s="14"/>
      <c r="I715" s="184">
        <v>1</v>
      </c>
      <c r="J715" s="14" t="s">
        <v>1150</v>
      </c>
      <c r="K715" s="14"/>
      <c r="L715" s="85"/>
      <c r="M715" s="85"/>
      <c r="N715" s="85"/>
      <c r="O715" s="85"/>
      <c r="P715" s="85"/>
      <c r="Q715" s="85"/>
      <c r="R715" s="85"/>
      <c r="S715" s="85"/>
      <c r="T715" s="85"/>
      <c r="U715" s="85"/>
      <c r="V715" s="85"/>
      <c r="W715" s="85"/>
      <c r="X715" s="85"/>
      <c r="Y715" s="85"/>
      <c r="Z715" s="85"/>
    </row>
    <row r="716" spans="1:26" ht="15.75" customHeight="1">
      <c r="A716" s="191">
        <v>119</v>
      </c>
      <c r="B716" s="191" t="s">
        <v>556</v>
      </c>
      <c r="C716" s="191" t="s">
        <v>557</v>
      </c>
      <c r="D716" s="192">
        <v>40432</v>
      </c>
      <c r="E716" s="14" t="s">
        <v>1949</v>
      </c>
      <c r="F716" s="184">
        <v>28</v>
      </c>
      <c r="G716" s="14">
        <v>1</v>
      </c>
      <c r="H716" s="14"/>
      <c r="I716" s="184">
        <v>1</v>
      </c>
      <c r="J716" s="14" t="s">
        <v>1950</v>
      </c>
      <c r="K716" s="14"/>
      <c r="L716" s="85"/>
      <c r="M716" s="85"/>
      <c r="N716" s="85"/>
      <c r="O716" s="85"/>
      <c r="P716" s="85"/>
      <c r="Q716" s="85"/>
      <c r="R716" s="85"/>
      <c r="S716" s="85"/>
      <c r="T716" s="85"/>
      <c r="U716" s="85"/>
      <c r="V716" s="85"/>
      <c r="W716" s="85"/>
      <c r="X716" s="85"/>
      <c r="Y716" s="85"/>
      <c r="Z716" s="85"/>
    </row>
    <row r="717" spans="1:26" ht="15.75" customHeight="1">
      <c r="A717" s="191">
        <v>119</v>
      </c>
      <c r="B717" s="191" t="s">
        <v>556</v>
      </c>
      <c r="C717" s="191" t="s">
        <v>557</v>
      </c>
      <c r="D717" s="192">
        <v>40432</v>
      </c>
      <c r="E717" s="14" t="s">
        <v>1951</v>
      </c>
      <c r="F717" s="184">
        <v>31</v>
      </c>
      <c r="G717" s="14">
        <v>0</v>
      </c>
      <c r="H717" s="184">
        <v>0</v>
      </c>
      <c r="I717" s="184">
        <v>1</v>
      </c>
      <c r="J717" s="14" t="s">
        <v>1952</v>
      </c>
      <c r="K717" s="14"/>
      <c r="L717" s="85"/>
      <c r="M717" s="85"/>
      <c r="N717" s="85"/>
      <c r="O717" s="85"/>
      <c r="P717" s="85"/>
      <c r="Q717" s="85"/>
      <c r="R717" s="85"/>
      <c r="S717" s="85"/>
      <c r="T717" s="85"/>
      <c r="U717" s="85"/>
      <c r="V717" s="85"/>
      <c r="W717" s="85"/>
      <c r="X717" s="85"/>
      <c r="Y717" s="85"/>
      <c r="Z717" s="85"/>
    </row>
    <row r="718" spans="1:26" ht="15.75" customHeight="1">
      <c r="A718" s="193">
        <v>120</v>
      </c>
      <c r="B718" s="193" t="s">
        <v>560</v>
      </c>
      <c r="C718" s="193" t="s">
        <v>561</v>
      </c>
      <c r="D718" s="194">
        <v>40551</v>
      </c>
      <c r="E718" s="14" t="s">
        <v>1953</v>
      </c>
      <c r="F718" s="184">
        <v>9</v>
      </c>
      <c r="G718" s="14">
        <v>1</v>
      </c>
      <c r="H718" s="184">
        <v>0</v>
      </c>
      <c r="I718" s="14">
        <v>0</v>
      </c>
      <c r="J718" s="14" t="s">
        <v>100</v>
      </c>
      <c r="K718" s="14"/>
      <c r="L718" s="85"/>
      <c r="M718" s="85"/>
      <c r="N718" s="85"/>
      <c r="O718" s="85"/>
      <c r="P718" s="85"/>
      <c r="Q718" s="85"/>
      <c r="R718" s="85"/>
      <c r="S718" s="85"/>
      <c r="T718" s="85"/>
      <c r="U718" s="85"/>
      <c r="V718" s="85"/>
      <c r="W718" s="85"/>
      <c r="X718" s="85"/>
      <c r="Y718" s="85"/>
      <c r="Z718" s="85"/>
    </row>
    <row r="719" spans="1:26" ht="15.75" customHeight="1">
      <c r="A719" s="193">
        <v>120</v>
      </c>
      <c r="B719" s="193" t="s">
        <v>560</v>
      </c>
      <c r="C719" s="193" t="s">
        <v>561</v>
      </c>
      <c r="D719" s="194">
        <v>40551</v>
      </c>
      <c r="E719" s="14" t="s">
        <v>1954</v>
      </c>
      <c r="F719" s="184">
        <v>76</v>
      </c>
      <c r="G719" s="14">
        <v>1</v>
      </c>
      <c r="H719" s="184">
        <v>0</v>
      </c>
      <c r="I719" s="14">
        <v>0</v>
      </c>
      <c r="J719" s="14" t="s">
        <v>100</v>
      </c>
      <c r="K719" s="14"/>
      <c r="L719" s="85"/>
      <c r="M719" s="85"/>
      <c r="N719" s="85"/>
      <c r="O719" s="85"/>
      <c r="P719" s="85"/>
      <c r="Q719" s="85"/>
      <c r="R719" s="85"/>
      <c r="S719" s="85"/>
      <c r="T719" s="85"/>
      <c r="U719" s="85"/>
      <c r="V719" s="85"/>
      <c r="W719" s="85"/>
      <c r="X719" s="85"/>
      <c r="Y719" s="85"/>
      <c r="Z719" s="85"/>
    </row>
    <row r="720" spans="1:26" ht="15.75" customHeight="1">
      <c r="A720" s="193">
        <v>120</v>
      </c>
      <c r="B720" s="193" t="s">
        <v>560</v>
      </c>
      <c r="C720" s="193" t="s">
        <v>561</v>
      </c>
      <c r="D720" s="194">
        <v>40551</v>
      </c>
      <c r="E720" s="14" t="s">
        <v>1955</v>
      </c>
      <c r="F720" s="184">
        <v>63</v>
      </c>
      <c r="G720" s="14">
        <v>0</v>
      </c>
      <c r="H720" s="184">
        <v>0</v>
      </c>
      <c r="I720" s="14">
        <v>0</v>
      </c>
      <c r="J720" s="14" t="s">
        <v>100</v>
      </c>
      <c r="K720" s="14"/>
      <c r="L720" s="85"/>
      <c r="M720" s="85"/>
      <c r="N720" s="85"/>
      <c r="O720" s="85"/>
      <c r="P720" s="85"/>
      <c r="Q720" s="85"/>
      <c r="R720" s="85"/>
      <c r="S720" s="85"/>
      <c r="T720" s="85"/>
      <c r="U720" s="85"/>
      <c r="V720" s="85"/>
      <c r="W720" s="85"/>
      <c r="X720" s="85"/>
      <c r="Y720" s="85"/>
      <c r="Z720" s="85"/>
    </row>
    <row r="721" spans="1:26" ht="15.75" customHeight="1">
      <c r="A721" s="193">
        <v>120</v>
      </c>
      <c r="B721" s="193" t="s">
        <v>560</v>
      </c>
      <c r="C721" s="193" t="s">
        <v>561</v>
      </c>
      <c r="D721" s="194">
        <v>40551</v>
      </c>
      <c r="E721" s="14" t="s">
        <v>1956</v>
      </c>
      <c r="F721" s="184">
        <v>79</v>
      </c>
      <c r="G721" s="14">
        <v>1</v>
      </c>
      <c r="H721" s="184">
        <v>0</v>
      </c>
      <c r="I721" s="14">
        <v>0</v>
      </c>
      <c r="J721" s="14" t="s">
        <v>100</v>
      </c>
      <c r="K721" s="14"/>
      <c r="L721" s="85"/>
      <c r="M721" s="85"/>
      <c r="N721" s="85"/>
      <c r="O721" s="85"/>
      <c r="P721" s="85"/>
      <c r="Q721" s="85"/>
      <c r="R721" s="85"/>
      <c r="S721" s="85"/>
      <c r="T721" s="85"/>
      <c r="U721" s="85"/>
      <c r="V721" s="85"/>
      <c r="W721" s="85"/>
      <c r="X721" s="85"/>
      <c r="Y721" s="85"/>
      <c r="Z721" s="85"/>
    </row>
    <row r="722" spans="1:26" ht="15.75" customHeight="1">
      <c r="A722" s="193">
        <v>120</v>
      </c>
      <c r="B722" s="193" t="s">
        <v>560</v>
      </c>
      <c r="C722" s="193" t="s">
        <v>561</v>
      </c>
      <c r="D722" s="194">
        <v>40551</v>
      </c>
      <c r="E722" s="14" t="s">
        <v>1957</v>
      </c>
      <c r="F722" s="184">
        <v>76</v>
      </c>
      <c r="G722" s="14">
        <v>0</v>
      </c>
      <c r="H722" s="184">
        <v>0</v>
      </c>
      <c r="I722" s="14">
        <v>0</v>
      </c>
      <c r="J722" s="14" t="s">
        <v>100</v>
      </c>
      <c r="K722" s="14"/>
      <c r="L722" s="85"/>
      <c r="M722" s="85"/>
      <c r="N722" s="85"/>
      <c r="O722" s="85"/>
      <c r="P722" s="85"/>
      <c r="Q722" s="85"/>
      <c r="R722" s="85"/>
      <c r="S722" s="85"/>
      <c r="T722" s="85"/>
      <c r="U722" s="85"/>
      <c r="V722" s="85"/>
      <c r="W722" s="85"/>
      <c r="X722" s="85"/>
      <c r="Y722" s="85"/>
      <c r="Z722" s="85"/>
    </row>
    <row r="723" spans="1:26" ht="15.75" customHeight="1">
      <c r="A723" s="193">
        <v>120</v>
      </c>
      <c r="B723" s="193" t="s">
        <v>560</v>
      </c>
      <c r="C723" s="193" t="s">
        <v>561</v>
      </c>
      <c r="D723" s="194">
        <v>40551</v>
      </c>
      <c r="E723" s="14" t="s">
        <v>1958</v>
      </c>
      <c r="F723" s="184">
        <v>30</v>
      </c>
      <c r="G723" s="14">
        <v>0</v>
      </c>
      <c r="H723" s="184">
        <v>0</v>
      </c>
      <c r="I723" s="14">
        <v>0</v>
      </c>
      <c r="J723" s="14" t="s">
        <v>100</v>
      </c>
      <c r="K723" s="14"/>
      <c r="L723" s="85"/>
      <c r="M723" s="85"/>
      <c r="N723" s="85"/>
      <c r="O723" s="85"/>
      <c r="P723" s="85"/>
      <c r="Q723" s="85"/>
      <c r="R723" s="85"/>
      <c r="S723" s="85"/>
      <c r="T723" s="85"/>
      <c r="U723" s="85"/>
      <c r="V723" s="85"/>
      <c r="W723" s="85"/>
      <c r="X723" s="85"/>
      <c r="Y723" s="85"/>
      <c r="Z723" s="85"/>
    </row>
    <row r="724" spans="1:26" ht="15.75" customHeight="1">
      <c r="A724" s="195">
        <v>121</v>
      </c>
      <c r="B724" s="195" t="s">
        <v>563</v>
      </c>
      <c r="C724" s="195" t="s">
        <v>212</v>
      </c>
      <c r="D724" s="196">
        <v>40762</v>
      </c>
      <c r="E724" s="14" t="s">
        <v>1959</v>
      </c>
      <c r="F724" s="184">
        <v>51</v>
      </c>
      <c r="G724" s="14">
        <v>0</v>
      </c>
      <c r="H724" s="184">
        <v>0</v>
      </c>
      <c r="I724" s="14">
        <v>1</v>
      </c>
      <c r="J724" s="14" t="s">
        <v>1960</v>
      </c>
      <c r="K724" s="14"/>
      <c r="L724" s="85"/>
      <c r="M724" s="85"/>
      <c r="N724" s="85"/>
      <c r="O724" s="85"/>
      <c r="P724" s="85"/>
      <c r="Q724" s="85"/>
      <c r="R724" s="85"/>
      <c r="S724" s="85"/>
      <c r="T724" s="85"/>
      <c r="U724" s="85"/>
      <c r="V724" s="85"/>
      <c r="W724" s="85"/>
      <c r="X724" s="85"/>
      <c r="Y724" s="85"/>
      <c r="Z724" s="85"/>
    </row>
    <row r="725" spans="1:26" ht="15.75" customHeight="1">
      <c r="A725" s="195">
        <v>121</v>
      </c>
      <c r="B725" s="195" t="s">
        <v>563</v>
      </c>
      <c r="C725" s="195" t="s">
        <v>212</v>
      </c>
      <c r="D725" s="196">
        <v>40762</v>
      </c>
      <c r="E725" s="14" t="s">
        <v>1961</v>
      </c>
      <c r="F725" s="184">
        <v>11</v>
      </c>
      <c r="G725" s="14">
        <v>0</v>
      </c>
      <c r="H725" s="184">
        <v>0</v>
      </c>
      <c r="I725" s="14">
        <v>1</v>
      </c>
      <c r="J725" s="14" t="s">
        <v>1962</v>
      </c>
      <c r="K725" s="14"/>
      <c r="L725" s="85"/>
      <c r="M725" s="85"/>
      <c r="N725" s="85"/>
      <c r="O725" s="85"/>
      <c r="P725" s="85"/>
      <c r="Q725" s="85"/>
      <c r="R725" s="85"/>
      <c r="S725" s="85"/>
      <c r="T725" s="85"/>
      <c r="U725" s="85"/>
      <c r="V725" s="85"/>
      <c r="W725" s="85"/>
      <c r="X725" s="85"/>
      <c r="Y725" s="85"/>
      <c r="Z725" s="85"/>
    </row>
    <row r="726" spans="1:26" ht="15.75" customHeight="1">
      <c r="A726" s="195">
        <v>121</v>
      </c>
      <c r="B726" s="195" t="s">
        <v>563</v>
      </c>
      <c r="C726" s="195" t="s">
        <v>212</v>
      </c>
      <c r="D726" s="196">
        <v>40762</v>
      </c>
      <c r="E726" s="14" t="s">
        <v>1963</v>
      </c>
      <c r="F726" s="184">
        <v>16</v>
      </c>
      <c r="G726" s="14">
        <v>1</v>
      </c>
      <c r="H726" s="184">
        <v>0</v>
      </c>
      <c r="I726" s="184">
        <v>1</v>
      </c>
      <c r="J726" s="14" t="s">
        <v>1182</v>
      </c>
      <c r="K726" s="14"/>
      <c r="L726" s="85"/>
      <c r="M726" s="85"/>
      <c r="N726" s="85"/>
      <c r="O726" s="85"/>
      <c r="P726" s="85"/>
      <c r="Q726" s="85"/>
      <c r="R726" s="85"/>
      <c r="S726" s="85"/>
      <c r="T726" s="85"/>
      <c r="U726" s="85"/>
      <c r="V726" s="85"/>
      <c r="W726" s="85"/>
      <c r="X726" s="85"/>
      <c r="Y726" s="85"/>
      <c r="Z726" s="85"/>
    </row>
    <row r="727" spans="1:26" ht="15.75" customHeight="1">
      <c r="A727" s="195">
        <v>121</v>
      </c>
      <c r="B727" s="195" t="s">
        <v>563</v>
      </c>
      <c r="C727" s="195" t="s">
        <v>212</v>
      </c>
      <c r="D727" s="196">
        <v>40762</v>
      </c>
      <c r="E727" s="14" t="s">
        <v>1964</v>
      </c>
      <c r="F727" s="184">
        <v>44</v>
      </c>
      <c r="G727" s="14">
        <v>0</v>
      </c>
      <c r="H727" s="184">
        <v>0</v>
      </c>
      <c r="I727" s="184">
        <v>1</v>
      </c>
      <c r="J727" s="14" t="s">
        <v>1182</v>
      </c>
      <c r="K727" s="14"/>
      <c r="L727" s="85"/>
      <c r="M727" s="85"/>
      <c r="N727" s="85"/>
      <c r="O727" s="85"/>
      <c r="P727" s="85"/>
      <c r="Q727" s="85"/>
      <c r="R727" s="85"/>
      <c r="S727" s="85"/>
      <c r="T727" s="85"/>
      <c r="U727" s="85"/>
      <c r="V727" s="85"/>
      <c r="W727" s="85"/>
      <c r="X727" s="85"/>
      <c r="Y727" s="85"/>
      <c r="Z727" s="85"/>
    </row>
    <row r="728" spans="1:26" ht="15.75" customHeight="1">
      <c r="A728" s="195">
        <v>121</v>
      </c>
      <c r="B728" s="195" t="s">
        <v>563</v>
      </c>
      <c r="C728" s="195" t="s">
        <v>212</v>
      </c>
      <c r="D728" s="196">
        <v>40762</v>
      </c>
      <c r="E728" s="14" t="s">
        <v>1965</v>
      </c>
      <c r="F728" s="184">
        <v>64</v>
      </c>
      <c r="G728" s="14">
        <v>1</v>
      </c>
      <c r="H728" s="184">
        <v>0</v>
      </c>
      <c r="I728" s="14">
        <v>1</v>
      </c>
      <c r="J728" s="14" t="s">
        <v>1182</v>
      </c>
      <c r="K728" s="14"/>
      <c r="L728" s="85"/>
      <c r="M728" s="85"/>
      <c r="N728" s="85"/>
      <c r="O728" s="85"/>
      <c r="P728" s="85"/>
      <c r="Q728" s="85"/>
      <c r="R728" s="85"/>
      <c r="S728" s="85"/>
      <c r="T728" s="85"/>
      <c r="U728" s="85"/>
      <c r="V728" s="85"/>
      <c r="W728" s="85"/>
      <c r="X728" s="85"/>
      <c r="Y728" s="85"/>
      <c r="Z728" s="85"/>
    </row>
    <row r="729" spans="1:26" ht="15.75" customHeight="1">
      <c r="A729" s="195">
        <v>121</v>
      </c>
      <c r="B729" s="195" t="s">
        <v>563</v>
      </c>
      <c r="C729" s="195" t="s">
        <v>212</v>
      </c>
      <c r="D729" s="196">
        <v>40762</v>
      </c>
      <c r="E729" s="14" t="s">
        <v>1966</v>
      </c>
      <c r="F729" s="184">
        <v>67</v>
      </c>
      <c r="G729" s="14">
        <v>0</v>
      </c>
      <c r="H729" s="184">
        <v>0</v>
      </c>
      <c r="I729" s="14">
        <v>1</v>
      </c>
      <c r="J729" s="14" t="s">
        <v>1182</v>
      </c>
      <c r="K729" s="14"/>
      <c r="L729" s="85"/>
      <c r="M729" s="85"/>
      <c r="N729" s="85"/>
      <c r="O729" s="85"/>
      <c r="P729" s="85"/>
      <c r="Q729" s="85"/>
      <c r="R729" s="85"/>
      <c r="S729" s="85"/>
      <c r="T729" s="85"/>
      <c r="U729" s="85"/>
      <c r="V729" s="85"/>
      <c r="W729" s="85"/>
      <c r="X729" s="85"/>
      <c r="Y729" s="85"/>
      <c r="Z729" s="85"/>
    </row>
    <row r="730" spans="1:26" ht="15.75" customHeight="1">
      <c r="A730" s="195">
        <v>121</v>
      </c>
      <c r="B730" s="195" t="s">
        <v>563</v>
      </c>
      <c r="C730" s="195" t="s">
        <v>212</v>
      </c>
      <c r="D730" s="196">
        <v>40762</v>
      </c>
      <c r="E730" s="14" t="s">
        <v>1967</v>
      </c>
      <c r="F730" s="184">
        <v>16</v>
      </c>
      <c r="G730" s="14">
        <v>1</v>
      </c>
      <c r="H730" s="184">
        <v>0</v>
      </c>
      <c r="I730" s="14">
        <v>0</v>
      </c>
      <c r="J730" s="14" t="s">
        <v>100</v>
      </c>
      <c r="K730" s="14"/>
      <c r="L730" s="85"/>
      <c r="M730" s="85"/>
      <c r="N730" s="85"/>
      <c r="O730" s="85"/>
      <c r="P730" s="85"/>
      <c r="Q730" s="85"/>
      <c r="R730" s="85"/>
      <c r="S730" s="85"/>
      <c r="T730" s="85"/>
      <c r="U730" s="85"/>
      <c r="V730" s="85"/>
      <c r="W730" s="85"/>
      <c r="X730" s="85"/>
      <c r="Y730" s="85"/>
      <c r="Z730" s="85"/>
    </row>
    <row r="731" spans="1:26" ht="15.75" customHeight="1">
      <c r="A731" s="197">
        <v>122</v>
      </c>
      <c r="B731" s="197" t="s">
        <v>566</v>
      </c>
      <c r="C731" s="197" t="s">
        <v>567</v>
      </c>
      <c r="D731" s="198">
        <v>40792</v>
      </c>
      <c r="E731" s="14" t="s">
        <v>1968</v>
      </c>
      <c r="F731" s="184">
        <v>67</v>
      </c>
      <c r="G731" s="14">
        <v>1</v>
      </c>
      <c r="H731" s="184">
        <v>0</v>
      </c>
      <c r="I731" s="14">
        <v>0</v>
      </c>
      <c r="J731" s="14" t="s">
        <v>100</v>
      </c>
      <c r="K731" s="14"/>
      <c r="L731" s="85"/>
      <c r="M731" s="85"/>
      <c r="N731" s="85"/>
      <c r="O731" s="85"/>
      <c r="P731" s="85"/>
      <c r="Q731" s="85"/>
      <c r="R731" s="85"/>
      <c r="S731" s="85"/>
      <c r="T731" s="85"/>
      <c r="U731" s="85"/>
      <c r="V731" s="85"/>
      <c r="W731" s="85"/>
      <c r="X731" s="85"/>
      <c r="Y731" s="85"/>
      <c r="Z731" s="85"/>
    </row>
    <row r="732" spans="1:26" ht="15.75" customHeight="1">
      <c r="A732" s="197">
        <v>122</v>
      </c>
      <c r="B732" s="197" t="s">
        <v>566</v>
      </c>
      <c r="C732" s="197" t="s">
        <v>567</v>
      </c>
      <c r="D732" s="198">
        <v>40792</v>
      </c>
      <c r="E732" s="184" t="s">
        <v>1969</v>
      </c>
      <c r="F732" s="184">
        <v>35</v>
      </c>
      <c r="G732" s="14">
        <v>0</v>
      </c>
      <c r="H732" s="184">
        <v>0</v>
      </c>
      <c r="I732" s="14">
        <v>0</v>
      </c>
      <c r="J732" s="14" t="s">
        <v>100</v>
      </c>
      <c r="K732" s="14"/>
      <c r="L732" s="85"/>
      <c r="M732" s="85"/>
      <c r="N732" s="85"/>
      <c r="O732" s="85"/>
      <c r="P732" s="85"/>
      <c r="Q732" s="85"/>
      <c r="R732" s="85"/>
      <c r="S732" s="85"/>
      <c r="T732" s="85"/>
      <c r="U732" s="85"/>
      <c r="V732" s="85"/>
      <c r="W732" s="85"/>
      <c r="X732" s="85"/>
      <c r="Y732" s="85"/>
      <c r="Z732" s="85"/>
    </row>
    <row r="733" spans="1:26" ht="15.75" customHeight="1">
      <c r="A733" s="197">
        <v>122</v>
      </c>
      <c r="B733" s="197" t="s">
        <v>566</v>
      </c>
      <c r="C733" s="197" t="s">
        <v>567</v>
      </c>
      <c r="D733" s="198">
        <v>40792</v>
      </c>
      <c r="E733" s="184" t="s">
        <v>1970</v>
      </c>
      <c r="F733" s="184">
        <v>31</v>
      </c>
      <c r="G733" s="14">
        <v>1</v>
      </c>
      <c r="H733" s="184">
        <v>0</v>
      </c>
      <c r="I733" s="14">
        <v>0</v>
      </c>
      <c r="J733" s="14" t="s">
        <v>100</v>
      </c>
      <c r="K733" s="14"/>
      <c r="L733" s="85"/>
      <c r="M733" s="85"/>
      <c r="N733" s="85"/>
      <c r="O733" s="85"/>
      <c r="P733" s="85"/>
      <c r="Q733" s="85"/>
      <c r="R733" s="85"/>
      <c r="S733" s="85"/>
      <c r="T733" s="85"/>
      <c r="U733" s="85"/>
      <c r="V733" s="85"/>
      <c r="W733" s="85"/>
      <c r="X733" s="85"/>
      <c r="Y733" s="85"/>
      <c r="Z733" s="85"/>
    </row>
    <row r="734" spans="1:26" ht="15.75" customHeight="1">
      <c r="A734" s="197">
        <v>122</v>
      </c>
      <c r="B734" s="197" t="s">
        <v>566</v>
      </c>
      <c r="C734" s="197" t="s">
        <v>567</v>
      </c>
      <c r="D734" s="198">
        <v>40792</v>
      </c>
      <c r="E734" s="14" t="s">
        <v>1971</v>
      </c>
      <c r="F734" s="184">
        <v>38</v>
      </c>
      <c r="G734" s="14">
        <v>0</v>
      </c>
      <c r="H734" s="184">
        <v>0</v>
      </c>
      <c r="I734" s="14">
        <v>0</v>
      </c>
      <c r="J734" s="14" t="s">
        <v>100</v>
      </c>
      <c r="K734" s="14"/>
      <c r="L734" s="85"/>
      <c r="M734" s="85"/>
      <c r="N734" s="85"/>
      <c r="O734" s="85"/>
      <c r="P734" s="85"/>
      <c r="Q734" s="85"/>
      <c r="R734" s="85"/>
      <c r="S734" s="85"/>
      <c r="T734" s="85"/>
      <c r="U734" s="85"/>
      <c r="V734" s="85"/>
      <c r="W734" s="85"/>
      <c r="X734" s="85"/>
      <c r="Y734" s="85"/>
      <c r="Z734" s="85"/>
    </row>
    <row r="735" spans="1:26" ht="15.75" customHeight="1">
      <c r="A735" s="207">
        <v>123</v>
      </c>
      <c r="B735" s="207" t="s">
        <v>570</v>
      </c>
      <c r="C735" s="207" t="s">
        <v>571</v>
      </c>
      <c r="D735" s="208">
        <v>40828</v>
      </c>
      <c r="E735" s="14" t="s">
        <v>1972</v>
      </c>
      <c r="F735" s="184">
        <v>54</v>
      </c>
      <c r="G735" s="14">
        <v>1</v>
      </c>
      <c r="H735" s="184">
        <v>0</v>
      </c>
      <c r="I735" s="14">
        <v>0</v>
      </c>
      <c r="J735" s="14" t="s">
        <v>100</v>
      </c>
      <c r="K735" s="14"/>
      <c r="L735" s="85"/>
      <c r="M735" s="85"/>
      <c r="N735" s="85"/>
      <c r="O735" s="85"/>
      <c r="P735" s="85"/>
      <c r="Q735" s="85"/>
      <c r="R735" s="85"/>
      <c r="S735" s="85"/>
      <c r="T735" s="85"/>
      <c r="U735" s="85"/>
      <c r="V735" s="85"/>
      <c r="W735" s="85"/>
      <c r="X735" s="85"/>
      <c r="Y735" s="85"/>
      <c r="Z735" s="85"/>
    </row>
    <row r="736" spans="1:26" ht="15.75" customHeight="1">
      <c r="A736" s="207">
        <v>123</v>
      </c>
      <c r="B736" s="207" t="s">
        <v>570</v>
      </c>
      <c r="C736" s="207" t="s">
        <v>571</v>
      </c>
      <c r="D736" s="208">
        <v>40828</v>
      </c>
      <c r="E736" s="14" t="s">
        <v>1973</v>
      </c>
      <c r="F736" s="184">
        <v>64</v>
      </c>
      <c r="G736" s="14">
        <v>0</v>
      </c>
      <c r="H736" s="184">
        <v>0</v>
      </c>
      <c r="I736" s="14">
        <v>0</v>
      </c>
      <c r="J736" s="14" t="s">
        <v>100</v>
      </c>
      <c r="K736" s="14"/>
      <c r="L736" s="85"/>
      <c r="M736" s="85"/>
      <c r="N736" s="85"/>
      <c r="O736" s="85"/>
      <c r="P736" s="85"/>
      <c r="Q736" s="85"/>
      <c r="R736" s="85"/>
      <c r="S736" s="85"/>
      <c r="T736" s="85"/>
      <c r="U736" s="85"/>
      <c r="V736" s="85"/>
      <c r="W736" s="85"/>
      <c r="X736" s="85"/>
      <c r="Y736" s="85"/>
      <c r="Z736" s="85"/>
    </row>
    <row r="737" spans="1:26" ht="15.75" customHeight="1">
      <c r="A737" s="207">
        <v>123</v>
      </c>
      <c r="B737" s="207" t="s">
        <v>570</v>
      </c>
      <c r="C737" s="207" t="s">
        <v>571</v>
      </c>
      <c r="D737" s="208">
        <v>40828</v>
      </c>
      <c r="E737" s="184" t="s">
        <v>1974</v>
      </c>
      <c r="F737" s="184">
        <v>62</v>
      </c>
      <c r="G737" s="14">
        <v>0</v>
      </c>
      <c r="H737" s="184">
        <v>0</v>
      </c>
      <c r="I737" s="14">
        <v>0</v>
      </c>
      <c r="J737" s="14" t="s">
        <v>100</v>
      </c>
      <c r="K737" s="14"/>
      <c r="L737" s="85"/>
      <c r="M737" s="85"/>
      <c r="N737" s="85"/>
      <c r="O737" s="85"/>
      <c r="P737" s="85"/>
      <c r="Q737" s="85"/>
      <c r="R737" s="85"/>
      <c r="S737" s="85"/>
      <c r="T737" s="85"/>
      <c r="U737" s="85"/>
      <c r="V737" s="85"/>
      <c r="W737" s="85"/>
      <c r="X737" s="85"/>
      <c r="Y737" s="85"/>
      <c r="Z737" s="85"/>
    </row>
    <row r="738" spans="1:26" ht="15.75" customHeight="1">
      <c r="A738" s="207">
        <v>123</v>
      </c>
      <c r="B738" s="207" t="s">
        <v>570</v>
      </c>
      <c r="C738" s="207" t="s">
        <v>571</v>
      </c>
      <c r="D738" s="208">
        <v>40828</v>
      </c>
      <c r="E738" s="14" t="s">
        <v>1975</v>
      </c>
      <c r="F738" s="184">
        <v>47</v>
      </c>
      <c r="G738" s="14">
        <v>1</v>
      </c>
      <c r="H738" s="184">
        <v>0</v>
      </c>
      <c r="I738" s="14">
        <v>0</v>
      </c>
      <c r="J738" s="14" t="s">
        <v>100</v>
      </c>
      <c r="K738" s="14"/>
      <c r="L738" s="85"/>
      <c r="M738" s="85"/>
      <c r="N738" s="85"/>
      <c r="O738" s="85"/>
      <c r="P738" s="85"/>
      <c r="Q738" s="85"/>
      <c r="R738" s="85"/>
      <c r="S738" s="85"/>
      <c r="T738" s="85"/>
      <c r="U738" s="85"/>
      <c r="V738" s="85"/>
      <c r="W738" s="85"/>
      <c r="X738" s="85"/>
      <c r="Y738" s="85"/>
      <c r="Z738" s="85"/>
    </row>
    <row r="739" spans="1:26" ht="15.75" customHeight="1">
      <c r="A739" s="207">
        <v>123</v>
      </c>
      <c r="B739" s="207" t="s">
        <v>570</v>
      </c>
      <c r="C739" s="207" t="s">
        <v>571</v>
      </c>
      <c r="D739" s="208">
        <v>40828</v>
      </c>
      <c r="E739" s="184" t="s">
        <v>1976</v>
      </c>
      <c r="F739" s="184">
        <v>48</v>
      </c>
      <c r="G739" s="14">
        <v>1</v>
      </c>
      <c r="H739" s="184">
        <v>0</v>
      </c>
      <c r="I739" s="14">
        <v>1</v>
      </c>
      <c r="J739" s="14" t="s">
        <v>1977</v>
      </c>
      <c r="K739" s="14"/>
      <c r="L739" s="85"/>
      <c r="M739" s="85"/>
      <c r="N739" s="85"/>
      <c r="O739" s="85"/>
      <c r="P739" s="85"/>
      <c r="Q739" s="85"/>
      <c r="R739" s="85"/>
      <c r="S739" s="85"/>
      <c r="T739" s="85"/>
      <c r="U739" s="85"/>
      <c r="V739" s="85"/>
      <c r="W739" s="85"/>
      <c r="X739" s="85"/>
      <c r="Y739" s="85"/>
      <c r="Z739" s="85"/>
    </row>
    <row r="740" spans="1:26" ht="15.75" customHeight="1">
      <c r="A740" s="207">
        <v>123</v>
      </c>
      <c r="B740" s="207" t="s">
        <v>570</v>
      </c>
      <c r="C740" s="207" t="s">
        <v>571</v>
      </c>
      <c r="D740" s="208">
        <v>40828</v>
      </c>
      <c r="E740" s="184" t="s">
        <v>1978</v>
      </c>
      <c r="F740" s="184">
        <v>65</v>
      </c>
      <c r="G740" s="14">
        <v>1</v>
      </c>
      <c r="H740" s="184">
        <v>0</v>
      </c>
      <c r="I740" s="14">
        <v>0</v>
      </c>
      <c r="J740" s="14" t="s">
        <v>100</v>
      </c>
      <c r="K740" s="14"/>
      <c r="L740" s="85"/>
      <c r="M740" s="85"/>
      <c r="N740" s="85"/>
      <c r="O740" s="85"/>
      <c r="P740" s="85"/>
      <c r="Q740" s="85"/>
      <c r="R740" s="85"/>
      <c r="S740" s="85"/>
      <c r="T740" s="85"/>
      <c r="U740" s="85"/>
      <c r="V740" s="85"/>
      <c r="W740" s="85"/>
      <c r="X740" s="85"/>
      <c r="Y740" s="85"/>
      <c r="Z740" s="85"/>
    </row>
    <row r="741" spans="1:26" ht="15.75" customHeight="1">
      <c r="A741" s="207">
        <v>123</v>
      </c>
      <c r="B741" s="207" t="s">
        <v>570</v>
      </c>
      <c r="C741" s="207" t="s">
        <v>571</v>
      </c>
      <c r="D741" s="208">
        <v>40828</v>
      </c>
      <c r="E741" s="184" t="s">
        <v>1979</v>
      </c>
      <c r="F741" s="184">
        <v>46</v>
      </c>
      <c r="G741" s="14">
        <v>1</v>
      </c>
      <c r="H741" s="184">
        <v>0</v>
      </c>
      <c r="I741" s="14">
        <v>0</v>
      </c>
      <c r="J741" s="14" t="s">
        <v>100</v>
      </c>
      <c r="K741" s="14"/>
      <c r="L741" s="85"/>
      <c r="M741" s="85"/>
      <c r="N741" s="85"/>
      <c r="O741" s="85"/>
      <c r="P741" s="85"/>
      <c r="Q741" s="85"/>
      <c r="R741" s="85"/>
      <c r="S741" s="85"/>
      <c r="T741" s="85"/>
      <c r="U741" s="85"/>
      <c r="V741" s="85"/>
      <c r="W741" s="85"/>
      <c r="X741" s="85"/>
      <c r="Y741" s="85"/>
      <c r="Z741" s="85"/>
    </row>
    <row r="742" spans="1:26" ht="15.75" customHeight="1">
      <c r="A742" s="207">
        <v>123</v>
      </c>
      <c r="B742" s="207" t="s">
        <v>570</v>
      </c>
      <c r="C742" s="207" t="s">
        <v>571</v>
      </c>
      <c r="D742" s="208">
        <v>40828</v>
      </c>
      <c r="E742" s="184" t="s">
        <v>1980</v>
      </c>
      <c r="F742" s="184">
        <v>47</v>
      </c>
      <c r="G742" s="14">
        <v>1</v>
      </c>
      <c r="H742" s="184">
        <v>0</v>
      </c>
      <c r="I742" s="184">
        <v>1</v>
      </c>
      <c r="J742" s="14" t="s">
        <v>1535</v>
      </c>
      <c r="K742" s="14"/>
      <c r="L742" s="85"/>
      <c r="M742" s="85"/>
      <c r="N742" s="85"/>
      <c r="O742" s="85"/>
      <c r="P742" s="85"/>
      <c r="Q742" s="85"/>
      <c r="R742" s="85"/>
      <c r="S742" s="85"/>
      <c r="T742" s="85"/>
      <c r="U742" s="85"/>
      <c r="V742" s="85"/>
      <c r="W742" s="85"/>
      <c r="X742" s="85"/>
      <c r="Y742" s="85"/>
      <c r="Z742" s="85"/>
    </row>
    <row r="743" spans="1:26" ht="15.75" customHeight="1">
      <c r="A743" s="203">
        <v>124</v>
      </c>
      <c r="B743" s="203" t="s">
        <v>575</v>
      </c>
      <c r="C743" s="203" t="s">
        <v>576</v>
      </c>
      <c r="D743" s="204">
        <v>41001</v>
      </c>
      <c r="E743" s="14" t="s">
        <v>1981</v>
      </c>
      <c r="F743" s="184">
        <v>38</v>
      </c>
      <c r="G743" s="14">
        <v>0</v>
      </c>
      <c r="H743" s="184" t="str">
        <f>HYPERLINK("https://www.findagrave.com/memorial/107374976/tshering-rinzing-bhutia","3")</f>
        <v>3</v>
      </c>
      <c r="I743" s="184">
        <v>1</v>
      </c>
      <c r="J743" s="14" t="s">
        <v>1881</v>
      </c>
      <c r="K743" s="14"/>
      <c r="L743" s="85"/>
      <c r="M743" s="85"/>
      <c r="N743" s="85"/>
      <c r="O743" s="85"/>
      <c r="P743" s="85"/>
      <c r="Q743" s="85"/>
      <c r="R743" s="85"/>
      <c r="S743" s="85"/>
      <c r="T743" s="85"/>
      <c r="U743" s="85"/>
      <c r="V743" s="85"/>
      <c r="W743" s="85"/>
      <c r="X743" s="85"/>
      <c r="Y743" s="85"/>
      <c r="Z743" s="85"/>
    </row>
    <row r="744" spans="1:26" ht="15.75" customHeight="1">
      <c r="A744" s="203">
        <v>124</v>
      </c>
      <c r="B744" s="203" t="s">
        <v>575</v>
      </c>
      <c r="C744" s="203" t="s">
        <v>576</v>
      </c>
      <c r="D744" s="204">
        <v>41001</v>
      </c>
      <c r="E744" s="14" t="s">
        <v>1982</v>
      </c>
      <c r="F744" s="184">
        <v>40</v>
      </c>
      <c r="G744" s="14">
        <v>1</v>
      </c>
      <c r="H744" s="184" t="str">
        <f>HYPERLINK("http://saharareporters.com/2012/04/04/forty-year-old-nigerian-woman-enugu-among-victims-mass-shooting-oakland-california","1")</f>
        <v>1</v>
      </c>
      <c r="I744" s="14">
        <v>1</v>
      </c>
      <c r="J744" s="14" t="s">
        <v>1881</v>
      </c>
      <c r="K744" s="14"/>
      <c r="L744" s="85"/>
      <c r="M744" s="85"/>
      <c r="N744" s="85"/>
      <c r="O744" s="85"/>
      <c r="P744" s="85"/>
      <c r="Q744" s="85"/>
      <c r="R744" s="85"/>
      <c r="S744" s="85"/>
      <c r="T744" s="85"/>
      <c r="U744" s="85"/>
      <c r="V744" s="85"/>
      <c r="W744" s="85"/>
      <c r="X744" s="85"/>
      <c r="Y744" s="85"/>
      <c r="Z744" s="85"/>
    </row>
    <row r="745" spans="1:26" ht="15.75" customHeight="1">
      <c r="A745" s="203">
        <v>124</v>
      </c>
      <c r="B745" s="203" t="s">
        <v>575</v>
      </c>
      <c r="C745" s="203" t="s">
        <v>576</v>
      </c>
      <c r="D745" s="204">
        <v>41001</v>
      </c>
      <c r="E745" s="14" t="s">
        <v>1983</v>
      </c>
      <c r="F745" s="184">
        <v>33</v>
      </c>
      <c r="G745" s="14">
        <v>1</v>
      </c>
      <c r="H745" s="184" t="str">
        <f>HYPERLINK("https://www.mercurynews.com/2012/04/03/oakland-university-shooting-victim-sonam-chodon-worked-for-tibets-exiled-government-before-pursuing-nursing-career/","3")</f>
        <v>3</v>
      </c>
      <c r="I745" s="14">
        <v>1</v>
      </c>
      <c r="J745" s="14" t="s">
        <v>1881</v>
      </c>
      <c r="K745" s="14"/>
      <c r="L745" s="85"/>
      <c r="M745" s="85"/>
      <c r="N745" s="85"/>
      <c r="O745" s="85"/>
      <c r="P745" s="85"/>
      <c r="Q745" s="85"/>
      <c r="R745" s="85"/>
      <c r="S745" s="85"/>
      <c r="T745" s="85"/>
      <c r="U745" s="85"/>
      <c r="V745" s="85"/>
      <c r="W745" s="85"/>
      <c r="X745" s="85"/>
      <c r="Y745" s="85"/>
      <c r="Z745" s="85"/>
    </row>
    <row r="746" spans="1:26" ht="15.75" customHeight="1">
      <c r="A746" s="203">
        <v>124</v>
      </c>
      <c r="B746" s="203" t="s">
        <v>575</v>
      </c>
      <c r="C746" s="203" t="s">
        <v>576</v>
      </c>
      <c r="D746" s="204">
        <v>41001</v>
      </c>
      <c r="E746" s="14" t="s">
        <v>1984</v>
      </c>
      <c r="F746" s="184">
        <v>23</v>
      </c>
      <c r="G746" s="14">
        <v>1</v>
      </c>
      <c r="H746" s="184" t="str">
        <f>HYPERLINK("https://www.sfgate.com/crime/article/Oikos-shooting-victim-Grace-Eunhea-Kim-3457417.php","3")</f>
        <v>3</v>
      </c>
      <c r="I746" s="14">
        <v>1</v>
      </c>
      <c r="J746" s="14" t="s">
        <v>1881</v>
      </c>
      <c r="K746" s="14"/>
      <c r="L746" s="85"/>
      <c r="M746" s="85"/>
      <c r="N746" s="85"/>
      <c r="O746" s="85"/>
      <c r="P746" s="85"/>
      <c r="Q746" s="85"/>
      <c r="R746" s="85"/>
      <c r="S746" s="85"/>
      <c r="T746" s="85"/>
      <c r="U746" s="85"/>
      <c r="V746" s="85"/>
      <c r="W746" s="85"/>
      <c r="X746" s="85"/>
      <c r="Y746" s="85"/>
      <c r="Z746" s="85"/>
    </row>
    <row r="747" spans="1:26" ht="15.75" customHeight="1">
      <c r="A747" s="203">
        <v>124</v>
      </c>
      <c r="B747" s="203" t="s">
        <v>575</v>
      </c>
      <c r="C747" s="203" t="s">
        <v>576</v>
      </c>
      <c r="D747" s="204">
        <v>41001</v>
      </c>
      <c r="E747" s="14" t="s">
        <v>1985</v>
      </c>
      <c r="F747" s="184" t="str">
        <f>HYPERLINK("https://www.mercurynews.com/2012/04/03/oakland-university-shooting-oakland-family-grieves-for-young-mother-of-one-katleen-ping/","24")</f>
        <v>24</v>
      </c>
      <c r="G747" s="14">
        <v>1</v>
      </c>
      <c r="H747" s="184" t="str">
        <f>HYPERLINK("https://www.mercurynews.com/2012/04/03/oakland-university-shooting-oakland-family-grieves-for-young-mother-of-one-katleen-ping/","3")</f>
        <v>3</v>
      </c>
      <c r="I747" s="14">
        <v>1</v>
      </c>
      <c r="J747" s="14" t="s">
        <v>1986</v>
      </c>
      <c r="K747" s="14"/>
      <c r="L747" s="85"/>
      <c r="M747" s="85"/>
      <c r="N747" s="85"/>
      <c r="O747" s="85"/>
      <c r="P747" s="85"/>
      <c r="Q747" s="85"/>
      <c r="R747" s="85"/>
      <c r="S747" s="85"/>
      <c r="T747" s="85"/>
      <c r="U747" s="85"/>
      <c r="V747" s="85"/>
      <c r="W747" s="85"/>
      <c r="X747" s="85"/>
      <c r="Y747" s="85"/>
      <c r="Z747" s="85"/>
    </row>
    <row r="748" spans="1:26" ht="15.75" customHeight="1">
      <c r="A748" s="203">
        <v>124</v>
      </c>
      <c r="B748" s="203" t="s">
        <v>575</v>
      </c>
      <c r="C748" s="203" t="s">
        <v>576</v>
      </c>
      <c r="D748" s="204">
        <v>41001</v>
      </c>
      <c r="E748" s="14" t="s">
        <v>1987</v>
      </c>
      <c r="F748" s="184">
        <v>53</v>
      </c>
      <c r="G748" s="14">
        <v>1</v>
      </c>
      <c r="H748" s="184" t="str">
        <f>HYPERLINK("https://www.mercurynews.com/2012/04/03/oakland-university-shooting-willow-glen-mom-judith-seymour-killed-in-rampage/","1")</f>
        <v>1</v>
      </c>
      <c r="I748" s="14">
        <v>1</v>
      </c>
      <c r="J748" s="14" t="s">
        <v>1881</v>
      </c>
      <c r="K748" s="14"/>
      <c r="L748" s="85"/>
      <c r="M748" s="85"/>
      <c r="N748" s="85"/>
      <c r="O748" s="85"/>
      <c r="P748" s="85"/>
      <c r="Q748" s="85"/>
      <c r="R748" s="85"/>
      <c r="S748" s="85"/>
      <c r="T748" s="85"/>
      <c r="U748" s="85"/>
      <c r="V748" s="85"/>
      <c r="W748" s="85"/>
      <c r="X748" s="85"/>
      <c r="Y748" s="85"/>
      <c r="Z748" s="85"/>
    </row>
    <row r="749" spans="1:26" ht="15.75" customHeight="1">
      <c r="A749" s="203">
        <v>124</v>
      </c>
      <c r="B749" s="203" t="s">
        <v>575</v>
      </c>
      <c r="C749" s="203" t="s">
        <v>576</v>
      </c>
      <c r="D749" s="204">
        <v>41001</v>
      </c>
      <c r="E749" s="14" t="s">
        <v>1988</v>
      </c>
      <c r="F749" s="184">
        <v>21</v>
      </c>
      <c r="G749" s="14">
        <v>1</v>
      </c>
      <c r="H749" s="184" t="str">
        <f>HYPERLINK("https://www.mercurynews.com/2012/04/03/oakland-school-shooting-hayward-family-grieves-for-nursing-student-lydia-sim/","3")</f>
        <v>3</v>
      </c>
      <c r="I749" s="14">
        <v>1</v>
      </c>
      <c r="J749" s="14" t="s">
        <v>1881</v>
      </c>
      <c r="K749" s="14"/>
      <c r="L749" s="85"/>
      <c r="M749" s="85"/>
      <c r="N749" s="85"/>
      <c r="O749" s="85"/>
      <c r="P749" s="85"/>
      <c r="Q749" s="85"/>
      <c r="R749" s="85"/>
      <c r="S749" s="85"/>
      <c r="T749" s="85"/>
      <c r="U749" s="85"/>
      <c r="V749" s="85"/>
      <c r="W749" s="85"/>
      <c r="X749" s="85"/>
      <c r="Y749" s="85"/>
      <c r="Z749" s="85"/>
    </row>
    <row r="750" spans="1:26" ht="15.75" customHeight="1">
      <c r="A750" s="205">
        <v>125</v>
      </c>
      <c r="B750" s="205" t="s">
        <v>579</v>
      </c>
      <c r="C750" s="205" t="s">
        <v>580</v>
      </c>
      <c r="D750" s="206">
        <v>41059</v>
      </c>
      <c r="E750" s="14" t="s">
        <v>1989</v>
      </c>
      <c r="F750" s="184">
        <v>52</v>
      </c>
      <c r="G750" s="14">
        <v>0</v>
      </c>
      <c r="H750" s="184" t="str">
        <f>HYPERLINK("https://www.findagrave.com/memorial/91068283/joseph-vito-albanese","0")</f>
        <v>0</v>
      </c>
      <c r="I750" s="184">
        <v>1</v>
      </c>
      <c r="J750" s="14" t="s">
        <v>1535</v>
      </c>
      <c r="K750" s="14"/>
      <c r="L750" s="85"/>
      <c r="M750" s="85"/>
      <c r="N750" s="85"/>
      <c r="O750" s="85"/>
      <c r="P750" s="85"/>
      <c r="Q750" s="85"/>
      <c r="R750" s="85"/>
      <c r="S750" s="85"/>
      <c r="T750" s="85"/>
      <c r="U750" s="85"/>
      <c r="V750" s="85"/>
      <c r="W750" s="85"/>
      <c r="X750" s="85"/>
      <c r="Y750" s="85"/>
      <c r="Z750" s="85"/>
    </row>
    <row r="751" spans="1:26" ht="15.75" customHeight="1">
      <c r="A751" s="205">
        <v>125</v>
      </c>
      <c r="B751" s="205" t="s">
        <v>579</v>
      </c>
      <c r="C751" s="205" t="s">
        <v>580</v>
      </c>
      <c r="D751" s="206">
        <v>41059</v>
      </c>
      <c r="E751" s="14" t="s">
        <v>1990</v>
      </c>
      <c r="F751" s="184">
        <v>45</v>
      </c>
      <c r="G751" s="14">
        <v>0</v>
      </c>
      <c r="H751" s="184" t="str">
        <f>HYPERLINK("https://www.findagrave.com/memorial/91068257/andrew-thomas-keriakedes","0")</f>
        <v>0</v>
      </c>
      <c r="I751" s="184">
        <v>1</v>
      </c>
      <c r="J751" s="14" t="s">
        <v>1535</v>
      </c>
      <c r="K751" s="14"/>
      <c r="L751" s="85"/>
      <c r="M751" s="85"/>
      <c r="N751" s="85"/>
      <c r="O751" s="85"/>
      <c r="P751" s="85"/>
      <c r="Q751" s="85"/>
      <c r="R751" s="85"/>
      <c r="S751" s="85"/>
      <c r="T751" s="85"/>
      <c r="U751" s="85"/>
      <c r="V751" s="85"/>
      <c r="W751" s="85"/>
      <c r="X751" s="85"/>
      <c r="Y751" s="85"/>
      <c r="Z751" s="85"/>
    </row>
    <row r="752" spans="1:26" ht="15.75" customHeight="1">
      <c r="A752" s="205">
        <v>125</v>
      </c>
      <c r="B752" s="205" t="s">
        <v>579</v>
      </c>
      <c r="C752" s="205" t="s">
        <v>580</v>
      </c>
      <c r="D752" s="206">
        <v>41059</v>
      </c>
      <c r="E752" s="14" t="s">
        <v>1991</v>
      </c>
      <c r="F752" s="184">
        <v>57</v>
      </c>
      <c r="G752" s="14">
        <v>0</v>
      </c>
      <c r="H752" s="184" t="str">
        <f>HYPERLINK("https://www.findagrave.com/memorial/91144969/donald-b-largen","0")</f>
        <v>0</v>
      </c>
      <c r="I752" s="14">
        <v>0</v>
      </c>
      <c r="J752" s="14" t="s">
        <v>100</v>
      </c>
      <c r="K752" s="14"/>
      <c r="L752" s="85"/>
      <c r="M752" s="85"/>
      <c r="N752" s="85"/>
      <c r="O752" s="85"/>
      <c r="P752" s="85"/>
      <c r="Q752" s="85"/>
      <c r="R752" s="85"/>
      <c r="S752" s="85"/>
      <c r="T752" s="85"/>
      <c r="U752" s="85"/>
      <c r="V752" s="85"/>
      <c r="W752" s="85"/>
      <c r="X752" s="85"/>
      <c r="Y752" s="85"/>
      <c r="Z752" s="85"/>
    </row>
    <row r="753" spans="1:26" ht="15.75" customHeight="1">
      <c r="A753" s="205">
        <v>125</v>
      </c>
      <c r="B753" s="205" t="s">
        <v>579</v>
      </c>
      <c r="C753" s="205" t="s">
        <v>580</v>
      </c>
      <c r="D753" s="206">
        <v>41059</v>
      </c>
      <c r="E753" s="14" t="s">
        <v>1992</v>
      </c>
      <c r="F753" s="184">
        <v>38</v>
      </c>
      <c r="G753" s="14">
        <v>1</v>
      </c>
      <c r="H753" s="184" t="str">
        <f>HYPERLINK("https://www.seattletimes.com/seattle-news/local-actress-urban-planner-among-shooting-victims/","0")</f>
        <v>0</v>
      </c>
      <c r="I753" s="14">
        <v>0</v>
      </c>
      <c r="J753" s="14" t="s">
        <v>100</v>
      </c>
      <c r="K753" s="14"/>
      <c r="L753" s="85"/>
      <c r="M753" s="85"/>
      <c r="N753" s="85"/>
      <c r="O753" s="85"/>
      <c r="P753" s="85"/>
      <c r="Q753" s="85"/>
      <c r="R753" s="85"/>
      <c r="S753" s="85"/>
      <c r="T753" s="85"/>
      <c r="U753" s="85"/>
      <c r="V753" s="85"/>
      <c r="W753" s="85"/>
      <c r="X753" s="85"/>
      <c r="Y753" s="85"/>
      <c r="Z753" s="85"/>
    </row>
    <row r="754" spans="1:26" ht="15.75" customHeight="1">
      <c r="A754" s="205">
        <v>125</v>
      </c>
      <c r="B754" s="205" t="s">
        <v>579</v>
      </c>
      <c r="C754" s="205" t="s">
        <v>580</v>
      </c>
      <c r="D754" s="206">
        <v>41059</v>
      </c>
      <c r="E754" s="14" t="s">
        <v>1993</v>
      </c>
      <c r="F754" s="184">
        <v>52</v>
      </c>
      <c r="G754" s="14">
        <v>1</v>
      </c>
      <c r="H754" s="14">
        <v>0</v>
      </c>
      <c r="I754" s="14">
        <v>0</v>
      </c>
      <c r="J754" s="14" t="s">
        <v>100</v>
      </c>
      <c r="K754" s="14"/>
      <c r="L754" s="85"/>
      <c r="M754" s="85"/>
      <c r="N754" s="85"/>
      <c r="O754" s="85"/>
      <c r="P754" s="85"/>
      <c r="Q754" s="85"/>
      <c r="R754" s="85"/>
      <c r="S754" s="85"/>
      <c r="T754" s="85"/>
      <c r="U754" s="85"/>
      <c r="V754" s="85"/>
      <c r="W754" s="85"/>
      <c r="X754" s="85"/>
      <c r="Y754" s="85"/>
      <c r="Z754" s="85"/>
    </row>
    <row r="755" spans="1:26" ht="15.75" customHeight="1">
      <c r="A755" s="191">
        <v>126</v>
      </c>
      <c r="B755" s="191" t="s">
        <v>582</v>
      </c>
      <c r="C755" s="191" t="s">
        <v>221</v>
      </c>
      <c r="D755" s="192">
        <v>41110</v>
      </c>
      <c r="E755" s="14" t="s">
        <v>1994</v>
      </c>
      <c r="F755" s="184">
        <v>26</v>
      </c>
      <c r="G755" s="14">
        <v>0</v>
      </c>
      <c r="H755" s="14">
        <v>0</v>
      </c>
      <c r="I755" s="14">
        <v>0</v>
      </c>
      <c r="J755" s="14" t="s">
        <v>100</v>
      </c>
      <c r="K755" s="14"/>
      <c r="L755" s="85"/>
      <c r="M755" s="85"/>
      <c r="N755" s="85"/>
      <c r="O755" s="85"/>
      <c r="P755" s="85"/>
      <c r="Q755" s="85"/>
      <c r="R755" s="85"/>
      <c r="S755" s="85"/>
      <c r="T755" s="85"/>
      <c r="U755" s="85"/>
      <c r="V755" s="85"/>
      <c r="W755" s="85"/>
      <c r="X755" s="85"/>
      <c r="Y755" s="85"/>
      <c r="Z755" s="85"/>
    </row>
    <row r="756" spans="1:26" ht="15.75" customHeight="1">
      <c r="A756" s="191">
        <v>126</v>
      </c>
      <c r="B756" s="191" t="s">
        <v>582</v>
      </c>
      <c r="C756" s="191" t="s">
        <v>221</v>
      </c>
      <c r="D756" s="192">
        <v>41110</v>
      </c>
      <c r="E756" s="14" t="s">
        <v>1995</v>
      </c>
      <c r="F756" s="184">
        <v>18</v>
      </c>
      <c r="G756" s="14">
        <v>0</v>
      </c>
      <c r="H756" s="14">
        <v>0</v>
      </c>
      <c r="I756" s="14">
        <v>0</v>
      </c>
      <c r="J756" s="14" t="s">
        <v>100</v>
      </c>
      <c r="K756" s="14"/>
      <c r="L756" s="85"/>
      <c r="M756" s="85"/>
      <c r="N756" s="85"/>
      <c r="O756" s="85"/>
      <c r="P756" s="85"/>
      <c r="Q756" s="85"/>
      <c r="R756" s="85"/>
      <c r="S756" s="85"/>
      <c r="T756" s="85"/>
      <c r="U756" s="85"/>
      <c r="V756" s="85"/>
      <c r="W756" s="85"/>
      <c r="X756" s="85"/>
      <c r="Y756" s="85"/>
      <c r="Z756" s="85"/>
    </row>
    <row r="757" spans="1:26" ht="15.75" customHeight="1">
      <c r="A757" s="191">
        <v>126</v>
      </c>
      <c r="B757" s="191" t="s">
        <v>582</v>
      </c>
      <c r="C757" s="191" t="s">
        <v>221</v>
      </c>
      <c r="D757" s="192">
        <v>41110</v>
      </c>
      <c r="E757" s="14" t="s">
        <v>1996</v>
      </c>
      <c r="F757" s="14">
        <v>29</v>
      </c>
      <c r="G757" s="14">
        <v>0</v>
      </c>
      <c r="H757" s="14">
        <v>0</v>
      </c>
      <c r="I757" s="14">
        <v>0</v>
      </c>
      <c r="J757" s="14" t="s">
        <v>100</v>
      </c>
      <c r="K757" s="14"/>
      <c r="L757" s="85"/>
      <c r="M757" s="85"/>
      <c r="N757" s="85"/>
      <c r="O757" s="85"/>
      <c r="P757" s="85"/>
      <c r="Q757" s="85"/>
      <c r="R757" s="85"/>
      <c r="S757" s="85"/>
      <c r="T757" s="85"/>
      <c r="U757" s="85"/>
      <c r="V757" s="85"/>
      <c r="W757" s="85"/>
      <c r="X757" s="85"/>
      <c r="Y757" s="85"/>
      <c r="Z757" s="85"/>
    </row>
    <row r="758" spans="1:26" ht="15.75" customHeight="1">
      <c r="A758" s="191">
        <v>126</v>
      </c>
      <c r="B758" s="191" t="s">
        <v>582</v>
      </c>
      <c r="C758" s="191" t="s">
        <v>221</v>
      </c>
      <c r="D758" s="192">
        <v>41110</v>
      </c>
      <c r="E758" s="14" t="s">
        <v>1997</v>
      </c>
      <c r="F758" s="184">
        <v>51</v>
      </c>
      <c r="G758" s="14">
        <v>0</v>
      </c>
      <c r="H758" s="14">
        <v>0</v>
      </c>
      <c r="I758" s="14">
        <v>0</v>
      </c>
      <c r="J758" s="14" t="s">
        <v>100</v>
      </c>
      <c r="K758" s="14"/>
      <c r="L758" s="85"/>
      <c r="M758" s="85"/>
      <c r="N758" s="85"/>
      <c r="O758" s="85"/>
      <c r="P758" s="85"/>
      <c r="Q758" s="85"/>
      <c r="R758" s="85"/>
      <c r="S758" s="85"/>
      <c r="T758" s="85"/>
      <c r="U758" s="85"/>
      <c r="V758" s="85"/>
      <c r="W758" s="85"/>
      <c r="X758" s="85"/>
      <c r="Y758" s="85"/>
      <c r="Z758" s="85"/>
    </row>
    <row r="759" spans="1:26" ht="15.75" customHeight="1">
      <c r="A759" s="191">
        <v>126</v>
      </c>
      <c r="B759" s="191" t="s">
        <v>582</v>
      </c>
      <c r="C759" s="191" t="s">
        <v>221</v>
      </c>
      <c r="D759" s="192">
        <v>41110</v>
      </c>
      <c r="E759" s="14" t="s">
        <v>1998</v>
      </c>
      <c r="F759" s="184">
        <v>24</v>
      </c>
      <c r="G759" s="14">
        <v>1</v>
      </c>
      <c r="H759" s="14">
        <v>0</v>
      </c>
      <c r="I759" s="14">
        <v>0</v>
      </c>
      <c r="J759" s="14" t="s">
        <v>100</v>
      </c>
      <c r="K759" s="14"/>
      <c r="L759" s="85"/>
      <c r="M759" s="85"/>
      <c r="N759" s="85"/>
      <c r="O759" s="85"/>
      <c r="P759" s="85"/>
      <c r="Q759" s="85"/>
      <c r="R759" s="85"/>
      <c r="S759" s="85"/>
      <c r="T759" s="85"/>
      <c r="U759" s="85"/>
      <c r="V759" s="85"/>
      <c r="W759" s="85"/>
      <c r="X759" s="85"/>
      <c r="Y759" s="85"/>
      <c r="Z759" s="85"/>
    </row>
    <row r="760" spans="1:26" ht="15.75" customHeight="1">
      <c r="A760" s="191">
        <v>126</v>
      </c>
      <c r="B760" s="191" t="s">
        <v>582</v>
      </c>
      <c r="C760" s="191" t="s">
        <v>221</v>
      </c>
      <c r="D760" s="192">
        <v>41110</v>
      </c>
      <c r="E760" s="14" t="s">
        <v>1999</v>
      </c>
      <c r="F760" s="184">
        <v>27</v>
      </c>
      <c r="G760" s="14">
        <v>0</v>
      </c>
      <c r="H760" s="184">
        <v>0</v>
      </c>
      <c r="I760" s="14">
        <v>0</v>
      </c>
      <c r="J760" s="14" t="s">
        <v>100</v>
      </c>
      <c r="K760" s="14"/>
      <c r="L760" s="85"/>
      <c r="M760" s="85"/>
      <c r="N760" s="85"/>
      <c r="O760" s="85"/>
      <c r="P760" s="85"/>
      <c r="Q760" s="85"/>
      <c r="R760" s="85"/>
      <c r="S760" s="85"/>
      <c r="T760" s="85"/>
      <c r="U760" s="85"/>
      <c r="V760" s="85"/>
      <c r="W760" s="85"/>
      <c r="X760" s="85"/>
      <c r="Y760" s="85"/>
      <c r="Z760" s="85"/>
    </row>
    <row r="761" spans="1:26" ht="15.75" customHeight="1">
      <c r="A761" s="191">
        <v>126</v>
      </c>
      <c r="B761" s="191" t="s">
        <v>582</v>
      </c>
      <c r="C761" s="191" t="s">
        <v>221</v>
      </c>
      <c r="D761" s="192">
        <v>41110</v>
      </c>
      <c r="E761" s="14" t="s">
        <v>2000</v>
      </c>
      <c r="F761" s="184">
        <v>27</v>
      </c>
      <c r="G761" s="14">
        <v>0</v>
      </c>
      <c r="H761" s="14">
        <v>0</v>
      </c>
      <c r="I761" s="14">
        <v>0</v>
      </c>
      <c r="J761" s="14" t="s">
        <v>100</v>
      </c>
      <c r="K761" s="14"/>
      <c r="L761" s="85"/>
      <c r="M761" s="85"/>
      <c r="N761" s="85"/>
      <c r="O761" s="85"/>
      <c r="P761" s="85"/>
      <c r="Q761" s="85"/>
      <c r="R761" s="85"/>
      <c r="S761" s="85"/>
      <c r="T761" s="85"/>
      <c r="U761" s="85"/>
      <c r="V761" s="85"/>
      <c r="W761" s="85"/>
      <c r="X761" s="85"/>
      <c r="Y761" s="85"/>
      <c r="Z761" s="85"/>
    </row>
    <row r="762" spans="1:26" ht="15.75" customHeight="1">
      <c r="A762" s="191">
        <v>126</v>
      </c>
      <c r="B762" s="191" t="s">
        <v>582</v>
      </c>
      <c r="C762" s="191" t="s">
        <v>221</v>
      </c>
      <c r="D762" s="192">
        <v>41110</v>
      </c>
      <c r="E762" s="14" t="s">
        <v>2001</v>
      </c>
      <c r="F762" s="184">
        <v>23</v>
      </c>
      <c r="G762" s="14">
        <v>1</v>
      </c>
      <c r="H762" s="14">
        <v>0</v>
      </c>
      <c r="I762" s="14">
        <v>0</v>
      </c>
      <c r="J762" s="14" t="s">
        <v>100</v>
      </c>
      <c r="K762" s="14"/>
      <c r="L762" s="85"/>
      <c r="M762" s="85"/>
      <c r="N762" s="85"/>
      <c r="O762" s="85"/>
      <c r="P762" s="85"/>
      <c r="Q762" s="85"/>
      <c r="R762" s="85"/>
      <c r="S762" s="85"/>
      <c r="T762" s="85"/>
      <c r="U762" s="85"/>
      <c r="V762" s="85"/>
      <c r="W762" s="85"/>
      <c r="X762" s="85"/>
      <c r="Y762" s="85"/>
      <c r="Z762" s="85"/>
    </row>
    <row r="763" spans="1:26" ht="15.75" customHeight="1">
      <c r="A763" s="191">
        <v>126</v>
      </c>
      <c r="B763" s="191" t="s">
        <v>582</v>
      </c>
      <c r="C763" s="191" t="s">
        <v>221</v>
      </c>
      <c r="D763" s="192">
        <v>41110</v>
      </c>
      <c r="E763" s="14" t="s">
        <v>2002</v>
      </c>
      <c r="F763" s="184">
        <v>6</v>
      </c>
      <c r="G763" s="14">
        <v>1</v>
      </c>
      <c r="H763" s="14">
        <v>0</v>
      </c>
      <c r="I763" s="14">
        <v>0</v>
      </c>
      <c r="J763" s="14" t="s">
        <v>100</v>
      </c>
      <c r="K763" s="14"/>
      <c r="L763" s="85"/>
      <c r="M763" s="85"/>
      <c r="N763" s="85"/>
      <c r="O763" s="85"/>
      <c r="P763" s="85"/>
      <c r="Q763" s="85"/>
      <c r="R763" s="85"/>
      <c r="S763" s="85"/>
      <c r="T763" s="85"/>
      <c r="U763" s="85"/>
      <c r="V763" s="85"/>
      <c r="W763" s="85"/>
      <c r="X763" s="85"/>
      <c r="Y763" s="85"/>
      <c r="Z763" s="85"/>
    </row>
    <row r="764" spans="1:26" ht="15.75" customHeight="1">
      <c r="A764" s="191">
        <v>126</v>
      </c>
      <c r="B764" s="191" t="s">
        <v>582</v>
      </c>
      <c r="C764" s="191" t="s">
        <v>221</v>
      </c>
      <c r="D764" s="192">
        <v>41110</v>
      </c>
      <c r="E764" s="14" t="s">
        <v>2003</v>
      </c>
      <c r="F764" s="184">
        <v>27</v>
      </c>
      <c r="G764" s="14">
        <v>0</v>
      </c>
      <c r="H764" s="184">
        <v>0</v>
      </c>
      <c r="I764" s="14">
        <v>0</v>
      </c>
      <c r="J764" s="14" t="s">
        <v>100</v>
      </c>
      <c r="K764" s="14"/>
      <c r="L764" s="85"/>
      <c r="M764" s="85"/>
      <c r="N764" s="85"/>
      <c r="O764" s="85"/>
      <c r="P764" s="85"/>
      <c r="Q764" s="85"/>
      <c r="R764" s="85"/>
      <c r="S764" s="85"/>
      <c r="T764" s="85"/>
      <c r="U764" s="85"/>
      <c r="V764" s="85"/>
      <c r="W764" s="85"/>
      <c r="X764" s="85"/>
      <c r="Y764" s="85"/>
      <c r="Z764" s="85"/>
    </row>
    <row r="765" spans="1:26" ht="15.75" customHeight="1">
      <c r="A765" s="191">
        <v>126</v>
      </c>
      <c r="B765" s="191" t="s">
        <v>582</v>
      </c>
      <c r="C765" s="191" t="s">
        <v>221</v>
      </c>
      <c r="D765" s="192">
        <v>41110</v>
      </c>
      <c r="E765" s="14" t="s">
        <v>2004</v>
      </c>
      <c r="F765" s="184">
        <v>24</v>
      </c>
      <c r="G765" s="14">
        <v>0</v>
      </c>
      <c r="H765" s="14">
        <v>0</v>
      </c>
      <c r="I765" s="14">
        <v>0</v>
      </c>
      <c r="J765" s="14" t="s">
        <v>100</v>
      </c>
      <c r="K765" s="14"/>
      <c r="L765" s="85"/>
      <c r="M765" s="85"/>
      <c r="N765" s="85"/>
      <c r="O765" s="85"/>
      <c r="P765" s="85"/>
      <c r="Q765" s="85"/>
      <c r="R765" s="85"/>
      <c r="S765" s="85"/>
      <c r="T765" s="85"/>
      <c r="U765" s="85"/>
      <c r="V765" s="85"/>
      <c r="W765" s="85"/>
      <c r="X765" s="85"/>
      <c r="Y765" s="85"/>
      <c r="Z765" s="85"/>
    </row>
    <row r="766" spans="1:26" ht="15.75" customHeight="1">
      <c r="A766" s="191">
        <v>126</v>
      </c>
      <c r="B766" s="191" t="s">
        <v>582</v>
      </c>
      <c r="C766" s="191" t="s">
        <v>221</v>
      </c>
      <c r="D766" s="192">
        <v>41110</v>
      </c>
      <c r="E766" s="14" t="s">
        <v>2005</v>
      </c>
      <c r="F766" s="184">
        <v>32</v>
      </c>
      <c r="G766" s="14">
        <v>1</v>
      </c>
      <c r="H766" s="14">
        <v>0</v>
      </c>
      <c r="I766" s="14">
        <v>0</v>
      </c>
      <c r="J766" s="14" t="s">
        <v>100</v>
      </c>
      <c r="K766" s="14"/>
      <c r="L766" s="85"/>
      <c r="M766" s="85"/>
      <c r="N766" s="85"/>
      <c r="O766" s="85"/>
      <c r="P766" s="85"/>
      <c r="Q766" s="85"/>
      <c r="R766" s="85"/>
      <c r="S766" s="85"/>
      <c r="T766" s="85"/>
      <c r="U766" s="85"/>
      <c r="V766" s="85"/>
      <c r="W766" s="85"/>
      <c r="X766" s="85"/>
      <c r="Y766" s="85"/>
      <c r="Z766" s="85"/>
    </row>
    <row r="767" spans="1:26" ht="15.75" customHeight="1">
      <c r="A767" s="193">
        <v>127</v>
      </c>
      <c r="B767" s="193" t="s">
        <v>586</v>
      </c>
      <c r="C767" s="193" t="s">
        <v>587</v>
      </c>
      <c r="D767" s="194">
        <v>41126</v>
      </c>
      <c r="E767" s="14" t="s">
        <v>2006</v>
      </c>
      <c r="F767" s="184">
        <v>65</v>
      </c>
      <c r="G767" s="14">
        <v>0</v>
      </c>
      <c r="H767" s="14">
        <v>3</v>
      </c>
      <c r="I767" s="14">
        <v>0</v>
      </c>
      <c r="J767" s="14" t="s">
        <v>100</v>
      </c>
      <c r="K767" s="14"/>
      <c r="L767" s="85"/>
      <c r="M767" s="85"/>
      <c r="N767" s="85"/>
      <c r="O767" s="85"/>
      <c r="P767" s="85"/>
      <c r="Q767" s="85"/>
      <c r="R767" s="85"/>
      <c r="S767" s="85"/>
      <c r="T767" s="85"/>
      <c r="U767" s="85"/>
      <c r="V767" s="85"/>
      <c r="W767" s="85"/>
      <c r="X767" s="85"/>
      <c r="Y767" s="85"/>
      <c r="Z767" s="85"/>
    </row>
    <row r="768" spans="1:26" ht="15.75" customHeight="1">
      <c r="A768" s="193">
        <v>127</v>
      </c>
      <c r="B768" s="193" t="s">
        <v>586</v>
      </c>
      <c r="C768" s="193" t="s">
        <v>587</v>
      </c>
      <c r="D768" s="194">
        <v>41126</v>
      </c>
      <c r="E768" s="14" t="s">
        <v>2007</v>
      </c>
      <c r="F768" s="184">
        <v>41</v>
      </c>
      <c r="G768" s="14">
        <v>1</v>
      </c>
      <c r="H768" s="14">
        <v>3</v>
      </c>
      <c r="I768" s="14">
        <v>0</v>
      </c>
      <c r="J768" s="14" t="s">
        <v>100</v>
      </c>
      <c r="K768" s="14"/>
      <c r="L768" s="85"/>
      <c r="M768" s="85"/>
      <c r="N768" s="85"/>
      <c r="O768" s="85"/>
      <c r="P768" s="85"/>
      <c r="Q768" s="85"/>
      <c r="R768" s="85"/>
      <c r="S768" s="85"/>
      <c r="T768" s="85"/>
      <c r="U768" s="85"/>
      <c r="V768" s="85"/>
      <c r="W768" s="85"/>
      <c r="X768" s="85"/>
      <c r="Y768" s="85"/>
      <c r="Z768" s="85"/>
    </row>
    <row r="769" spans="1:26" ht="15.75" customHeight="1">
      <c r="A769" s="193">
        <v>127</v>
      </c>
      <c r="B769" s="193" t="s">
        <v>586</v>
      </c>
      <c r="C769" s="193" t="s">
        <v>587</v>
      </c>
      <c r="D769" s="194">
        <v>41126</v>
      </c>
      <c r="E769" s="14" t="s">
        <v>2008</v>
      </c>
      <c r="F769" s="184">
        <v>39</v>
      </c>
      <c r="G769" s="14">
        <v>0</v>
      </c>
      <c r="H769" s="14">
        <v>3</v>
      </c>
      <c r="I769" s="14">
        <v>0</v>
      </c>
      <c r="J769" s="14" t="s">
        <v>100</v>
      </c>
      <c r="K769" s="14"/>
      <c r="L769" s="85"/>
      <c r="M769" s="85"/>
      <c r="N769" s="85"/>
      <c r="O769" s="85"/>
      <c r="P769" s="85"/>
      <c r="Q769" s="85"/>
      <c r="R769" s="85"/>
      <c r="S769" s="85"/>
      <c r="T769" s="85"/>
      <c r="U769" s="85"/>
      <c r="V769" s="85"/>
      <c r="W769" s="85"/>
      <c r="X769" s="85"/>
      <c r="Y769" s="85"/>
      <c r="Z769" s="85"/>
    </row>
    <row r="770" spans="1:26" ht="15.75" customHeight="1">
      <c r="A770" s="193">
        <v>127</v>
      </c>
      <c r="B770" s="193" t="s">
        <v>586</v>
      </c>
      <c r="C770" s="193" t="s">
        <v>587</v>
      </c>
      <c r="D770" s="194">
        <v>41126</v>
      </c>
      <c r="E770" s="14" t="s">
        <v>2009</v>
      </c>
      <c r="F770" s="184">
        <v>49</v>
      </c>
      <c r="G770" s="14">
        <v>0</v>
      </c>
      <c r="H770" s="14">
        <v>3</v>
      </c>
      <c r="I770" s="14">
        <v>0</v>
      </c>
      <c r="J770" s="14" t="s">
        <v>100</v>
      </c>
      <c r="K770" s="14"/>
      <c r="L770" s="85"/>
      <c r="M770" s="85"/>
      <c r="N770" s="85"/>
      <c r="O770" s="85"/>
      <c r="P770" s="85"/>
      <c r="Q770" s="85"/>
      <c r="R770" s="85"/>
      <c r="S770" s="85"/>
      <c r="T770" s="85"/>
      <c r="U770" s="85"/>
      <c r="V770" s="85"/>
      <c r="W770" s="85"/>
      <c r="X770" s="85"/>
      <c r="Y770" s="85"/>
      <c r="Z770" s="85"/>
    </row>
    <row r="771" spans="1:26" ht="15.75" customHeight="1">
      <c r="A771" s="193">
        <v>127</v>
      </c>
      <c r="B771" s="193" t="s">
        <v>586</v>
      </c>
      <c r="C771" s="193" t="s">
        <v>587</v>
      </c>
      <c r="D771" s="194">
        <v>41126</v>
      </c>
      <c r="E771" s="14" t="s">
        <v>2010</v>
      </c>
      <c r="F771" s="184">
        <v>41</v>
      </c>
      <c r="G771" s="14">
        <v>0</v>
      </c>
      <c r="H771" s="14">
        <v>3</v>
      </c>
      <c r="I771" s="14">
        <v>0</v>
      </c>
      <c r="J771" s="14" t="s">
        <v>100</v>
      </c>
      <c r="K771" s="14"/>
      <c r="L771" s="85"/>
      <c r="M771" s="85"/>
      <c r="N771" s="85"/>
      <c r="O771" s="85"/>
      <c r="P771" s="85"/>
      <c r="Q771" s="85"/>
      <c r="R771" s="85"/>
      <c r="S771" s="85"/>
      <c r="T771" s="85"/>
      <c r="U771" s="85"/>
      <c r="V771" s="85"/>
      <c r="W771" s="85"/>
      <c r="X771" s="85"/>
      <c r="Y771" s="85"/>
      <c r="Z771" s="85"/>
    </row>
    <row r="772" spans="1:26" ht="15.75" customHeight="1">
      <c r="A772" s="193">
        <v>127</v>
      </c>
      <c r="B772" s="193" t="s">
        <v>586</v>
      </c>
      <c r="C772" s="193" t="s">
        <v>587</v>
      </c>
      <c r="D772" s="194">
        <v>41126</v>
      </c>
      <c r="E772" s="14" t="s">
        <v>2011</v>
      </c>
      <c r="F772" s="184">
        <v>84</v>
      </c>
      <c r="G772" s="14">
        <v>0</v>
      </c>
      <c r="H772" s="14">
        <v>3</v>
      </c>
      <c r="I772" s="14">
        <v>0</v>
      </c>
      <c r="J772" s="14" t="s">
        <v>100</v>
      </c>
      <c r="K772" s="14"/>
      <c r="L772" s="85"/>
      <c r="M772" s="85"/>
      <c r="N772" s="85"/>
      <c r="O772" s="85"/>
      <c r="P772" s="85"/>
      <c r="Q772" s="85"/>
      <c r="R772" s="85"/>
      <c r="S772" s="85"/>
      <c r="T772" s="85"/>
      <c r="U772" s="85"/>
      <c r="V772" s="85"/>
      <c r="W772" s="85"/>
      <c r="X772" s="85"/>
      <c r="Y772" s="85"/>
      <c r="Z772" s="85"/>
    </row>
    <row r="773" spans="1:26" ht="15.75" customHeight="1">
      <c r="A773" s="201">
        <v>128</v>
      </c>
      <c r="B773" s="201" t="s">
        <v>590</v>
      </c>
      <c r="C773" s="201" t="s">
        <v>367</v>
      </c>
      <c r="D773" s="202">
        <v>41179</v>
      </c>
      <c r="E773" s="14" t="s">
        <v>2012</v>
      </c>
      <c r="F773" s="184">
        <v>50</v>
      </c>
      <c r="G773" s="14">
        <v>0</v>
      </c>
      <c r="H773" s="184">
        <v>0</v>
      </c>
      <c r="I773" s="14">
        <v>0</v>
      </c>
      <c r="J773" s="14" t="s">
        <v>100</v>
      </c>
      <c r="K773" s="14"/>
      <c r="L773" s="85"/>
      <c r="M773" s="85"/>
      <c r="N773" s="85"/>
      <c r="O773" s="85"/>
      <c r="P773" s="85"/>
      <c r="Q773" s="85"/>
      <c r="R773" s="85"/>
      <c r="S773" s="85"/>
      <c r="T773" s="85"/>
      <c r="U773" s="85"/>
      <c r="V773" s="85"/>
      <c r="W773" s="85"/>
      <c r="X773" s="85"/>
      <c r="Y773" s="85"/>
      <c r="Z773" s="85"/>
    </row>
    <row r="774" spans="1:26" ht="15.75" customHeight="1">
      <c r="A774" s="201">
        <v>128</v>
      </c>
      <c r="B774" s="201" t="s">
        <v>590</v>
      </c>
      <c r="C774" s="201" t="s">
        <v>367</v>
      </c>
      <c r="D774" s="202">
        <v>41179</v>
      </c>
      <c r="E774" s="14" t="s">
        <v>2013</v>
      </c>
      <c r="F774" s="184">
        <v>34</v>
      </c>
      <c r="G774" s="14">
        <v>0</v>
      </c>
      <c r="H774" s="184">
        <v>0</v>
      </c>
      <c r="I774" s="14">
        <v>1</v>
      </c>
      <c r="J774" s="14" t="s">
        <v>1175</v>
      </c>
      <c r="K774" s="14"/>
      <c r="L774" s="85"/>
      <c r="M774" s="85"/>
      <c r="N774" s="85"/>
      <c r="O774" s="85"/>
      <c r="P774" s="85"/>
      <c r="Q774" s="85"/>
      <c r="R774" s="85"/>
      <c r="S774" s="85"/>
      <c r="T774" s="85"/>
      <c r="U774" s="85"/>
      <c r="V774" s="85"/>
      <c r="W774" s="85"/>
      <c r="X774" s="85"/>
      <c r="Y774" s="85"/>
      <c r="Z774" s="85"/>
    </row>
    <row r="775" spans="1:26" ht="15.75" customHeight="1">
      <c r="A775" s="201">
        <v>128</v>
      </c>
      <c r="B775" s="201" t="s">
        <v>590</v>
      </c>
      <c r="C775" s="201" t="s">
        <v>367</v>
      </c>
      <c r="D775" s="202">
        <v>41179</v>
      </c>
      <c r="E775" s="14" t="s">
        <v>2014</v>
      </c>
      <c r="F775" s="184">
        <v>62</v>
      </c>
      <c r="G775" s="14">
        <v>0</v>
      </c>
      <c r="H775" s="184" t="str">
        <f>HYPERLINK("https://www.findagrave.com/memorial/97943575/rami-cooks","0")</f>
        <v>0</v>
      </c>
      <c r="I775" s="184">
        <v>1</v>
      </c>
      <c r="J775" s="14" t="s">
        <v>1179</v>
      </c>
      <c r="K775" s="14"/>
      <c r="L775" s="85"/>
      <c r="M775" s="85"/>
      <c r="N775" s="85"/>
      <c r="O775" s="85"/>
      <c r="P775" s="85"/>
      <c r="Q775" s="85"/>
      <c r="R775" s="85"/>
      <c r="S775" s="85"/>
      <c r="T775" s="85"/>
      <c r="U775" s="85"/>
      <c r="V775" s="85"/>
      <c r="W775" s="85"/>
      <c r="X775" s="85"/>
      <c r="Y775" s="85"/>
      <c r="Z775" s="85"/>
    </row>
    <row r="776" spans="1:26" ht="15.75" customHeight="1">
      <c r="A776" s="201">
        <v>128</v>
      </c>
      <c r="B776" s="201" t="s">
        <v>590</v>
      </c>
      <c r="C776" s="201" t="s">
        <v>367</v>
      </c>
      <c r="D776" s="202">
        <v>41179</v>
      </c>
      <c r="E776" s="14" t="s">
        <v>2015</v>
      </c>
      <c r="F776" s="184">
        <v>58</v>
      </c>
      <c r="G776" s="14">
        <v>0</v>
      </c>
      <c r="H776" s="184">
        <v>0</v>
      </c>
      <c r="I776" s="14">
        <v>1</v>
      </c>
      <c r="J776" s="14" t="s">
        <v>1175</v>
      </c>
      <c r="K776" s="14"/>
      <c r="L776" s="85"/>
      <c r="M776" s="85"/>
      <c r="N776" s="85"/>
      <c r="O776" s="85"/>
      <c r="P776" s="85"/>
      <c r="Q776" s="85"/>
      <c r="R776" s="85"/>
      <c r="S776" s="85"/>
      <c r="T776" s="85"/>
      <c r="U776" s="85"/>
      <c r="V776" s="85"/>
      <c r="W776" s="85"/>
      <c r="X776" s="85"/>
      <c r="Y776" s="85"/>
      <c r="Z776" s="85"/>
    </row>
    <row r="777" spans="1:26" ht="15.75" customHeight="1">
      <c r="A777" s="201">
        <v>128</v>
      </c>
      <c r="B777" s="201" t="s">
        <v>590</v>
      </c>
      <c r="C777" s="201" t="s">
        <v>367</v>
      </c>
      <c r="D777" s="202">
        <v>41179</v>
      </c>
      <c r="E777" s="14" t="s">
        <v>2016</v>
      </c>
      <c r="F777" s="184">
        <v>61</v>
      </c>
      <c r="G777" s="14">
        <v>0</v>
      </c>
      <c r="H777" s="184">
        <v>4</v>
      </c>
      <c r="I777" s="14">
        <v>1</v>
      </c>
      <c r="J777" s="14" t="s">
        <v>2017</v>
      </c>
      <c r="K777" s="14"/>
      <c r="L777" s="85"/>
      <c r="M777" s="85"/>
      <c r="N777" s="85"/>
      <c r="O777" s="85"/>
      <c r="P777" s="85"/>
      <c r="Q777" s="85"/>
      <c r="R777" s="85"/>
      <c r="S777" s="85"/>
      <c r="T777" s="85"/>
      <c r="U777" s="85"/>
      <c r="V777" s="85"/>
      <c r="W777" s="85"/>
      <c r="X777" s="85"/>
      <c r="Y777" s="85"/>
      <c r="Z777" s="85"/>
    </row>
    <row r="778" spans="1:26" ht="15.75" customHeight="1">
      <c r="A778" s="201">
        <v>128</v>
      </c>
      <c r="B778" s="201" t="s">
        <v>590</v>
      </c>
      <c r="C778" s="201" t="s">
        <v>367</v>
      </c>
      <c r="D778" s="202">
        <v>41179</v>
      </c>
      <c r="E778" s="14" t="s">
        <v>2018</v>
      </c>
      <c r="F778" s="184">
        <v>42</v>
      </c>
      <c r="G778" s="14">
        <v>0</v>
      </c>
      <c r="H778" s="184">
        <v>0</v>
      </c>
      <c r="I778" s="14">
        <v>1</v>
      </c>
      <c r="J778" s="14" t="s">
        <v>1175</v>
      </c>
      <c r="K778" s="14"/>
      <c r="L778" s="85"/>
      <c r="M778" s="85"/>
      <c r="N778" s="85"/>
      <c r="O778" s="85"/>
      <c r="P778" s="85"/>
      <c r="Q778" s="85"/>
      <c r="R778" s="85"/>
      <c r="S778" s="85"/>
      <c r="T778" s="85"/>
      <c r="U778" s="85"/>
      <c r="V778" s="85"/>
      <c r="W778" s="85"/>
      <c r="X778" s="85"/>
      <c r="Y778" s="85"/>
      <c r="Z778" s="85"/>
    </row>
    <row r="779" spans="1:26" ht="15.75" customHeight="1">
      <c r="A779" s="195">
        <v>129</v>
      </c>
      <c r="B779" s="195" t="s">
        <v>592</v>
      </c>
      <c r="C779" s="195" t="s">
        <v>593</v>
      </c>
      <c r="D779" s="196">
        <v>41257</v>
      </c>
      <c r="E779" s="14" t="s">
        <v>2019</v>
      </c>
      <c r="F779" s="184">
        <v>29</v>
      </c>
      <c r="G779" s="14">
        <v>1</v>
      </c>
      <c r="H779" s="14">
        <v>0</v>
      </c>
      <c r="I779" s="14">
        <v>0</v>
      </c>
      <c r="J779" s="14" t="s">
        <v>100</v>
      </c>
      <c r="K779" s="14"/>
      <c r="L779" s="85"/>
      <c r="M779" s="85"/>
      <c r="N779" s="85"/>
      <c r="O779" s="85"/>
      <c r="P779" s="85"/>
      <c r="Q779" s="85"/>
      <c r="R779" s="85"/>
      <c r="S779" s="85"/>
      <c r="T779" s="85"/>
      <c r="U779" s="85"/>
      <c r="V779" s="85"/>
      <c r="W779" s="85"/>
      <c r="X779" s="85"/>
      <c r="Y779" s="85"/>
      <c r="Z779" s="85"/>
    </row>
    <row r="780" spans="1:26" ht="15.75" customHeight="1">
      <c r="A780" s="195">
        <v>129</v>
      </c>
      <c r="B780" s="195" t="s">
        <v>592</v>
      </c>
      <c r="C780" s="195" t="s">
        <v>593</v>
      </c>
      <c r="D780" s="196">
        <v>41257</v>
      </c>
      <c r="E780" s="14" t="s">
        <v>2020</v>
      </c>
      <c r="F780" s="184">
        <v>47</v>
      </c>
      <c r="G780" s="14">
        <v>1</v>
      </c>
      <c r="H780" s="14">
        <v>0</v>
      </c>
      <c r="I780" s="14">
        <v>0</v>
      </c>
      <c r="J780" s="14" t="s">
        <v>100</v>
      </c>
      <c r="K780" s="14"/>
      <c r="L780" s="85"/>
      <c r="M780" s="85"/>
      <c r="N780" s="85"/>
      <c r="O780" s="85"/>
      <c r="P780" s="85"/>
      <c r="Q780" s="85"/>
      <c r="R780" s="85"/>
      <c r="S780" s="85"/>
      <c r="T780" s="85"/>
      <c r="U780" s="85"/>
      <c r="V780" s="85"/>
      <c r="W780" s="85"/>
      <c r="X780" s="85"/>
      <c r="Y780" s="85"/>
      <c r="Z780" s="85"/>
    </row>
    <row r="781" spans="1:26" ht="15.75" customHeight="1">
      <c r="A781" s="195">
        <v>129</v>
      </c>
      <c r="B781" s="195" t="s">
        <v>592</v>
      </c>
      <c r="C781" s="195" t="s">
        <v>593</v>
      </c>
      <c r="D781" s="196">
        <v>41257</v>
      </c>
      <c r="E781" s="14" t="s">
        <v>2021</v>
      </c>
      <c r="F781" s="184">
        <v>52</v>
      </c>
      <c r="G781" s="14">
        <v>1</v>
      </c>
      <c r="H781" s="14">
        <v>0</v>
      </c>
      <c r="I781" s="14">
        <v>1</v>
      </c>
      <c r="J781" s="14" t="s">
        <v>1152</v>
      </c>
      <c r="K781" s="14"/>
      <c r="L781" s="85"/>
      <c r="M781" s="85"/>
      <c r="N781" s="85"/>
      <c r="O781" s="85"/>
      <c r="P781" s="85"/>
      <c r="Q781" s="85"/>
      <c r="R781" s="85"/>
      <c r="S781" s="85"/>
      <c r="T781" s="85"/>
      <c r="U781" s="85"/>
      <c r="V781" s="85"/>
      <c r="W781" s="85"/>
      <c r="X781" s="85"/>
      <c r="Y781" s="85"/>
      <c r="Z781" s="85"/>
    </row>
    <row r="782" spans="1:26" ht="15.75" customHeight="1">
      <c r="A782" s="195">
        <v>129</v>
      </c>
      <c r="B782" s="195" t="s">
        <v>592</v>
      </c>
      <c r="C782" s="195" t="s">
        <v>593</v>
      </c>
      <c r="D782" s="196">
        <v>41257</v>
      </c>
      <c r="E782" s="14" t="s">
        <v>2022</v>
      </c>
      <c r="F782" s="184">
        <v>52</v>
      </c>
      <c r="G782" s="14">
        <v>1</v>
      </c>
      <c r="H782" s="14">
        <v>0</v>
      </c>
      <c r="I782" s="14">
        <v>0</v>
      </c>
      <c r="J782" s="14" t="s">
        <v>100</v>
      </c>
      <c r="K782" s="14"/>
      <c r="L782" s="85"/>
      <c r="M782" s="85"/>
      <c r="N782" s="85"/>
      <c r="O782" s="85"/>
      <c r="P782" s="85"/>
      <c r="Q782" s="85"/>
      <c r="R782" s="85"/>
      <c r="S782" s="85"/>
      <c r="T782" s="85"/>
      <c r="U782" s="85"/>
      <c r="V782" s="85"/>
      <c r="W782" s="85"/>
      <c r="X782" s="85"/>
      <c r="Y782" s="85"/>
      <c r="Z782" s="85"/>
    </row>
    <row r="783" spans="1:26" ht="15.75" customHeight="1">
      <c r="A783" s="195">
        <v>129</v>
      </c>
      <c r="B783" s="195" t="s">
        <v>592</v>
      </c>
      <c r="C783" s="195" t="s">
        <v>593</v>
      </c>
      <c r="D783" s="196">
        <v>41257</v>
      </c>
      <c r="E783" s="14" t="s">
        <v>2023</v>
      </c>
      <c r="F783" s="184">
        <v>30</v>
      </c>
      <c r="G783" s="14">
        <v>1</v>
      </c>
      <c r="H783" s="14">
        <v>0</v>
      </c>
      <c r="I783" s="14">
        <v>0</v>
      </c>
      <c r="J783" s="14" t="s">
        <v>100</v>
      </c>
      <c r="K783" s="14"/>
      <c r="L783" s="85"/>
      <c r="M783" s="85"/>
      <c r="N783" s="85"/>
      <c r="O783" s="85"/>
      <c r="P783" s="85"/>
      <c r="Q783" s="85"/>
      <c r="R783" s="85"/>
      <c r="S783" s="85"/>
      <c r="T783" s="85"/>
      <c r="U783" s="85"/>
      <c r="V783" s="85"/>
      <c r="W783" s="85"/>
      <c r="X783" s="85"/>
      <c r="Y783" s="85"/>
      <c r="Z783" s="85"/>
    </row>
    <row r="784" spans="1:26" ht="15.75" customHeight="1">
      <c r="A784" s="195">
        <v>129</v>
      </c>
      <c r="B784" s="195" t="s">
        <v>592</v>
      </c>
      <c r="C784" s="195" t="s">
        <v>593</v>
      </c>
      <c r="D784" s="196">
        <v>41257</v>
      </c>
      <c r="E784" s="14" t="s">
        <v>2024</v>
      </c>
      <c r="F784" s="14">
        <v>56</v>
      </c>
      <c r="G784" s="14">
        <v>1</v>
      </c>
      <c r="H784" s="14">
        <v>0</v>
      </c>
      <c r="I784" s="14">
        <v>0</v>
      </c>
      <c r="J784" s="14" t="s">
        <v>100</v>
      </c>
      <c r="K784" s="14"/>
      <c r="L784" s="85"/>
      <c r="M784" s="85"/>
      <c r="N784" s="85"/>
      <c r="O784" s="85"/>
      <c r="P784" s="85"/>
      <c r="Q784" s="85"/>
      <c r="R784" s="85"/>
      <c r="S784" s="85"/>
      <c r="T784" s="85"/>
      <c r="U784" s="85"/>
      <c r="V784" s="85"/>
      <c r="W784" s="85"/>
      <c r="X784" s="85"/>
      <c r="Y784" s="85"/>
      <c r="Z784" s="85"/>
    </row>
    <row r="785" spans="1:26" ht="15.75" customHeight="1">
      <c r="A785" s="195">
        <v>129</v>
      </c>
      <c r="B785" s="195" t="s">
        <v>592</v>
      </c>
      <c r="C785" s="195" t="s">
        <v>593</v>
      </c>
      <c r="D785" s="196">
        <v>41257</v>
      </c>
      <c r="E785" s="14" t="s">
        <v>2025</v>
      </c>
      <c r="F785" s="184">
        <v>27</v>
      </c>
      <c r="G785" s="14">
        <v>1</v>
      </c>
      <c r="H785" s="14">
        <v>0</v>
      </c>
      <c r="I785" s="14">
        <v>0</v>
      </c>
      <c r="J785" s="14" t="s">
        <v>100</v>
      </c>
      <c r="K785" s="14"/>
      <c r="L785" s="85"/>
      <c r="M785" s="85"/>
      <c r="N785" s="85"/>
      <c r="O785" s="85"/>
      <c r="P785" s="85"/>
      <c r="Q785" s="85"/>
      <c r="R785" s="85"/>
      <c r="S785" s="85"/>
      <c r="T785" s="85"/>
      <c r="U785" s="85"/>
      <c r="V785" s="85"/>
      <c r="W785" s="85"/>
      <c r="X785" s="85"/>
      <c r="Y785" s="85"/>
      <c r="Z785" s="85"/>
    </row>
    <row r="786" spans="1:26" ht="15.75" customHeight="1">
      <c r="A786" s="195">
        <v>129</v>
      </c>
      <c r="B786" s="195" t="s">
        <v>592</v>
      </c>
      <c r="C786" s="195" t="s">
        <v>593</v>
      </c>
      <c r="D786" s="196">
        <v>41257</v>
      </c>
      <c r="E786" s="14" t="s">
        <v>2026</v>
      </c>
      <c r="F786" s="184">
        <v>6</v>
      </c>
      <c r="G786" s="14">
        <v>1</v>
      </c>
      <c r="H786" s="14">
        <v>0</v>
      </c>
      <c r="I786" s="14">
        <v>0</v>
      </c>
      <c r="J786" s="14" t="s">
        <v>100</v>
      </c>
      <c r="K786" s="14"/>
      <c r="L786" s="85"/>
      <c r="M786" s="85"/>
      <c r="N786" s="85"/>
      <c r="O786" s="85"/>
      <c r="P786" s="85"/>
      <c r="Q786" s="85"/>
      <c r="R786" s="85"/>
      <c r="S786" s="85"/>
      <c r="T786" s="85"/>
      <c r="U786" s="85"/>
      <c r="V786" s="85"/>
      <c r="W786" s="85"/>
      <c r="X786" s="85"/>
      <c r="Y786" s="85"/>
      <c r="Z786" s="85"/>
    </row>
    <row r="787" spans="1:26" ht="15.75" customHeight="1">
      <c r="A787" s="195">
        <v>129</v>
      </c>
      <c r="B787" s="195" t="s">
        <v>592</v>
      </c>
      <c r="C787" s="195" t="s">
        <v>593</v>
      </c>
      <c r="D787" s="196">
        <v>41257</v>
      </c>
      <c r="E787" s="14" t="s">
        <v>2027</v>
      </c>
      <c r="F787" s="184">
        <v>7</v>
      </c>
      <c r="G787" s="14">
        <v>0</v>
      </c>
      <c r="H787" s="14">
        <v>0</v>
      </c>
      <c r="I787" s="14">
        <v>0</v>
      </c>
      <c r="J787" s="14" t="s">
        <v>100</v>
      </c>
      <c r="K787" s="14"/>
      <c r="L787" s="85"/>
      <c r="M787" s="85"/>
      <c r="N787" s="85"/>
      <c r="O787" s="85"/>
      <c r="P787" s="85"/>
      <c r="Q787" s="85"/>
      <c r="R787" s="85"/>
      <c r="S787" s="85"/>
      <c r="T787" s="85"/>
      <c r="U787" s="85"/>
      <c r="V787" s="85"/>
      <c r="W787" s="85"/>
      <c r="X787" s="85"/>
      <c r="Y787" s="85"/>
      <c r="Z787" s="85"/>
    </row>
    <row r="788" spans="1:26" ht="15.75" customHeight="1">
      <c r="A788" s="195">
        <v>129</v>
      </c>
      <c r="B788" s="195" t="s">
        <v>592</v>
      </c>
      <c r="C788" s="195" t="s">
        <v>593</v>
      </c>
      <c r="D788" s="196">
        <v>41257</v>
      </c>
      <c r="E788" s="14" t="s">
        <v>2028</v>
      </c>
      <c r="F788" s="184">
        <v>6</v>
      </c>
      <c r="G788" s="14">
        <v>1</v>
      </c>
      <c r="H788" s="14">
        <v>0</v>
      </c>
      <c r="I788" s="14">
        <v>0</v>
      </c>
      <c r="J788" s="14" t="s">
        <v>100</v>
      </c>
      <c r="K788" s="14"/>
      <c r="L788" s="85"/>
      <c r="M788" s="85"/>
      <c r="N788" s="85"/>
      <c r="O788" s="85"/>
      <c r="P788" s="85"/>
      <c r="Q788" s="85"/>
      <c r="R788" s="85"/>
      <c r="S788" s="85"/>
      <c r="T788" s="85"/>
      <c r="U788" s="85"/>
      <c r="V788" s="85"/>
      <c r="W788" s="85"/>
      <c r="X788" s="85"/>
      <c r="Y788" s="85"/>
      <c r="Z788" s="85"/>
    </row>
    <row r="789" spans="1:26" ht="15.75" customHeight="1">
      <c r="A789" s="195">
        <v>129</v>
      </c>
      <c r="B789" s="195" t="s">
        <v>592</v>
      </c>
      <c r="C789" s="195" t="s">
        <v>593</v>
      </c>
      <c r="D789" s="196">
        <v>41257</v>
      </c>
      <c r="E789" s="14" t="s">
        <v>2029</v>
      </c>
      <c r="F789" s="184">
        <v>7</v>
      </c>
      <c r="G789" s="14">
        <v>1</v>
      </c>
      <c r="H789" s="14">
        <v>0</v>
      </c>
      <c r="I789" s="14">
        <v>0</v>
      </c>
      <c r="J789" s="14" t="s">
        <v>100</v>
      </c>
      <c r="K789" s="14"/>
      <c r="L789" s="85"/>
      <c r="M789" s="85"/>
      <c r="N789" s="85"/>
      <c r="O789" s="85"/>
      <c r="P789" s="85"/>
      <c r="Q789" s="85"/>
      <c r="R789" s="85"/>
      <c r="S789" s="85"/>
      <c r="T789" s="85"/>
      <c r="U789" s="85"/>
      <c r="V789" s="85"/>
      <c r="W789" s="85"/>
      <c r="X789" s="85"/>
      <c r="Y789" s="85"/>
      <c r="Z789" s="85"/>
    </row>
    <row r="790" spans="1:26" ht="15.75" customHeight="1">
      <c r="A790" s="195">
        <v>129</v>
      </c>
      <c r="B790" s="195" t="s">
        <v>592</v>
      </c>
      <c r="C790" s="195" t="s">
        <v>593</v>
      </c>
      <c r="D790" s="196">
        <v>41257</v>
      </c>
      <c r="E790" s="14" t="s">
        <v>2030</v>
      </c>
      <c r="F790" s="184">
        <v>6</v>
      </c>
      <c r="G790" s="14">
        <v>0</v>
      </c>
      <c r="H790" s="184">
        <v>0</v>
      </c>
      <c r="I790" s="14">
        <v>0</v>
      </c>
      <c r="J790" s="14" t="s">
        <v>100</v>
      </c>
      <c r="K790" s="14"/>
      <c r="L790" s="85"/>
      <c r="M790" s="85"/>
      <c r="N790" s="85"/>
      <c r="O790" s="85"/>
      <c r="P790" s="85"/>
      <c r="Q790" s="85"/>
      <c r="R790" s="85"/>
      <c r="S790" s="85"/>
      <c r="T790" s="85"/>
      <c r="U790" s="85"/>
      <c r="V790" s="85"/>
      <c r="W790" s="85"/>
      <c r="X790" s="85"/>
      <c r="Y790" s="85"/>
      <c r="Z790" s="85"/>
    </row>
    <row r="791" spans="1:26" ht="15.75" customHeight="1">
      <c r="A791" s="195">
        <v>129</v>
      </c>
      <c r="B791" s="195" t="s">
        <v>592</v>
      </c>
      <c r="C791" s="195" t="s">
        <v>593</v>
      </c>
      <c r="D791" s="196">
        <v>41257</v>
      </c>
      <c r="E791" s="14" t="s">
        <v>2031</v>
      </c>
      <c r="F791" s="184">
        <v>6</v>
      </c>
      <c r="G791" s="184">
        <v>1</v>
      </c>
      <c r="H791" s="184">
        <v>3</v>
      </c>
      <c r="I791" s="14">
        <v>0</v>
      </c>
      <c r="J791" s="14" t="s">
        <v>100</v>
      </c>
      <c r="K791" s="14"/>
      <c r="L791" s="85"/>
      <c r="M791" s="85"/>
      <c r="N791" s="85"/>
      <c r="O791" s="85"/>
      <c r="P791" s="85"/>
      <c r="Q791" s="85"/>
      <c r="R791" s="85"/>
      <c r="S791" s="85"/>
      <c r="T791" s="85"/>
      <c r="U791" s="85"/>
      <c r="V791" s="85"/>
      <c r="W791" s="85"/>
      <c r="X791" s="85"/>
      <c r="Y791" s="85"/>
      <c r="Z791" s="85"/>
    </row>
    <row r="792" spans="1:26" ht="15.75" customHeight="1">
      <c r="A792" s="195">
        <v>129</v>
      </c>
      <c r="B792" s="195" t="s">
        <v>592</v>
      </c>
      <c r="C792" s="195" t="s">
        <v>593</v>
      </c>
      <c r="D792" s="196">
        <v>41257</v>
      </c>
      <c r="E792" s="14" t="s">
        <v>2032</v>
      </c>
      <c r="F792" s="184">
        <v>6</v>
      </c>
      <c r="G792" s="14">
        <v>1</v>
      </c>
      <c r="H792" s="14">
        <v>0</v>
      </c>
      <c r="I792" s="14">
        <v>0</v>
      </c>
      <c r="J792" s="14" t="s">
        <v>100</v>
      </c>
      <c r="K792" s="14"/>
      <c r="L792" s="85"/>
      <c r="M792" s="85"/>
      <c r="N792" s="85"/>
      <c r="O792" s="85"/>
      <c r="P792" s="85"/>
      <c r="Q792" s="85"/>
      <c r="R792" s="85"/>
      <c r="S792" s="85"/>
      <c r="T792" s="85"/>
      <c r="U792" s="85"/>
      <c r="V792" s="85"/>
      <c r="W792" s="85"/>
      <c r="X792" s="85"/>
      <c r="Y792" s="85"/>
      <c r="Z792" s="85"/>
    </row>
    <row r="793" spans="1:26" ht="15.75" customHeight="1">
      <c r="A793" s="195">
        <v>129</v>
      </c>
      <c r="B793" s="195" t="s">
        <v>592</v>
      </c>
      <c r="C793" s="195" t="s">
        <v>593</v>
      </c>
      <c r="D793" s="196">
        <v>41257</v>
      </c>
      <c r="E793" s="14" t="s">
        <v>2033</v>
      </c>
      <c r="F793" s="184">
        <v>7</v>
      </c>
      <c r="G793" s="14">
        <v>0</v>
      </c>
      <c r="H793" s="184">
        <v>0</v>
      </c>
      <c r="I793" s="14">
        <v>0</v>
      </c>
      <c r="J793" s="14" t="s">
        <v>100</v>
      </c>
      <c r="K793" s="14"/>
      <c r="L793" s="85"/>
      <c r="M793" s="85"/>
      <c r="N793" s="85"/>
      <c r="O793" s="85"/>
      <c r="P793" s="85"/>
      <c r="Q793" s="85"/>
      <c r="R793" s="85"/>
      <c r="S793" s="85"/>
      <c r="T793" s="85"/>
      <c r="U793" s="85"/>
      <c r="V793" s="85"/>
      <c r="W793" s="85"/>
      <c r="X793" s="85"/>
      <c r="Y793" s="85"/>
      <c r="Z793" s="85"/>
    </row>
    <row r="794" spans="1:26" ht="15.75" customHeight="1">
      <c r="A794" s="195">
        <v>129</v>
      </c>
      <c r="B794" s="195" t="s">
        <v>592</v>
      </c>
      <c r="C794" s="195" t="s">
        <v>593</v>
      </c>
      <c r="D794" s="196">
        <v>41257</v>
      </c>
      <c r="E794" s="14" t="s">
        <v>2034</v>
      </c>
      <c r="F794" s="184">
        <v>6</v>
      </c>
      <c r="G794" s="14">
        <v>0</v>
      </c>
      <c r="H794" s="14">
        <v>0</v>
      </c>
      <c r="I794" s="14">
        <v>0</v>
      </c>
      <c r="J794" s="14" t="s">
        <v>100</v>
      </c>
      <c r="K794" s="14"/>
      <c r="L794" s="85"/>
      <c r="M794" s="85"/>
      <c r="N794" s="85"/>
      <c r="O794" s="85"/>
      <c r="P794" s="85"/>
      <c r="Q794" s="85"/>
      <c r="R794" s="85"/>
      <c r="S794" s="85"/>
      <c r="T794" s="85"/>
      <c r="U794" s="85"/>
      <c r="V794" s="85"/>
      <c r="W794" s="85"/>
      <c r="X794" s="85"/>
      <c r="Y794" s="85"/>
      <c r="Z794" s="85"/>
    </row>
    <row r="795" spans="1:26" ht="15.75" customHeight="1">
      <c r="A795" s="195">
        <v>129</v>
      </c>
      <c r="B795" s="195" t="s">
        <v>592</v>
      </c>
      <c r="C795" s="195" t="s">
        <v>593</v>
      </c>
      <c r="D795" s="196">
        <v>41257</v>
      </c>
      <c r="E795" s="14" t="s">
        <v>2035</v>
      </c>
      <c r="F795" s="184">
        <v>6</v>
      </c>
      <c r="G795" s="14">
        <v>1</v>
      </c>
      <c r="H795" s="14">
        <v>1</v>
      </c>
      <c r="I795" s="14">
        <v>0</v>
      </c>
      <c r="J795" s="14" t="s">
        <v>100</v>
      </c>
      <c r="K795" s="14"/>
      <c r="L795" s="85"/>
      <c r="M795" s="85"/>
      <c r="N795" s="85"/>
      <c r="O795" s="85"/>
      <c r="P795" s="85"/>
      <c r="Q795" s="85"/>
      <c r="R795" s="85"/>
      <c r="S795" s="85"/>
      <c r="T795" s="85"/>
      <c r="U795" s="85"/>
      <c r="V795" s="85"/>
      <c r="W795" s="85"/>
      <c r="X795" s="85"/>
      <c r="Y795" s="85"/>
      <c r="Z795" s="85"/>
    </row>
    <row r="796" spans="1:26" ht="15.75" customHeight="1">
      <c r="A796" s="195">
        <v>129</v>
      </c>
      <c r="B796" s="195" t="s">
        <v>592</v>
      </c>
      <c r="C796" s="195" t="s">
        <v>593</v>
      </c>
      <c r="D796" s="196">
        <v>41257</v>
      </c>
      <c r="E796" s="14" t="s">
        <v>2036</v>
      </c>
      <c r="F796" s="14">
        <v>6</v>
      </c>
      <c r="G796" s="14">
        <v>0</v>
      </c>
      <c r="H796" s="14">
        <v>0</v>
      </c>
      <c r="I796" s="14">
        <v>0</v>
      </c>
      <c r="J796" s="14" t="s">
        <v>100</v>
      </c>
      <c r="K796" s="14"/>
      <c r="L796" s="85"/>
      <c r="M796" s="85"/>
      <c r="N796" s="85"/>
      <c r="O796" s="85"/>
      <c r="P796" s="85"/>
      <c r="Q796" s="85"/>
      <c r="R796" s="85"/>
      <c r="S796" s="85"/>
      <c r="T796" s="85"/>
      <c r="U796" s="85"/>
      <c r="V796" s="85"/>
      <c r="W796" s="85"/>
      <c r="X796" s="85"/>
      <c r="Y796" s="85"/>
      <c r="Z796" s="85"/>
    </row>
    <row r="797" spans="1:26" ht="15.75" customHeight="1">
      <c r="A797" s="195">
        <v>129</v>
      </c>
      <c r="B797" s="195" t="s">
        <v>592</v>
      </c>
      <c r="C797" s="195" t="s">
        <v>593</v>
      </c>
      <c r="D797" s="196">
        <v>41257</v>
      </c>
      <c r="E797" s="14" t="s">
        <v>2037</v>
      </c>
      <c r="F797" s="184">
        <v>7</v>
      </c>
      <c r="G797" s="14">
        <v>1</v>
      </c>
      <c r="H797" s="14">
        <v>0</v>
      </c>
      <c r="I797" s="14">
        <v>0</v>
      </c>
      <c r="J797" s="14" t="s">
        <v>100</v>
      </c>
      <c r="K797" s="14"/>
      <c r="L797" s="85"/>
      <c r="M797" s="85"/>
      <c r="N797" s="85"/>
      <c r="O797" s="85"/>
      <c r="P797" s="85"/>
      <c r="Q797" s="85"/>
      <c r="R797" s="85"/>
      <c r="S797" s="85"/>
      <c r="T797" s="85"/>
      <c r="U797" s="85"/>
      <c r="V797" s="85"/>
      <c r="W797" s="85"/>
      <c r="X797" s="85"/>
      <c r="Y797" s="85"/>
      <c r="Z797" s="85"/>
    </row>
    <row r="798" spans="1:26" ht="15.75" customHeight="1">
      <c r="A798" s="195">
        <v>129</v>
      </c>
      <c r="B798" s="195" t="s">
        <v>592</v>
      </c>
      <c r="C798" s="195" t="s">
        <v>593</v>
      </c>
      <c r="D798" s="196">
        <v>41257</v>
      </c>
      <c r="E798" s="14" t="s">
        <v>2038</v>
      </c>
      <c r="F798" s="184">
        <v>6</v>
      </c>
      <c r="G798" s="14">
        <v>1</v>
      </c>
      <c r="H798" s="14">
        <v>0</v>
      </c>
      <c r="I798" s="14">
        <v>0</v>
      </c>
      <c r="J798" s="14" t="s">
        <v>100</v>
      </c>
      <c r="K798" s="14"/>
      <c r="L798" s="85"/>
      <c r="M798" s="85"/>
      <c r="N798" s="85"/>
      <c r="O798" s="85"/>
      <c r="P798" s="85"/>
      <c r="Q798" s="85"/>
      <c r="R798" s="85"/>
      <c r="S798" s="85"/>
      <c r="T798" s="85"/>
      <c r="U798" s="85"/>
      <c r="V798" s="85"/>
      <c r="W798" s="85"/>
      <c r="X798" s="85"/>
      <c r="Y798" s="85"/>
      <c r="Z798" s="85"/>
    </row>
    <row r="799" spans="1:26" ht="15.75" customHeight="1">
      <c r="A799" s="195">
        <v>129</v>
      </c>
      <c r="B799" s="195" t="s">
        <v>592</v>
      </c>
      <c r="C799" s="195" t="s">
        <v>593</v>
      </c>
      <c r="D799" s="196">
        <v>41257</v>
      </c>
      <c r="E799" s="14" t="s">
        <v>2039</v>
      </c>
      <c r="F799" s="184">
        <v>6</v>
      </c>
      <c r="G799" s="14">
        <v>0</v>
      </c>
      <c r="H799" s="184">
        <v>0</v>
      </c>
      <c r="I799" s="14">
        <v>0</v>
      </c>
      <c r="J799" s="14" t="s">
        <v>100</v>
      </c>
      <c r="K799" s="14"/>
      <c r="L799" s="85"/>
      <c r="M799" s="85"/>
      <c r="N799" s="85"/>
      <c r="O799" s="85"/>
      <c r="P799" s="85"/>
      <c r="Q799" s="85"/>
      <c r="R799" s="85"/>
      <c r="S799" s="85"/>
      <c r="T799" s="85"/>
      <c r="U799" s="85"/>
      <c r="V799" s="85"/>
      <c r="W799" s="85"/>
      <c r="X799" s="85"/>
      <c r="Y799" s="85"/>
      <c r="Z799" s="85"/>
    </row>
    <row r="800" spans="1:26" ht="15.75" customHeight="1">
      <c r="A800" s="195">
        <v>129</v>
      </c>
      <c r="B800" s="195" t="s">
        <v>592</v>
      </c>
      <c r="C800" s="195" t="s">
        <v>593</v>
      </c>
      <c r="D800" s="196">
        <v>41257</v>
      </c>
      <c r="E800" s="14" t="s">
        <v>2040</v>
      </c>
      <c r="F800" s="184">
        <v>6</v>
      </c>
      <c r="G800" s="14">
        <v>0</v>
      </c>
      <c r="H800" s="14">
        <v>0</v>
      </c>
      <c r="I800" s="14">
        <v>0</v>
      </c>
      <c r="J800" s="14" t="s">
        <v>100</v>
      </c>
      <c r="K800" s="14"/>
      <c r="L800" s="85"/>
      <c r="M800" s="85"/>
      <c r="N800" s="85"/>
      <c r="O800" s="85"/>
      <c r="P800" s="85"/>
      <c r="Q800" s="85"/>
      <c r="R800" s="85"/>
      <c r="S800" s="85"/>
      <c r="T800" s="85"/>
      <c r="U800" s="85"/>
      <c r="V800" s="85"/>
      <c r="W800" s="85"/>
      <c r="X800" s="85"/>
      <c r="Y800" s="85"/>
      <c r="Z800" s="85"/>
    </row>
    <row r="801" spans="1:26" ht="15.75" customHeight="1">
      <c r="A801" s="195">
        <v>129</v>
      </c>
      <c r="B801" s="195" t="s">
        <v>592</v>
      </c>
      <c r="C801" s="195" t="s">
        <v>593</v>
      </c>
      <c r="D801" s="196">
        <v>41257</v>
      </c>
      <c r="E801" s="14" t="s">
        <v>2041</v>
      </c>
      <c r="F801" s="184">
        <v>6</v>
      </c>
      <c r="G801" s="14">
        <v>1</v>
      </c>
      <c r="H801" s="14">
        <v>0</v>
      </c>
      <c r="I801" s="14">
        <v>0</v>
      </c>
      <c r="J801" s="14" t="s">
        <v>100</v>
      </c>
      <c r="K801" s="14"/>
      <c r="L801" s="85"/>
      <c r="M801" s="85"/>
      <c r="N801" s="85"/>
      <c r="O801" s="85"/>
      <c r="P801" s="85"/>
      <c r="Q801" s="85"/>
      <c r="R801" s="85"/>
      <c r="S801" s="85"/>
      <c r="T801" s="85"/>
      <c r="U801" s="85"/>
      <c r="V801" s="85"/>
      <c r="W801" s="85"/>
      <c r="X801" s="85"/>
      <c r="Y801" s="85"/>
      <c r="Z801" s="85"/>
    </row>
    <row r="802" spans="1:26" ht="15.75" customHeight="1">
      <c r="A802" s="195">
        <v>129</v>
      </c>
      <c r="B802" s="195" t="s">
        <v>592</v>
      </c>
      <c r="C802" s="195" t="s">
        <v>593</v>
      </c>
      <c r="D802" s="196">
        <v>41257</v>
      </c>
      <c r="E802" s="14" t="s">
        <v>2042</v>
      </c>
      <c r="F802" s="184">
        <v>6</v>
      </c>
      <c r="G802" s="14">
        <v>1</v>
      </c>
      <c r="H802" s="14">
        <v>0</v>
      </c>
      <c r="I802" s="14">
        <v>0</v>
      </c>
      <c r="J802" s="14" t="s">
        <v>100</v>
      </c>
      <c r="K802" s="14"/>
      <c r="L802" s="85"/>
      <c r="M802" s="85"/>
      <c r="N802" s="85"/>
      <c r="O802" s="85"/>
      <c r="P802" s="85"/>
      <c r="Q802" s="85"/>
      <c r="R802" s="85"/>
      <c r="S802" s="85"/>
      <c r="T802" s="85"/>
      <c r="U802" s="85"/>
      <c r="V802" s="85"/>
      <c r="W802" s="85"/>
      <c r="X802" s="85"/>
      <c r="Y802" s="85"/>
      <c r="Z802" s="85"/>
    </row>
    <row r="803" spans="1:26" ht="15.75" customHeight="1">
      <c r="A803" s="195">
        <v>129</v>
      </c>
      <c r="B803" s="195" t="s">
        <v>592</v>
      </c>
      <c r="C803" s="195" t="s">
        <v>593</v>
      </c>
      <c r="D803" s="196">
        <v>41257</v>
      </c>
      <c r="E803" s="14" t="s">
        <v>2043</v>
      </c>
      <c r="F803" s="184">
        <v>6</v>
      </c>
      <c r="G803" s="14">
        <v>1</v>
      </c>
      <c r="H803" s="14">
        <v>0</v>
      </c>
      <c r="I803" s="14">
        <v>0</v>
      </c>
      <c r="J803" s="14" t="s">
        <v>100</v>
      </c>
      <c r="K803" s="14"/>
      <c r="L803" s="85"/>
      <c r="M803" s="85"/>
      <c r="N803" s="85"/>
      <c r="O803" s="85"/>
      <c r="P803" s="85"/>
      <c r="Q803" s="85"/>
      <c r="R803" s="85"/>
      <c r="S803" s="85"/>
      <c r="T803" s="85"/>
      <c r="U803" s="85"/>
      <c r="V803" s="85"/>
      <c r="W803" s="85"/>
      <c r="X803" s="85"/>
      <c r="Y803" s="85"/>
      <c r="Z803" s="85"/>
    </row>
    <row r="804" spans="1:26" ht="15.75" customHeight="1">
      <c r="A804" s="195">
        <v>129</v>
      </c>
      <c r="B804" s="195" t="s">
        <v>592</v>
      </c>
      <c r="C804" s="195" t="s">
        <v>593</v>
      </c>
      <c r="D804" s="196">
        <v>41257</v>
      </c>
      <c r="E804" s="14" t="s">
        <v>2044</v>
      </c>
      <c r="F804" s="184">
        <v>6</v>
      </c>
      <c r="G804" s="14">
        <v>0</v>
      </c>
      <c r="H804" s="184">
        <v>0</v>
      </c>
      <c r="I804" s="14">
        <v>0</v>
      </c>
      <c r="J804" s="14" t="s">
        <v>100</v>
      </c>
      <c r="K804" s="14"/>
      <c r="L804" s="85"/>
      <c r="M804" s="85"/>
      <c r="N804" s="85"/>
      <c r="O804" s="85"/>
      <c r="P804" s="85"/>
      <c r="Q804" s="85"/>
      <c r="R804" s="85"/>
      <c r="S804" s="85"/>
      <c r="T804" s="85"/>
      <c r="U804" s="85"/>
      <c r="V804" s="85"/>
      <c r="W804" s="85"/>
      <c r="X804" s="85"/>
      <c r="Y804" s="85"/>
      <c r="Z804" s="85"/>
    </row>
    <row r="805" spans="1:26" ht="15.75" customHeight="1">
      <c r="A805" s="195">
        <v>129</v>
      </c>
      <c r="B805" s="195" t="s">
        <v>592</v>
      </c>
      <c r="C805" s="195" t="s">
        <v>593</v>
      </c>
      <c r="D805" s="196">
        <v>41257</v>
      </c>
      <c r="E805" s="14" t="s">
        <v>2045</v>
      </c>
      <c r="F805" s="184">
        <v>6</v>
      </c>
      <c r="G805" s="14">
        <v>1</v>
      </c>
      <c r="H805" s="14">
        <v>0</v>
      </c>
      <c r="I805" s="14">
        <v>0</v>
      </c>
      <c r="J805" s="14" t="s">
        <v>100</v>
      </c>
      <c r="K805" s="14"/>
      <c r="L805" s="85"/>
      <c r="M805" s="85"/>
      <c r="N805" s="85"/>
      <c r="O805" s="85"/>
      <c r="P805" s="85"/>
      <c r="Q805" s="85"/>
      <c r="R805" s="85"/>
      <c r="S805" s="85"/>
      <c r="T805" s="85"/>
      <c r="U805" s="85"/>
      <c r="V805" s="85"/>
      <c r="W805" s="85"/>
      <c r="X805" s="85"/>
      <c r="Y805" s="85"/>
      <c r="Z805" s="85"/>
    </row>
    <row r="806" spans="1:26" ht="15.75" customHeight="1">
      <c r="A806" s="197">
        <v>130</v>
      </c>
      <c r="B806" s="197" t="s">
        <v>597</v>
      </c>
      <c r="C806" s="197" t="s">
        <v>598</v>
      </c>
      <c r="D806" s="198">
        <v>41346</v>
      </c>
      <c r="E806" s="14" t="s">
        <v>2046</v>
      </c>
      <c r="F806" s="184">
        <v>68</v>
      </c>
      <c r="G806" s="14">
        <v>0</v>
      </c>
      <c r="H806" s="184">
        <v>0</v>
      </c>
      <c r="I806" s="14">
        <v>0</v>
      </c>
      <c r="J806" s="14" t="s">
        <v>100</v>
      </c>
      <c r="K806" s="14"/>
      <c r="L806" s="85"/>
      <c r="M806" s="85"/>
      <c r="N806" s="85"/>
      <c r="O806" s="85"/>
      <c r="P806" s="85"/>
      <c r="Q806" s="85"/>
      <c r="R806" s="85"/>
      <c r="S806" s="85"/>
      <c r="T806" s="85"/>
      <c r="U806" s="85"/>
      <c r="V806" s="85"/>
      <c r="W806" s="85"/>
      <c r="X806" s="85"/>
      <c r="Y806" s="85"/>
      <c r="Z806" s="85"/>
    </row>
    <row r="807" spans="1:26" ht="15.75" customHeight="1">
      <c r="A807" s="197">
        <v>130</v>
      </c>
      <c r="B807" s="197" t="s">
        <v>597</v>
      </c>
      <c r="C807" s="197" t="s">
        <v>598</v>
      </c>
      <c r="D807" s="198">
        <v>41346</v>
      </c>
      <c r="E807" s="14" t="s">
        <v>2047</v>
      </c>
      <c r="F807" s="184">
        <v>57</v>
      </c>
      <c r="G807" s="14">
        <v>0</v>
      </c>
      <c r="H807" s="184">
        <v>0</v>
      </c>
      <c r="I807" s="14">
        <v>0</v>
      </c>
      <c r="J807" s="14" t="s">
        <v>100</v>
      </c>
      <c r="K807" s="14"/>
      <c r="L807" s="85"/>
      <c r="M807" s="85"/>
      <c r="N807" s="85"/>
      <c r="O807" s="85"/>
      <c r="P807" s="85"/>
      <c r="Q807" s="85"/>
      <c r="R807" s="85"/>
      <c r="S807" s="85"/>
      <c r="T807" s="85"/>
      <c r="U807" s="85"/>
      <c r="V807" s="85"/>
      <c r="W807" s="85"/>
      <c r="X807" s="85"/>
      <c r="Y807" s="85"/>
      <c r="Z807" s="85"/>
    </row>
    <row r="808" spans="1:26" ht="15.75" customHeight="1">
      <c r="A808" s="197">
        <v>130</v>
      </c>
      <c r="B808" s="197" t="s">
        <v>597</v>
      </c>
      <c r="C808" s="197" t="s">
        <v>598</v>
      </c>
      <c r="D808" s="198">
        <v>41346</v>
      </c>
      <c r="E808" s="14" t="s">
        <v>2048</v>
      </c>
      <c r="F808" s="184">
        <v>51</v>
      </c>
      <c r="G808" s="14">
        <v>0</v>
      </c>
      <c r="H808" s="184">
        <v>0</v>
      </c>
      <c r="I808" s="14">
        <v>0</v>
      </c>
      <c r="J808" s="14" t="s">
        <v>100</v>
      </c>
      <c r="K808" s="14"/>
      <c r="L808" s="85"/>
      <c r="M808" s="85"/>
      <c r="N808" s="85"/>
      <c r="O808" s="85"/>
      <c r="P808" s="85"/>
      <c r="Q808" s="85"/>
      <c r="R808" s="85"/>
      <c r="S808" s="85"/>
      <c r="T808" s="85"/>
      <c r="U808" s="85"/>
      <c r="V808" s="85"/>
      <c r="W808" s="85"/>
      <c r="X808" s="85"/>
      <c r="Y808" s="85"/>
      <c r="Z808" s="85"/>
    </row>
    <row r="809" spans="1:26" ht="15.75" customHeight="1">
      <c r="A809" s="197">
        <v>130</v>
      </c>
      <c r="B809" s="197" t="s">
        <v>597</v>
      </c>
      <c r="C809" s="197" t="s">
        <v>598</v>
      </c>
      <c r="D809" s="198">
        <v>41346</v>
      </c>
      <c r="E809" s="14" t="s">
        <v>2049</v>
      </c>
      <c r="F809" s="184">
        <v>62</v>
      </c>
      <c r="G809" s="14">
        <v>0</v>
      </c>
      <c r="H809" s="184">
        <v>0</v>
      </c>
      <c r="I809" s="14">
        <v>0</v>
      </c>
      <c r="J809" s="14" t="s">
        <v>100</v>
      </c>
      <c r="K809" s="14"/>
      <c r="L809" s="85"/>
      <c r="M809" s="85"/>
      <c r="N809" s="85"/>
      <c r="O809" s="85"/>
      <c r="P809" s="85"/>
      <c r="Q809" s="85"/>
      <c r="R809" s="85"/>
      <c r="S809" s="85"/>
      <c r="T809" s="85"/>
      <c r="U809" s="85"/>
      <c r="V809" s="85"/>
      <c r="W809" s="85"/>
      <c r="X809" s="85"/>
      <c r="Y809" s="85"/>
      <c r="Z809" s="85"/>
    </row>
    <row r="810" spans="1:26" ht="15.75" customHeight="1">
      <c r="A810" s="207">
        <v>131</v>
      </c>
      <c r="B810" s="207" t="s">
        <v>601</v>
      </c>
      <c r="C810" s="207" t="s">
        <v>602</v>
      </c>
      <c r="D810" s="208">
        <v>41385</v>
      </c>
      <c r="E810" s="14" t="s">
        <v>2050</v>
      </c>
      <c r="F810" s="184">
        <v>24</v>
      </c>
      <c r="G810" s="14">
        <v>1</v>
      </c>
      <c r="H810" s="14">
        <v>0</v>
      </c>
      <c r="I810" s="14">
        <v>1</v>
      </c>
      <c r="J810" s="14" t="s">
        <v>2051</v>
      </c>
      <c r="K810" s="14"/>
      <c r="L810" s="85"/>
      <c r="M810" s="85"/>
      <c r="N810" s="85"/>
      <c r="O810" s="85"/>
      <c r="P810" s="85"/>
      <c r="Q810" s="85"/>
      <c r="R810" s="85"/>
      <c r="S810" s="85"/>
      <c r="T810" s="85"/>
      <c r="U810" s="85"/>
      <c r="V810" s="85"/>
      <c r="W810" s="85"/>
      <c r="X810" s="85"/>
      <c r="Y810" s="85"/>
      <c r="Z810" s="85"/>
    </row>
    <row r="811" spans="1:26" ht="15.75" customHeight="1">
      <c r="A811" s="207">
        <v>131</v>
      </c>
      <c r="B811" s="207" t="s">
        <v>601</v>
      </c>
      <c r="C811" s="207" t="s">
        <v>602</v>
      </c>
      <c r="D811" s="208">
        <v>41385</v>
      </c>
      <c r="E811" s="14" t="s">
        <v>2052</v>
      </c>
      <c r="F811" s="184">
        <v>47</v>
      </c>
      <c r="G811" s="14">
        <v>0</v>
      </c>
      <c r="H811" s="14"/>
      <c r="I811" s="14">
        <v>0</v>
      </c>
      <c r="J811" s="14" t="s">
        <v>100</v>
      </c>
      <c r="K811" s="14"/>
      <c r="L811" s="85"/>
      <c r="M811" s="85"/>
      <c r="N811" s="85"/>
      <c r="O811" s="85"/>
      <c r="P811" s="85"/>
      <c r="Q811" s="85"/>
      <c r="R811" s="85"/>
      <c r="S811" s="85"/>
      <c r="T811" s="85"/>
      <c r="U811" s="85"/>
      <c r="V811" s="85"/>
      <c r="W811" s="85"/>
      <c r="X811" s="85"/>
      <c r="Y811" s="85"/>
      <c r="Z811" s="85"/>
    </row>
    <row r="812" spans="1:26" ht="15.75" customHeight="1">
      <c r="A812" s="207">
        <v>131</v>
      </c>
      <c r="B812" s="207" t="s">
        <v>601</v>
      </c>
      <c r="C812" s="207" t="s">
        <v>602</v>
      </c>
      <c r="D812" s="208">
        <v>41385</v>
      </c>
      <c r="E812" s="14" t="s">
        <v>2053</v>
      </c>
      <c r="F812" s="184">
        <v>62</v>
      </c>
      <c r="G812" s="14">
        <v>0</v>
      </c>
      <c r="H812" s="14"/>
      <c r="I812" s="14">
        <v>0</v>
      </c>
      <c r="J812" s="14" t="s">
        <v>100</v>
      </c>
      <c r="K812" s="14"/>
      <c r="L812" s="85"/>
      <c r="M812" s="85"/>
      <c r="N812" s="85"/>
      <c r="O812" s="85"/>
      <c r="P812" s="85"/>
      <c r="Q812" s="85"/>
      <c r="R812" s="85"/>
      <c r="S812" s="85"/>
      <c r="T812" s="85"/>
      <c r="U812" s="85"/>
      <c r="V812" s="85"/>
      <c r="W812" s="85"/>
      <c r="X812" s="85"/>
      <c r="Y812" s="85"/>
      <c r="Z812" s="85"/>
    </row>
    <row r="813" spans="1:26" ht="15.75" customHeight="1">
      <c r="A813" s="207">
        <v>131</v>
      </c>
      <c r="B813" s="207" t="s">
        <v>601</v>
      </c>
      <c r="C813" s="207" t="s">
        <v>602</v>
      </c>
      <c r="D813" s="208">
        <v>41385</v>
      </c>
      <c r="E813" s="14" t="s">
        <v>2054</v>
      </c>
      <c r="F813" s="184">
        <v>23</v>
      </c>
      <c r="G813" s="14">
        <v>0</v>
      </c>
      <c r="H813" s="184">
        <v>2</v>
      </c>
      <c r="I813" s="14">
        <v>0</v>
      </c>
      <c r="J813" s="14" t="s">
        <v>100</v>
      </c>
      <c r="K813" s="14"/>
      <c r="L813" s="85"/>
      <c r="M813" s="85"/>
      <c r="N813" s="85"/>
      <c r="O813" s="85"/>
      <c r="P813" s="85"/>
      <c r="Q813" s="85"/>
      <c r="R813" s="85"/>
      <c r="S813" s="85"/>
      <c r="T813" s="85"/>
      <c r="U813" s="85"/>
      <c r="V813" s="85"/>
      <c r="W813" s="85"/>
      <c r="X813" s="85"/>
      <c r="Y813" s="85"/>
      <c r="Z813" s="85"/>
    </row>
    <row r="814" spans="1:26" ht="15.75" customHeight="1">
      <c r="A814" s="199">
        <v>132</v>
      </c>
      <c r="B814" s="199" t="s">
        <v>604</v>
      </c>
      <c r="C814" s="199" t="s">
        <v>190</v>
      </c>
      <c r="D814" s="200">
        <v>41432</v>
      </c>
      <c r="E814" s="14" t="s">
        <v>2055</v>
      </c>
      <c r="F814" s="184">
        <v>68</v>
      </c>
      <c r="G814" s="14">
        <v>0</v>
      </c>
      <c r="H814" s="184">
        <v>2</v>
      </c>
      <c r="I814" s="14">
        <v>0</v>
      </c>
      <c r="J814" s="14" t="s">
        <v>100</v>
      </c>
      <c r="K814" s="14"/>
      <c r="L814" s="85"/>
      <c r="M814" s="85"/>
      <c r="N814" s="85"/>
      <c r="O814" s="85"/>
      <c r="P814" s="85"/>
      <c r="Q814" s="85"/>
      <c r="R814" s="85"/>
      <c r="S814" s="85"/>
      <c r="T814" s="85"/>
      <c r="U814" s="85"/>
      <c r="V814" s="85"/>
      <c r="W814" s="85"/>
      <c r="X814" s="85"/>
      <c r="Y814" s="85"/>
      <c r="Z814" s="85"/>
    </row>
    <row r="815" spans="1:26" ht="15.75" customHeight="1">
      <c r="A815" s="199">
        <v>132</v>
      </c>
      <c r="B815" s="199" t="s">
        <v>604</v>
      </c>
      <c r="C815" s="199" t="s">
        <v>190</v>
      </c>
      <c r="D815" s="200">
        <v>41432</v>
      </c>
      <c r="E815" s="14" t="s">
        <v>2056</v>
      </c>
      <c r="F815" s="184">
        <v>26</v>
      </c>
      <c r="G815" s="14">
        <v>1</v>
      </c>
      <c r="H815" s="184">
        <v>2</v>
      </c>
      <c r="I815" s="14">
        <v>0</v>
      </c>
      <c r="J815" s="14" t="s">
        <v>100</v>
      </c>
      <c r="K815" s="14"/>
      <c r="L815" s="85"/>
      <c r="M815" s="85"/>
      <c r="N815" s="85"/>
      <c r="O815" s="85"/>
      <c r="P815" s="85"/>
      <c r="Q815" s="85"/>
      <c r="R815" s="85"/>
      <c r="S815" s="85"/>
      <c r="T815" s="85"/>
      <c r="U815" s="85"/>
      <c r="V815" s="85"/>
      <c r="W815" s="85"/>
      <c r="X815" s="85"/>
      <c r="Y815" s="85"/>
      <c r="Z815" s="85"/>
    </row>
    <row r="816" spans="1:26" ht="15.75" customHeight="1">
      <c r="A816" s="199">
        <v>132</v>
      </c>
      <c r="B816" s="199" t="s">
        <v>604</v>
      </c>
      <c r="C816" s="199" t="s">
        <v>190</v>
      </c>
      <c r="D816" s="200">
        <v>41432</v>
      </c>
      <c r="E816" s="14" t="s">
        <v>2057</v>
      </c>
      <c r="F816" s="184">
        <v>68</v>
      </c>
      <c r="G816" s="14">
        <v>1</v>
      </c>
      <c r="H816" s="184">
        <v>2</v>
      </c>
      <c r="I816" s="14">
        <v>0</v>
      </c>
      <c r="J816" s="14" t="s">
        <v>100</v>
      </c>
      <c r="K816" s="14"/>
      <c r="L816" s="85"/>
      <c r="M816" s="85"/>
      <c r="N816" s="85"/>
      <c r="O816" s="85"/>
      <c r="P816" s="85"/>
      <c r="Q816" s="85"/>
      <c r="R816" s="85"/>
      <c r="S816" s="85"/>
      <c r="T816" s="85"/>
      <c r="U816" s="85"/>
      <c r="V816" s="85"/>
      <c r="W816" s="85"/>
      <c r="X816" s="85"/>
      <c r="Y816" s="85"/>
      <c r="Z816" s="85"/>
    </row>
    <row r="817" spans="1:26" ht="15.75" customHeight="1">
      <c r="A817" s="199">
        <v>132</v>
      </c>
      <c r="B817" s="199" t="s">
        <v>604</v>
      </c>
      <c r="C817" s="199" t="s">
        <v>190</v>
      </c>
      <c r="D817" s="200">
        <v>41432</v>
      </c>
      <c r="E817" s="14" t="s">
        <v>2058</v>
      </c>
      <c r="F817" s="184">
        <v>25</v>
      </c>
      <c r="G817" s="14">
        <v>0</v>
      </c>
      <c r="H817" s="184">
        <v>4</v>
      </c>
      <c r="I817" s="14">
        <v>1</v>
      </c>
      <c r="J817" s="14" t="s">
        <v>2059</v>
      </c>
      <c r="K817" s="14"/>
      <c r="L817" s="85"/>
      <c r="M817" s="85"/>
      <c r="N817" s="85"/>
      <c r="O817" s="85"/>
      <c r="P817" s="85"/>
      <c r="Q817" s="85"/>
      <c r="R817" s="85"/>
      <c r="S817" s="85"/>
      <c r="T817" s="85"/>
      <c r="U817" s="85"/>
      <c r="V817" s="85"/>
      <c r="W817" s="85"/>
      <c r="X817" s="85"/>
      <c r="Y817" s="85"/>
      <c r="Z817" s="85"/>
    </row>
    <row r="818" spans="1:26" ht="15.75" customHeight="1">
      <c r="A818" s="199">
        <v>132</v>
      </c>
      <c r="B818" s="199" t="s">
        <v>604</v>
      </c>
      <c r="C818" s="199" t="s">
        <v>190</v>
      </c>
      <c r="D818" s="200">
        <v>41432</v>
      </c>
      <c r="E818" s="14" t="s">
        <v>2060</v>
      </c>
      <c r="F818" s="184">
        <v>55</v>
      </c>
      <c r="G818" s="14">
        <v>0</v>
      </c>
      <c r="H818" s="184">
        <v>4</v>
      </c>
      <c r="I818" s="14">
        <v>1</v>
      </c>
      <c r="J818" s="14" t="s">
        <v>1594</v>
      </c>
      <c r="K818" s="14"/>
      <c r="L818" s="85"/>
      <c r="M818" s="85"/>
      <c r="N818" s="85"/>
      <c r="O818" s="85"/>
      <c r="P818" s="85"/>
      <c r="Q818" s="85"/>
      <c r="R818" s="85"/>
      <c r="S818" s="85"/>
      <c r="T818" s="85"/>
      <c r="U818" s="85"/>
      <c r="V818" s="85"/>
      <c r="W818" s="85"/>
      <c r="X818" s="85"/>
      <c r="Y818" s="85"/>
      <c r="Z818" s="85"/>
    </row>
    <row r="819" spans="1:26" ht="15.75" customHeight="1">
      <c r="A819" s="205">
        <v>133</v>
      </c>
      <c r="B819" s="205" t="s">
        <v>608</v>
      </c>
      <c r="C819" s="205" t="s">
        <v>609</v>
      </c>
      <c r="D819" s="206">
        <v>41481</v>
      </c>
      <c r="E819" s="14" t="s">
        <v>2061</v>
      </c>
      <c r="F819" s="184">
        <v>33</v>
      </c>
      <c r="G819" s="14">
        <v>0</v>
      </c>
      <c r="H819" s="184">
        <v>2</v>
      </c>
      <c r="I819" s="14">
        <v>0</v>
      </c>
      <c r="J819" s="14" t="s">
        <v>100</v>
      </c>
      <c r="K819" s="14"/>
      <c r="L819" s="85"/>
      <c r="M819" s="85"/>
      <c r="N819" s="85"/>
      <c r="O819" s="85"/>
      <c r="P819" s="85"/>
      <c r="Q819" s="85"/>
      <c r="R819" s="85"/>
      <c r="S819" s="85"/>
      <c r="T819" s="85"/>
      <c r="U819" s="85"/>
      <c r="V819" s="85"/>
      <c r="W819" s="85"/>
      <c r="X819" s="85"/>
      <c r="Y819" s="85"/>
      <c r="Z819" s="85"/>
    </row>
    <row r="820" spans="1:26" ht="15.75" customHeight="1">
      <c r="A820" s="205">
        <v>133</v>
      </c>
      <c r="B820" s="205" t="s">
        <v>608</v>
      </c>
      <c r="C820" s="205" t="s">
        <v>609</v>
      </c>
      <c r="D820" s="206">
        <v>41481</v>
      </c>
      <c r="E820" s="14" t="s">
        <v>2062</v>
      </c>
      <c r="F820" s="184">
        <v>51</v>
      </c>
      <c r="G820" s="14">
        <v>1</v>
      </c>
      <c r="H820" s="184">
        <v>2</v>
      </c>
      <c r="I820" s="14">
        <v>1</v>
      </c>
      <c r="J820" s="14" t="s">
        <v>1182</v>
      </c>
      <c r="K820" s="14"/>
      <c r="L820" s="85"/>
      <c r="M820" s="85"/>
      <c r="N820" s="85"/>
      <c r="O820" s="85"/>
      <c r="P820" s="85"/>
      <c r="Q820" s="85"/>
      <c r="R820" s="85"/>
      <c r="S820" s="85"/>
      <c r="T820" s="85"/>
      <c r="U820" s="85"/>
      <c r="V820" s="85"/>
      <c r="W820" s="85"/>
      <c r="X820" s="85"/>
      <c r="Y820" s="85"/>
      <c r="Z820" s="85"/>
    </row>
    <row r="821" spans="1:26" ht="15.75" customHeight="1">
      <c r="A821" s="205">
        <v>133</v>
      </c>
      <c r="B821" s="205" t="s">
        <v>608</v>
      </c>
      <c r="C821" s="205" t="s">
        <v>609</v>
      </c>
      <c r="D821" s="206">
        <v>41481</v>
      </c>
      <c r="E821" s="14" t="s">
        <v>2063</v>
      </c>
      <c r="F821" s="184">
        <v>17</v>
      </c>
      <c r="G821" s="14">
        <v>1</v>
      </c>
      <c r="H821" s="184">
        <v>2</v>
      </c>
      <c r="I821" s="14">
        <v>1</v>
      </c>
      <c r="J821" s="14" t="s">
        <v>1182</v>
      </c>
      <c r="K821" s="14"/>
      <c r="L821" s="85"/>
      <c r="M821" s="85"/>
      <c r="N821" s="85"/>
      <c r="O821" s="85"/>
      <c r="P821" s="85"/>
      <c r="Q821" s="85"/>
      <c r="R821" s="85"/>
      <c r="S821" s="85"/>
      <c r="T821" s="85"/>
      <c r="U821" s="85"/>
      <c r="V821" s="85"/>
      <c r="W821" s="85"/>
      <c r="X821" s="85"/>
      <c r="Y821" s="85"/>
      <c r="Z821" s="85"/>
    </row>
    <row r="822" spans="1:26" ht="15.75" customHeight="1">
      <c r="A822" s="205">
        <v>133</v>
      </c>
      <c r="B822" s="205" t="s">
        <v>608</v>
      </c>
      <c r="C822" s="205" t="s">
        <v>609</v>
      </c>
      <c r="D822" s="206">
        <v>41481</v>
      </c>
      <c r="E822" s="14" t="s">
        <v>2064</v>
      </c>
      <c r="F822" s="184">
        <v>69</v>
      </c>
      <c r="G822" s="14">
        <v>1</v>
      </c>
      <c r="H822" s="184">
        <v>2</v>
      </c>
      <c r="I822" s="14">
        <v>1</v>
      </c>
      <c r="J822" s="14" t="s">
        <v>2065</v>
      </c>
      <c r="K822" s="14"/>
      <c r="L822" s="85"/>
      <c r="M822" s="85"/>
      <c r="N822" s="85"/>
      <c r="O822" s="85"/>
      <c r="P822" s="85"/>
      <c r="Q822" s="85"/>
      <c r="R822" s="85"/>
      <c r="S822" s="85"/>
      <c r="T822" s="85"/>
      <c r="U822" s="85"/>
      <c r="V822" s="85"/>
      <c r="W822" s="85"/>
      <c r="X822" s="85"/>
      <c r="Y822" s="85"/>
      <c r="Z822" s="85"/>
    </row>
    <row r="823" spans="1:26" ht="15.75" customHeight="1">
      <c r="A823" s="205">
        <v>133</v>
      </c>
      <c r="B823" s="205" t="s">
        <v>608</v>
      </c>
      <c r="C823" s="205" t="s">
        <v>609</v>
      </c>
      <c r="D823" s="206">
        <v>41481</v>
      </c>
      <c r="E823" s="14" t="s">
        <v>2066</v>
      </c>
      <c r="F823" s="184">
        <v>79</v>
      </c>
      <c r="G823" s="14">
        <v>0</v>
      </c>
      <c r="H823" s="184">
        <v>2</v>
      </c>
      <c r="I823" s="14">
        <v>1</v>
      </c>
      <c r="J823" s="14" t="s">
        <v>2065</v>
      </c>
      <c r="K823" s="14"/>
      <c r="L823" s="85"/>
      <c r="M823" s="85"/>
      <c r="N823" s="85"/>
      <c r="O823" s="85"/>
      <c r="P823" s="85"/>
      <c r="Q823" s="85"/>
      <c r="R823" s="85"/>
      <c r="S823" s="85"/>
      <c r="T823" s="85"/>
      <c r="U823" s="85"/>
      <c r="V823" s="85"/>
      <c r="W823" s="85"/>
      <c r="X823" s="85"/>
      <c r="Y823" s="85"/>
      <c r="Z823" s="85"/>
    </row>
    <row r="824" spans="1:26" ht="15.75" customHeight="1">
      <c r="A824" s="205">
        <v>133</v>
      </c>
      <c r="B824" s="205" t="s">
        <v>608</v>
      </c>
      <c r="C824" s="205" t="s">
        <v>609</v>
      </c>
      <c r="D824" s="206">
        <v>41481</v>
      </c>
      <c r="E824" s="14" t="s">
        <v>2067</v>
      </c>
      <c r="F824" s="184">
        <v>64</v>
      </c>
      <c r="G824" s="14">
        <v>0</v>
      </c>
      <c r="H824" s="184">
        <v>2</v>
      </c>
      <c r="I824" s="14">
        <v>1</v>
      </c>
      <c r="J824" s="14" t="s">
        <v>1182</v>
      </c>
      <c r="K824" s="14"/>
      <c r="L824" s="85"/>
      <c r="M824" s="85"/>
      <c r="N824" s="85"/>
      <c r="O824" s="85"/>
      <c r="P824" s="85"/>
      <c r="Q824" s="85"/>
      <c r="R824" s="85"/>
      <c r="S824" s="85"/>
      <c r="T824" s="85"/>
      <c r="U824" s="85"/>
      <c r="V824" s="85"/>
      <c r="W824" s="85"/>
      <c r="X824" s="85"/>
      <c r="Y824" s="85"/>
      <c r="Z824" s="85"/>
    </row>
    <row r="825" spans="1:26" ht="15.75" customHeight="1">
      <c r="A825" s="191">
        <v>134</v>
      </c>
      <c r="B825" s="191" t="s">
        <v>612</v>
      </c>
      <c r="C825" s="191" t="s">
        <v>613</v>
      </c>
      <c r="D825" s="192">
        <v>41533</v>
      </c>
      <c r="E825" s="14" t="s">
        <v>2068</v>
      </c>
      <c r="F825" s="184">
        <v>59</v>
      </c>
      <c r="G825" s="14">
        <v>0</v>
      </c>
      <c r="H825" s="14">
        <v>0</v>
      </c>
      <c r="I825" s="14">
        <v>0</v>
      </c>
      <c r="J825" s="14" t="s">
        <v>100</v>
      </c>
      <c r="K825" s="14"/>
      <c r="L825" s="85"/>
      <c r="M825" s="85"/>
      <c r="N825" s="85"/>
      <c r="O825" s="85"/>
      <c r="P825" s="85"/>
      <c r="Q825" s="85"/>
      <c r="R825" s="85"/>
      <c r="S825" s="85"/>
      <c r="T825" s="85"/>
      <c r="U825" s="85"/>
      <c r="V825" s="85"/>
      <c r="W825" s="85"/>
      <c r="X825" s="85"/>
      <c r="Y825" s="85"/>
      <c r="Z825" s="85"/>
    </row>
    <row r="826" spans="1:26" ht="15.75" customHeight="1">
      <c r="A826" s="191">
        <v>134</v>
      </c>
      <c r="B826" s="191" t="s">
        <v>612</v>
      </c>
      <c r="C826" s="191" t="s">
        <v>613</v>
      </c>
      <c r="D826" s="192">
        <v>41533</v>
      </c>
      <c r="E826" s="14" t="s">
        <v>2069</v>
      </c>
      <c r="F826" s="184">
        <v>54</v>
      </c>
      <c r="G826" s="14">
        <v>0</v>
      </c>
      <c r="H826" s="14">
        <v>0</v>
      </c>
      <c r="I826" s="14">
        <v>0</v>
      </c>
      <c r="J826" s="14" t="s">
        <v>100</v>
      </c>
      <c r="K826" s="14"/>
      <c r="L826" s="85"/>
      <c r="M826" s="85"/>
      <c r="N826" s="85"/>
      <c r="O826" s="85"/>
      <c r="P826" s="85"/>
      <c r="Q826" s="85"/>
      <c r="R826" s="85"/>
      <c r="S826" s="85"/>
      <c r="T826" s="85"/>
      <c r="U826" s="85"/>
      <c r="V826" s="85"/>
      <c r="W826" s="85"/>
      <c r="X826" s="85"/>
      <c r="Y826" s="85"/>
      <c r="Z826" s="85"/>
    </row>
    <row r="827" spans="1:26" ht="15.75" customHeight="1">
      <c r="A827" s="191">
        <v>134</v>
      </c>
      <c r="B827" s="191" t="s">
        <v>612</v>
      </c>
      <c r="C827" s="191" t="s">
        <v>613</v>
      </c>
      <c r="D827" s="192">
        <v>41533</v>
      </c>
      <c r="E827" s="14" t="s">
        <v>2070</v>
      </c>
      <c r="F827" s="184">
        <v>51</v>
      </c>
      <c r="G827" s="14">
        <v>0</v>
      </c>
      <c r="H827" s="14">
        <v>1</v>
      </c>
      <c r="I827" s="14">
        <v>0</v>
      </c>
      <c r="J827" s="14" t="s">
        <v>100</v>
      </c>
      <c r="K827" s="14"/>
      <c r="L827" s="85"/>
      <c r="M827" s="85"/>
      <c r="N827" s="85"/>
      <c r="O827" s="85"/>
      <c r="P827" s="85"/>
      <c r="Q827" s="85"/>
      <c r="R827" s="85"/>
      <c r="S827" s="85"/>
      <c r="T827" s="85"/>
      <c r="U827" s="85"/>
      <c r="V827" s="85"/>
      <c r="W827" s="85"/>
      <c r="X827" s="85"/>
      <c r="Y827" s="85"/>
      <c r="Z827" s="85"/>
    </row>
    <row r="828" spans="1:26" ht="15.75" customHeight="1">
      <c r="A828" s="191">
        <v>134</v>
      </c>
      <c r="B828" s="191" t="s">
        <v>612</v>
      </c>
      <c r="C828" s="191" t="s">
        <v>613</v>
      </c>
      <c r="D828" s="192">
        <v>41533</v>
      </c>
      <c r="E828" s="14" t="s">
        <v>2071</v>
      </c>
      <c r="F828" s="184">
        <v>53</v>
      </c>
      <c r="G828" s="14">
        <v>1</v>
      </c>
      <c r="H828" s="14">
        <v>1</v>
      </c>
      <c r="I828" s="14">
        <v>0</v>
      </c>
      <c r="J828" s="14" t="s">
        <v>100</v>
      </c>
      <c r="K828" s="14"/>
      <c r="L828" s="85"/>
      <c r="M828" s="85"/>
      <c r="N828" s="85"/>
      <c r="O828" s="85"/>
      <c r="P828" s="85"/>
      <c r="Q828" s="85"/>
      <c r="R828" s="85"/>
      <c r="S828" s="85"/>
      <c r="T828" s="85"/>
      <c r="U828" s="85"/>
      <c r="V828" s="85"/>
      <c r="W828" s="85"/>
      <c r="X828" s="85"/>
      <c r="Y828" s="85"/>
      <c r="Z828" s="85"/>
    </row>
    <row r="829" spans="1:26" ht="15.75" customHeight="1">
      <c r="A829" s="191">
        <v>134</v>
      </c>
      <c r="B829" s="191" t="s">
        <v>612</v>
      </c>
      <c r="C829" s="191" t="s">
        <v>613</v>
      </c>
      <c r="D829" s="192">
        <v>41533</v>
      </c>
      <c r="E829" s="14" t="s">
        <v>2072</v>
      </c>
      <c r="F829" s="14">
        <v>62</v>
      </c>
      <c r="G829" s="14">
        <v>1</v>
      </c>
      <c r="H829" s="14">
        <v>0</v>
      </c>
      <c r="I829" s="14">
        <v>0</v>
      </c>
      <c r="J829" s="14" t="s">
        <v>100</v>
      </c>
      <c r="K829" s="14"/>
      <c r="L829" s="85"/>
      <c r="M829" s="85"/>
      <c r="N829" s="85"/>
      <c r="O829" s="85"/>
      <c r="P829" s="85"/>
      <c r="Q829" s="85"/>
      <c r="R829" s="85"/>
      <c r="S829" s="85"/>
      <c r="T829" s="85"/>
      <c r="U829" s="85"/>
      <c r="V829" s="85"/>
      <c r="W829" s="85"/>
      <c r="X829" s="85"/>
      <c r="Y829" s="85"/>
      <c r="Z829" s="85"/>
    </row>
    <row r="830" spans="1:26" ht="15.75" customHeight="1">
      <c r="A830" s="191">
        <v>134</v>
      </c>
      <c r="B830" s="191" t="s">
        <v>612</v>
      </c>
      <c r="C830" s="191" t="s">
        <v>613</v>
      </c>
      <c r="D830" s="192">
        <v>41533</v>
      </c>
      <c r="E830" s="14" t="s">
        <v>2073</v>
      </c>
      <c r="F830" s="184">
        <v>73</v>
      </c>
      <c r="G830" s="14">
        <v>0</v>
      </c>
      <c r="H830" s="14">
        <v>0</v>
      </c>
      <c r="I830" s="14">
        <v>0</v>
      </c>
      <c r="J830" s="14" t="s">
        <v>100</v>
      </c>
      <c r="K830" s="14"/>
      <c r="L830" s="85"/>
      <c r="M830" s="85"/>
      <c r="N830" s="85"/>
      <c r="O830" s="85"/>
      <c r="P830" s="85"/>
      <c r="Q830" s="85"/>
      <c r="R830" s="85"/>
      <c r="S830" s="85"/>
      <c r="T830" s="85"/>
      <c r="U830" s="85"/>
      <c r="V830" s="85"/>
      <c r="W830" s="85"/>
      <c r="X830" s="85"/>
      <c r="Y830" s="85"/>
      <c r="Z830" s="85"/>
    </row>
    <row r="831" spans="1:26" ht="15.75" customHeight="1">
      <c r="A831" s="191">
        <v>134</v>
      </c>
      <c r="B831" s="191" t="s">
        <v>612</v>
      </c>
      <c r="C831" s="191" t="s">
        <v>613</v>
      </c>
      <c r="D831" s="192">
        <v>41533</v>
      </c>
      <c r="E831" s="14" t="s">
        <v>2074</v>
      </c>
      <c r="F831" s="184">
        <v>51</v>
      </c>
      <c r="G831" s="14">
        <v>1</v>
      </c>
      <c r="H831" s="14">
        <v>0</v>
      </c>
      <c r="I831" s="14">
        <v>0</v>
      </c>
      <c r="J831" s="14" t="s">
        <v>100</v>
      </c>
      <c r="K831" s="14"/>
      <c r="L831" s="85"/>
      <c r="M831" s="85"/>
      <c r="N831" s="85"/>
      <c r="O831" s="85"/>
      <c r="P831" s="85"/>
      <c r="Q831" s="85"/>
      <c r="R831" s="85"/>
      <c r="S831" s="85"/>
      <c r="T831" s="85"/>
      <c r="U831" s="85"/>
      <c r="V831" s="85"/>
      <c r="W831" s="85"/>
      <c r="X831" s="85"/>
      <c r="Y831" s="85"/>
      <c r="Z831" s="85"/>
    </row>
    <row r="832" spans="1:26" ht="15.75" customHeight="1">
      <c r="A832" s="191">
        <v>134</v>
      </c>
      <c r="B832" s="191" t="s">
        <v>612</v>
      </c>
      <c r="C832" s="191" t="s">
        <v>613</v>
      </c>
      <c r="D832" s="192">
        <v>41533</v>
      </c>
      <c r="E832" s="14" t="s">
        <v>2075</v>
      </c>
      <c r="F832" s="184">
        <v>50</v>
      </c>
      <c r="G832" s="14">
        <v>0</v>
      </c>
      <c r="H832" s="14">
        <v>0</v>
      </c>
      <c r="I832" s="14">
        <v>0</v>
      </c>
      <c r="J832" s="14" t="s">
        <v>100</v>
      </c>
      <c r="K832" s="14"/>
      <c r="L832" s="85"/>
      <c r="M832" s="85"/>
      <c r="N832" s="85"/>
      <c r="O832" s="85"/>
      <c r="P832" s="85"/>
      <c r="Q832" s="85"/>
      <c r="R832" s="85"/>
      <c r="S832" s="85"/>
      <c r="T832" s="85"/>
      <c r="U832" s="85"/>
      <c r="V832" s="85"/>
      <c r="W832" s="85"/>
      <c r="X832" s="85"/>
      <c r="Y832" s="85"/>
      <c r="Z832" s="85"/>
    </row>
    <row r="833" spans="1:26" ht="15.75" customHeight="1">
      <c r="A833" s="191">
        <v>134</v>
      </c>
      <c r="B833" s="191" t="s">
        <v>612</v>
      </c>
      <c r="C833" s="191" t="s">
        <v>613</v>
      </c>
      <c r="D833" s="192">
        <v>41533</v>
      </c>
      <c r="E833" s="14" t="s">
        <v>2076</v>
      </c>
      <c r="F833" s="184">
        <v>61</v>
      </c>
      <c r="G833" s="14">
        <v>0</v>
      </c>
      <c r="H833" s="184">
        <v>3</v>
      </c>
      <c r="I833" s="14">
        <v>0</v>
      </c>
      <c r="J833" s="14" t="s">
        <v>100</v>
      </c>
      <c r="K833" s="14"/>
      <c r="L833" s="85"/>
      <c r="M833" s="85"/>
      <c r="N833" s="85"/>
      <c r="O833" s="85"/>
      <c r="P833" s="85"/>
      <c r="Q833" s="85"/>
      <c r="R833" s="85"/>
      <c r="S833" s="85"/>
      <c r="T833" s="85"/>
      <c r="U833" s="85"/>
      <c r="V833" s="85"/>
      <c r="W833" s="85"/>
      <c r="X833" s="85"/>
      <c r="Y833" s="85"/>
      <c r="Z833" s="85"/>
    </row>
    <row r="834" spans="1:26" ht="15.75" customHeight="1">
      <c r="A834" s="191">
        <v>134</v>
      </c>
      <c r="B834" s="191" t="s">
        <v>612</v>
      </c>
      <c r="C834" s="191" t="s">
        <v>613</v>
      </c>
      <c r="D834" s="192">
        <v>41533</v>
      </c>
      <c r="E834" s="14" t="s">
        <v>2077</v>
      </c>
      <c r="F834" s="14">
        <v>46</v>
      </c>
      <c r="G834" s="14">
        <v>0</v>
      </c>
      <c r="H834" s="14">
        <v>0</v>
      </c>
      <c r="I834" s="14">
        <v>0</v>
      </c>
      <c r="J834" s="14" t="s">
        <v>100</v>
      </c>
      <c r="K834" s="14"/>
      <c r="L834" s="85"/>
      <c r="M834" s="85"/>
      <c r="N834" s="85"/>
      <c r="O834" s="85"/>
      <c r="P834" s="85"/>
      <c r="Q834" s="85"/>
      <c r="R834" s="85"/>
      <c r="S834" s="85"/>
      <c r="T834" s="85"/>
      <c r="U834" s="85"/>
      <c r="V834" s="85"/>
      <c r="W834" s="85"/>
      <c r="X834" s="85"/>
      <c r="Y834" s="85"/>
      <c r="Z834" s="85"/>
    </row>
    <row r="835" spans="1:26" ht="15.75" customHeight="1">
      <c r="A835" s="191">
        <v>134</v>
      </c>
      <c r="B835" s="191" t="s">
        <v>612</v>
      </c>
      <c r="C835" s="191" t="s">
        <v>613</v>
      </c>
      <c r="D835" s="192">
        <v>41533</v>
      </c>
      <c r="E835" s="14" t="s">
        <v>2078</v>
      </c>
      <c r="F835" s="184">
        <v>58</v>
      </c>
      <c r="G835" s="14">
        <v>0</v>
      </c>
      <c r="H835" s="184">
        <v>0</v>
      </c>
      <c r="I835" s="14">
        <v>0</v>
      </c>
      <c r="J835" s="14" t="s">
        <v>100</v>
      </c>
      <c r="K835" s="14"/>
      <c r="L835" s="85"/>
      <c r="M835" s="85"/>
      <c r="N835" s="85"/>
      <c r="O835" s="85"/>
      <c r="P835" s="85"/>
      <c r="Q835" s="85"/>
      <c r="R835" s="85"/>
      <c r="S835" s="85"/>
      <c r="T835" s="85"/>
      <c r="U835" s="85"/>
      <c r="V835" s="85"/>
      <c r="W835" s="85"/>
      <c r="X835" s="85"/>
      <c r="Y835" s="85"/>
      <c r="Z835" s="85"/>
    </row>
    <row r="836" spans="1:26" ht="15.75" customHeight="1">
      <c r="A836" s="191">
        <v>134</v>
      </c>
      <c r="B836" s="191" t="s">
        <v>612</v>
      </c>
      <c r="C836" s="191" t="s">
        <v>613</v>
      </c>
      <c r="D836" s="192">
        <v>41533</v>
      </c>
      <c r="E836" s="14" t="s">
        <v>2079</v>
      </c>
      <c r="F836" s="184">
        <v>52</v>
      </c>
      <c r="G836" s="14">
        <v>0</v>
      </c>
      <c r="H836" s="14">
        <v>0</v>
      </c>
      <c r="I836" s="14">
        <v>0</v>
      </c>
      <c r="J836" s="14" t="s">
        <v>100</v>
      </c>
      <c r="K836" s="14"/>
      <c r="L836" s="85"/>
      <c r="M836" s="85"/>
      <c r="N836" s="85"/>
      <c r="O836" s="85"/>
      <c r="P836" s="85"/>
      <c r="Q836" s="85"/>
      <c r="R836" s="85"/>
      <c r="S836" s="85"/>
      <c r="T836" s="85"/>
      <c r="U836" s="85"/>
      <c r="V836" s="85"/>
      <c r="W836" s="85"/>
      <c r="X836" s="85"/>
      <c r="Y836" s="85"/>
      <c r="Z836" s="85"/>
    </row>
    <row r="837" spans="1:26" ht="15.75" customHeight="1">
      <c r="A837" s="193">
        <v>135</v>
      </c>
      <c r="B837" s="193" t="s">
        <v>615</v>
      </c>
      <c r="C837" s="193" t="s">
        <v>616</v>
      </c>
      <c r="D837" s="194">
        <v>41690</v>
      </c>
      <c r="E837" s="14" t="s">
        <v>2080</v>
      </c>
      <c r="F837" s="184">
        <v>30</v>
      </c>
      <c r="G837" s="14">
        <v>0</v>
      </c>
      <c r="H837" s="14">
        <v>5</v>
      </c>
      <c r="I837" s="14">
        <v>1</v>
      </c>
      <c r="J837" s="14" t="s">
        <v>2081</v>
      </c>
      <c r="K837" s="14"/>
      <c r="L837" s="85"/>
      <c r="M837" s="85"/>
      <c r="N837" s="85"/>
      <c r="O837" s="85"/>
      <c r="P837" s="85"/>
      <c r="Q837" s="85"/>
      <c r="R837" s="85"/>
      <c r="S837" s="85"/>
      <c r="T837" s="85"/>
      <c r="U837" s="85"/>
      <c r="V837" s="85"/>
      <c r="W837" s="85"/>
      <c r="X837" s="85"/>
      <c r="Y837" s="85"/>
      <c r="Z837" s="85"/>
    </row>
    <row r="838" spans="1:26" ht="15.75" customHeight="1">
      <c r="A838" s="193">
        <v>135</v>
      </c>
      <c r="B838" s="193" t="s">
        <v>615</v>
      </c>
      <c r="C838" s="193" t="s">
        <v>616</v>
      </c>
      <c r="D838" s="194">
        <v>41690</v>
      </c>
      <c r="E838" s="14" t="s">
        <v>2082</v>
      </c>
      <c r="F838" s="184">
        <v>50</v>
      </c>
      <c r="G838" s="14">
        <v>0</v>
      </c>
      <c r="H838" s="14">
        <v>5</v>
      </c>
      <c r="I838" s="14">
        <v>1</v>
      </c>
      <c r="J838" s="14" t="s">
        <v>2059</v>
      </c>
      <c r="K838" s="14"/>
      <c r="L838" s="85"/>
      <c r="M838" s="85"/>
      <c r="N838" s="85"/>
      <c r="O838" s="85"/>
      <c r="P838" s="85"/>
      <c r="Q838" s="85"/>
      <c r="R838" s="85"/>
      <c r="S838" s="85"/>
      <c r="T838" s="85"/>
      <c r="U838" s="85"/>
      <c r="V838" s="85"/>
      <c r="W838" s="85"/>
      <c r="X838" s="85"/>
      <c r="Y838" s="85"/>
      <c r="Z838" s="85"/>
    </row>
    <row r="839" spans="1:26" ht="15.75" customHeight="1">
      <c r="A839" s="193">
        <v>135</v>
      </c>
      <c r="B839" s="193" t="s">
        <v>615</v>
      </c>
      <c r="C839" s="193" t="s">
        <v>616</v>
      </c>
      <c r="D839" s="194">
        <v>41690</v>
      </c>
      <c r="E839" s="14" t="s">
        <v>2083</v>
      </c>
      <c r="F839" s="184">
        <v>19</v>
      </c>
      <c r="G839" s="14">
        <v>1</v>
      </c>
      <c r="H839" s="14">
        <v>5</v>
      </c>
      <c r="I839" s="14">
        <v>1</v>
      </c>
      <c r="J839" s="14" t="s">
        <v>2084</v>
      </c>
      <c r="K839" s="14"/>
      <c r="L839" s="85"/>
      <c r="M839" s="85"/>
      <c r="N839" s="85"/>
      <c r="O839" s="85"/>
      <c r="P839" s="85"/>
      <c r="Q839" s="85"/>
      <c r="R839" s="85"/>
      <c r="S839" s="85"/>
      <c r="T839" s="85"/>
      <c r="U839" s="85"/>
      <c r="V839" s="85"/>
      <c r="W839" s="85"/>
      <c r="X839" s="85"/>
      <c r="Y839" s="85"/>
      <c r="Z839" s="85"/>
    </row>
    <row r="840" spans="1:26" ht="15.75" customHeight="1">
      <c r="A840" s="193">
        <v>135</v>
      </c>
      <c r="B840" s="193" t="s">
        <v>615</v>
      </c>
      <c r="C840" s="193" t="s">
        <v>616</v>
      </c>
      <c r="D840" s="194">
        <v>41690</v>
      </c>
      <c r="E840" s="14" t="s">
        <v>2085</v>
      </c>
      <c r="F840" s="184">
        <v>47</v>
      </c>
      <c r="G840" s="14">
        <v>1</v>
      </c>
      <c r="H840" s="14">
        <v>5</v>
      </c>
      <c r="I840" s="14">
        <v>1</v>
      </c>
      <c r="J840" s="14" t="s">
        <v>2086</v>
      </c>
      <c r="K840" s="14"/>
      <c r="L840" s="85"/>
      <c r="M840" s="85"/>
      <c r="N840" s="85"/>
      <c r="O840" s="85"/>
      <c r="P840" s="85"/>
      <c r="Q840" s="85"/>
      <c r="R840" s="85"/>
      <c r="S840" s="85"/>
      <c r="T840" s="85"/>
      <c r="U840" s="85"/>
      <c r="V840" s="85"/>
      <c r="W840" s="85"/>
      <c r="X840" s="85"/>
      <c r="Y840" s="85"/>
      <c r="Z840" s="85"/>
    </row>
    <row r="841" spans="1:26" ht="15.75" customHeight="1">
      <c r="A841" s="195">
        <v>136</v>
      </c>
      <c r="B841" s="195" t="s">
        <v>619</v>
      </c>
      <c r="C841" s="195" t="s">
        <v>620</v>
      </c>
      <c r="D841" s="196">
        <v>41782</v>
      </c>
      <c r="E841" s="14" t="s">
        <v>2087</v>
      </c>
      <c r="F841" s="184">
        <v>19</v>
      </c>
      <c r="G841" s="14">
        <v>0</v>
      </c>
      <c r="H841" s="184">
        <v>3</v>
      </c>
      <c r="I841" s="14">
        <v>2</v>
      </c>
      <c r="J841" s="14" t="s">
        <v>2088</v>
      </c>
      <c r="K841" s="14"/>
      <c r="L841" s="85"/>
      <c r="M841" s="85"/>
      <c r="N841" s="85"/>
      <c r="O841" s="85"/>
      <c r="P841" s="85"/>
      <c r="Q841" s="85"/>
      <c r="R841" s="85"/>
      <c r="S841" s="85"/>
      <c r="T841" s="85"/>
      <c r="U841" s="85"/>
      <c r="V841" s="85"/>
      <c r="W841" s="85"/>
      <c r="X841" s="85"/>
      <c r="Y841" s="85"/>
      <c r="Z841" s="85"/>
    </row>
    <row r="842" spans="1:26" ht="15.75" customHeight="1">
      <c r="A842" s="195">
        <v>136</v>
      </c>
      <c r="B842" s="195" t="s">
        <v>619</v>
      </c>
      <c r="C842" s="195" t="s">
        <v>620</v>
      </c>
      <c r="D842" s="196">
        <v>41782</v>
      </c>
      <c r="E842" s="14" t="s">
        <v>2089</v>
      </c>
      <c r="F842" s="184">
        <v>22</v>
      </c>
      <c r="G842" s="14">
        <v>1</v>
      </c>
      <c r="H842" s="14">
        <v>0</v>
      </c>
      <c r="I842" s="14">
        <v>0</v>
      </c>
      <c r="J842" s="14" t="s">
        <v>100</v>
      </c>
      <c r="K842" s="14"/>
      <c r="L842" s="85"/>
      <c r="M842" s="85"/>
      <c r="N842" s="85"/>
      <c r="O842" s="85"/>
      <c r="P842" s="85"/>
      <c r="Q842" s="85"/>
      <c r="R842" s="85"/>
      <c r="S842" s="85"/>
      <c r="T842" s="85"/>
      <c r="U842" s="85"/>
      <c r="V842" s="85"/>
      <c r="W842" s="85"/>
      <c r="X842" s="85"/>
      <c r="Y842" s="85"/>
      <c r="Z842" s="85"/>
    </row>
    <row r="843" spans="1:26" ht="15.75" customHeight="1">
      <c r="A843" s="195">
        <v>136</v>
      </c>
      <c r="B843" s="195" t="s">
        <v>619</v>
      </c>
      <c r="C843" s="195" t="s">
        <v>620</v>
      </c>
      <c r="D843" s="196">
        <v>41782</v>
      </c>
      <c r="E843" s="14" t="s">
        <v>2090</v>
      </c>
      <c r="F843" s="184">
        <v>20</v>
      </c>
      <c r="G843" s="14">
        <v>0</v>
      </c>
      <c r="H843" s="184">
        <v>3</v>
      </c>
      <c r="I843" s="14">
        <v>1</v>
      </c>
      <c r="J843" s="14" t="s">
        <v>2091</v>
      </c>
      <c r="K843" s="14"/>
      <c r="L843" s="85"/>
      <c r="M843" s="85"/>
      <c r="N843" s="85"/>
      <c r="O843" s="85"/>
      <c r="P843" s="85"/>
      <c r="Q843" s="85"/>
      <c r="R843" s="85"/>
      <c r="S843" s="85"/>
      <c r="T843" s="85"/>
      <c r="U843" s="85"/>
      <c r="V843" s="85"/>
      <c r="W843" s="85"/>
      <c r="X843" s="85"/>
      <c r="Y843" s="85"/>
      <c r="Z843" s="85"/>
    </row>
    <row r="844" spans="1:26" ht="15.75" customHeight="1">
      <c r="A844" s="195">
        <v>136</v>
      </c>
      <c r="B844" s="195" t="s">
        <v>619</v>
      </c>
      <c r="C844" s="195" t="s">
        <v>620</v>
      </c>
      <c r="D844" s="196">
        <v>41782</v>
      </c>
      <c r="E844" s="14" t="s">
        <v>2092</v>
      </c>
      <c r="F844" s="184">
        <v>20</v>
      </c>
      <c r="G844" s="14">
        <v>0</v>
      </c>
      <c r="H844" s="14">
        <v>0</v>
      </c>
      <c r="I844" s="14">
        <v>0</v>
      </c>
      <c r="J844" s="14" t="s">
        <v>100</v>
      </c>
      <c r="K844" s="14"/>
      <c r="L844" s="85"/>
      <c r="M844" s="85"/>
      <c r="N844" s="85"/>
      <c r="O844" s="85"/>
      <c r="P844" s="85"/>
      <c r="Q844" s="85"/>
      <c r="R844" s="85"/>
      <c r="S844" s="85"/>
      <c r="T844" s="85"/>
      <c r="U844" s="85"/>
      <c r="V844" s="85"/>
      <c r="W844" s="85"/>
      <c r="X844" s="85"/>
      <c r="Y844" s="85"/>
      <c r="Z844" s="85"/>
    </row>
    <row r="845" spans="1:26" ht="15.75" customHeight="1">
      <c r="A845" s="195">
        <v>136</v>
      </c>
      <c r="B845" s="195" t="s">
        <v>619</v>
      </c>
      <c r="C845" s="195" t="s">
        <v>620</v>
      </c>
      <c r="D845" s="196">
        <v>41782</v>
      </c>
      <c r="E845" s="14" t="s">
        <v>2093</v>
      </c>
      <c r="F845" s="184">
        <v>20</v>
      </c>
      <c r="G845" s="14">
        <v>0</v>
      </c>
      <c r="H845" s="184">
        <v>3</v>
      </c>
      <c r="I845" s="14">
        <v>1</v>
      </c>
      <c r="J845" s="14" t="s">
        <v>2091</v>
      </c>
      <c r="K845" s="14"/>
      <c r="L845" s="85"/>
      <c r="M845" s="85"/>
      <c r="N845" s="85"/>
      <c r="O845" s="85"/>
      <c r="P845" s="85"/>
      <c r="Q845" s="85"/>
      <c r="R845" s="85"/>
      <c r="S845" s="85"/>
      <c r="T845" s="85"/>
      <c r="U845" s="85"/>
      <c r="V845" s="85"/>
      <c r="W845" s="85"/>
      <c r="X845" s="85"/>
      <c r="Y845" s="85"/>
      <c r="Z845" s="85"/>
    </row>
    <row r="846" spans="1:26" ht="15.75" customHeight="1">
      <c r="A846" s="195">
        <v>136</v>
      </c>
      <c r="B846" s="195" t="s">
        <v>619</v>
      </c>
      <c r="C846" s="195" t="s">
        <v>620</v>
      </c>
      <c r="D846" s="196">
        <v>41782</v>
      </c>
      <c r="E846" s="14" t="s">
        <v>2094</v>
      </c>
      <c r="F846" s="184">
        <v>19</v>
      </c>
      <c r="G846" s="14">
        <v>1</v>
      </c>
      <c r="H846" s="14">
        <v>0</v>
      </c>
      <c r="I846" s="14">
        <v>0</v>
      </c>
      <c r="J846" s="14" t="s">
        <v>100</v>
      </c>
      <c r="K846" s="14"/>
      <c r="L846" s="85"/>
      <c r="M846" s="85"/>
      <c r="N846" s="85"/>
      <c r="O846" s="85"/>
      <c r="P846" s="85"/>
      <c r="Q846" s="85"/>
      <c r="R846" s="85"/>
      <c r="S846" s="85"/>
      <c r="T846" s="85"/>
      <c r="U846" s="85"/>
      <c r="V846" s="85"/>
      <c r="W846" s="85"/>
      <c r="X846" s="85"/>
      <c r="Y846" s="85"/>
      <c r="Z846" s="85"/>
    </row>
    <row r="847" spans="1:26" ht="15.75" customHeight="1">
      <c r="A847" s="197">
        <v>137</v>
      </c>
      <c r="B847" s="197" t="s">
        <v>623</v>
      </c>
      <c r="C847" s="197" t="s">
        <v>624</v>
      </c>
      <c r="D847" s="198">
        <v>41936</v>
      </c>
      <c r="E847" s="14" t="s">
        <v>2095</v>
      </c>
      <c r="F847" s="184">
        <v>14</v>
      </c>
      <c r="G847" s="14">
        <v>1</v>
      </c>
      <c r="H847" s="184">
        <v>5</v>
      </c>
      <c r="I847" s="184">
        <v>1</v>
      </c>
      <c r="J847" s="14" t="s">
        <v>1269</v>
      </c>
      <c r="K847" s="14"/>
      <c r="L847" s="85"/>
      <c r="M847" s="85"/>
      <c r="N847" s="85"/>
      <c r="O847" s="85"/>
      <c r="P847" s="85"/>
      <c r="Q847" s="85"/>
      <c r="R847" s="85"/>
      <c r="S847" s="85"/>
      <c r="T847" s="85"/>
      <c r="U847" s="85"/>
      <c r="V847" s="85"/>
      <c r="W847" s="85"/>
      <c r="X847" s="85"/>
      <c r="Y847" s="85"/>
      <c r="Z847" s="85"/>
    </row>
    <row r="848" spans="1:26" ht="15.75" customHeight="1">
      <c r="A848" s="197">
        <v>137</v>
      </c>
      <c r="B848" s="197" t="s">
        <v>623</v>
      </c>
      <c r="C848" s="197" t="s">
        <v>624</v>
      </c>
      <c r="D848" s="198">
        <v>41936</v>
      </c>
      <c r="E848" s="14" t="s">
        <v>2096</v>
      </c>
      <c r="F848" s="184">
        <v>15</v>
      </c>
      <c r="G848" s="14">
        <v>0</v>
      </c>
      <c r="H848" s="14">
        <v>5</v>
      </c>
      <c r="I848" s="14">
        <v>1</v>
      </c>
      <c r="J848" s="14" t="s">
        <v>2097</v>
      </c>
      <c r="K848" s="14"/>
      <c r="L848" s="85"/>
      <c r="M848" s="85"/>
      <c r="N848" s="85"/>
      <c r="O848" s="85"/>
      <c r="P848" s="85"/>
      <c r="Q848" s="85"/>
      <c r="R848" s="85"/>
      <c r="S848" s="85"/>
      <c r="T848" s="85"/>
      <c r="U848" s="85"/>
      <c r="V848" s="85"/>
      <c r="W848" s="85"/>
      <c r="X848" s="85"/>
      <c r="Y848" s="85"/>
      <c r="Z848" s="85"/>
    </row>
    <row r="849" spans="1:26" ht="15.75" customHeight="1">
      <c r="A849" s="197">
        <v>137</v>
      </c>
      <c r="B849" s="197" t="s">
        <v>623</v>
      </c>
      <c r="C849" s="197" t="s">
        <v>624</v>
      </c>
      <c r="D849" s="198">
        <v>41936</v>
      </c>
      <c r="E849" s="14" t="s">
        <v>2098</v>
      </c>
      <c r="F849" s="184">
        <v>14</v>
      </c>
      <c r="G849" s="14">
        <v>1</v>
      </c>
      <c r="H849" s="14"/>
      <c r="I849" s="184">
        <v>1</v>
      </c>
      <c r="J849" s="14" t="s">
        <v>1269</v>
      </c>
      <c r="K849" s="14"/>
      <c r="L849" s="85"/>
      <c r="M849" s="85"/>
      <c r="N849" s="85"/>
      <c r="O849" s="85"/>
      <c r="P849" s="85"/>
      <c r="Q849" s="85"/>
      <c r="R849" s="85"/>
      <c r="S849" s="85"/>
      <c r="T849" s="85"/>
      <c r="U849" s="85"/>
      <c r="V849" s="85"/>
      <c r="W849" s="85"/>
      <c r="X849" s="85"/>
      <c r="Y849" s="85"/>
      <c r="Z849" s="85"/>
    </row>
    <row r="850" spans="1:26" ht="15.75" customHeight="1">
      <c r="A850" s="197">
        <v>137</v>
      </c>
      <c r="B850" s="197" t="s">
        <v>623</v>
      </c>
      <c r="C850" s="197" t="s">
        <v>624</v>
      </c>
      <c r="D850" s="198">
        <v>41936</v>
      </c>
      <c r="E850" s="14" t="s">
        <v>2099</v>
      </c>
      <c r="F850" s="184">
        <v>14</v>
      </c>
      <c r="G850" s="14">
        <v>1</v>
      </c>
      <c r="H850" s="14"/>
      <c r="I850" s="184">
        <v>1</v>
      </c>
      <c r="J850" s="14" t="s">
        <v>1269</v>
      </c>
      <c r="K850" s="14"/>
      <c r="L850" s="85"/>
      <c r="M850" s="85"/>
      <c r="N850" s="85"/>
      <c r="O850" s="85"/>
      <c r="P850" s="85"/>
      <c r="Q850" s="85"/>
      <c r="R850" s="85"/>
      <c r="S850" s="85"/>
      <c r="T850" s="85"/>
      <c r="U850" s="85"/>
      <c r="V850" s="85"/>
      <c r="W850" s="85"/>
      <c r="X850" s="85"/>
      <c r="Y850" s="85"/>
      <c r="Z850" s="85"/>
    </row>
    <row r="851" spans="1:26" ht="15.75" customHeight="1">
      <c r="A851" s="207">
        <v>138</v>
      </c>
      <c r="B851" s="207" t="s">
        <v>627</v>
      </c>
      <c r="C851" s="207" t="s">
        <v>628</v>
      </c>
      <c r="D851" s="208">
        <v>42172</v>
      </c>
      <c r="E851" s="14" t="s">
        <v>2100</v>
      </c>
      <c r="F851" s="184">
        <v>45</v>
      </c>
      <c r="G851" s="14">
        <v>1</v>
      </c>
      <c r="H851" s="184">
        <v>1</v>
      </c>
      <c r="I851" s="14">
        <v>0</v>
      </c>
      <c r="J851" s="14" t="s">
        <v>100</v>
      </c>
      <c r="K851" s="14"/>
      <c r="L851" s="85"/>
      <c r="M851" s="85"/>
      <c r="N851" s="85"/>
      <c r="O851" s="85"/>
      <c r="P851" s="85"/>
      <c r="Q851" s="85"/>
      <c r="R851" s="85"/>
      <c r="S851" s="85"/>
      <c r="T851" s="85"/>
      <c r="U851" s="85"/>
      <c r="V851" s="85"/>
      <c r="W851" s="85"/>
      <c r="X851" s="85"/>
      <c r="Y851" s="85"/>
      <c r="Z851" s="85"/>
    </row>
    <row r="852" spans="1:26" ht="15.75" customHeight="1">
      <c r="A852" s="207">
        <v>138</v>
      </c>
      <c r="B852" s="207" t="s">
        <v>627</v>
      </c>
      <c r="C852" s="207" t="s">
        <v>628</v>
      </c>
      <c r="D852" s="208">
        <v>42172</v>
      </c>
      <c r="E852" s="14" t="s">
        <v>2101</v>
      </c>
      <c r="F852" s="184">
        <v>49</v>
      </c>
      <c r="G852" s="14">
        <v>1</v>
      </c>
      <c r="H852" s="184">
        <v>1</v>
      </c>
      <c r="I852" s="14">
        <v>0</v>
      </c>
      <c r="J852" s="14" t="s">
        <v>100</v>
      </c>
      <c r="K852" s="14"/>
      <c r="L852" s="85"/>
      <c r="M852" s="85"/>
      <c r="N852" s="85"/>
      <c r="O852" s="85"/>
      <c r="P852" s="85"/>
      <c r="Q852" s="85"/>
      <c r="R852" s="85"/>
      <c r="S852" s="85"/>
      <c r="T852" s="85"/>
      <c r="U852" s="85"/>
      <c r="V852" s="85"/>
      <c r="W852" s="85"/>
      <c r="X852" s="85"/>
      <c r="Y852" s="85"/>
      <c r="Z852" s="85"/>
    </row>
    <row r="853" spans="1:26" ht="15.75" customHeight="1">
      <c r="A853" s="207">
        <v>138</v>
      </c>
      <c r="B853" s="207" t="s">
        <v>627</v>
      </c>
      <c r="C853" s="207" t="s">
        <v>628</v>
      </c>
      <c r="D853" s="208">
        <v>42172</v>
      </c>
      <c r="E853" s="14" t="s">
        <v>2102</v>
      </c>
      <c r="F853" s="184">
        <v>54</v>
      </c>
      <c r="G853" s="14">
        <v>1</v>
      </c>
      <c r="H853" s="184">
        <v>1</v>
      </c>
      <c r="I853" s="14">
        <v>0</v>
      </c>
      <c r="J853" s="14" t="s">
        <v>100</v>
      </c>
      <c r="K853" s="14"/>
      <c r="L853" s="85"/>
      <c r="M853" s="85"/>
      <c r="N853" s="85"/>
      <c r="O853" s="85"/>
      <c r="P853" s="85"/>
      <c r="Q853" s="85"/>
      <c r="R853" s="85"/>
      <c r="S853" s="85"/>
      <c r="T853" s="85"/>
      <c r="U853" s="85"/>
      <c r="V853" s="85"/>
      <c r="W853" s="85"/>
      <c r="X853" s="85"/>
      <c r="Y853" s="85"/>
      <c r="Z853" s="85"/>
    </row>
    <row r="854" spans="1:26" ht="15.75" customHeight="1">
      <c r="A854" s="207">
        <v>138</v>
      </c>
      <c r="B854" s="207" t="s">
        <v>627</v>
      </c>
      <c r="C854" s="207" t="s">
        <v>628</v>
      </c>
      <c r="D854" s="208">
        <v>42172</v>
      </c>
      <c r="E854" s="14" t="s">
        <v>2103</v>
      </c>
      <c r="F854" s="184">
        <v>87</v>
      </c>
      <c r="G854" s="14">
        <v>1</v>
      </c>
      <c r="H854" s="184">
        <v>1</v>
      </c>
      <c r="I854" s="14">
        <v>0</v>
      </c>
      <c r="J854" s="14" t="s">
        <v>100</v>
      </c>
      <c r="K854" s="14"/>
      <c r="L854" s="85"/>
      <c r="M854" s="85"/>
      <c r="N854" s="85"/>
      <c r="O854" s="85"/>
      <c r="P854" s="85"/>
      <c r="Q854" s="85"/>
      <c r="R854" s="85"/>
      <c r="S854" s="85"/>
      <c r="T854" s="85"/>
      <c r="U854" s="85"/>
      <c r="V854" s="85"/>
      <c r="W854" s="85"/>
      <c r="X854" s="85"/>
      <c r="Y854" s="85"/>
      <c r="Z854" s="85"/>
    </row>
    <row r="855" spans="1:26" ht="15.75" customHeight="1">
      <c r="A855" s="207">
        <v>138</v>
      </c>
      <c r="B855" s="207" t="s">
        <v>627</v>
      </c>
      <c r="C855" s="207" t="s">
        <v>628</v>
      </c>
      <c r="D855" s="208">
        <v>42172</v>
      </c>
      <c r="E855" s="14" t="s">
        <v>2104</v>
      </c>
      <c r="F855" s="184">
        <v>70</v>
      </c>
      <c r="G855" s="14">
        <v>1</v>
      </c>
      <c r="H855" s="184">
        <v>1</v>
      </c>
      <c r="I855" s="14">
        <v>0</v>
      </c>
      <c r="J855" s="14" t="s">
        <v>100</v>
      </c>
      <c r="K855" s="14"/>
      <c r="L855" s="85"/>
      <c r="M855" s="85"/>
      <c r="N855" s="85"/>
      <c r="O855" s="85"/>
      <c r="P855" s="85"/>
      <c r="Q855" s="85"/>
      <c r="R855" s="85"/>
      <c r="S855" s="85"/>
      <c r="T855" s="85"/>
      <c r="U855" s="85"/>
      <c r="V855" s="85"/>
      <c r="W855" s="85"/>
      <c r="X855" s="85"/>
      <c r="Y855" s="85"/>
      <c r="Z855" s="85"/>
    </row>
    <row r="856" spans="1:26" ht="15.75" customHeight="1">
      <c r="A856" s="207">
        <v>138</v>
      </c>
      <c r="B856" s="207" t="s">
        <v>627</v>
      </c>
      <c r="C856" s="207" t="s">
        <v>628</v>
      </c>
      <c r="D856" s="208">
        <v>42172</v>
      </c>
      <c r="E856" s="14" t="s">
        <v>2105</v>
      </c>
      <c r="F856" s="184">
        <v>41</v>
      </c>
      <c r="G856" s="14">
        <v>0</v>
      </c>
      <c r="H856" s="184">
        <v>1</v>
      </c>
      <c r="I856" s="14">
        <v>0</v>
      </c>
      <c r="J856" s="14" t="s">
        <v>100</v>
      </c>
      <c r="K856" s="14"/>
      <c r="L856" s="85"/>
      <c r="M856" s="85"/>
      <c r="N856" s="85"/>
      <c r="O856" s="85"/>
      <c r="P856" s="85"/>
      <c r="Q856" s="85"/>
      <c r="R856" s="85"/>
      <c r="S856" s="85"/>
      <c r="T856" s="85"/>
      <c r="U856" s="85"/>
      <c r="V856" s="85"/>
      <c r="W856" s="85"/>
      <c r="X856" s="85"/>
      <c r="Y856" s="85"/>
      <c r="Z856" s="85"/>
    </row>
    <row r="857" spans="1:26" ht="15.75" customHeight="1">
      <c r="A857" s="207">
        <v>138</v>
      </c>
      <c r="B857" s="207" t="s">
        <v>627</v>
      </c>
      <c r="C857" s="207" t="s">
        <v>628</v>
      </c>
      <c r="D857" s="208">
        <v>42172</v>
      </c>
      <c r="E857" s="14" t="s">
        <v>2106</v>
      </c>
      <c r="F857" s="184">
        <v>26</v>
      </c>
      <c r="G857" s="14">
        <v>0</v>
      </c>
      <c r="H857" s="184">
        <v>1</v>
      </c>
      <c r="I857" s="14">
        <v>0</v>
      </c>
      <c r="J857" s="14" t="s">
        <v>100</v>
      </c>
      <c r="K857" s="14"/>
      <c r="L857" s="85"/>
      <c r="M857" s="85"/>
      <c r="N857" s="85"/>
      <c r="O857" s="85"/>
      <c r="P857" s="85"/>
      <c r="Q857" s="85"/>
      <c r="R857" s="85"/>
      <c r="S857" s="85"/>
      <c r="T857" s="85"/>
      <c r="U857" s="85"/>
      <c r="V857" s="85"/>
      <c r="W857" s="85"/>
      <c r="X857" s="85"/>
      <c r="Y857" s="85"/>
      <c r="Z857" s="85"/>
    </row>
    <row r="858" spans="1:26" ht="15.75" customHeight="1">
      <c r="A858" s="207">
        <v>138</v>
      </c>
      <c r="B858" s="207" t="s">
        <v>627</v>
      </c>
      <c r="C858" s="207" t="s">
        <v>628</v>
      </c>
      <c r="D858" s="208">
        <v>42172</v>
      </c>
      <c r="E858" s="14" t="s">
        <v>2107</v>
      </c>
      <c r="F858" s="184">
        <v>74</v>
      </c>
      <c r="G858" s="14">
        <v>0</v>
      </c>
      <c r="H858" s="184">
        <v>1</v>
      </c>
      <c r="I858" s="14">
        <v>0</v>
      </c>
      <c r="J858" s="14" t="s">
        <v>100</v>
      </c>
      <c r="K858" s="14"/>
      <c r="L858" s="85"/>
      <c r="M858" s="85"/>
      <c r="N858" s="85"/>
      <c r="O858" s="85"/>
      <c r="P858" s="85"/>
      <c r="Q858" s="85"/>
      <c r="R858" s="85"/>
      <c r="S858" s="85"/>
      <c r="T858" s="85"/>
      <c r="U858" s="85"/>
      <c r="V858" s="85"/>
      <c r="W858" s="85"/>
      <c r="X858" s="85"/>
      <c r="Y858" s="85"/>
      <c r="Z858" s="85"/>
    </row>
    <row r="859" spans="1:26" ht="15.75" customHeight="1">
      <c r="A859" s="207">
        <v>138</v>
      </c>
      <c r="B859" s="207" t="s">
        <v>627</v>
      </c>
      <c r="C859" s="207" t="s">
        <v>628</v>
      </c>
      <c r="D859" s="208">
        <v>42172</v>
      </c>
      <c r="E859" s="14" t="s">
        <v>2108</v>
      </c>
      <c r="F859" s="184">
        <v>59</v>
      </c>
      <c r="G859" s="14">
        <v>1</v>
      </c>
      <c r="H859" s="184">
        <v>1</v>
      </c>
      <c r="I859" s="14">
        <v>0</v>
      </c>
      <c r="J859" s="14" t="s">
        <v>100</v>
      </c>
      <c r="K859" s="14"/>
      <c r="L859" s="85"/>
      <c r="M859" s="85"/>
      <c r="N859" s="85"/>
      <c r="O859" s="85"/>
      <c r="P859" s="85"/>
      <c r="Q859" s="85"/>
      <c r="R859" s="85"/>
      <c r="S859" s="85"/>
      <c r="T859" s="85"/>
      <c r="U859" s="85"/>
      <c r="V859" s="85"/>
      <c r="W859" s="85"/>
      <c r="X859" s="85"/>
      <c r="Y859" s="85"/>
      <c r="Z859" s="85"/>
    </row>
    <row r="860" spans="1:26" ht="15.75" customHeight="1">
      <c r="A860" s="199">
        <v>139</v>
      </c>
      <c r="B860" s="199" t="s">
        <v>630</v>
      </c>
      <c r="C860" s="199" t="s">
        <v>631</v>
      </c>
      <c r="D860" s="200">
        <v>42201</v>
      </c>
      <c r="E860" s="14" t="s">
        <v>2109</v>
      </c>
      <c r="F860" s="184">
        <v>25</v>
      </c>
      <c r="G860" s="14">
        <v>0</v>
      </c>
      <c r="H860" s="14">
        <v>0</v>
      </c>
      <c r="I860" s="14">
        <v>0</v>
      </c>
      <c r="J860" s="14" t="s">
        <v>100</v>
      </c>
      <c r="K860" s="14"/>
      <c r="L860" s="85"/>
      <c r="M860" s="85"/>
      <c r="N860" s="85"/>
      <c r="O860" s="85"/>
      <c r="P860" s="85"/>
      <c r="Q860" s="85"/>
      <c r="R860" s="85"/>
      <c r="S860" s="85"/>
      <c r="T860" s="85"/>
      <c r="U860" s="85"/>
      <c r="V860" s="85"/>
      <c r="W860" s="85"/>
      <c r="X860" s="85"/>
      <c r="Y860" s="85"/>
      <c r="Z860" s="85"/>
    </row>
    <row r="861" spans="1:26" ht="15.75" customHeight="1">
      <c r="A861" s="199">
        <v>139</v>
      </c>
      <c r="B861" s="199" t="s">
        <v>630</v>
      </c>
      <c r="C861" s="199" t="s">
        <v>631</v>
      </c>
      <c r="D861" s="200">
        <v>42201</v>
      </c>
      <c r="E861" s="14" t="s">
        <v>2110</v>
      </c>
      <c r="F861" s="184">
        <v>26</v>
      </c>
      <c r="G861" s="14">
        <v>0</v>
      </c>
      <c r="H861" s="184">
        <v>0</v>
      </c>
      <c r="I861" s="14">
        <v>0</v>
      </c>
      <c r="J861" s="14" t="s">
        <v>100</v>
      </c>
      <c r="K861" s="14"/>
      <c r="L861" s="85"/>
      <c r="M861" s="85"/>
      <c r="N861" s="85"/>
      <c r="O861" s="85"/>
      <c r="P861" s="85"/>
      <c r="Q861" s="85"/>
      <c r="R861" s="85"/>
      <c r="S861" s="85"/>
      <c r="T861" s="85"/>
      <c r="U861" s="85"/>
      <c r="V861" s="85"/>
      <c r="W861" s="85"/>
      <c r="X861" s="85"/>
      <c r="Y861" s="85"/>
      <c r="Z861" s="85"/>
    </row>
    <row r="862" spans="1:26" ht="15.75" customHeight="1">
      <c r="A862" s="199">
        <v>139</v>
      </c>
      <c r="B862" s="199" t="s">
        <v>630</v>
      </c>
      <c r="C862" s="199" t="s">
        <v>631</v>
      </c>
      <c r="D862" s="200">
        <v>42201</v>
      </c>
      <c r="E862" s="14" t="s">
        <v>2111</v>
      </c>
      <c r="F862" s="184">
        <v>40</v>
      </c>
      <c r="G862" s="14">
        <v>0</v>
      </c>
      <c r="H862" s="14">
        <v>0</v>
      </c>
      <c r="I862" s="14">
        <v>0</v>
      </c>
      <c r="J862" s="14" t="s">
        <v>100</v>
      </c>
      <c r="K862" s="14"/>
      <c r="L862" s="85"/>
      <c r="M862" s="85"/>
      <c r="N862" s="85"/>
      <c r="O862" s="85"/>
      <c r="P862" s="85"/>
      <c r="Q862" s="85"/>
      <c r="R862" s="85"/>
      <c r="S862" s="85"/>
      <c r="T862" s="85"/>
      <c r="U862" s="85"/>
      <c r="V862" s="85"/>
      <c r="W862" s="85"/>
      <c r="X862" s="85"/>
      <c r="Y862" s="85"/>
      <c r="Z862" s="85"/>
    </row>
    <row r="863" spans="1:26" ht="15.75" customHeight="1">
      <c r="A863" s="199">
        <v>139</v>
      </c>
      <c r="B863" s="199" t="s">
        <v>630</v>
      </c>
      <c r="C863" s="199" t="s">
        <v>631</v>
      </c>
      <c r="D863" s="200">
        <v>42201</v>
      </c>
      <c r="E863" s="14" t="s">
        <v>2112</v>
      </c>
      <c r="F863" s="184">
        <v>21</v>
      </c>
      <c r="G863" s="14">
        <v>0</v>
      </c>
      <c r="H863" s="14">
        <v>0</v>
      </c>
      <c r="I863" s="14">
        <v>0</v>
      </c>
      <c r="J863" s="14" t="s">
        <v>100</v>
      </c>
      <c r="K863" s="14"/>
      <c r="L863" s="85"/>
      <c r="M863" s="85"/>
      <c r="N863" s="85"/>
      <c r="O863" s="85"/>
      <c r="P863" s="85"/>
      <c r="Q863" s="85"/>
      <c r="R863" s="85"/>
      <c r="S863" s="85"/>
      <c r="T863" s="85"/>
      <c r="U863" s="85"/>
      <c r="V863" s="85"/>
      <c r="W863" s="85"/>
      <c r="X863" s="85"/>
      <c r="Y863" s="85"/>
      <c r="Z863" s="85"/>
    </row>
    <row r="864" spans="1:26" ht="15.75" customHeight="1">
      <c r="A864" s="199">
        <v>139</v>
      </c>
      <c r="B864" s="199" t="s">
        <v>630</v>
      </c>
      <c r="C864" s="199" t="s">
        <v>631</v>
      </c>
      <c r="D864" s="200">
        <v>42201</v>
      </c>
      <c r="E864" s="14" t="s">
        <v>2113</v>
      </c>
      <c r="F864" s="184">
        <v>35</v>
      </c>
      <c r="G864" s="14">
        <v>0</v>
      </c>
      <c r="H864" s="184">
        <v>0</v>
      </c>
      <c r="I864" s="14">
        <v>0</v>
      </c>
      <c r="J864" s="14" t="s">
        <v>100</v>
      </c>
      <c r="K864" s="14"/>
      <c r="L864" s="85"/>
      <c r="M864" s="85"/>
      <c r="N864" s="85"/>
      <c r="O864" s="85"/>
      <c r="P864" s="85"/>
      <c r="Q864" s="85"/>
      <c r="R864" s="85"/>
      <c r="S864" s="85"/>
      <c r="T864" s="85"/>
      <c r="U864" s="85"/>
      <c r="V864" s="85"/>
      <c r="W864" s="85"/>
      <c r="X864" s="85"/>
      <c r="Y864" s="85"/>
      <c r="Z864" s="85"/>
    </row>
    <row r="865" spans="1:26" ht="15.75" customHeight="1">
      <c r="A865" s="205">
        <v>140</v>
      </c>
      <c r="B865" s="205" t="s">
        <v>635</v>
      </c>
      <c r="C865" s="205" t="s">
        <v>636</v>
      </c>
      <c r="D865" s="206">
        <v>42278</v>
      </c>
      <c r="E865" s="14" t="s">
        <v>2114</v>
      </c>
      <c r="F865" s="184">
        <v>19</v>
      </c>
      <c r="G865" s="14">
        <v>1</v>
      </c>
      <c r="H865" s="184">
        <v>2</v>
      </c>
      <c r="I865" s="184">
        <v>1</v>
      </c>
      <c r="J865" s="14" t="s">
        <v>1462</v>
      </c>
      <c r="K865" s="14"/>
      <c r="L865" s="85"/>
      <c r="M865" s="85"/>
      <c r="N865" s="85"/>
      <c r="O865" s="85"/>
      <c r="P865" s="85"/>
      <c r="Q865" s="85"/>
      <c r="R865" s="85"/>
      <c r="S865" s="85"/>
      <c r="T865" s="85"/>
      <c r="U865" s="85"/>
      <c r="V865" s="85"/>
      <c r="W865" s="85"/>
      <c r="X865" s="85"/>
      <c r="Y865" s="85"/>
      <c r="Z865" s="85"/>
    </row>
    <row r="866" spans="1:26" ht="15.75" customHeight="1">
      <c r="A866" s="205">
        <v>140</v>
      </c>
      <c r="B866" s="205" t="s">
        <v>635</v>
      </c>
      <c r="C866" s="205" t="s">
        <v>636</v>
      </c>
      <c r="D866" s="206">
        <v>42278</v>
      </c>
      <c r="E866" s="14" t="s">
        <v>2115</v>
      </c>
      <c r="F866" s="184">
        <v>20</v>
      </c>
      <c r="G866" s="14">
        <v>0</v>
      </c>
      <c r="H866" s="184">
        <v>0</v>
      </c>
      <c r="I866" s="184">
        <v>1</v>
      </c>
      <c r="J866" s="14" t="s">
        <v>1462</v>
      </c>
      <c r="K866" s="14"/>
      <c r="L866" s="85"/>
      <c r="M866" s="85"/>
      <c r="N866" s="85"/>
      <c r="O866" s="85"/>
      <c r="P866" s="85"/>
      <c r="Q866" s="85"/>
      <c r="R866" s="85"/>
      <c r="S866" s="85"/>
      <c r="T866" s="85"/>
      <c r="U866" s="85"/>
      <c r="V866" s="85"/>
      <c r="W866" s="85"/>
      <c r="X866" s="85"/>
      <c r="Y866" s="85"/>
      <c r="Z866" s="85"/>
    </row>
    <row r="867" spans="1:26" ht="15.75" customHeight="1">
      <c r="A867" s="205">
        <v>140</v>
      </c>
      <c r="B867" s="205" t="s">
        <v>635</v>
      </c>
      <c r="C867" s="205" t="s">
        <v>636</v>
      </c>
      <c r="D867" s="206">
        <v>42278</v>
      </c>
      <c r="E867" s="14" t="s">
        <v>2116</v>
      </c>
      <c r="F867" s="184">
        <v>18</v>
      </c>
      <c r="G867" s="14">
        <v>1</v>
      </c>
      <c r="H867" s="14">
        <v>0</v>
      </c>
      <c r="I867" s="184">
        <v>1</v>
      </c>
      <c r="J867" s="14" t="s">
        <v>1462</v>
      </c>
      <c r="K867" s="14"/>
      <c r="L867" s="85"/>
      <c r="M867" s="85"/>
      <c r="N867" s="85"/>
      <c r="O867" s="85"/>
      <c r="P867" s="85"/>
      <c r="Q867" s="85"/>
      <c r="R867" s="85"/>
      <c r="S867" s="85"/>
      <c r="T867" s="85"/>
      <c r="U867" s="85"/>
      <c r="V867" s="85"/>
      <c r="W867" s="85"/>
      <c r="X867" s="85"/>
      <c r="Y867" s="85"/>
      <c r="Z867" s="85"/>
    </row>
    <row r="868" spans="1:26" ht="15.75" customHeight="1">
      <c r="A868" s="205">
        <v>140</v>
      </c>
      <c r="B868" s="205" t="s">
        <v>635</v>
      </c>
      <c r="C868" s="205" t="s">
        <v>636</v>
      </c>
      <c r="D868" s="206">
        <v>42278</v>
      </c>
      <c r="E868" s="14" t="s">
        <v>2117</v>
      </c>
      <c r="F868" s="184">
        <v>18</v>
      </c>
      <c r="G868" s="14">
        <v>0</v>
      </c>
      <c r="H868" s="184">
        <v>0</v>
      </c>
      <c r="I868" s="184">
        <v>1</v>
      </c>
      <c r="J868" s="14" t="s">
        <v>1462</v>
      </c>
      <c r="K868" s="14"/>
      <c r="L868" s="85"/>
      <c r="M868" s="85"/>
      <c r="N868" s="85"/>
      <c r="O868" s="85"/>
      <c r="P868" s="85"/>
      <c r="Q868" s="85"/>
      <c r="R868" s="85"/>
      <c r="S868" s="85"/>
      <c r="T868" s="85"/>
      <c r="U868" s="85"/>
      <c r="V868" s="85"/>
      <c r="W868" s="85"/>
      <c r="X868" s="85"/>
      <c r="Y868" s="85"/>
      <c r="Z868" s="85"/>
    </row>
    <row r="869" spans="1:26" ht="15.75" customHeight="1">
      <c r="A869" s="205">
        <v>140</v>
      </c>
      <c r="B869" s="205" t="s">
        <v>635</v>
      </c>
      <c r="C869" s="205" t="s">
        <v>636</v>
      </c>
      <c r="D869" s="206">
        <v>42278</v>
      </c>
      <c r="E869" s="14" t="s">
        <v>2118</v>
      </c>
      <c r="F869" s="184">
        <v>59</v>
      </c>
      <c r="G869" s="14">
        <v>1</v>
      </c>
      <c r="H869" s="184">
        <v>0</v>
      </c>
      <c r="I869" s="184">
        <v>1</v>
      </c>
      <c r="J869" s="14" t="s">
        <v>1462</v>
      </c>
      <c r="K869" s="14"/>
      <c r="L869" s="85"/>
      <c r="M869" s="85"/>
      <c r="N869" s="85"/>
      <c r="O869" s="85"/>
      <c r="P869" s="85"/>
      <c r="Q869" s="85"/>
      <c r="R869" s="85"/>
      <c r="S869" s="85"/>
      <c r="T869" s="85"/>
      <c r="U869" s="85"/>
      <c r="V869" s="85"/>
      <c r="W869" s="85"/>
      <c r="X869" s="85"/>
      <c r="Y869" s="85"/>
      <c r="Z869" s="85"/>
    </row>
    <row r="870" spans="1:26" ht="15.75" customHeight="1">
      <c r="A870" s="205">
        <v>140</v>
      </c>
      <c r="B870" s="205" t="s">
        <v>635</v>
      </c>
      <c r="C870" s="205" t="s">
        <v>636</v>
      </c>
      <c r="D870" s="206">
        <v>42278</v>
      </c>
      <c r="E870" s="14" t="s">
        <v>2119</v>
      </c>
      <c r="F870" s="184">
        <v>18</v>
      </c>
      <c r="G870" s="14">
        <v>0</v>
      </c>
      <c r="H870" s="14">
        <v>0</v>
      </c>
      <c r="I870" s="184">
        <v>1</v>
      </c>
      <c r="J870" s="14" t="s">
        <v>1462</v>
      </c>
      <c r="K870" s="14"/>
      <c r="L870" s="85"/>
      <c r="M870" s="85"/>
      <c r="N870" s="85"/>
      <c r="O870" s="85"/>
      <c r="P870" s="85"/>
      <c r="Q870" s="85"/>
      <c r="R870" s="85"/>
      <c r="S870" s="85"/>
      <c r="T870" s="85"/>
      <c r="U870" s="85"/>
      <c r="V870" s="85"/>
      <c r="W870" s="85"/>
      <c r="X870" s="85"/>
      <c r="Y870" s="85"/>
      <c r="Z870" s="85"/>
    </row>
    <row r="871" spans="1:26" ht="15.75" customHeight="1">
      <c r="A871" s="205">
        <v>140</v>
      </c>
      <c r="B871" s="205" t="s">
        <v>635</v>
      </c>
      <c r="C871" s="205" t="s">
        <v>636</v>
      </c>
      <c r="D871" s="206">
        <v>42278</v>
      </c>
      <c r="E871" s="14" t="s">
        <v>2120</v>
      </c>
      <c r="F871" s="184">
        <v>33</v>
      </c>
      <c r="G871" s="14">
        <v>0</v>
      </c>
      <c r="H871" s="184">
        <v>0</v>
      </c>
      <c r="I871" s="184">
        <v>1</v>
      </c>
      <c r="J871" s="14" t="s">
        <v>1462</v>
      </c>
      <c r="K871" s="14"/>
      <c r="L871" s="85"/>
      <c r="M871" s="85"/>
      <c r="N871" s="85"/>
      <c r="O871" s="85"/>
      <c r="P871" s="85"/>
      <c r="Q871" s="85"/>
      <c r="R871" s="85"/>
      <c r="S871" s="85"/>
      <c r="T871" s="85"/>
      <c r="U871" s="85"/>
      <c r="V871" s="85"/>
      <c r="W871" s="85"/>
      <c r="X871" s="85"/>
      <c r="Y871" s="85"/>
      <c r="Z871" s="85"/>
    </row>
    <row r="872" spans="1:26" ht="15.75" customHeight="1">
      <c r="A872" s="205">
        <v>140</v>
      </c>
      <c r="B872" s="205" t="s">
        <v>635</v>
      </c>
      <c r="C872" s="205" t="s">
        <v>636</v>
      </c>
      <c r="D872" s="206">
        <v>42278</v>
      </c>
      <c r="E872" s="14" t="s">
        <v>2121</v>
      </c>
      <c r="F872" s="184">
        <v>67</v>
      </c>
      <c r="G872" s="14">
        <v>0</v>
      </c>
      <c r="H872" s="184">
        <v>0</v>
      </c>
      <c r="I872" s="184">
        <v>1</v>
      </c>
      <c r="J872" s="14" t="s">
        <v>1592</v>
      </c>
      <c r="K872" s="14"/>
      <c r="L872" s="85"/>
      <c r="M872" s="85"/>
      <c r="N872" s="85"/>
      <c r="O872" s="85"/>
      <c r="P872" s="85"/>
      <c r="Q872" s="85"/>
      <c r="R872" s="85"/>
      <c r="S872" s="85"/>
      <c r="T872" s="85"/>
      <c r="U872" s="85"/>
      <c r="V872" s="85"/>
      <c r="W872" s="85"/>
      <c r="X872" s="85"/>
      <c r="Y872" s="85"/>
      <c r="Z872" s="85"/>
    </row>
    <row r="873" spans="1:26" ht="15.75" customHeight="1">
      <c r="A873" s="205">
        <v>140</v>
      </c>
      <c r="B873" s="205" t="s">
        <v>635</v>
      </c>
      <c r="C873" s="205" t="s">
        <v>636</v>
      </c>
      <c r="D873" s="206">
        <v>42278</v>
      </c>
      <c r="E873" s="14" t="s">
        <v>2122</v>
      </c>
      <c r="F873" s="184">
        <v>44</v>
      </c>
      <c r="G873" s="14">
        <v>1</v>
      </c>
      <c r="H873" s="184">
        <v>0</v>
      </c>
      <c r="I873" s="184">
        <v>1</v>
      </c>
      <c r="J873" s="14" t="s">
        <v>1462</v>
      </c>
      <c r="K873" s="14"/>
      <c r="L873" s="85"/>
      <c r="M873" s="85"/>
      <c r="N873" s="85"/>
      <c r="O873" s="85"/>
      <c r="P873" s="85"/>
      <c r="Q873" s="85"/>
      <c r="R873" s="85"/>
      <c r="S873" s="85"/>
      <c r="T873" s="85"/>
      <c r="U873" s="85"/>
      <c r="V873" s="85"/>
      <c r="W873" s="85"/>
      <c r="X873" s="85"/>
      <c r="Y873" s="85"/>
      <c r="Z873" s="85"/>
    </row>
    <row r="874" spans="1:26" ht="15.75" customHeight="1">
      <c r="A874" s="191">
        <v>141</v>
      </c>
      <c r="B874" s="191" t="s">
        <v>638</v>
      </c>
      <c r="C874" s="191" t="s">
        <v>182</v>
      </c>
      <c r="D874" s="192">
        <v>42322</v>
      </c>
      <c r="E874" s="14" t="s">
        <v>2123</v>
      </c>
      <c r="F874" s="184">
        <v>77</v>
      </c>
      <c r="G874" s="14">
        <v>0</v>
      </c>
      <c r="H874" s="184">
        <v>0</v>
      </c>
      <c r="I874" s="14">
        <v>0</v>
      </c>
      <c r="J874" s="14" t="s">
        <v>100</v>
      </c>
      <c r="K874" s="14"/>
      <c r="L874" s="85"/>
      <c r="M874" s="85"/>
      <c r="N874" s="85"/>
      <c r="O874" s="85"/>
      <c r="P874" s="85"/>
      <c r="Q874" s="85"/>
      <c r="R874" s="85"/>
      <c r="S874" s="85"/>
      <c r="T874" s="85"/>
      <c r="U874" s="85"/>
      <c r="V874" s="85"/>
      <c r="W874" s="85"/>
      <c r="X874" s="85"/>
      <c r="Y874" s="85"/>
      <c r="Z874" s="85"/>
    </row>
    <row r="875" spans="1:26" ht="15.75" customHeight="1">
      <c r="A875" s="191">
        <v>141</v>
      </c>
      <c r="B875" s="191" t="s">
        <v>638</v>
      </c>
      <c r="C875" s="191" t="s">
        <v>182</v>
      </c>
      <c r="D875" s="192">
        <v>42322</v>
      </c>
      <c r="E875" s="14" t="s">
        <v>2124</v>
      </c>
      <c r="F875" s="184">
        <v>40</v>
      </c>
      <c r="G875" s="14">
        <v>1</v>
      </c>
      <c r="H875" s="184">
        <v>0</v>
      </c>
      <c r="I875" s="14">
        <v>0</v>
      </c>
      <c r="J875" s="14" t="s">
        <v>100</v>
      </c>
      <c r="K875" s="14"/>
      <c r="L875" s="85"/>
      <c r="M875" s="85"/>
      <c r="N875" s="85"/>
      <c r="O875" s="85"/>
      <c r="P875" s="85"/>
      <c r="Q875" s="85"/>
      <c r="R875" s="85"/>
      <c r="S875" s="85"/>
      <c r="T875" s="85"/>
      <c r="U875" s="85"/>
      <c r="V875" s="85"/>
      <c r="W875" s="85"/>
      <c r="X875" s="85"/>
      <c r="Y875" s="85"/>
      <c r="Z875" s="85"/>
    </row>
    <row r="876" spans="1:26" ht="15.75" customHeight="1">
      <c r="A876" s="191">
        <v>141</v>
      </c>
      <c r="B876" s="191" t="s">
        <v>638</v>
      </c>
      <c r="C876" s="191" t="s">
        <v>182</v>
      </c>
      <c r="D876" s="192">
        <v>42322</v>
      </c>
      <c r="E876" s="14" t="s">
        <v>2125</v>
      </c>
      <c r="F876" s="184">
        <v>6</v>
      </c>
      <c r="G876" s="14">
        <v>0</v>
      </c>
      <c r="H876" s="184">
        <v>0</v>
      </c>
      <c r="I876" s="14">
        <v>0</v>
      </c>
      <c r="J876" s="14" t="s">
        <v>100</v>
      </c>
      <c r="K876" s="14"/>
      <c r="L876" s="85"/>
      <c r="M876" s="85"/>
      <c r="N876" s="85"/>
      <c r="O876" s="85"/>
      <c r="P876" s="85"/>
      <c r="Q876" s="85"/>
      <c r="R876" s="85"/>
      <c r="S876" s="85"/>
      <c r="T876" s="85"/>
      <c r="U876" s="85"/>
      <c r="V876" s="85"/>
      <c r="W876" s="85"/>
      <c r="X876" s="85"/>
      <c r="Y876" s="85"/>
      <c r="Z876" s="85"/>
    </row>
    <row r="877" spans="1:26" ht="15.75" customHeight="1">
      <c r="A877" s="191">
        <v>141</v>
      </c>
      <c r="B877" s="191" t="s">
        <v>638</v>
      </c>
      <c r="C877" s="191" t="s">
        <v>182</v>
      </c>
      <c r="D877" s="192">
        <v>42322</v>
      </c>
      <c r="E877" s="14" t="s">
        <v>2126</v>
      </c>
      <c r="F877" s="184">
        <v>21</v>
      </c>
      <c r="G877" s="14">
        <v>0</v>
      </c>
      <c r="H877" s="184">
        <v>0</v>
      </c>
      <c r="I877" s="14">
        <v>0</v>
      </c>
      <c r="J877" s="14" t="s">
        <v>100</v>
      </c>
      <c r="K877" s="14"/>
      <c r="L877" s="85"/>
      <c r="M877" s="85"/>
      <c r="N877" s="85"/>
      <c r="O877" s="85"/>
      <c r="P877" s="85"/>
      <c r="Q877" s="85"/>
      <c r="R877" s="85"/>
      <c r="S877" s="85"/>
      <c r="T877" s="85"/>
      <c r="U877" s="85"/>
      <c r="V877" s="85"/>
      <c r="W877" s="85"/>
      <c r="X877" s="85"/>
      <c r="Y877" s="85"/>
      <c r="Z877" s="85"/>
    </row>
    <row r="878" spans="1:26" ht="15.75" customHeight="1">
      <c r="A878" s="191">
        <v>141</v>
      </c>
      <c r="B878" s="191" t="s">
        <v>638</v>
      </c>
      <c r="C878" s="191" t="s">
        <v>182</v>
      </c>
      <c r="D878" s="192">
        <v>42322</v>
      </c>
      <c r="E878" s="14" t="s">
        <v>2127</v>
      </c>
      <c r="F878" s="184">
        <v>23</v>
      </c>
      <c r="G878" s="14">
        <v>0</v>
      </c>
      <c r="H878" s="184">
        <v>0</v>
      </c>
      <c r="I878" s="14">
        <v>0</v>
      </c>
      <c r="J878" s="14" t="s">
        <v>100</v>
      </c>
      <c r="K878" s="14"/>
      <c r="L878" s="85"/>
      <c r="M878" s="85"/>
      <c r="N878" s="85"/>
      <c r="O878" s="85"/>
      <c r="P878" s="85"/>
      <c r="Q878" s="85"/>
      <c r="R878" s="85"/>
      <c r="S878" s="85"/>
      <c r="T878" s="85"/>
      <c r="U878" s="85"/>
      <c r="V878" s="85"/>
      <c r="W878" s="85"/>
      <c r="X878" s="85"/>
      <c r="Y878" s="85"/>
      <c r="Z878" s="85"/>
    </row>
    <row r="879" spans="1:26" ht="15.75" customHeight="1">
      <c r="A879" s="191">
        <v>141</v>
      </c>
      <c r="B879" s="191" t="s">
        <v>638</v>
      </c>
      <c r="C879" s="191" t="s">
        <v>182</v>
      </c>
      <c r="D879" s="192">
        <v>42322</v>
      </c>
      <c r="E879" s="14" t="s">
        <v>2128</v>
      </c>
      <c r="F879" s="184">
        <v>45</v>
      </c>
      <c r="G879" s="14">
        <v>0</v>
      </c>
      <c r="H879" s="184">
        <v>0</v>
      </c>
      <c r="I879" s="14">
        <v>0</v>
      </c>
      <c r="J879" s="14" t="s">
        <v>100</v>
      </c>
      <c r="K879" s="14"/>
      <c r="L879" s="85"/>
      <c r="M879" s="85"/>
      <c r="N879" s="85"/>
      <c r="O879" s="85"/>
      <c r="P879" s="85"/>
      <c r="Q879" s="85"/>
      <c r="R879" s="85"/>
      <c r="S879" s="85"/>
      <c r="T879" s="85"/>
      <c r="U879" s="85"/>
      <c r="V879" s="85"/>
      <c r="W879" s="85"/>
      <c r="X879" s="85"/>
      <c r="Y879" s="85"/>
      <c r="Z879" s="85"/>
    </row>
    <row r="880" spans="1:26" ht="15.75" customHeight="1">
      <c r="A880" s="193" t="s">
        <v>1092</v>
      </c>
      <c r="B880" s="193" t="s">
        <v>1093</v>
      </c>
      <c r="C880" s="193" t="s">
        <v>1094</v>
      </c>
      <c r="D880" s="194">
        <v>42340</v>
      </c>
      <c r="E880" s="14" t="s">
        <v>2129</v>
      </c>
      <c r="F880" s="184">
        <v>40</v>
      </c>
      <c r="G880" s="14">
        <v>0</v>
      </c>
      <c r="H880" s="14">
        <v>0</v>
      </c>
      <c r="I880" s="184">
        <v>1</v>
      </c>
      <c r="J880" s="14" t="s">
        <v>1694</v>
      </c>
      <c r="K880" s="14"/>
      <c r="L880" s="85"/>
      <c r="M880" s="85"/>
      <c r="N880" s="85"/>
      <c r="O880" s="85"/>
      <c r="P880" s="85"/>
      <c r="Q880" s="85"/>
      <c r="R880" s="85"/>
      <c r="S880" s="85"/>
      <c r="T880" s="85"/>
      <c r="U880" s="85"/>
      <c r="V880" s="85"/>
      <c r="W880" s="85"/>
      <c r="X880" s="85"/>
      <c r="Y880" s="85"/>
      <c r="Z880" s="85"/>
    </row>
    <row r="881" spans="1:26" ht="15.75" customHeight="1">
      <c r="A881" s="193" t="s">
        <v>1092</v>
      </c>
      <c r="B881" s="193" t="s">
        <v>1093</v>
      </c>
      <c r="C881" s="193" t="s">
        <v>1094</v>
      </c>
      <c r="D881" s="194">
        <v>42340</v>
      </c>
      <c r="E881" s="14" t="s">
        <v>2130</v>
      </c>
      <c r="F881" s="184">
        <v>60</v>
      </c>
      <c r="G881" s="14">
        <v>0</v>
      </c>
      <c r="H881" s="14">
        <v>1</v>
      </c>
      <c r="I881" s="184">
        <v>1</v>
      </c>
      <c r="J881" s="14" t="s">
        <v>1694</v>
      </c>
      <c r="K881" s="14"/>
      <c r="L881" s="85"/>
      <c r="M881" s="85"/>
      <c r="N881" s="85"/>
      <c r="O881" s="85"/>
      <c r="P881" s="85"/>
      <c r="Q881" s="85"/>
      <c r="R881" s="85"/>
      <c r="S881" s="85"/>
      <c r="T881" s="85"/>
      <c r="U881" s="85"/>
      <c r="V881" s="85"/>
      <c r="W881" s="85"/>
      <c r="X881" s="85"/>
      <c r="Y881" s="85"/>
      <c r="Z881" s="85"/>
    </row>
    <row r="882" spans="1:26" ht="15.75" customHeight="1">
      <c r="A882" s="193" t="s">
        <v>1092</v>
      </c>
      <c r="B882" s="193" t="s">
        <v>1093</v>
      </c>
      <c r="C882" s="193" t="s">
        <v>1094</v>
      </c>
      <c r="D882" s="194">
        <v>42340</v>
      </c>
      <c r="E882" s="14" t="s">
        <v>2131</v>
      </c>
      <c r="F882" s="184">
        <v>46</v>
      </c>
      <c r="G882" s="14">
        <v>1</v>
      </c>
      <c r="H882" s="14">
        <v>4</v>
      </c>
      <c r="I882" s="184">
        <v>1</v>
      </c>
      <c r="J882" s="14" t="s">
        <v>1694</v>
      </c>
      <c r="K882" s="14"/>
      <c r="L882" s="85"/>
      <c r="M882" s="85"/>
      <c r="N882" s="85"/>
      <c r="O882" s="85"/>
      <c r="P882" s="85"/>
      <c r="Q882" s="85"/>
      <c r="R882" s="85"/>
      <c r="S882" s="85"/>
      <c r="T882" s="85"/>
      <c r="U882" s="85"/>
      <c r="V882" s="85"/>
      <c r="W882" s="85"/>
      <c r="X882" s="85"/>
      <c r="Y882" s="85"/>
      <c r="Z882" s="85"/>
    </row>
    <row r="883" spans="1:26" ht="15.75" customHeight="1">
      <c r="A883" s="193" t="s">
        <v>1092</v>
      </c>
      <c r="B883" s="193" t="s">
        <v>1093</v>
      </c>
      <c r="C883" s="193" t="s">
        <v>1094</v>
      </c>
      <c r="D883" s="194">
        <v>42340</v>
      </c>
      <c r="E883" s="14" t="s">
        <v>2132</v>
      </c>
      <c r="F883" s="184">
        <v>46</v>
      </c>
      <c r="G883" s="14">
        <v>0</v>
      </c>
      <c r="H883" s="184">
        <v>0</v>
      </c>
      <c r="I883" s="184">
        <v>1</v>
      </c>
      <c r="J883" s="14" t="s">
        <v>1694</v>
      </c>
      <c r="K883" s="14"/>
      <c r="L883" s="85"/>
      <c r="M883" s="85"/>
      <c r="N883" s="85"/>
      <c r="O883" s="85"/>
      <c r="P883" s="85"/>
      <c r="Q883" s="85"/>
      <c r="R883" s="85"/>
      <c r="S883" s="85"/>
      <c r="T883" s="85"/>
      <c r="U883" s="85"/>
      <c r="V883" s="85"/>
      <c r="W883" s="85"/>
      <c r="X883" s="85"/>
      <c r="Y883" s="85"/>
      <c r="Z883" s="85"/>
    </row>
    <row r="884" spans="1:26" ht="15.75" customHeight="1">
      <c r="A884" s="193" t="s">
        <v>1092</v>
      </c>
      <c r="B884" s="193" t="s">
        <v>1093</v>
      </c>
      <c r="C884" s="193" t="s">
        <v>1094</v>
      </c>
      <c r="D884" s="194">
        <v>42340</v>
      </c>
      <c r="E884" s="14" t="s">
        <v>2133</v>
      </c>
      <c r="F884" s="184">
        <v>27</v>
      </c>
      <c r="G884" s="14">
        <v>1</v>
      </c>
      <c r="H884" s="14">
        <v>1</v>
      </c>
      <c r="I884" s="184">
        <v>1</v>
      </c>
      <c r="J884" s="14" t="s">
        <v>1694</v>
      </c>
      <c r="K884" s="14"/>
      <c r="L884" s="85"/>
      <c r="M884" s="85"/>
      <c r="N884" s="85"/>
      <c r="O884" s="85"/>
      <c r="P884" s="85"/>
      <c r="Q884" s="85"/>
      <c r="R884" s="85"/>
      <c r="S884" s="85"/>
      <c r="T884" s="85"/>
      <c r="U884" s="85"/>
      <c r="V884" s="85"/>
      <c r="W884" s="85"/>
      <c r="X884" s="85"/>
      <c r="Y884" s="85"/>
      <c r="Z884" s="85"/>
    </row>
    <row r="885" spans="1:26" ht="15.75" customHeight="1">
      <c r="A885" s="193" t="s">
        <v>1092</v>
      </c>
      <c r="B885" s="193" t="s">
        <v>1093</v>
      </c>
      <c r="C885" s="193" t="s">
        <v>1094</v>
      </c>
      <c r="D885" s="194">
        <v>42340</v>
      </c>
      <c r="E885" s="14" t="s">
        <v>2134</v>
      </c>
      <c r="F885" s="184">
        <v>50</v>
      </c>
      <c r="G885" s="14">
        <v>0</v>
      </c>
      <c r="H885" s="14">
        <v>2</v>
      </c>
      <c r="I885" s="184">
        <v>1</v>
      </c>
      <c r="J885" s="14" t="s">
        <v>1694</v>
      </c>
      <c r="K885" s="14"/>
      <c r="L885" s="85"/>
      <c r="M885" s="85"/>
      <c r="N885" s="85"/>
      <c r="O885" s="85"/>
      <c r="P885" s="85"/>
      <c r="Q885" s="85"/>
      <c r="R885" s="85"/>
      <c r="S885" s="85"/>
      <c r="T885" s="85"/>
      <c r="U885" s="85"/>
      <c r="V885" s="85"/>
      <c r="W885" s="85"/>
      <c r="X885" s="85"/>
      <c r="Y885" s="85"/>
      <c r="Z885" s="85"/>
    </row>
    <row r="886" spans="1:26" ht="15.75" customHeight="1">
      <c r="A886" s="193" t="s">
        <v>1092</v>
      </c>
      <c r="B886" s="193" t="s">
        <v>1093</v>
      </c>
      <c r="C886" s="193" t="s">
        <v>1094</v>
      </c>
      <c r="D886" s="194">
        <v>42340</v>
      </c>
      <c r="E886" s="14" t="s">
        <v>2135</v>
      </c>
      <c r="F886" s="184">
        <v>26</v>
      </c>
      <c r="G886" s="14">
        <v>1</v>
      </c>
      <c r="H886" s="184">
        <v>2</v>
      </c>
      <c r="I886" s="184">
        <v>1</v>
      </c>
      <c r="J886" s="14" t="s">
        <v>1694</v>
      </c>
      <c r="K886" s="14"/>
      <c r="L886" s="85"/>
      <c r="M886" s="85"/>
      <c r="N886" s="85"/>
      <c r="O886" s="85"/>
      <c r="P886" s="85"/>
      <c r="Q886" s="85"/>
      <c r="R886" s="85"/>
      <c r="S886" s="85"/>
      <c r="T886" s="85"/>
      <c r="U886" s="85"/>
      <c r="V886" s="85"/>
      <c r="W886" s="85"/>
      <c r="X886" s="85"/>
      <c r="Y886" s="85"/>
      <c r="Z886" s="85"/>
    </row>
    <row r="887" spans="1:26" ht="15.75" customHeight="1">
      <c r="A887" s="193" t="s">
        <v>1092</v>
      </c>
      <c r="B887" s="193" t="s">
        <v>1093</v>
      </c>
      <c r="C887" s="193" t="s">
        <v>1094</v>
      </c>
      <c r="D887" s="194">
        <v>42340</v>
      </c>
      <c r="E887" s="14" t="s">
        <v>2136</v>
      </c>
      <c r="F887" s="184">
        <v>45</v>
      </c>
      <c r="G887" s="14">
        <v>0</v>
      </c>
      <c r="H887" s="14">
        <v>0</v>
      </c>
      <c r="I887" s="184">
        <v>1</v>
      </c>
      <c r="J887" s="14" t="s">
        <v>1694</v>
      </c>
      <c r="K887" s="14"/>
      <c r="L887" s="85"/>
      <c r="M887" s="85"/>
      <c r="N887" s="85"/>
      <c r="O887" s="85"/>
      <c r="P887" s="85"/>
      <c r="Q887" s="85"/>
      <c r="R887" s="85"/>
      <c r="S887" s="85"/>
      <c r="T887" s="85"/>
      <c r="U887" s="85"/>
      <c r="V887" s="85"/>
      <c r="W887" s="85"/>
      <c r="X887" s="85"/>
      <c r="Y887" s="85"/>
      <c r="Z887" s="85"/>
    </row>
    <row r="888" spans="1:26" ht="15.75" customHeight="1">
      <c r="A888" s="193" t="s">
        <v>1092</v>
      </c>
      <c r="B888" s="193" t="s">
        <v>1093</v>
      </c>
      <c r="C888" s="193" t="s">
        <v>1094</v>
      </c>
      <c r="D888" s="194">
        <v>42340</v>
      </c>
      <c r="E888" s="14" t="s">
        <v>2137</v>
      </c>
      <c r="F888" s="184">
        <v>42</v>
      </c>
      <c r="G888" s="14">
        <v>0</v>
      </c>
      <c r="H888" s="14">
        <v>0</v>
      </c>
      <c r="I888" s="184">
        <v>0</v>
      </c>
      <c r="J888" s="14" t="s">
        <v>100</v>
      </c>
      <c r="K888" s="14"/>
      <c r="L888" s="85"/>
      <c r="M888" s="85"/>
      <c r="N888" s="85"/>
      <c r="O888" s="85"/>
      <c r="P888" s="85"/>
      <c r="Q888" s="85"/>
      <c r="R888" s="85"/>
      <c r="S888" s="85"/>
      <c r="T888" s="85"/>
      <c r="U888" s="85"/>
      <c r="V888" s="85"/>
      <c r="W888" s="85"/>
      <c r="X888" s="85"/>
      <c r="Y888" s="85"/>
      <c r="Z888" s="85"/>
    </row>
    <row r="889" spans="1:26" ht="15.75" customHeight="1">
      <c r="A889" s="193" t="s">
        <v>1092</v>
      </c>
      <c r="B889" s="193" t="s">
        <v>1093</v>
      </c>
      <c r="C889" s="193" t="s">
        <v>1094</v>
      </c>
      <c r="D889" s="194">
        <v>42340</v>
      </c>
      <c r="E889" s="14" t="s">
        <v>2138</v>
      </c>
      <c r="F889" s="184">
        <v>58</v>
      </c>
      <c r="G889" s="14">
        <v>0</v>
      </c>
      <c r="H889" s="14">
        <v>0</v>
      </c>
      <c r="I889" s="184">
        <v>1</v>
      </c>
      <c r="J889" s="14" t="s">
        <v>1694</v>
      </c>
      <c r="K889" s="14"/>
      <c r="L889" s="85"/>
      <c r="M889" s="85"/>
      <c r="N889" s="85"/>
      <c r="O889" s="85"/>
      <c r="P889" s="85"/>
      <c r="Q889" s="85"/>
      <c r="R889" s="85"/>
      <c r="S889" s="85"/>
      <c r="T889" s="85"/>
      <c r="U889" s="85"/>
      <c r="V889" s="85"/>
      <c r="W889" s="85"/>
      <c r="X889" s="85"/>
      <c r="Y889" s="85"/>
      <c r="Z889" s="85"/>
    </row>
    <row r="890" spans="1:26" ht="15.75" customHeight="1">
      <c r="A890" s="193" t="s">
        <v>1092</v>
      </c>
      <c r="B890" s="193" t="s">
        <v>1093</v>
      </c>
      <c r="C890" s="193" t="s">
        <v>1094</v>
      </c>
      <c r="D890" s="194">
        <v>42340</v>
      </c>
      <c r="E890" s="14" t="s">
        <v>2139</v>
      </c>
      <c r="F890" s="184">
        <v>31</v>
      </c>
      <c r="G890" s="14">
        <v>1</v>
      </c>
      <c r="H890" s="14">
        <v>3</v>
      </c>
      <c r="I890" s="184">
        <v>1</v>
      </c>
      <c r="J890" s="14" t="s">
        <v>1694</v>
      </c>
      <c r="K890" s="14"/>
      <c r="L890" s="85"/>
      <c r="M890" s="85"/>
      <c r="N890" s="85"/>
      <c r="O890" s="85"/>
      <c r="P890" s="85"/>
      <c r="Q890" s="85"/>
      <c r="R890" s="85"/>
      <c r="S890" s="85"/>
      <c r="T890" s="85"/>
      <c r="U890" s="85"/>
      <c r="V890" s="85"/>
      <c r="W890" s="85"/>
      <c r="X890" s="85"/>
      <c r="Y890" s="85"/>
      <c r="Z890" s="85"/>
    </row>
    <row r="891" spans="1:26" ht="15.75" customHeight="1">
      <c r="A891" s="193" t="s">
        <v>1092</v>
      </c>
      <c r="B891" s="193" t="s">
        <v>1093</v>
      </c>
      <c r="C891" s="193" t="s">
        <v>1094</v>
      </c>
      <c r="D891" s="194">
        <v>42340</v>
      </c>
      <c r="E891" s="14" t="s">
        <v>2140</v>
      </c>
      <c r="F891" s="184">
        <v>52</v>
      </c>
      <c r="G891" s="14">
        <v>0</v>
      </c>
      <c r="H891" s="184">
        <v>0</v>
      </c>
      <c r="I891" s="184">
        <v>1</v>
      </c>
      <c r="J891" s="14" t="s">
        <v>1694</v>
      </c>
      <c r="K891" s="14"/>
      <c r="L891" s="85"/>
      <c r="M891" s="85"/>
      <c r="N891" s="85"/>
      <c r="O891" s="85"/>
      <c r="P891" s="85"/>
      <c r="Q891" s="85"/>
      <c r="R891" s="85"/>
      <c r="S891" s="85"/>
      <c r="T891" s="85"/>
      <c r="U891" s="85"/>
      <c r="V891" s="85"/>
      <c r="W891" s="85"/>
      <c r="X891" s="85"/>
      <c r="Y891" s="85"/>
      <c r="Z891" s="85"/>
    </row>
    <row r="892" spans="1:26" ht="15.75" customHeight="1">
      <c r="A892" s="193" t="s">
        <v>1092</v>
      </c>
      <c r="B892" s="193" t="s">
        <v>1093</v>
      </c>
      <c r="C892" s="193" t="s">
        <v>1094</v>
      </c>
      <c r="D892" s="194">
        <v>42340</v>
      </c>
      <c r="E892" s="14" t="s">
        <v>2141</v>
      </c>
      <c r="F892" s="184">
        <v>27</v>
      </c>
      <c r="G892" s="14">
        <v>1</v>
      </c>
      <c r="H892" s="184">
        <v>2</v>
      </c>
      <c r="I892" s="184">
        <v>1</v>
      </c>
      <c r="J892" s="14" t="s">
        <v>1694</v>
      </c>
      <c r="K892" s="14"/>
      <c r="L892" s="85"/>
      <c r="M892" s="85"/>
      <c r="N892" s="85"/>
      <c r="O892" s="85"/>
      <c r="P892" s="85"/>
      <c r="Q892" s="85"/>
      <c r="R892" s="85"/>
      <c r="S892" s="85"/>
      <c r="T892" s="85"/>
      <c r="U892" s="85"/>
      <c r="V892" s="85"/>
      <c r="W892" s="85"/>
      <c r="X892" s="85"/>
      <c r="Y892" s="85"/>
      <c r="Z892" s="85"/>
    </row>
    <row r="893" spans="1:26" ht="15.75" customHeight="1">
      <c r="A893" s="193" t="s">
        <v>1092</v>
      </c>
      <c r="B893" s="193" t="s">
        <v>1093</v>
      </c>
      <c r="C893" s="193" t="s">
        <v>1094</v>
      </c>
      <c r="D893" s="194">
        <v>42340</v>
      </c>
      <c r="E893" s="14" t="s">
        <v>2142</v>
      </c>
      <c r="F893" s="184">
        <v>37</v>
      </c>
      <c r="G893" s="14">
        <v>0</v>
      </c>
      <c r="H893" s="14">
        <v>0</v>
      </c>
      <c r="I893" s="184">
        <v>1</v>
      </c>
      <c r="J893" s="14" t="s">
        <v>1694</v>
      </c>
      <c r="K893" s="14"/>
      <c r="L893" s="85"/>
      <c r="M893" s="85"/>
      <c r="N893" s="85"/>
      <c r="O893" s="85"/>
      <c r="P893" s="85"/>
      <c r="Q893" s="85"/>
      <c r="R893" s="85"/>
      <c r="S893" s="85"/>
      <c r="T893" s="85"/>
      <c r="U893" s="85"/>
      <c r="V893" s="85"/>
      <c r="W893" s="85"/>
      <c r="X893" s="85"/>
      <c r="Y893" s="85"/>
      <c r="Z893" s="85"/>
    </row>
    <row r="894" spans="1:26" ht="15.75" customHeight="1">
      <c r="A894" s="201">
        <v>144</v>
      </c>
      <c r="B894" s="201" t="s">
        <v>647</v>
      </c>
      <c r="C894" s="201" t="s">
        <v>648</v>
      </c>
      <c r="D894" s="202">
        <v>42420</v>
      </c>
      <c r="E894" s="14" t="s">
        <v>2143</v>
      </c>
      <c r="F894" s="184">
        <v>74</v>
      </c>
      <c r="G894" s="14">
        <v>1</v>
      </c>
      <c r="H894" s="184">
        <v>0</v>
      </c>
      <c r="I894" s="14">
        <v>0</v>
      </c>
      <c r="J894" s="14" t="s">
        <v>100</v>
      </c>
      <c r="K894" s="14"/>
      <c r="L894" s="85"/>
      <c r="M894" s="85"/>
      <c r="N894" s="85"/>
      <c r="O894" s="85"/>
      <c r="P894" s="85"/>
      <c r="Q894" s="85"/>
      <c r="R894" s="85"/>
      <c r="S894" s="85"/>
      <c r="T894" s="85"/>
      <c r="U894" s="85"/>
      <c r="V894" s="85"/>
      <c r="W894" s="85"/>
      <c r="X894" s="85"/>
      <c r="Y894" s="85"/>
      <c r="Z894" s="85"/>
    </row>
    <row r="895" spans="1:26" ht="15.75" customHeight="1">
      <c r="A895" s="201">
        <v>144</v>
      </c>
      <c r="B895" s="201" t="s">
        <v>647</v>
      </c>
      <c r="C895" s="201" t="s">
        <v>648</v>
      </c>
      <c r="D895" s="202">
        <v>42420</v>
      </c>
      <c r="E895" s="14" t="s">
        <v>2144</v>
      </c>
      <c r="F895" s="184">
        <v>68</v>
      </c>
      <c r="G895" s="14">
        <v>1</v>
      </c>
      <c r="H895" s="184">
        <v>0</v>
      </c>
      <c r="I895" s="14">
        <v>0</v>
      </c>
      <c r="J895" s="14" t="s">
        <v>100</v>
      </c>
      <c r="K895" s="14"/>
      <c r="L895" s="85"/>
      <c r="M895" s="85"/>
      <c r="N895" s="85"/>
      <c r="O895" s="85"/>
      <c r="P895" s="85"/>
      <c r="Q895" s="85"/>
      <c r="R895" s="85"/>
      <c r="S895" s="85"/>
      <c r="T895" s="85"/>
      <c r="U895" s="85"/>
      <c r="V895" s="85"/>
      <c r="W895" s="85"/>
      <c r="X895" s="85"/>
      <c r="Y895" s="85"/>
      <c r="Z895" s="85"/>
    </row>
    <row r="896" spans="1:26" ht="15.75" customHeight="1">
      <c r="A896" s="201">
        <v>144</v>
      </c>
      <c r="B896" s="201" t="s">
        <v>647</v>
      </c>
      <c r="C896" s="201" t="s">
        <v>648</v>
      </c>
      <c r="D896" s="202">
        <v>42420</v>
      </c>
      <c r="E896" s="14" t="s">
        <v>2145</v>
      </c>
      <c r="F896" s="184">
        <v>60</v>
      </c>
      <c r="G896" s="14">
        <v>1</v>
      </c>
      <c r="H896" s="184">
        <v>0</v>
      </c>
      <c r="I896" s="14">
        <v>0</v>
      </c>
      <c r="J896" s="14" t="s">
        <v>100</v>
      </c>
      <c r="K896" s="14"/>
      <c r="L896" s="85"/>
      <c r="M896" s="85"/>
      <c r="N896" s="85"/>
      <c r="O896" s="85"/>
      <c r="P896" s="85"/>
      <c r="Q896" s="85"/>
      <c r="R896" s="85"/>
      <c r="S896" s="85"/>
      <c r="T896" s="85"/>
      <c r="U896" s="85"/>
      <c r="V896" s="85"/>
      <c r="W896" s="85"/>
      <c r="X896" s="85"/>
      <c r="Y896" s="85"/>
      <c r="Z896" s="85"/>
    </row>
    <row r="897" spans="1:26" ht="15.75" customHeight="1">
      <c r="A897" s="201">
        <v>144</v>
      </c>
      <c r="B897" s="201" t="s">
        <v>647</v>
      </c>
      <c r="C897" s="201" t="s">
        <v>648</v>
      </c>
      <c r="D897" s="202">
        <v>42420</v>
      </c>
      <c r="E897" s="14" t="s">
        <v>2146</v>
      </c>
      <c r="F897" s="184">
        <v>62</v>
      </c>
      <c r="G897" s="14">
        <v>1</v>
      </c>
      <c r="H897" s="184">
        <v>0</v>
      </c>
      <c r="I897" s="14">
        <v>0</v>
      </c>
      <c r="J897" s="14" t="s">
        <v>100</v>
      </c>
      <c r="K897" s="14"/>
      <c r="L897" s="85"/>
      <c r="M897" s="85"/>
      <c r="N897" s="85"/>
      <c r="O897" s="85"/>
      <c r="P897" s="85"/>
      <c r="Q897" s="85"/>
      <c r="R897" s="85"/>
      <c r="S897" s="85"/>
      <c r="T897" s="85"/>
      <c r="U897" s="85"/>
      <c r="V897" s="85"/>
      <c r="W897" s="85"/>
      <c r="X897" s="85"/>
      <c r="Y897" s="85"/>
      <c r="Z897" s="85"/>
    </row>
    <row r="898" spans="1:26" ht="15.75" customHeight="1">
      <c r="A898" s="201">
        <v>144</v>
      </c>
      <c r="B898" s="201" t="s">
        <v>647</v>
      </c>
      <c r="C898" s="201" t="s">
        <v>648</v>
      </c>
      <c r="D898" s="202">
        <v>42420</v>
      </c>
      <c r="E898" s="14" t="s">
        <v>2147</v>
      </c>
      <c r="F898" s="184">
        <v>53</v>
      </c>
      <c r="G898" s="14">
        <v>0</v>
      </c>
      <c r="H898" s="184">
        <v>0</v>
      </c>
      <c r="I898" s="14">
        <v>0</v>
      </c>
      <c r="J898" s="14" t="s">
        <v>100</v>
      </c>
      <c r="K898" s="14"/>
      <c r="L898" s="85"/>
      <c r="M898" s="85"/>
      <c r="N898" s="85"/>
      <c r="O898" s="85"/>
      <c r="P898" s="85"/>
      <c r="Q898" s="85"/>
      <c r="R898" s="85"/>
      <c r="S898" s="85"/>
      <c r="T898" s="85"/>
      <c r="U898" s="85"/>
      <c r="V898" s="85"/>
      <c r="W898" s="85"/>
      <c r="X898" s="85"/>
      <c r="Y898" s="85"/>
      <c r="Z898" s="85"/>
    </row>
    <row r="899" spans="1:26" ht="15.75" customHeight="1">
      <c r="A899" s="201">
        <v>144</v>
      </c>
      <c r="B899" s="201" t="s">
        <v>647</v>
      </c>
      <c r="C899" s="201" t="s">
        <v>648</v>
      </c>
      <c r="D899" s="202">
        <v>42420</v>
      </c>
      <c r="E899" s="14" t="s">
        <v>2148</v>
      </c>
      <c r="F899" s="184">
        <v>17</v>
      </c>
      <c r="G899" s="14">
        <v>0</v>
      </c>
      <c r="H899" s="184">
        <v>0</v>
      </c>
      <c r="I899" s="14">
        <v>0</v>
      </c>
      <c r="J899" s="14" t="s">
        <v>100</v>
      </c>
      <c r="K899" s="14"/>
      <c r="L899" s="85"/>
      <c r="M899" s="85"/>
      <c r="N899" s="85"/>
      <c r="O899" s="85"/>
      <c r="P899" s="85"/>
      <c r="Q899" s="85"/>
      <c r="R899" s="85"/>
      <c r="S899" s="85"/>
      <c r="T899" s="85"/>
      <c r="U899" s="85"/>
      <c r="V899" s="85"/>
      <c r="W899" s="85"/>
      <c r="X899" s="85"/>
      <c r="Y899" s="85"/>
      <c r="Z899" s="85"/>
    </row>
    <row r="900" spans="1:26" ht="15.75" customHeight="1">
      <c r="A900" s="195" t="s">
        <v>2149</v>
      </c>
      <c r="B900" s="195"/>
      <c r="C900" s="195"/>
      <c r="D900" s="196">
        <v>42438</v>
      </c>
      <c r="E900" s="14" t="s">
        <v>2150</v>
      </c>
      <c r="F900" s="184">
        <v>26</v>
      </c>
      <c r="G900" s="14">
        <v>1</v>
      </c>
      <c r="H900" s="184">
        <v>1</v>
      </c>
      <c r="I900" s="14"/>
      <c r="J900" s="14"/>
      <c r="K900" s="14"/>
      <c r="L900" s="85"/>
      <c r="M900" s="85"/>
      <c r="N900" s="85"/>
      <c r="O900" s="85"/>
      <c r="P900" s="85"/>
      <c r="Q900" s="85"/>
      <c r="R900" s="85"/>
      <c r="S900" s="85"/>
      <c r="T900" s="85"/>
      <c r="U900" s="85"/>
      <c r="V900" s="85"/>
      <c r="W900" s="85"/>
      <c r="X900" s="85"/>
      <c r="Y900" s="85"/>
      <c r="Z900" s="85"/>
    </row>
    <row r="901" spans="1:26" ht="15.75" customHeight="1">
      <c r="A901" s="195" t="s">
        <v>2149</v>
      </c>
      <c r="B901" s="195"/>
      <c r="C901" s="195"/>
      <c r="D901" s="196">
        <v>42438</v>
      </c>
      <c r="E901" s="14" t="s">
        <v>2151</v>
      </c>
      <c r="F901" s="184">
        <v>27</v>
      </c>
      <c r="G901" s="14">
        <v>1</v>
      </c>
      <c r="H901" s="184">
        <v>1</v>
      </c>
      <c r="I901" s="14"/>
      <c r="J901" s="14"/>
      <c r="K901" s="14"/>
      <c r="L901" s="85"/>
      <c r="M901" s="85"/>
      <c r="N901" s="85"/>
      <c r="O901" s="85"/>
      <c r="P901" s="85"/>
      <c r="Q901" s="85"/>
      <c r="R901" s="85"/>
      <c r="S901" s="85"/>
      <c r="T901" s="85"/>
      <c r="U901" s="85"/>
      <c r="V901" s="85"/>
      <c r="W901" s="85"/>
      <c r="X901" s="85"/>
      <c r="Y901" s="85"/>
      <c r="Z901" s="85"/>
    </row>
    <row r="902" spans="1:26" ht="15.75" customHeight="1">
      <c r="A902" s="195" t="s">
        <v>2149</v>
      </c>
      <c r="B902" s="195"/>
      <c r="C902" s="195"/>
      <c r="D902" s="196">
        <v>42438</v>
      </c>
      <c r="E902" s="14" t="s">
        <v>2152</v>
      </c>
      <c r="F902" s="184">
        <v>25</v>
      </c>
      <c r="G902" s="14">
        <v>1</v>
      </c>
      <c r="H902" s="184">
        <v>1</v>
      </c>
      <c r="I902" s="14"/>
      <c r="J902" s="14"/>
      <c r="K902" s="14"/>
      <c r="L902" s="85"/>
      <c r="M902" s="85"/>
      <c r="N902" s="85"/>
      <c r="O902" s="85"/>
      <c r="P902" s="85"/>
      <c r="Q902" s="85"/>
      <c r="R902" s="85"/>
      <c r="S902" s="85"/>
      <c r="T902" s="85"/>
      <c r="U902" s="85"/>
      <c r="V902" s="85"/>
      <c r="W902" s="85"/>
      <c r="X902" s="85"/>
      <c r="Y902" s="85"/>
      <c r="Z902" s="85"/>
    </row>
    <row r="903" spans="1:26" ht="15.75" customHeight="1">
      <c r="A903" s="195" t="s">
        <v>2149</v>
      </c>
      <c r="B903" s="195"/>
      <c r="C903" s="195"/>
      <c r="D903" s="196">
        <v>42438</v>
      </c>
      <c r="E903" s="14" t="s">
        <v>2153</v>
      </c>
      <c r="F903" s="184">
        <v>35</v>
      </c>
      <c r="G903" s="14">
        <v>0</v>
      </c>
      <c r="H903" s="184">
        <v>1</v>
      </c>
      <c r="I903" s="14"/>
      <c r="J903" s="14"/>
      <c r="K903" s="14"/>
      <c r="L903" s="85"/>
      <c r="M903" s="85"/>
      <c r="N903" s="85"/>
      <c r="O903" s="85"/>
      <c r="P903" s="85"/>
      <c r="Q903" s="85"/>
      <c r="R903" s="85"/>
      <c r="S903" s="85"/>
      <c r="T903" s="85"/>
      <c r="U903" s="85"/>
      <c r="V903" s="85"/>
      <c r="W903" s="85"/>
      <c r="X903" s="85"/>
      <c r="Y903" s="85"/>
      <c r="Z903" s="85"/>
    </row>
    <row r="904" spans="1:26" ht="15.75" customHeight="1">
      <c r="A904" s="195" t="s">
        <v>2149</v>
      </c>
      <c r="B904" s="195"/>
      <c r="C904" s="195"/>
      <c r="D904" s="196">
        <v>42438</v>
      </c>
      <c r="E904" s="14" t="s">
        <v>2154</v>
      </c>
      <c r="F904" s="184">
        <v>37</v>
      </c>
      <c r="G904" s="14">
        <v>1</v>
      </c>
      <c r="H904" s="184">
        <v>1</v>
      </c>
      <c r="I904" s="14"/>
      <c r="J904" s="14"/>
      <c r="K904" s="14"/>
      <c r="L904" s="85"/>
      <c r="M904" s="85"/>
      <c r="N904" s="85"/>
      <c r="O904" s="85"/>
      <c r="P904" s="85"/>
      <c r="Q904" s="85"/>
      <c r="R904" s="85"/>
      <c r="S904" s="85"/>
      <c r="T904" s="85"/>
      <c r="U904" s="85"/>
      <c r="V904" s="85"/>
      <c r="W904" s="85"/>
      <c r="X904" s="85"/>
      <c r="Y904" s="85"/>
      <c r="Z904" s="85"/>
    </row>
    <row r="905" spans="1:26" ht="15.75" customHeight="1">
      <c r="A905" s="197">
        <v>147</v>
      </c>
      <c r="B905" s="197" t="s">
        <v>653</v>
      </c>
      <c r="C905" s="197" t="s">
        <v>551</v>
      </c>
      <c r="D905" s="198">
        <v>42533</v>
      </c>
      <c r="E905" s="14" t="s">
        <v>2155</v>
      </c>
      <c r="F905" s="184">
        <v>23</v>
      </c>
      <c r="G905" s="14">
        <v>0</v>
      </c>
      <c r="H905" s="184">
        <v>2</v>
      </c>
      <c r="I905" s="14">
        <v>0</v>
      </c>
      <c r="J905" s="14" t="s">
        <v>100</v>
      </c>
      <c r="K905" s="14"/>
      <c r="L905" s="85"/>
      <c r="M905" s="85"/>
      <c r="N905" s="85"/>
      <c r="O905" s="85"/>
      <c r="P905" s="85"/>
      <c r="Q905" s="85"/>
      <c r="R905" s="85"/>
      <c r="S905" s="85"/>
      <c r="T905" s="85"/>
      <c r="U905" s="85"/>
      <c r="V905" s="85"/>
      <c r="W905" s="85"/>
      <c r="X905" s="85"/>
      <c r="Y905" s="85"/>
      <c r="Z905" s="85"/>
    </row>
    <row r="906" spans="1:26" ht="15.75" customHeight="1">
      <c r="A906" s="197">
        <v>147</v>
      </c>
      <c r="B906" s="197" t="s">
        <v>653</v>
      </c>
      <c r="C906" s="197" t="s">
        <v>551</v>
      </c>
      <c r="D906" s="198">
        <v>42533</v>
      </c>
      <c r="E906" s="14" t="s">
        <v>2156</v>
      </c>
      <c r="F906" s="184">
        <v>25</v>
      </c>
      <c r="G906" s="14">
        <v>1</v>
      </c>
      <c r="H906" s="14">
        <v>2</v>
      </c>
      <c r="I906" s="14">
        <v>0</v>
      </c>
      <c r="J906" s="14" t="s">
        <v>100</v>
      </c>
      <c r="K906" s="14"/>
      <c r="L906" s="85"/>
      <c r="M906" s="85"/>
      <c r="N906" s="85"/>
      <c r="O906" s="85"/>
      <c r="P906" s="85"/>
      <c r="Q906" s="85"/>
      <c r="R906" s="85"/>
      <c r="S906" s="85"/>
      <c r="T906" s="85"/>
      <c r="U906" s="85"/>
      <c r="V906" s="85"/>
      <c r="W906" s="85"/>
      <c r="X906" s="85"/>
      <c r="Y906" s="85"/>
      <c r="Z906" s="85"/>
    </row>
    <row r="907" spans="1:26" ht="15.75" customHeight="1">
      <c r="A907" s="197">
        <v>147</v>
      </c>
      <c r="B907" s="197" t="s">
        <v>653</v>
      </c>
      <c r="C907" s="197" t="s">
        <v>551</v>
      </c>
      <c r="D907" s="198">
        <v>42533</v>
      </c>
      <c r="E907" s="14" t="s">
        <v>2157</v>
      </c>
      <c r="F907" s="184">
        <v>26</v>
      </c>
      <c r="G907" s="14">
        <v>0</v>
      </c>
      <c r="H907" s="184">
        <v>2</v>
      </c>
      <c r="I907" s="14">
        <v>0</v>
      </c>
      <c r="J907" s="14" t="s">
        <v>100</v>
      </c>
      <c r="K907" s="14"/>
      <c r="L907" s="85"/>
      <c r="M907" s="85"/>
      <c r="N907" s="85"/>
      <c r="O907" s="85"/>
      <c r="P907" s="85"/>
      <c r="Q907" s="85"/>
      <c r="R907" s="85"/>
      <c r="S907" s="85"/>
      <c r="T907" s="85"/>
      <c r="U907" s="85"/>
      <c r="V907" s="85"/>
      <c r="W907" s="85"/>
      <c r="X907" s="85"/>
      <c r="Y907" s="85"/>
      <c r="Z907" s="85"/>
    </row>
    <row r="908" spans="1:26" ht="15.75" customHeight="1">
      <c r="A908" s="197">
        <v>147</v>
      </c>
      <c r="B908" s="197" t="s">
        <v>653</v>
      </c>
      <c r="C908" s="197" t="s">
        <v>551</v>
      </c>
      <c r="D908" s="198">
        <v>42533</v>
      </c>
      <c r="E908" s="14" t="s">
        <v>2158</v>
      </c>
      <c r="F908" s="184">
        <v>33</v>
      </c>
      <c r="G908" s="14">
        <v>0</v>
      </c>
      <c r="H908" s="184">
        <v>2</v>
      </c>
      <c r="I908" s="14">
        <v>0</v>
      </c>
      <c r="J908" s="14" t="s">
        <v>100</v>
      </c>
      <c r="K908" s="14"/>
      <c r="L908" s="85"/>
      <c r="M908" s="85"/>
      <c r="N908" s="85"/>
      <c r="O908" s="85"/>
      <c r="P908" s="85"/>
      <c r="Q908" s="85"/>
      <c r="R908" s="85"/>
      <c r="S908" s="85"/>
      <c r="T908" s="85"/>
      <c r="U908" s="85"/>
      <c r="V908" s="85"/>
      <c r="W908" s="85"/>
      <c r="X908" s="85"/>
      <c r="Y908" s="85"/>
      <c r="Z908" s="85"/>
    </row>
    <row r="909" spans="1:26" ht="15.75" customHeight="1">
      <c r="A909" s="197">
        <v>147</v>
      </c>
      <c r="B909" s="197" t="s">
        <v>653</v>
      </c>
      <c r="C909" s="197" t="s">
        <v>551</v>
      </c>
      <c r="D909" s="198">
        <v>42533</v>
      </c>
      <c r="E909" s="14" t="s">
        <v>2159</v>
      </c>
      <c r="F909" s="184">
        <v>21</v>
      </c>
      <c r="G909" s="14">
        <v>0</v>
      </c>
      <c r="H909" s="184">
        <v>2</v>
      </c>
      <c r="I909" s="14">
        <v>0</v>
      </c>
      <c r="J909" s="14" t="s">
        <v>100</v>
      </c>
      <c r="K909" s="14"/>
      <c r="L909" s="85"/>
      <c r="M909" s="85"/>
      <c r="N909" s="85"/>
      <c r="O909" s="85"/>
      <c r="P909" s="85"/>
      <c r="Q909" s="85"/>
      <c r="R909" s="85"/>
      <c r="S909" s="85"/>
      <c r="T909" s="85"/>
      <c r="U909" s="85"/>
      <c r="V909" s="85"/>
      <c r="W909" s="85"/>
      <c r="X909" s="85"/>
      <c r="Y909" s="85"/>
      <c r="Z909" s="85"/>
    </row>
    <row r="910" spans="1:26" ht="15.75" customHeight="1">
      <c r="A910" s="197">
        <v>147</v>
      </c>
      <c r="B910" s="197" t="s">
        <v>653</v>
      </c>
      <c r="C910" s="197" t="s">
        <v>551</v>
      </c>
      <c r="D910" s="198">
        <v>42533</v>
      </c>
      <c r="E910" s="14" t="s">
        <v>2160</v>
      </c>
      <c r="F910" s="184">
        <v>33</v>
      </c>
      <c r="G910" s="14">
        <v>0</v>
      </c>
      <c r="H910" s="184">
        <v>2</v>
      </c>
      <c r="I910" s="14">
        <v>0</v>
      </c>
      <c r="J910" s="14" t="s">
        <v>100</v>
      </c>
      <c r="K910" s="14"/>
      <c r="L910" s="85"/>
      <c r="M910" s="85"/>
      <c r="N910" s="85"/>
      <c r="O910" s="85"/>
      <c r="P910" s="85"/>
      <c r="Q910" s="85"/>
      <c r="R910" s="85"/>
      <c r="S910" s="85"/>
      <c r="T910" s="85"/>
      <c r="U910" s="85"/>
      <c r="V910" s="85"/>
      <c r="W910" s="85"/>
      <c r="X910" s="85"/>
      <c r="Y910" s="85"/>
      <c r="Z910" s="85"/>
    </row>
    <row r="911" spans="1:26" ht="15.75" customHeight="1">
      <c r="A911" s="197">
        <v>147</v>
      </c>
      <c r="B911" s="197" t="s">
        <v>653</v>
      </c>
      <c r="C911" s="197" t="s">
        <v>551</v>
      </c>
      <c r="D911" s="198">
        <v>42533</v>
      </c>
      <c r="E911" s="14" t="s">
        <v>2161</v>
      </c>
      <c r="F911" s="184">
        <v>29</v>
      </c>
      <c r="G911" s="14">
        <v>0</v>
      </c>
      <c r="H911" s="14">
        <v>1</v>
      </c>
      <c r="I911" s="14">
        <v>0</v>
      </c>
      <c r="J911" s="14" t="s">
        <v>100</v>
      </c>
      <c r="K911" s="14"/>
      <c r="L911" s="85"/>
      <c r="M911" s="85"/>
      <c r="N911" s="85"/>
      <c r="O911" s="85"/>
      <c r="P911" s="85"/>
      <c r="Q911" s="85"/>
      <c r="R911" s="85"/>
      <c r="S911" s="85"/>
      <c r="T911" s="85"/>
      <c r="U911" s="85"/>
      <c r="V911" s="85"/>
      <c r="W911" s="85"/>
      <c r="X911" s="85"/>
      <c r="Y911" s="85"/>
      <c r="Z911" s="85"/>
    </row>
    <row r="912" spans="1:26" ht="15.75" customHeight="1">
      <c r="A912" s="197">
        <v>147</v>
      </c>
      <c r="B912" s="197" t="s">
        <v>653</v>
      </c>
      <c r="C912" s="197" t="s">
        <v>551</v>
      </c>
      <c r="D912" s="198">
        <v>42533</v>
      </c>
      <c r="E912" s="14" t="s">
        <v>2162</v>
      </c>
      <c r="F912" s="184">
        <v>29</v>
      </c>
      <c r="G912" s="14">
        <v>0</v>
      </c>
      <c r="H912" s="14">
        <v>1</v>
      </c>
      <c r="I912" s="14">
        <v>0</v>
      </c>
      <c r="J912" s="14" t="s">
        <v>100</v>
      </c>
      <c r="K912" s="14"/>
      <c r="L912" s="85"/>
      <c r="M912" s="85"/>
      <c r="N912" s="85"/>
      <c r="O912" s="85"/>
      <c r="P912" s="85"/>
      <c r="Q912" s="85"/>
      <c r="R912" s="85"/>
      <c r="S912" s="85"/>
      <c r="T912" s="85"/>
      <c r="U912" s="85"/>
      <c r="V912" s="85"/>
      <c r="W912" s="85"/>
      <c r="X912" s="85"/>
      <c r="Y912" s="85"/>
      <c r="Z912" s="85"/>
    </row>
    <row r="913" spans="1:26" ht="15.75" customHeight="1">
      <c r="A913" s="197">
        <v>147</v>
      </c>
      <c r="B913" s="197" t="s">
        <v>653</v>
      </c>
      <c r="C913" s="197" t="s">
        <v>551</v>
      </c>
      <c r="D913" s="198">
        <v>42533</v>
      </c>
      <c r="E913" s="14" t="s">
        <v>2163</v>
      </c>
      <c r="F913" s="184">
        <v>24</v>
      </c>
      <c r="G913" s="14">
        <v>0</v>
      </c>
      <c r="H913" s="184">
        <v>2</v>
      </c>
      <c r="I913" s="14">
        <v>0</v>
      </c>
      <c r="J913" s="14" t="s">
        <v>100</v>
      </c>
      <c r="K913" s="14"/>
      <c r="L913" s="85"/>
      <c r="M913" s="85"/>
      <c r="N913" s="85"/>
      <c r="O913" s="85"/>
      <c r="P913" s="85"/>
      <c r="Q913" s="85"/>
      <c r="R913" s="85"/>
      <c r="S913" s="85"/>
      <c r="T913" s="85"/>
      <c r="U913" s="85"/>
      <c r="V913" s="85"/>
      <c r="W913" s="85"/>
      <c r="X913" s="85"/>
      <c r="Y913" s="85"/>
      <c r="Z913" s="85"/>
    </row>
    <row r="914" spans="1:26" ht="15.75" customHeight="1">
      <c r="A914" s="197">
        <v>147</v>
      </c>
      <c r="B914" s="197" t="s">
        <v>653</v>
      </c>
      <c r="C914" s="197" t="s">
        <v>551</v>
      </c>
      <c r="D914" s="198">
        <v>42533</v>
      </c>
      <c r="E914" s="14" t="s">
        <v>2164</v>
      </c>
      <c r="F914" s="184">
        <v>28</v>
      </c>
      <c r="G914" s="14">
        <v>0</v>
      </c>
      <c r="H914" s="184">
        <v>2</v>
      </c>
      <c r="I914" s="14">
        <v>0</v>
      </c>
      <c r="J914" s="14" t="s">
        <v>100</v>
      </c>
      <c r="K914" s="14"/>
      <c r="L914" s="85"/>
      <c r="M914" s="85"/>
      <c r="N914" s="85"/>
      <c r="O914" s="85"/>
      <c r="P914" s="85"/>
      <c r="Q914" s="85"/>
      <c r="R914" s="85"/>
      <c r="S914" s="85"/>
      <c r="T914" s="85"/>
      <c r="U914" s="85"/>
      <c r="V914" s="85"/>
      <c r="W914" s="85"/>
      <c r="X914" s="85"/>
      <c r="Y914" s="85"/>
      <c r="Z914" s="85"/>
    </row>
    <row r="915" spans="1:26" ht="15.75" customHeight="1">
      <c r="A915" s="197">
        <v>147</v>
      </c>
      <c r="B915" s="197" t="s">
        <v>653</v>
      </c>
      <c r="C915" s="197" t="s">
        <v>551</v>
      </c>
      <c r="D915" s="198">
        <v>42533</v>
      </c>
      <c r="E915" s="14" t="s">
        <v>2165</v>
      </c>
      <c r="F915" s="184">
        <v>31</v>
      </c>
      <c r="G915" s="14">
        <v>0</v>
      </c>
      <c r="H915" s="184">
        <v>2</v>
      </c>
      <c r="I915" s="14">
        <v>0</v>
      </c>
      <c r="J915" s="14" t="s">
        <v>100</v>
      </c>
      <c r="K915" s="14"/>
      <c r="L915" s="85"/>
      <c r="M915" s="85"/>
      <c r="N915" s="85"/>
      <c r="O915" s="85"/>
      <c r="P915" s="85"/>
      <c r="Q915" s="85"/>
      <c r="R915" s="85"/>
      <c r="S915" s="85"/>
      <c r="T915" s="85"/>
      <c r="U915" s="85"/>
      <c r="V915" s="85"/>
      <c r="W915" s="85"/>
      <c r="X915" s="85"/>
      <c r="Y915" s="85"/>
      <c r="Z915" s="85"/>
    </row>
    <row r="916" spans="1:26" ht="15.75" customHeight="1">
      <c r="A916" s="197">
        <v>147</v>
      </c>
      <c r="B916" s="197" t="s">
        <v>653</v>
      </c>
      <c r="C916" s="197" t="s">
        <v>551</v>
      </c>
      <c r="D916" s="198">
        <v>42533</v>
      </c>
      <c r="E916" s="14" t="s">
        <v>2166</v>
      </c>
      <c r="F916" s="184">
        <v>25</v>
      </c>
      <c r="G916" s="14">
        <v>0</v>
      </c>
      <c r="H916" s="184">
        <v>2</v>
      </c>
      <c r="I916" s="14">
        <v>0</v>
      </c>
      <c r="J916" s="14" t="s">
        <v>100</v>
      </c>
      <c r="K916" s="14"/>
      <c r="L916" s="85"/>
      <c r="M916" s="85"/>
      <c r="N916" s="85"/>
      <c r="O916" s="85"/>
      <c r="P916" s="85"/>
      <c r="Q916" s="85"/>
      <c r="R916" s="85"/>
      <c r="S916" s="85"/>
      <c r="T916" s="85"/>
      <c r="U916" s="85"/>
      <c r="V916" s="85"/>
      <c r="W916" s="85"/>
      <c r="X916" s="85"/>
      <c r="Y916" s="85"/>
      <c r="Z916" s="85"/>
    </row>
    <row r="917" spans="1:26" ht="15.75" customHeight="1">
      <c r="A917" s="197">
        <v>147</v>
      </c>
      <c r="B917" s="197" t="s">
        <v>653</v>
      </c>
      <c r="C917" s="197" t="s">
        <v>551</v>
      </c>
      <c r="D917" s="198">
        <v>42533</v>
      </c>
      <c r="E917" s="14" t="s">
        <v>2167</v>
      </c>
      <c r="F917" s="184">
        <v>39</v>
      </c>
      <c r="G917" s="14">
        <v>0</v>
      </c>
      <c r="H917" s="184">
        <v>2</v>
      </c>
      <c r="I917" s="14">
        <v>0</v>
      </c>
      <c r="J917" s="14" t="s">
        <v>100</v>
      </c>
      <c r="K917" s="14"/>
      <c r="L917" s="85"/>
      <c r="M917" s="85"/>
      <c r="N917" s="85"/>
      <c r="O917" s="85"/>
      <c r="P917" s="85"/>
      <c r="Q917" s="85"/>
      <c r="R917" s="85"/>
      <c r="S917" s="85"/>
      <c r="T917" s="85"/>
      <c r="U917" s="85"/>
      <c r="V917" s="85"/>
      <c r="W917" s="85"/>
      <c r="X917" s="85"/>
      <c r="Y917" s="85"/>
      <c r="Z917" s="85"/>
    </row>
    <row r="918" spans="1:26" ht="15.75" customHeight="1">
      <c r="A918" s="197">
        <v>147</v>
      </c>
      <c r="B918" s="197" t="s">
        <v>653</v>
      </c>
      <c r="C918" s="197" t="s">
        <v>551</v>
      </c>
      <c r="D918" s="198">
        <v>42533</v>
      </c>
      <c r="E918" s="14" t="s">
        <v>2168</v>
      </c>
      <c r="F918" s="184">
        <v>21</v>
      </c>
      <c r="G918" s="14">
        <v>0</v>
      </c>
      <c r="H918" s="184">
        <v>0</v>
      </c>
      <c r="I918" s="14">
        <v>0</v>
      </c>
      <c r="J918" s="14" t="s">
        <v>100</v>
      </c>
      <c r="K918" s="14"/>
      <c r="L918" s="85"/>
      <c r="M918" s="85"/>
      <c r="N918" s="85"/>
      <c r="O918" s="85"/>
      <c r="P918" s="85"/>
      <c r="Q918" s="85"/>
      <c r="R918" s="85"/>
      <c r="S918" s="85"/>
      <c r="T918" s="85"/>
      <c r="U918" s="85"/>
      <c r="V918" s="85"/>
      <c r="W918" s="85"/>
      <c r="X918" s="85"/>
      <c r="Y918" s="85"/>
      <c r="Z918" s="85"/>
    </row>
    <row r="919" spans="1:26" ht="15.75" customHeight="1">
      <c r="A919" s="197">
        <v>147</v>
      </c>
      <c r="B919" s="197" t="s">
        <v>653</v>
      </c>
      <c r="C919" s="197" t="s">
        <v>551</v>
      </c>
      <c r="D919" s="198">
        <v>42533</v>
      </c>
      <c r="E919" s="14" t="s">
        <v>2169</v>
      </c>
      <c r="F919" s="184">
        <v>25</v>
      </c>
      <c r="G919" s="14">
        <v>0</v>
      </c>
      <c r="H919" s="184">
        <v>1</v>
      </c>
      <c r="I919" s="14">
        <v>0</v>
      </c>
      <c r="J919" s="14" t="s">
        <v>100</v>
      </c>
      <c r="K919" s="14"/>
      <c r="L919" s="85"/>
      <c r="M919" s="85"/>
      <c r="N919" s="85"/>
      <c r="O919" s="85"/>
      <c r="P919" s="85"/>
      <c r="Q919" s="85"/>
      <c r="R919" s="85"/>
      <c r="S919" s="85"/>
      <c r="T919" s="85"/>
      <c r="U919" s="85"/>
      <c r="V919" s="85"/>
      <c r="W919" s="85"/>
      <c r="X919" s="85"/>
      <c r="Y919" s="85"/>
      <c r="Z919" s="85"/>
    </row>
    <row r="920" spans="1:26" ht="15.75" customHeight="1">
      <c r="A920" s="197">
        <v>147</v>
      </c>
      <c r="B920" s="197" t="s">
        <v>653</v>
      </c>
      <c r="C920" s="197" t="s">
        <v>551</v>
      </c>
      <c r="D920" s="198">
        <v>42533</v>
      </c>
      <c r="E920" s="14" t="s">
        <v>2170</v>
      </c>
      <c r="F920" s="184">
        <v>50</v>
      </c>
      <c r="G920" s="14">
        <v>0</v>
      </c>
      <c r="H920" s="14">
        <v>2</v>
      </c>
      <c r="I920" s="14">
        <v>0</v>
      </c>
      <c r="J920" s="14" t="s">
        <v>100</v>
      </c>
      <c r="K920" s="14"/>
      <c r="L920" s="85"/>
      <c r="M920" s="85"/>
      <c r="N920" s="85"/>
      <c r="O920" s="85"/>
      <c r="P920" s="85"/>
      <c r="Q920" s="85"/>
      <c r="R920" s="85"/>
      <c r="S920" s="85"/>
      <c r="T920" s="85"/>
      <c r="U920" s="85"/>
      <c r="V920" s="85"/>
      <c r="W920" s="85"/>
      <c r="X920" s="85"/>
      <c r="Y920" s="85"/>
      <c r="Z920" s="85"/>
    </row>
    <row r="921" spans="1:26" ht="15.75" customHeight="1">
      <c r="A921" s="197">
        <v>147</v>
      </c>
      <c r="B921" s="197" t="s">
        <v>653</v>
      </c>
      <c r="C921" s="197" t="s">
        <v>551</v>
      </c>
      <c r="D921" s="198">
        <v>42533</v>
      </c>
      <c r="E921" s="14" t="s">
        <v>2171</v>
      </c>
      <c r="F921" s="184">
        <v>32</v>
      </c>
      <c r="G921" s="14">
        <v>1</v>
      </c>
      <c r="H921" s="184">
        <v>1</v>
      </c>
      <c r="I921" s="14">
        <v>0</v>
      </c>
      <c r="J921" s="14" t="s">
        <v>100</v>
      </c>
      <c r="K921" s="14"/>
      <c r="L921" s="85"/>
      <c r="M921" s="85"/>
      <c r="N921" s="85"/>
      <c r="O921" s="85"/>
      <c r="P921" s="85"/>
      <c r="Q921" s="85"/>
      <c r="R921" s="85"/>
      <c r="S921" s="85"/>
      <c r="T921" s="85"/>
      <c r="U921" s="85"/>
      <c r="V921" s="85"/>
      <c r="W921" s="85"/>
      <c r="X921" s="85"/>
      <c r="Y921" s="85"/>
      <c r="Z921" s="85"/>
    </row>
    <row r="922" spans="1:26" ht="15.75" customHeight="1">
      <c r="A922" s="197">
        <v>147</v>
      </c>
      <c r="B922" s="197" t="s">
        <v>653</v>
      </c>
      <c r="C922" s="197" t="s">
        <v>551</v>
      </c>
      <c r="D922" s="198">
        <v>42533</v>
      </c>
      <c r="E922" s="14" t="s">
        <v>2172</v>
      </c>
      <c r="F922" s="184">
        <v>26</v>
      </c>
      <c r="G922" s="14">
        <v>1</v>
      </c>
      <c r="H922" s="184">
        <v>2</v>
      </c>
      <c r="I922" s="14">
        <v>0</v>
      </c>
      <c r="J922" s="14" t="s">
        <v>100</v>
      </c>
      <c r="K922" s="14"/>
      <c r="L922" s="85"/>
      <c r="M922" s="85"/>
      <c r="N922" s="85"/>
      <c r="O922" s="85"/>
      <c r="P922" s="85"/>
      <c r="Q922" s="85"/>
      <c r="R922" s="85"/>
      <c r="S922" s="85"/>
      <c r="T922" s="85"/>
      <c r="U922" s="85"/>
      <c r="V922" s="85"/>
      <c r="W922" s="85"/>
      <c r="X922" s="85"/>
      <c r="Y922" s="85"/>
      <c r="Z922" s="85"/>
    </row>
    <row r="923" spans="1:26" ht="15.75" customHeight="1">
      <c r="A923" s="197">
        <v>147</v>
      </c>
      <c r="B923" s="197" t="s">
        <v>653</v>
      </c>
      <c r="C923" s="197" t="s">
        <v>551</v>
      </c>
      <c r="D923" s="198">
        <v>42533</v>
      </c>
      <c r="E923" s="14" t="s">
        <v>2173</v>
      </c>
      <c r="F923" s="184">
        <v>22</v>
      </c>
      <c r="G923" s="14">
        <v>0</v>
      </c>
      <c r="H923" s="14">
        <v>2</v>
      </c>
      <c r="I923" s="14">
        <v>0</v>
      </c>
      <c r="J923" s="14" t="s">
        <v>100</v>
      </c>
      <c r="K923" s="14"/>
      <c r="L923" s="85"/>
      <c r="M923" s="85"/>
      <c r="N923" s="85"/>
      <c r="O923" s="85"/>
      <c r="P923" s="85"/>
      <c r="Q923" s="85"/>
      <c r="R923" s="85"/>
      <c r="S923" s="85"/>
      <c r="T923" s="85"/>
      <c r="U923" s="85"/>
      <c r="V923" s="85"/>
      <c r="W923" s="85"/>
      <c r="X923" s="85"/>
      <c r="Y923" s="85"/>
      <c r="Z923" s="85"/>
    </row>
    <row r="924" spans="1:26" ht="15.75" customHeight="1">
      <c r="A924" s="197">
        <v>147</v>
      </c>
      <c r="B924" s="197" t="s">
        <v>653</v>
      </c>
      <c r="C924" s="197" t="s">
        <v>551</v>
      </c>
      <c r="D924" s="198">
        <v>42533</v>
      </c>
      <c r="E924" s="14" t="s">
        <v>2174</v>
      </c>
      <c r="F924" s="184">
        <v>22</v>
      </c>
      <c r="G924" s="14">
        <v>0</v>
      </c>
      <c r="H924" s="14">
        <v>2</v>
      </c>
      <c r="I924" s="14">
        <v>0</v>
      </c>
      <c r="J924" s="14" t="s">
        <v>100</v>
      </c>
      <c r="K924" s="14"/>
      <c r="L924" s="85"/>
      <c r="M924" s="85"/>
      <c r="N924" s="85"/>
      <c r="O924" s="85"/>
      <c r="P924" s="85"/>
      <c r="Q924" s="85"/>
      <c r="R924" s="85"/>
      <c r="S924" s="85"/>
      <c r="T924" s="85"/>
      <c r="U924" s="85"/>
      <c r="V924" s="85"/>
      <c r="W924" s="85"/>
      <c r="X924" s="85"/>
      <c r="Y924" s="85"/>
      <c r="Z924" s="85"/>
    </row>
    <row r="925" spans="1:26" ht="15.75" customHeight="1">
      <c r="A925" s="197">
        <v>147</v>
      </c>
      <c r="B925" s="197" t="s">
        <v>653</v>
      </c>
      <c r="C925" s="197" t="s">
        <v>551</v>
      </c>
      <c r="D925" s="198">
        <v>42533</v>
      </c>
      <c r="E925" s="14" t="s">
        <v>2175</v>
      </c>
      <c r="F925" s="184">
        <v>41</v>
      </c>
      <c r="G925" s="14">
        <v>0</v>
      </c>
      <c r="H925" s="184">
        <v>1</v>
      </c>
      <c r="I925" s="14">
        <v>0</v>
      </c>
      <c r="J925" s="14" t="s">
        <v>100</v>
      </c>
      <c r="K925" s="14"/>
      <c r="L925" s="85"/>
      <c r="M925" s="85"/>
      <c r="N925" s="85"/>
      <c r="O925" s="85"/>
      <c r="P925" s="85"/>
      <c r="Q925" s="85"/>
      <c r="R925" s="85"/>
      <c r="S925" s="85"/>
      <c r="T925" s="85"/>
      <c r="U925" s="85"/>
      <c r="V925" s="85"/>
      <c r="W925" s="85"/>
      <c r="X925" s="85"/>
      <c r="Y925" s="85"/>
      <c r="Z925" s="85"/>
    </row>
    <row r="926" spans="1:26" ht="15.75" customHeight="1">
      <c r="A926" s="197">
        <v>147</v>
      </c>
      <c r="B926" s="197" t="s">
        <v>653</v>
      </c>
      <c r="C926" s="197" t="s">
        <v>551</v>
      </c>
      <c r="D926" s="198">
        <v>42533</v>
      </c>
      <c r="E926" s="14" t="s">
        <v>2176</v>
      </c>
      <c r="F926" s="184">
        <v>27</v>
      </c>
      <c r="G926" s="14">
        <v>0</v>
      </c>
      <c r="H926" s="184">
        <v>2</v>
      </c>
      <c r="I926" s="14">
        <v>0</v>
      </c>
      <c r="J926" s="14" t="s">
        <v>100</v>
      </c>
      <c r="K926" s="14"/>
      <c r="L926" s="85"/>
      <c r="M926" s="85"/>
      <c r="N926" s="85"/>
      <c r="O926" s="85"/>
      <c r="P926" s="85"/>
      <c r="Q926" s="85"/>
      <c r="R926" s="85"/>
      <c r="S926" s="85"/>
      <c r="T926" s="85"/>
      <c r="U926" s="85"/>
      <c r="V926" s="85"/>
      <c r="W926" s="85"/>
      <c r="X926" s="85"/>
      <c r="Y926" s="85"/>
      <c r="Z926" s="85"/>
    </row>
    <row r="927" spans="1:26" ht="15.75" customHeight="1">
      <c r="A927" s="197">
        <v>147</v>
      </c>
      <c r="B927" s="197" t="s">
        <v>653</v>
      </c>
      <c r="C927" s="197" t="s">
        <v>551</v>
      </c>
      <c r="D927" s="198">
        <v>42533</v>
      </c>
      <c r="E927" s="14" t="s">
        <v>2177</v>
      </c>
      <c r="F927" s="184">
        <v>30</v>
      </c>
      <c r="G927" s="14">
        <v>0</v>
      </c>
      <c r="H927" s="184">
        <v>2</v>
      </c>
      <c r="I927" s="14">
        <v>0</v>
      </c>
      <c r="J927" s="14" t="s">
        <v>100</v>
      </c>
      <c r="K927" s="14"/>
      <c r="L927" s="85"/>
      <c r="M927" s="85"/>
      <c r="N927" s="85"/>
      <c r="O927" s="85"/>
      <c r="P927" s="85"/>
      <c r="Q927" s="85"/>
      <c r="R927" s="85"/>
      <c r="S927" s="85"/>
      <c r="T927" s="85"/>
      <c r="U927" s="85"/>
      <c r="V927" s="85"/>
      <c r="W927" s="85"/>
      <c r="X927" s="85"/>
      <c r="Y927" s="85"/>
      <c r="Z927" s="85"/>
    </row>
    <row r="928" spans="1:26" ht="15.75" customHeight="1">
      <c r="A928" s="197">
        <v>147</v>
      </c>
      <c r="B928" s="197" t="s">
        <v>653</v>
      </c>
      <c r="C928" s="197" t="s">
        <v>551</v>
      </c>
      <c r="D928" s="198">
        <v>42533</v>
      </c>
      <c r="E928" s="14" t="s">
        <v>2178</v>
      </c>
      <c r="F928" s="184">
        <v>40</v>
      </c>
      <c r="G928" s="14">
        <v>0</v>
      </c>
      <c r="H928" s="184">
        <v>2</v>
      </c>
      <c r="I928" s="14">
        <v>0</v>
      </c>
      <c r="J928" s="14" t="s">
        <v>100</v>
      </c>
      <c r="K928" s="14"/>
      <c r="L928" s="85"/>
      <c r="M928" s="85"/>
      <c r="N928" s="85"/>
      <c r="O928" s="85"/>
      <c r="P928" s="85"/>
      <c r="Q928" s="85"/>
      <c r="R928" s="85"/>
      <c r="S928" s="85"/>
      <c r="T928" s="85"/>
      <c r="U928" s="85"/>
      <c r="V928" s="85"/>
      <c r="W928" s="85"/>
      <c r="X928" s="85"/>
      <c r="Y928" s="85"/>
      <c r="Z928" s="85"/>
    </row>
    <row r="929" spans="1:26" ht="15.75" customHeight="1">
      <c r="A929" s="197">
        <v>147</v>
      </c>
      <c r="B929" s="197" t="s">
        <v>653</v>
      </c>
      <c r="C929" s="197" t="s">
        <v>551</v>
      </c>
      <c r="D929" s="198">
        <v>42533</v>
      </c>
      <c r="E929" s="14" t="s">
        <v>2179</v>
      </c>
      <c r="F929" s="184">
        <v>19</v>
      </c>
      <c r="G929" s="14">
        <v>0</v>
      </c>
      <c r="H929" s="14">
        <v>1</v>
      </c>
      <c r="I929" s="14">
        <v>0</v>
      </c>
      <c r="J929" s="14" t="s">
        <v>100</v>
      </c>
      <c r="K929" s="14"/>
      <c r="L929" s="85"/>
      <c r="M929" s="85"/>
      <c r="N929" s="85"/>
      <c r="O929" s="85"/>
      <c r="P929" s="85"/>
      <c r="Q929" s="85"/>
      <c r="R929" s="85"/>
      <c r="S929" s="85"/>
      <c r="T929" s="85"/>
      <c r="U929" s="85"/>
      <c r="V929" s="85"/>
      <c r="W929" s="85"/>
      <c r="X929" s="85"/>
      <c r="Y929" s="85"/>
      <c r="Z929" s="85"/>
    </row>
    <row r="930" spans="1:26" ht="15.75" customHeight="1">
      <c r="A930" s="197">
        <v>147</v>
      </c>
      <c r="B930" s="197" t="s">
        <v>653</v>
      </c>
      <c r="C930" s="197" t="s">
        <v>551</v>
      </c>
      <c r="D930" s="198">
        <v>42533</v>
      </c>
      <c r="E930" s="14" t="s">
        <v>2180</v>
      </c>
      <c r="F930" s="184">
        <v>30</v>
      </c>
      <c r="G930" s="14">
        <v>0</v>
      </c>
      <c r="H930" s="184">
        <v>1</v>
      </c>
      <c r="I930" s="14">
        <v>0</v>
      </c>
      <c r="J930" s="14" t="s">
        <v>100</v>
      </c>
      <c r="K930" s="14"/>
      <c r="L930" s="85"/>
      <c r="M930" s="85"/>
      <c r="N930" s="85"/>
      <c r="O930" s="85"/>
      <c r="P930" s="85"/>
      <c r="Q930" s="85"/>
      <c r="R930" s="85"/>
      <c r="S930" s="85"/>
      <c r="T930" s="85"/>
      <c r="U930" s="85"/>
      <c r="V930" s="85"/>
      <c r="W930" s="85"/>
      <c r="X930" s="85"/>
      <c r="Y930" s="85"/>
      <c r="Z930" s="85"/>
    </row>
    <row r="931" spans="1:26" ht="15.75" customHeight="1">
      <c r="A931" s="197">
        <v>147</v>
      </c>
      <c r="B931" s="197" t="s">
        <v>653</v>
      </c>
      <c r="C931" s="197" t="s">
        <v>551</v>
      </c>
      <c r="D931" s="198">
        <v>42533</v>
      </c>
      <c r="E931" s="14" t="s">
        <v>2181</v>
      </c>
      <c r="F931" s="184">
        <v>25</v>
      </c>
      <c r="G931" s="14">
        <v>0</v>
      </c>
      <c r="H931" s="14">
        <v>2</v>
      </c>
      <c r="I931" s="14">
        <v>0</v>
      </c>
      <c r="J931" s="14" t="s">
        <v>100</v>
      </c>
      <c r="K931" s="14"/>
      <c r="L931" s="85"/>
      <c r="M931" s="85"/>
      <c r="N931" s="85"/>
      <c r="O931" s="85"/>
      <c r="P931" s="85"/>
      <c r="Q931" s="85"/>
      <c r="R931" s="85"/>
      <c r="S931" s="85"/>
      <c r="T931" s="85"/>
      <c r="U931" s="85"/>
      <c r="V931" s="85"/>
      <c r="W931" s="85"/>
      <c r="X931" s="85"/>
      <c r="Y931" s="85"/>
      <c r="Z931" s="85"/>
    </row>
    <row r="932" spans="1:26" ht="15.75" customHeight="1">
      <c r="A932" s="197">
        <v>147</v>
      </c>
      <c r="B932" s="197" t="s">
        <v>653</v>
      </c>
      <c r="C932" s="197" t="s">
        <v>551</v>
      </c>
      <c r="D932" s="198">
        <v>42533</v>
      </c>
      <c r="E932" s="14" t="s">
        <v>2182</v>
      </c>
      <c r="F932" s="184">
        <v>32</v>
      </c>
      <c r="G932" s="14">
        <v>0</v>
      </c>
      <c r="H932" s="14"/>
      <c r="I932" s="14">
        <v>0</v>
      </c>
      <c r="J932" s="14" t="s">
        <v>100</v>
      </c>
      <c r="K932" s="14"/>
      <c r="L932" s="85"/>
      <c r="M932" s="85"/>
      <c r="N932" s="85"/>
      <c r="O932" s="85"/>
      <c r="P932" s="85"/>
      <c r="Q932" s="85"/>
      <c r="R932" s="85"/>
      <c r="S932" s="85"/>
      <c r="T932" s="85"/>
      <c r="U932" s="85"/>
      <c r="V932" s="85"/>
      <c r="W932" s="85"/>
      <c r="X932" s="85"/>
      <c r="Y932" s="85"/>
      <c r="Z932" s="85"/>
    </row>
    <row r="933" spans="1:26" ht="15.75" customHeight="1">
      <c r="A933" s="197">
        <v>147</v>
      </c>
      <c r="B933" s="197" t="s">
        <v>653</v>
      </c>
      <c r="C933" s="197" t="s">
        <v>551</v>
      </c>
      <c r="D933" s="198">
        <v>42533</v>
      </c>
      <c r="E933" s="14" t="s">
        <v>2183</v>
      </c>
      <c r="F933" s="184">
        <v>49</v>
      </c>
      <c r="G933" s="14">
        <v>1</v>
      </c>
      <c r="H933" s="184">
        <v>2</v>
      </c>
      <c r="I933" s="14">
        <v>0</v>
      </c>
      <c r="J933" s="14" t="s">
        <v>100</v>
      </c>
      <c r="K933" s="14"/>
      <c r="L933" s="85"/>
      <c r="M933" s="85"/>
      <c r="N933" s="85"/>
      <c r="O933" s="85"/>
      <c r="P933" s="85"/>
      <c r="Q933" s="85"/>
      <c r="R933" s="85"/>
      <c r="S933" s="85"/>
      <c r="T933" s="85"/>
      <c r="U933" s="85"/>
      <c r="V933" s="85"/>
      <c r="W933" s="85"/>
      <c r="X933" s="85"/>
      <c r="Y933" s="85"/>
      <c r="Z933" s="85"/>
    </row>
    <row r="934" spans="1:26" ht="15.75" customHeight="1">
      <c r="A934" s="197">
        <v>147</v>
      </c>
      <c r="B934" s="197" t="s">
        <v>653</v>
      </c>
      <c r="C934" s="197" t="s">
        <v>551</v>
      </c>
      <c r="D934" s="198">
        <v>42533</v>
      </c>
      <c r="E934" s="14" t="s">
        <v>2184</v>
      </c>
      <c r="F934" s="184">
        <v>35</v>
      </c>
      <c r="G934" s="14">
        <v>0</v>
      </c>
      <c r="H934" s="184">
        <v>2</v>
      </c>
      <c r="I934" s="14">
        <v>0</v>
      </c>
      <c r="J934" s="14" t="s">
        <v>100</v>
      </c>
      <c r="K934" s="14"/>
      <c r="L934" s="85"/>
      <c r="M934" s="85"/>
      <c r="N934" s="85"/>
      <c r="O934" s="85"/>
      <c r="P934" s="85"/>
      <c r="Q934" s="85"/>
      <c r="R934" s="85"/>
      <c r="S934" s="85"/>
      <c r="T934" s="85"/>
      <c r="U934" s="85"/>
      <c r="V934" s="85"/>
      <c r="W934" s="85"/>
      <c r="X934" s="85"/>
      <c r="Y934" s="85"/>
      <c r="Z934" s="85"/>
    </row>
    <row r="935" spans="1:26" ht="15.75" customHeight="1">
      <c r="A935" s="197">
        <v>147</v>
      </c>
      <c r="B935" s="197" t="s">
        <v>653</v>
      </c>
      <c r="C935" s="197" t="s">
        <v>551</v>
      </c>
      <c r="D935" s="198">
        <v>42533</v>
      </c>
      <c r="E935" s="14" t="s">
        <v>2185</v>
      </c>
      <c r="F935" s="184">
        <v>18</v>
      </c>
      <c r="G935" s="14">
        <v>1</v>
      </c>
      <c r="H935" s="184">
        <v>1</v>
      </c>
      <c r="I935" s="14">
        <v>0</v>
      </c>
      <c r="J935" s="14" t="s">
        <v>100</v>
      </c>
      <c r="K935" s="14"/>
      <c r="L935" s="85"/>
      <c r="M935" s="85"/>
      <c r="N935" s="85"/>
      <c r="O935" s="85"/>
      <c r="P935" s="85"/>
      <c r="Q935" s="85"/>
      <c r="R935" s="85"/>
      <c r="S935" s="85"/>
      <c r="T935" s="85"/>
      <c r="U935" s="85"/>
      <c r="V935" s="85"/>
      <c r="W935" s="85"/>
      <c r="X935" s="85"/>
      <c r="Y935" s="85"/>
      <c r="Z935" s="85"/>
    </row>
    <row r="936" spans="1:26" ht="15.75" customHeight="1">
      <c r="A936" s="197">
        <v>147</v>
      </c>
      <c r="B936" s="197" t="s">
        <v>653</v>
      </c>
      <c r="C936" s="197" t="s">
        <v>551</v>
      </c>
      <c r="D936" s="198">
        <v>42533</v>
      </c>
      <c r="E936" s="14" t="s">
        <v>2186</v>
      </c>
      <c r="F936" s="184">
        <v>37</v>
      </c>
      <c r="G936" s="14">
        <v>1</v>
      </c>
      <c r="H936" s="184">
        <v>1</v>
      </c>
      <c r="I936" s="14">
        <v>0</v>
      </c>
      <c r="J936" s="14" t="s">
        <v>100</v>
      </c>
      <c r="K936" s="14"/>
      <c r="L936" s="85"/>
      <c r="M936" s="85"/>
      <c r="N936" s="85"/>
      <c r="O936" s="85"/>
      <c r="P936" s="85"/>
      <c r="Q936" s="85"/>
      <c r="R936" s="85"/>
      <c r="S936" s="85"/>
      <c r="T936" s="85"/>
      <c r="U936" s="85"/>
      <c r="V936" s="85"/>
      <c r="W936" s="85"/>
      <c r="X936" s="85"/>
      <c r="Y936" s="85"/>
      <c r="Z936" s="85"/>
    </row>
    <row r="937" spans="1:26" ht="15.75" customHeight="1">
      <c r="A937" s="197">
        <v>147</v>
      </c>
      <c r="B937" s="197" t="s">
        <v>653</v>
      </c>
      <c r="C937" s="197" t="s">
        <v>551</v>
      </c>
      <c r="D937" s="198">
        <v>42533</v>
      </c>
      <c r="E937" s="14" t="s">
        <v>2187</v>
      </c>
      <c r="F937" s="184">
        <v>27</v>
      </c>
      <c r="G937" s="14">
        <v>0</v>
      </c>
      <c r="H937" s="184">
        <v>2</v>
      </c>
      <c r="I937" s="14">
        <v>0</v>
      </c>
      <c r="J937" s="14" t="s">
        <v>100</v>
      </c>
      <c r="K937" s="14"/>
      <c r="L937" s="85"/>
      <c r="M937" s="85"/>
      <c r="N937" s="85"/>
      <c r="O937" s="85"/>
      <c r="P937" s="85"/>
      <c r="Q937" s="85"/>
      <c r="R937" s="85"/>
      <c r="S937" s="85"/>
      <c r="T937" s="85"/>
      <c r="U937" s="85"/>
      <c r="V937" s="85"/>
      <c r="W937" s="85"/>
      <c r="X937" s="85"/>
      <c r="Y937" s="85"/>
      <c r="Z937" s="85"/>
    </row>
    <row r="938" spans="1:26" ht="15.75" customHeight="1">
      <c r="A938" s="197">
        <v>147</v>
      </c>
      <c r="B938" s="197" t="s">
        <v>653</v>
      </c>
      <c r="C938" s="197" t="s">
        <v>551</v>
      </c>
      <c r="D938" s="198">
        <v>42533</v>
      </c>
      <c r="E938" s="14" t="s">
        <v>2188</v>
      </c>
      <c r="F938" s="184">
        <v>23</v>
      </c>
      <c r="G938" s="14">
        <v>0</v>
      </c>
      <c r="H938" s="14">
        <v>2</v>
      </c>
      <c r="I938" s="14">
        <v>0</v>
      </c>
      <c r="J938" s="14" t="s">
        <v>100</v>
      </c>
      <c r="K938" s="14"/>
      <c r="L938" s="85"/>
      <c r="M938" s="85"/>
      <c r="N938" s="85"/>
      <c r="O938" s="85"/>
      <c r="P938" s="85"/>
      <c r="Q938" s="85"/>
      <c r="R938" s="85"/>
      <c r="S938" s="85"/>
      <c r="T938" s="85"/>
      <c r="U938" s="85"/>
      <c r="V938" s="85"/>
      <c r="W938" s="85"/>
      <c r="X938" s="85"/>
      <c r="Y938" s="85"/>
      <c r="Z938" s="85"/>
    </row>
    <row r="939" spans="1:26" ht="15.75" customHeight="1">
      <c r="A939" s="197">
        <v>147</v>
      </c>
      <c r="B939" s="197" t="s">
        <v>653</v>
      </c>
      <c r="C939" s="197" t="s">
        <v>551</v>
      </c>
      <c r="D939" s="198">
        <v>42533</v>
      </c>
      <c r="E939" s="14" t="s">
        <v>2189</v>
      </c>
      <c r="F939" s="184">
        <v>25</v>
      </c>
      <c r="G939" s="14">
        <v>0</v>
      </c>
      <c r="H939" s="184">
        <v>2</v>
      </c>
      <c r="I939" s="14">
        <v>0</v>
      </c>
      <c r="J939" s="14" t="s">
        <v>100</v>
      </c>
      <c r="K939" s="14"/>
      <c r="L939" s="85"/>
      <c r="M939" s="85"/>
      <c r="N939" s="85"/>
      <c r="O939" s="85"/>
      <c r="P939" s="85"/>
      <c r="Q939" s="85"/>
      <c r="R939" s="85"/>
      <c r="S939" s="85"/>
      <c r="T939" s="85"/>
      <c r="U939" s="85"/>
      <c r="V939" s="85"/>
      <c r="W939" s="85"/>
      <c r="X939" s="85"/>
      <c r="Y939" s="85"/>
      <c r="Z939" s="85"/>
    </row>
    <row r="940" spans="1:26" ht="15.75" customHeight="1">
      <c r="A940" s="197">
        <v>147</v>
      </c>
      <c r="B940" s="197" t="s">
        <v>653</v>
      </c>
      <c r="C940" s="197" t="s">
        <v>551</v>
      </c>
      <c r="D940" s="198">
        <v>42533</v>
      </c>
      <c r="E940" s="14" t="s">
        <v>2190</v>
      </c>
      <c r="F940" s="184">
        <v>36</v>
      </c>
      <c r="G940" s="14">
        <v>0</v>
      </c>
      <c r="H940" s="14">
        <v>2</v>
      </c>
      <c r="I940" s="14">
        <v>0</v>
      </c>
      <c r="J940" s="14" t="s">
        <v>100</v>
      </c>
      <c r="K940" s="14"/>
      <c r="L940" s="85"/>
      <c r="M940" s="85"/>
      <c r="N940" s="85"/>
      <c r="O940" s="85"/>
      <c r="P940" s="85"/>
      <c r="Q940" s="85"/>
      <c r="R940" s="85"/>
      <c r="S940" s="85"/>
      <c r="T940" s="85"/>
      <c r="U940" s="85"/>
      <c r="V940" s="85"/>
      <c r="W940" s="85"/>
      <c r="X940" s="85"/>
      <c r="Y940" s="85"/>
      <c r="Z940" s="85"/>
    </row>
    <row r="941" spans="1:26" ht="15.75" customHeight="1">
      <c r="A941" s="197">
        <v>147</v>
      </c>
      <c r="B941" s="197" t="s">
        <v>653</v>
      </c>
      <c r="C941" s="197" t="s">
        <v>551</v>
      </c>
      <c r="D941" s="198">
        <v>42533</v>
      </c>
      <c r="E941" s="14" t="s">
        <v>2191</v>
      </c>
      <c r="F941" s="184">
        <v>32</v>
      </c>
      <c r="G941" s="14">
        <v>0</v>
      </c>
      <c r="H941" s="184">
        <v>2</v>
      </c>
      <c r="I941" s="14">
        <v>0</v>
      </c>
      <c r="J941" s="14" t="s">
        <v>100</v>
      </c>
      <c r="K941" s="14"/>
      <c r="L941" s="85"/>
      <c r="M941" s="85"/>
      <c r="N941" s="85"/>
      <c r="O941" s="85"/>
      <c r="P941" s="85"/>
      <c r="Q941" s="85"/>
      <c r="R941" s="85"/>
      <c r="S941" s="85"/>
      <c r="T941" s="85"/>
      <c r="U941" s="85"/>
      <c r="V941" s="85"/>
      <c r="W941" s="85"/>
      <c r="X941" s="85"/>
      <c r="Y941" s="85"/>
      <c r="Z941" s="85"/>
    </row>
    <row r="942" spans="1:26" ht="15.75" customHeight="1">
      <c r="A942" s="197">
        <v>147</v>
      </c>
      <c r="B942" s="197" t="s">
        <v>653</v>
      </c>
      <c r="C942" s="197" t="s">
        <v>551</v>
      </c>
      <c r="D942" s="198">
        <v>42533</v>
      </c>
      <c r="E942" s="14" t="s">
        <v>2192</v>
      </c>
      <c r="F942" s="184">
        <v>25</v>
      </c>
      <c r="G942" s="14">
        <v>0</v>
      </c>
      <c r="H942" s="184">
        <v>2</v>
      </c>
      <c r="I942" s="14">
        <v>0</v>
      </c>
      <c r="J942" s="14" t="s">
        <v>100</v>
      </c>
      <c r="K942" s="14"/>
      <c r="L942" s="85"/>
      <c r="M942" s="85"/>
      <c r="N942" s="85"/>
      <c r="O942" s="85"/>
      <c r="P942" s="85"/>
      <c r="Q942" s="85"/>
      <c r="R942" s="85"/>
      <c r="S942" s="85"/>
      <c r="T942" s="85"/>
      <c r="U942" s="85"/>
      <c r="V942" s="85"/>
      <c r="W942" s="85"/>
      <c r="X942" s="85"/>
      <c r="Y942" s="85"/>
      <c r="Z942" s="85"/>
    </row>
    <row r="943" spans="1:26" ht="15.75" customHeight="1">
      <c r="A943" s="197">
        <v>147</v>
      </c>
      <c r="B943" s="197" t="s">
        <v>653</v>
      </c>
      <c r="C943" s="197" t="s">
        <v>551</v>
      </c>
      <c r="D943" s="198">
        <v>42533</v>
      </c>
      <c r="E943" s="14" t="s">
        <v>2193</v>
      </c>
      <c r="F943" s="184">
        <v>37</v>
      </c>
      <c r="G943" s="14">
        <v>0</v>
      </c>
      <c r="H943" s="184">
        <v>2</v>
      </c>
      <c r="I943" s="14">
        <v>0</v>
      </c>
      <c r="J943" s="14" t="s">
        <v>100</v>
      </c>
      <c r="K943" s="14"/>
      <c r="L943" s="85"/>
      <c r="M943" s="85"/>
      <c r="N943" s="85"/>
      <c r="O943" s="85"/>
      <c r="P943" s="85"/>
      <c r="Q943" s="85"/>
      <c r="R943" s="85"/>
      <c r="S943" s="85"/>
      <c r="T943" s="85"/>
      <c r="U943" s="85"/>
      <c r="V943" s="85"/>
      <c r="W943" s="85"/>
      <c r="X943" s="85"/>
      <c r="Y943" s="85"/>
      <c r="Z943" s="85"/>
    </row>
    <row r="944" spans="1:26" ht="15.75" customHeight="1">
      <c r="A944" s="197">
        <v>147</v>
      </c>
      <c r="B944" s="197" t="s">
        <v>653</v>
      </c>
      <c r="C944" s="197" t="s">
        <v>551</v>
      </c>
      <c r="D944" s="198">
        <v>42533</v>
      </c>
      <c r="E944" s="14" t="s">
        <v>2194</v>
      </c>
      <c r="F944" s="184">
        <v>24</v>
      </c>
      <c r="G944" s="14">
        <v>0</v>
      </c>
      <c r="H944" s="184">
        <v>2</v>
      </c>
      <c r="I944" s="14">
        <v>0</v>
      </c>
      <c r="J944" s="14" t="s">
        <v>100</v>
      </c>
      <c r="K944" s="14"/>
      <c r="L944" s="85"/>
      <c r="M944" s="85"/>
      <c r="N944" s="85"/>
      <c r="O944" s="85"/>
      <c r="P944" s="85"/>
      <c r="Q944" s="85"/>
      <c r="R944" s="85"/>
      <c r="S944" s="85"/>
      <c r="T944" s="85"/>
      <c r="U944" s="85"/>
      <c r="V944" s="85"/>
      <c r="W944" s="85"/>
      <c r="X944" s="85"/>
      <c r="Y944" s="85"/>
      <c r="Z944" s="85"/>
    </row>
    <row r="945" spans="1:26" ht="15.75" customHeight="1">
      <c r="A945" s="197">
        <v>147</v>
      </c>
      <c r="B945" s="197" t="s">
        <v>653</v>
      </c>
      <c r="C945" s="197" t="s">
        <v>551</v>
      </c>
      <c r="D945" s="198">
        <v>42533</v>
      </c>
      <c r="E945" s="14" t="s">
        <v>2195</v>
      </c>
      <c r="F945" s="184">
        <v>24</v>
      </c>
      <c r="G945" s="14">
        <v>0</v>
      </c>
      <c r="H945" s="184">
        <v>2</v>
      </c>
      <c r="I945" s="14">
        <v>0</v>
      </c>
      <c r="J945" s="14" t="s">
        <v>100</v>
      </c>
      <c r="K945" s="14"/>
      <c r="L945" s="85"/>
      <c r="M945" s="85"/>
      <c r="N945" s="85"/>
      <c r="O945" s="85"/>
      <c r="P945" s="85"/>
      <c r="Q945" s="85"/>
      <c r="R945" s="85"/>
      <c r="S945" s="85"/>
      <c r="T945" s="85"/>
      <c r="U945" s="85"/>
      <c r="V945" s="85"/>
      <c r="W945" s="85"/>
      <c r="X945" s="85"/>
      <c r="Y945" s="85"/>
      <c r="Z945" s="85"/>
    </row>
    <row r="946" spans="1:26" ht="15.75" customHeight="1">
      <c r="A946" s="197">
        <v>147</v>
      </c>
      <c r="B946" s="197" t="s">
        <v>653</v>
      </c>
      <c r="C946" s="197" t="s">
        <v>551</v>
      </c>
      <c r="D946" s="198">
        <v>42533</v>
      </c>
      <c r="E946" s="14" t="s">
        <v>2196</v>
      </c>
      <c r="F946" s="184">
        <v>35</v>
      </c>
      <c r="G946" s="14">
        <v>0</v>
      </c>
      <c r="H946" s="184">
        <v>2</v>
      </c>
      <c r="I946" s="14">
        <v>0</v>
      </c>
      <c r="J946" s="14" t="s">
        <v>100</v>
      </c>
      <c r="K946" s="14"/>
      <c r="L946" s="85"/>
      <c r="M946" s="85"/>
      <c r="N946" s="85"/>
      <c r="O946" s="85"/>
      <c r="P946" s="85"/>
      <c r="Q946" s="85"/>
      <c r="R946" s="85"/>
      <c r="S946" s="85"/>
      <c r="T946" s="85"/>
      <c r="U946" s="85"/>
      <c r="V946" s="85"/>
      <c r="W946" s="85"/>
      <c r="X946" s="85"/>
      <c r="Y946" s="85"/>
      <c r="Z946" s="85"/>
    </row>
    <row r="947" spans="1:26" ht="15.75" customHeight="1">
      <c r="A947" s="197">
        <v>147</v>
      </c>
      <c r="B947" s="197" t="s">
        <v>653</v>
      </c>
      <c r="C947" s="197" t="s">
        <v>551</v>
      </c>
      <c r="D947" s="198">
        <v>42533</v>
      </c>
      <c r="E947" s="14" t="s">
        <v>2197</v>
      </c>
      <c r="F947" s="184">
        <v>25</v>
      </c>
      <c r="G947" s="14">
        <v>0</v>
      </c>
      <c r="H947" s="14">
        <v>2</v>
      </c>
      <c r="I947" s="14">
        <v>0</v>
      </c>
      <c r="J947" s="14" t="s">
        <v>100</v>
      </c>
      <c r="K947" s="14"/>
      <c r="L947" s="85"/>
      <c r="M947" s="85"/>
      <c r="N947" s="85"/>
      <c r="O947" s="85"/>
      <c r="P947" s="85"/>
      <c r="Q947" s="85"/>
      <c r="R947" s="85"/>
      <c r="S947" s="85"/>
      <c r="T947" s="85"/>
      <c r="U947" s="85"/>
      <c r="V947" s="85"/>
      <c r="W947" s="85"/>
      <c r="X947" s="85"/>
      <c r="Y947" s="85"/>
      <c r="Z947" s="85"/>
    </row>
    <row r="948" spans="1:26" ht="15.75" customHeight="1">
      <c r="A948" s="197">
        <v>147</v>
      </c>
      <c r="B948" s="197" t="s">
        <v>653</v>
      </c>
      <c r="C948" s="197" t="s">
        <v>551</v>
      </c>
      <c r="D948" s="198">
        <v>42533</v>
      </c>
      <c r="E948" s="14" t="s">
        <v>2198</v>
      </c>
      <c r="F948" s="184">
        <v>34</v>
      </c>
      <c r="G948" s="14">
        <v>0</v>
      </c>
      <c r="H948" s="14">
        <v>0</v>
      </c>
      <c r="I948" s="14">
        <v>0</v>
      </c>
      <c r="J948" s="14" t="s">
        <v>100</v>
      </c>
      <c r="K948" s="14"/>
      <c r="L948" s="85"/>
      <c r="M948" s="85"/>
      <c r="N948" s="85"/>
      <c r="O948" s="85"/>
      <c r="P948" s="85"/>
      <c r="Q948" s="85"/>
      <c r="R948" s="85"/>
      <c r="S948" s="85"/>
      <c r="T948" s="85"/>
      <c r="U948" s="85"/>
      <c r="V948" s="85"/>
      <c r="W948" s="85"/>
      <c r="X948" s="85"/>
      <c r="Y948" s="85"/>
      <c r="Z948" s="85"/>
    </row>
    <row r="949" spans="1:26" ht="15.75" customHeight="1">
      <c r="A949" s="197">
        <v>147</v>
      </c>
      <c r="B949" s="197" t="s">
        <v>653</v>
      </c>
      <c r="C949" s="197" t="s">
        <v>551</v>
      </c>
      <c r="D949" s="198">
        <v>42533</v>
      </c>
      <c r="E949" s="14" t="s">
        <v>2199</v>
      </c>
      <c r="F949" s="184">
        <v>33</v>
      </c>
      <c r="G949" s="14">
        <v>0</v>
      </c>
      <c r="H949" s="184">
        <v>1</v>
      </c>
      <c r="I949" s="14">
        <v>0</v>
      </c>
      <c r="J949" s="14" t="s">
        <v>100</v>
      </c>
      <c r="K949" s="14"/>
      <c r="L949" s="85"/>
      <c r="M949" s="85"/>
      <c r="N949" s="85"/>
      <c r="O949" s="85"/>
      <c r="P949" s="85"/>
      <c r="Q949" s="85"/>
      <c r="R949" s="85"/>
      <c r="S949" s="85"/>
      <c r="T949" s="85"/>
      <c r="U949" s="85"/>
      <c r="V949" s="85"/>
      <c r="W949" s="85"/>
      <c r="X949" s="85"/>
      <c r="Y949" s="85"/>
      <c r="Z949" s="85"/>
    </row>
    <row r="950" spans="1:26" ht="15.75" customHeight="1">
      <c r="A950" s="197">
        <v>147</v>
      </c>
      <c r="B950" s="197" t="s">
        <v>653</v>
      </c>
      <c r="C950" s="197" t="s">
        <v>551</v>
      </c>
      <c r="D950" s="198">
        <v>42533</v>
      </c>
      <c r="E950" s="14" t="s">
        <v>2200</v>
      </c>
      <c r="F950" s="184">
        <v>25</v>
      </c>
      <c r="G950" s="14">
        <v>0</v>
      </c>
      <c r="H950" s="184">
        <v>2</v>
      </c>
      <c r="I950" s="14">
        <v>0</v>
      </c>
      <c r="J950" s="14" t="s">
        <v>100</v>
      </c>
      <c r="K950" s="14"/>
      <c r="L950" s="85"/>
      <c r="M950" s="85"/>
      <c r="N950" s="85"/>
      <c r="O950" s="85"/>
      <c r="P950" s="85"/>
      <c r="Q950" s="85"/>
      <c r="R950" s="85"/>
      <c r="S950" s="85"/>
      <c r="T950" s="85"/>
      <c r="U950" s="85"/>
      <c r="V950" s="85"/>
      <c r="W950" s="85"/>
      <c r="X950" s="85"/>
      <c r="Y950" s="85"/>
      <c r="Z950" s="85"/>
    </row>
    <row r="951" spans="1:26" ht="15.75" customHeight="1">
      <c r="A951" s="197">
        <v>147</v>
      </c>
      <c r="B951" s="197" t="s">
        <v>653</v>
      </c>
      <c r="C951" s="197" t="s">
        <v>551</v>
      </c>
      <c r="D951" s="198">
        <v>42533</v>
      </c>
      <c r="E951" s="14" t="s">
        <v>2201</v>
      </c>
      <c r="F951" s="184">
        <v>22</v>
      </c>
      <c r="G951" s="14">
        <v>0</v>
      </c>
      <c r="H951" s="14">
        <v>2</v>
      </c>
      <c r="I951" s="14">
        <v>0</v>
      </c>
      <c r="J951" s="14" t="s">
        <v>100</v>
      </c>
      <c r="K951" s="14"/>
      <c r="L951" s="85"/>
      <c r="M951" s="85"/>
      <c r="N951" s="85"/>
      <c r="O951" s="85"/>
      <c r="P951" s="85"/>
      <c r="Q951" s="85"/>
      <c r="R951" s="85"/>
      <c r="S951" s="85"/>
      <c r="T951" s="85"/>
      <c r="U951" s="85"/>
      <c r="V951" s="85"/>
      <c r="W951" s="85"/>
      <c r="X951" s="85"/>
      <c r="Y951" s="85"/>
      <c r="Z951" s="85"/>
    </row>
    <row r="952" spans="1:26" ht="15.75" customHeight="1">
      <c r="A952" s="197">
        <v>147</v>
      </c>
      <c r="B952" s="197" t="s">
        <v>653</v>
      </c>
      <c r="C952" s="197" t="s">
        <v>551</v>
      </c>
      <c r="D952" s="198">
        <v>42533</v>
      </c>
      <c r="E952" s="14" t="s">
        <v>2202</v>
      </c>
      <c r="F952" s="184">
        <v>37</v>
      </c>
      <c r="G952" s="14">
        <v>0</v>
      </c>
      <c r="H952" s="184">
        <v>2</v>
      </c>
      <c r="I952" s="14">
        <v>0</v>
      </c>
      <c r="J952" s="14" t="s">
        <v>100</v>
      </c>
      <c r="K952" s="14"/>
      <c r="L952" s="85"/>
      <c r="M952" s="85"/>
      <c r="N952" s="85"/>
      <c r="O952" s="85"/>
      <c r="P952" s="85"/>
      <c r="Q952" s="85"/>
      <c r="R952" s="85"/>
      <c r="S952" s="85"/>
      <c r="T952" s="85"/>
      <c r="U952" s="85"/>
      <c r="V952" s="85"/>
      <c r="W952" s="85"/>
      <c r="X952" s="85"/>
      <c r="Y952" s="85"/>
      <c r="Z952" s="85"/>
    </row>
    <row r="953" spans="1:26" ht="15.75" customHeight="1">
      <c r="A953" s="197">
        <v>147</v>
      </c>
      <c r="B953" s="197" t="s">
        <v>653</v>
      </c>
      <c r="C953" s="197" t="s">
        <v>551</v>
      </c>
      <c r="D953" s="198">
        <v>42533</v>
      </c>
      <c r="E953" s="14" t="s">
        <v>2203</v>
      </c>
      <c r="F953" s="184">
        <v>31</v>
      </c>
      <c r="G953" s="14">
        <v>0</v>
      </c>
      <c r="H953" s="184">
        <v>2</v>
      </c>
      <c r="I953" s="14">
        <v>0</v>
      </c>
      <c r="J953" s="14" t="s">
        <v>100</v>
      </c>
      <c r="K953" s="14"/>
      <c r="L953" s="85"/>
      <c r="M953" s="85"/>
      <c r="N953" s="85"/>
      <c r="O953" s="85"/>
      <c r="P953" s="85"/>
      <c r="Q953" s="85"/>
      <c r="R953" s="85"/>
      <c r="S953" s="85"/>
      <c r="T953" s="85"/>
      <c r="U953" s="85"/>
      <c r="V953" s="85"/>
      <c r="W953" s="85"/>
      <c r="X953" s="85"/>
      <c r="Y953" s="85"/>
      <c r="Z953" s="85"/>
    </row>
    <row r="954" spans="1:26" ht="15.75" customHeight="1">
      <c r="A954" s="207">
        <v>148</v>
      </c>
      <c r="B954" s="207" t="s">
        <v>371</v>
      </c>
      <c r="C954" s="207" t="s">
        <v>655</v>
      </c>
      <c r="D954" s="208">
        <v>42558</v>
      </c>
      <c r="E954" s="14" t="s">
        <v>2204</v>
      </c>
      <c r="F954" s="184">
        <v>48</v>
      </c>
      <c r="G954" s="14">
        <v>0</v>
      </c>
      <c r="H954" s="184">
        <v>0</v>
      </c>
      <c r="I954" s="14">
        <v>0</v>
      </c>
      <c r="J954" s="14" t="s">
        <v>100</v>
      </c>
      <c r="K954" s="14"/>
      <c r="L954" s="85"/>
      <c r="M954" s="85"/>
      <c r="N954" s="85"/>
      <c r="O954" s="85"/>
      <c r="P954" s="85"/>
      <c r="Q954" s="85"/>
      <c r="R954" s="85"/>
      <c r="S954" s="85"/>
      <c r="T954" s="85"/>
      <c r="U954" s="85"/>
      <c r="V954" s="85"/>
      <c r="W954" s="85"/>
      <c r="X954" s="85"/>
      <c r="Y954" s="85"/>
      <c r="Z954" s="85"/>
    </row>
    <row r="955" spans="1:26" ht="15.75" customHeight="1">
      <c r="A955" s="207">
        <v>148</v>
      </c>
      <c r="B955" s="207" t="s">
        <v>371</v>
      </c>
      <c r="C955" s="207" t="s">
        <v>655</v>
      </c>
      <c r="D955" s="208">
        <v>42558</v>
      </c>
      <c r="E955" s="14" t="s">
        <v>2205</v>
      </c>
      <c r="F955" s="184">
        <v>40</v>
      </c>
      <c r="G955" s="14">
        <v>0</v>
      </c>
      <c r="H955" s="184">
        <v>0</v>
      </c>
      <c r="I955" s="14">
        <v>0</v>
      </c>
      <c r="J955" s="14" t="s">
        <v>100</v>
      </c>
      <c r="K955" s="14"/>
      <c r="L955" s="85"/>
      <c r="M955" s="85"/>
      <c r="N955" s="85"/>
      <c r="O955" s="85"/>
      <c r="P955" s="85"/>
      <c r="Q955" s="85"/>
      <c r="R955" s="85"/>
      <c r="S955" s="85"/>
      <c r="T955" s="85"/>
      <c r="U955" s="85"/>
      <c r="V955" s="85"/>
      <c r="W955" s="85"/>
      <c r="X955" s="85"/>
      <c r="Y955" s="85"/>
      <c r="Z955" s="85"/>
    </row>
    <row r="956" spans="1:26" ht="15.75" customHeight="1">
      <c r="A956" s="207">
        <v>148</v>
      </c>
      <c r="B956" s="207" t="s">
        <v>371</v>
      </c>
      <c r="C956" s="207" t="s">
        <v>655</v>
      </c>
      <c r="D956" s="208">
        <v>42558</v>
      </c>
      <c r="E956" s="14" t="s">
        <v>2206</v>
      </c>
      <c r="F956" s="184">
        <v>55</v>
      </c>
      <c r="G956" s="14">
        <v>0</v>
      </c>
      <c r="H956" s="184">
        <v>0</v>
      </c>
      <c r="I956" s="14">
        <v>0</v>
      </c>
      <c r="J956" s="14" t="s">
        <v>100</v>
      </c>
      <c r="K956" s="14"/>
      <c r="L956" s="85"/>
      <c r="M956" s="85"/>
      <c r="N956" s="85"/>
      <c r="O956" s="85"/>
      <c r="P956" s="85"/>
      <c r="Q956" s="85"/>
      <c r="R956" s="85"/>
      <c r="S956" s="85"/>
      <c r="T956" s="85"/>
      <c r="U956" s="85"/>
      <c r="V956" s="85"/>
      <c r="W956" s="85"/>
      <c r="X956" s="85"/>
      <c r="Y956" s="85"/>
      <c r="Z956" s="85"/>
    </row>
    <row r="957" spans="1:26" ht="15.75" customHeight="1">
      <c r="A957" s="207">
        <v>148</v>
      </c>
      <c r="B957" s="207" t="s">
        <v>371</v>
      </c>
      <c r="C957" s="207" t="s">
        <v>655</v>
      </c>
      <c r="D957" s="208">
        <v>42558</v>
      </c>
      <c r="E957" s="14" t="s">
        <v>2207</v>
      </c>
      <c r="F957" s="184">
        <v>43</v>
      </c>
      <c r="G957" s="14">
        <v>0</v>
      </c>
      <c r="H957" s="184">
        <v>0</v>
      </c>
      <c r="I957" s="14">
        <v>0</v>
      </c>
      <c r="J957" s="14" t="s">
        <v>100</v>
      </c>
      <c r="K957" s="14"/>
      <c r="L957" s="85"/>
      <c r="M957" s="85"/>
      <c r="N957" s="85"/>
      <c r="O957" s="85"/>
      <c r="P957" s="85"/>
      <c r="Q957" s="85"/>
      <c r="R957" s="85"/>
      <c r="S957" s="85"/>
      <c r="T957" s="85"/>
      <c r="U957" s="85"/>
      <c r="V957" s="85"/>
      <c r="W957" s="85"/>
      <c r="X957" s="85"/>
      <c r="Y957" s="85"/>
      <c r="Z957" s="85"/>
    </row>
    <row r="958" spans="1:26" ht="15.75" customHeight="1">
      <c r="A958" s="207">
        <v>148</v>
      </c>
      <c r="B958" s="207" t="s">
        <v>371</v>
      </c>
      <c r="C958" s="207" t="s">
        <v>655</v>
      </c>
      <c r="D958" s="208">
        <v>42558</v>
      </c>
      <c r="E958" s="14" t="s">
        <v>2208</v>
      </c>
      <c r="F958" s="184">
        <v>32</v>
      </c>
      <c r="G958" s="14">
        <v>0</v>
      </c>
      <c r="H958" s="184">
        <v>0</v>
      </c>
      <c r="I958" s="14">
        <v>0</v>
      </c>
      <c r="J958" s="14" t="s">
        <v>100</v>
      </c>
      <c r="K958" s="14"/>
      <c r="L958" s="85"/>
      <c r="M958" s="85"/>
      <c r="N958" s="85"/>
      <c r="O958" s="85"/>
      <c r="P958" s="85"/>
      <c r="Q958" s="85"/>
      <c r="R958" s="85"/>
      <c r="S958" s="85"/>
      <c r="T958" s="85"/>
      <c r="U958" s="85"/>
      <c r="V958" s="85"/>
      <c r="W958" s="85"/>
      <c r="X958" s="85"/>
      <c r="Y958" s="85"/>
      <c r="Z958" s="85"/>
    </row>
    <row r="959" spans="1:26" ht="15.75" customHeight="1">
      <c r="A959" s="199">
        <v>149</v>
      </c>
      <c r="B959" s="199" t="s">
        <v>658</v>
      </c>
      <c r="C959" s="199" t="s">
        <v>659</v>
      </c>
      <c r="D959" s="200">
        <v>42636</v>
      </c>
      <c r="E959" s="14" t="s">
        <v>2209</v>
      </c>
      <c r="F959" s="184">
        <v>95</v>
      </c>
      <c r="G959" s="14">
        <v>1</v>
      </c>
      <c r="H959" s="184">
        <v>0</v>
      </c>
      <c r="I959" s="14">
        <v>0</v>
      </c>
      <c r="J959" s="14" t="s">
        <v>100</v>
      </c>
      <c r="K959" s="14"/>
      <c r="L959" s="85"/>
      <c r="M959" s="85"/>
      <c r="N959" s="85"/>
      <c r="O959" s="85"/>
      <c r="P959" s="85"/>
      <c r="Q959" s="85"/>
      <c r="R959" s="85"/>
      <c r="S959" s="85"/>
      <c r="T959" s="85"/>
      <c r="U959" s="85"/>
      <c r="V959" s="85"/>
      <c r="W959" s="85"/>
      <c r="X959" s="85"/>
      <c r="Y959" s="85"/>
      <c r="Z959" s="85"/>
    </row>
    <row r="960" spans="1:26" ht="15.75" customHeight="1">
      <c r="A960" s="199">
        <v>149</v>
      </c>
      <c r="B960" s="199" t="s">
        <v>658</v>
      </c>
      <c r="C960" s="199" t="s">
        <v>659</v>
      </c>
      <c r="D960" s="200">
        <v>42636</v>
      </c>
      <c r="E960" s="14" t="s">
        <v>2210</v>
      </c>
      <c r="F960" s="184">
        <v>61</v>
      </c>
      <c r="G960" s="14">
        <v>0</v>
      </c>
      <c r="H960" s="184">
        <v>0</v>
      </c>
      <c r="I960" s="14">
        <v>0</v>
      </c>
      <c r="J960" s="14" t="s">
        <v>100</v>
      </c>
      <c r="K960" s="14"/>
      <c r="L960" s="85"/>
      <c r="M960" s="85"/>
      <c r="N960" s="85"/>
      <c r="O960" s="85"/>
      <c r="P960" s="85"/>
      <c r="Q960" s="85"/>
      <c r="R960" s="85"/>
      <c r="S960" s="85"/>
      <c r="T960" s="85"/>
      <c r="U960" s="85"/>
      <c r="V960" s="85"/>
      <c r="W960" s="85"/>
      <c r="X960" s="85"/>
      <c r="Y960" s="85"/>
      <c r="Z960" s="85"/>
    </row>
    <row r="961" spans="1:26" ht="15.75" customHeight="1">
      <c r="A961" s="199">
        <v>149</v>
      </c>
      <c r="B961" s="199" t="s">
        <v>658</v>
      </c>
      <c r="C961" s="199" t="s">
        <v>659</v>
      </c>
      <c r="D961" s="200">
        <v>42636</v>
      </c>
      <c r="E961" s="14" t="s">
        <v>2211</v>
      </c>
      <c r="F961" s="184">
        <v>64</v>
      </c>
      <c r="G961" s="14">
        <v>1</v>
      </c>
      <c r="H961" s="184">
        <v>0</v>
      </c>
      <c r="I961" s="14">
        <v>0</v>
      </c>
      <c r="J961" s="14" t="s">
        <v>100</v>
      </c>
      <c r="K961" s="14"/>
      <c r="L961" s="85"/>
      <c r="M961" s="85"/>
      <c r="N961" s="85"/>
      <c r="O961" s="85"/>
      <c r="P961" s="85"/>
      <c r="Q961" s="85"/>
      <c r="R961" s="85"/>
      <c r="S961" s="85"/>
      <c r="T961" s="85"/>
      <c r="U961" s="85"/>
      <c r="V961" s="85"/>
      <c r="W961" s="85"/>
      <c r="X961" s="85"/>
      <c r="Y961" s="85"/>
      <c r="Z961" s="85"/>
    </row>
    <row r="962" spans="1:26" ht="15.75" customHeight="1">
      <c r="A962" s="199">
        <v>149</v>
      </c>
      <c r="B962" s="199" t="s">
        <v>658</v>
      </c>
      <c r="C962" s="199" t="s">
        <v>659</v>
      </c>
      <c r="D962" s="200">
        <v>42636</v>
      </c>
      <c r="E962" s="14" t="s">
        <v>2212</v>
      </c>
      <c r="F962" s="184">
        <v>16</v>
      </c>
      <c r="G962" s="14">
        <v>1</v>
      </c>
      <c r="H962" s="184">
        <v>2</v>
      </c>
      <c r="I962" s="14">
        <v>0</v>
      </c>
      <c r="J962" s="14" t="s">
        <v>100</v>
      </c>
      <c r="K962" s="14"/>
      <c r="L962" s="85"/>
      <c r="M962" s="85"/>
      <c r="N962" s="85"/>
      <c r="O962" s="85"/>
      <c r="P962" s="85"/>
      <c r="Q962" s="85"/>
      <c r="R962" s="85"/>
      <c r="S962" s="85"/>
      <c r="T962" s="85"/>
      <c r="U962" s="85"/>
      <c r="V962" s="85"/>
      <c r="W962" s="85"/>
      <c r="X962" s="85"/>
      <c r="Y962" s="85"/>
      <c r="Z962" s="85"/>
    </row>
    <row r="963" spans="1:26" ht="15.75" customHeight="1">
      <c r="A963" s="199">
        <v>149</v>
      </c>
      <c r="B963" s="199" t="s">
        <v>658</v>
      </c>
      <c r="C963" s="199" t="s">
        <v>659</v>
      </c>
      <c r="D963" s="200">
        <v>42636</v>
      </c>
      <c r="E963" s="14" t="s">
        <v>2213</v>
      </c>
      <c r="F963" s="184">
        <v>52</v>
      </c>
      <c r="G963" s="14">
        <v>1</v>
      </c>
      <c r="H963" s="184">
        <v>0</v>
      </c>
      <c r="I963" s="14">
        <v>0</v>
      </c>
      <c r="J963" s="14" t="s">
        <v>100</v>
      </c>
      <c r="K963" s="14"/>
      <c r="L963" s="85"/>
      <c r="M963" s="85"/>
      <c r="N963" s="85"/>
      <c r="O963" s="85"/>
      <c r="P963" s="85"/>
      <c r="Q963" s="85"/>
      <c r="R963" s="85"/>
      <c r="S963" s="85"/>
      <c r="T963" s="85"/>
      <c r="U963" s="85"/>
      <c r="V963" s="85"/>
      <c r="W963" s="85"/>
      <c r="X963" s="85"/>
      <c r="Y963" s="85"/>
      <c r="Z963" s="85"/>
    </row>
    <row r="964" spans="1:26" ht="15.75" customHeight="1">
      <c r="A964" s="205">
        <v>150</v>
      </c>
      <c r="B964" s="205" t="s">
        <v>663</v>
      </c>
      <c r="C964" s="205" t="s">
        <v>664</v>
      </c>
      <c r="D964" s="206">
        <v>42741</v>
      </c>
      <c r="E964" s="14" t="s">
        <v>2214</v>
      </c>
      <c r="F964" s="184">
        <v>69</v>
      </c>
      <c r="G964" s="14">
        <v>1</v>
      </c>
      <c r="H964" s="184">
        <v>0</v>
      </c>
      <c r="I964" s="14">
        <v>0</v>
      </c>
      <c r="J964" s="14" t="s">
        <v>100</v>
      </c>
      <c r="K964" s="14"/>
      <c r="L964" s="85"/>
      <c r="M964" s="85"/>
      <c r="N964" s="85"/>
      <c r="O964" s="85"/>
      <c r="P964" s="85"/>
      <c r="Q964" s="85"/>
      <c r="R964" s="85"/>
      <c r="S964" s="85"/>
      <c r="T964" s="85"/>
      <c r="U964" s="85"/>
      <c r="V964" s="85"/>
      <c r="W964" s="85"/>
      <c r="X964" s="85"/>
      <c r="Y964" s="85"/>
      <c r="Z964" s="85"/>
    </row>
    <row r="965" spans="1:26" ht="15.75" customHeight="1">
      <c r="A965" s="205">
        <v>150</v>
      </c>
      <c r="B965" s="205" t="s">
        <v>663</v>
      </c>
      <c r="C965" s="205" t="s">
        <v>664</v>
      </c>
      <c r="D965" s="206">
        <v>42741</v>
      </c>
      <c r="E965" s="14" t="s">
        <v>2215</v>
      </c>
      <c r="F965" s="184">
        <v>62</v>
      </c>
      <c r="G965" s="14">
        <v>0</v>
      </c>
      <c r="H965" s="184">
        <v>0</v>
      </c>
      <c r="I965" s="14">
        <v>0</v>
      </c>
      <c r="J965" s="14" t="s">
        <v>100</v>
      </c>
      <c r="K965" s="14"/>
      <c r="L965" s="85"/>
      <c r="M965" s="85"/>
      <c r="N965" s="85"/>
      <c r="O965" s="85"/>
      <c r="P965" s="85"/>
      <c r="Q965" s="85"/>
      <c r="R965" s="85"/>
      <c r="S965" s="85"/>
      <c r="T965" s="85"/>
      <c r="U965" s="85"/>
      <c r="V965" s="85"/>
      <c r="W965" s="85"/>
      <c r="X965" s="85"/>
      <c r="Y965" s="85"/>
      <c r="Z965" s="85"/>
    </row>
    <row r="966" spans="1:26" ht="15.75" customHeight="1">
      <c r="A966" s="205">
        <v>150</v>
      </c>
      <c r="B966" s="205" t="s">
        <v>663</v>
      </c>
      <c r="C966" s="205" t="s">
        <v>664</v>
      </c>
      <c r="D966" s="206">
        <v>42741</v>
      </c>
      <c r="E966" s="14" t="s">
        <v>2216</v>
      </c>
      <c r="F966" s="184">
        <v>56</v>
      </c>
      <c r="G966" s="14">
        <v>0</v>
      </c>
      <c r="H966" s="184">
        <v>0</v>
      </c>
      <c r="I966" s="14">
        <v>0</v>
      </c>
      <c r="J966" s="14" t="s">
        <v>100</v>
      </c>
      <c r="K966" s="14"/>
      <c r="L966" s="85"/>
      <c r="M966" s="85"/>
      <c r="N966" s="85"/>
      <c r="O966" s="85"/>
      <c r="P966" s="85"/>
      <c r="Q966" s="85"/>
      <c r="R966" s="85"/>
      <c r="S966" s="85"/>
      <c r="T966" s="85"/>
      <c r="U966" s="85"/>
      <c r="V966" s="85"/>
      <c r="W966" s="85"/>
      <c r="X966" s="85"/>
      <c r="Y966" s="85"/>
      <c r="Z966" s="85"/>
    </row>
    <row r="967" spans="1:26" ht="15.75" customHeight="1">
      <c r="A967" s="205">
        <v>150</v>
      </c>
      <c r="B967" s="205" t="s">
        <v>663</v>
      </c>
      <c r="C967" s="205" t="s">
        <v>664</v>
      </c>
      <c r="D967" s="206">
        <v>42741</v>
      </c>
      <c r="E967" s="14" t="s">
        <v>2217</v>
      </c>
      <c r="F967" s="184">
        <v>70</v>
      </c>
      <c r="G967" s="14">
        <v>1</v>
      </c>
      <c r="H967" s="184">
        <v>0</v>
      </c>
      <c r="I967" s="14">
        <v>0</v>
      </c>
      <c r="J967" s="14" t="s">
        <v>100</v>
      </c>
      <c r="K967" s="14"/>
      <c r="L967" s="85"/>
      <c r="M967" s="85"/>
      <c r="N967" s="85"/>
      <c r="O967" s="85"/>
      <c r="P967" s="85"/>
      <c r="Q967" s="85"/>
      <c r="R967" s="85"/>
      <c r="S967" s="85"/>
      <c r="T967" s="85"/>
      <c r="U967" s="85"/>
      <c r="V967" s="85"/>
      <c r="W967" s="85"/>
      <c r="X967" s="85"/>
      <c r="Y967" s="85"/>
      <c r="Z967" s="85"/>
    </row>
    <row r="968" spans="1:26" ht="15.75" customHeight="1">
      <c r="A968" s="205">
        <v>150</v>
      </c>
      <c r="B968" s="205" t="s">
        <v>663</v>
      </c>
      <c r="C968" s="205" t="s">
        <v>664</v>
      </c>
      <c r="D968" s="206">
        <v>42741</v>
      </c>
      <c r="E968" s="14" t="s">
        <v>2218</v>
      </c>
      <c r="F968" s="184">
        <v>84</v>
      </c>
      <c r="G968" s="14">
        <v>1</v>
      </c>
      <c r="H968" s="184">
        <v>0</v>
      </c>
      <c r="I968" s="14">
        <v>0</v>
      </c>
      <c r="J968" s="14" t="s">
        <v>100</v>
      </c>
      <c r="K968" s="14"/>
      <c r="L968" s="85"/>
      <c r="M968" s="85"/>
      <c r="N968" s="85"/>
      <c r="O968" s="85"/>
      <c r="P968" s="85"/>
      <c r="Q968" s="85"/>
      <c r="R968" s="85"/>
      <c r="S968" s="85"/>
      <c r="T968" s="85"/>
      <c r="U968" s="85"/>
      <c r="V968" s="85"/>
      <c r="W968" s="85"/>
      <c r="X968" s="85"/>
      <c r="Y968" s="85"/>
      <c r="Z968" s="85"/>
    </row>
    <row r="969" spans="1:26" ht="15.75" customHeight="1">
      <c r="A969" s="191">
        <v>151</v>
      </c>
      <c r="B969" s="191" t="s">
        <v>667</v>
      </c>
      <c r="C969" s="191" t="s">
        <v>668</v>
      </c>
      <c r="D969" s="192">
        <v>42772</v>
      </c>
      <c r="E969" s="14" t="s">
        <v>2219</v>
      </c>
      <c r="F969" s="184">
        <v>22</v>
      </c>
      <c r="G969" s="14">
        <v>0</v>
      </c>
      <c r="H969" s="184">
        <v>1</v>
      </c>
      <c r="I969" s="184">
        <v>2</v>
      </c>
      <c r="J969" s="14" t="s">
        <v>2220</v>
      </c>
      <c r="K969" s="14"/>
      <c r="L969" s="85"/>
      <c r="M969" s="85"/>
      <c r="N969" s="85"/>
      <c r="O969" s="85"/>
      <c r="P969" s="85"/>
      <c r="Q969" s="85"/>
      <c r="R969" s="85"/>
      <c r="S969" s="85"/>
      <c r="T969" s="85"/>
      <c r="U969" s="85"/>
      <c r="V969" s="85"/>
      <c r="W969" s="85"/>
      <c r="X969" s="85"/>
      <c r="Y969" s="85"/>
      <c r="Z969" s="85"/>
    </row>
    <row r="970" spans="1:26" ht="15.75" customHeight="1">
      <c r="A970" s="191">
        <v>151</v>
      </c>
      <c r="B970" s="191" t="s">
        <v>667</v>
      </c>
      <c r="C970" s="191" t="s">
        <v>668</v>
      </c>
      <c r="D970" s="192">
        <v>42772</v>
      </c>
      <c r="E970" s="14" t="s">
        <v>2221</v>
      </c>
      <c r="F970" s="184">
        <v>36</v>
      </c>
      <c r="G970" s="14">
        <v>0</v>
      </c>
      <c r="H970" s="184">
        <v>1</v>
      </c>
      <c r="I970" s="184">
        <v>2</v>
      </c>
      <c r="J970" s="14" t="s">
        <v>2220</v>
      </c>
      <c r="K970" s="14"/>
      <c r="L970" s="85"/>
      <c r="M970" s="85"/>
      <c r="N970" s="85"/>
      <c r="O970" s="85"/>
      <c r="P970" s="85"/>
      <c r="Q970" s="85"/>
      <c r="R970" s="85"/>
      <c r="S970" s="85"/>
      <c r="T970" s="85"/>
      <c r="U970" s="85"/>
      <c r="V970" s="85"/>
      <c r="W970" s="85"/>
      <c r="X970" s="85"/>
      <c r="Y970" s="85"/>
      <c r="Z970" s="85"/>
    </row>
    <row r="971" spans="1:26" ht="15.75" customHeight="1">
      <c r="A971" s="191">
        <v>151</v>
      </c>
      <c r="B971" s="191" t="s">
        <v>667</v>
      </c>
      <c r="C971" s="191" t="s">
        <v>668</v>
      </c>
      <c r="D971" s="192">
        <v>42772</v>
      </c>
      <c r="E971" s="14" t="s">
        <v>2222</v>
      </c>
      <c r="F971" s="184">
        <v>30</v>
      </c>
      <c r="G971" s="14">
        <v>0</v>
      </c>
      <c r="H971" s="184">
        <v>1</v>
      </c>
      <c r="I971" s="184">
        <v>2</v>
      </c>
      <c r="J971" s="14" t="s">
        <v>2220</v>
      </c>
      <c r="K971" s="14"/>
      <c r="L971" s="85"/>
      <c r="M971" s="85"/>
      <c r="N971" s="85"/>
      <c r="O971" s="85"/>
      <c r="P971" s="85"/>
      <c r="Q971" s="85"/>
      <c r="R971" s="85"/>
      <c r="S971" s="85"/>
      <c r="T971" s="85"/>
      <c r="U971" s="85"/>
      <c r="V971" s="85"/>
      <c r="W971" s="85"/>
      <c r="X971" s="85"/>
      <c r="Y971" s="85"/>
      <c r="Z971" s="85"/>
    </row>
    <row r="972" spans="1:26" ht="15.75" customHeight="1">
      <c r="A972" s="191">
        <v>151</v>
      </c>
      <c r="B972" s="191" t="s">
        <v>667</v>
      </c>
      <c r="C972" s="191" t="s">
        <v>668</v>
      </c>
      <c r="D972" s="192">
        <v>42772</v>
      </c>
      <c r="E972" s="14" t="s">
        <v>2223</v>
      </c>
      <c r="F972" s="184">
        <v>35</v>
      </c>
      <c r="G972" s="14">
        <v>0</v>
      </c>
      <c r="H972" s="184">
        <v>1</v>
      </c>
      <c r="I972" s="184">
        <v>2</v>
      </c>
      <c r="J972" s="14" t="s">
        <v>2220</v>
      </c>
      <c r="K972" s="14"/>
      <c r="L972" s="85"/>
      <c r="M972" s="85"/>
      <c r="N972" s="85"/>
      <c r="O972" s="85"/>
      <c r="P972" s="85"/>
      <c r="Q972" s="85"/>
      <c r="R972" s="85"/>
      <c r="S972" s="85"/>
      <c r="T972" s="85"/>
      <c r="U972" s="85"/>
      <c r="V972" s="85"/>
      <c r="W972" s="85"/>
      <c r="X972" s="85"/>
      <c r="Y972" s="85"/>
      <c r="Z972" s="85"/>
    </row>
    <row r="973" spans="1:26" ht="15.75" customHeight="1">
      <c r="A973" s="193">
        <v>152</v>
      </c>
      <c r="B973" s="193" t="s">
        <v>450</v>
      </c>
      <c r="C973" s="193" t="s">
        <v>672</v>
      </c>
      <c r="D973" s="194">
        <v>42816</v>
      </c>
      <c r="E973" s="14" t="s">
        <v>2224</v>
      </c>
      <c r="F973" s="184">
        <v>62</v>
      </c>
      <c r="G973" s="14">
        <v>1</v>
      </c>
      <c r="H973" s="14">
        <v>0</v>
      </c>
      <c r="I973" s="14">
        <v>1</v>
      </c>
      <c r="J973" s="14" t="s">
        <v>2225</v>
      </c>
      <c r="K973" s="14"/>
      <c r="L973" s="85"/>
      <c r="M973" s="85"/>
      <c r="N973" s="85"/>
      <c r="O973" s="85"/>
      <c r="P973" s="85"/>
      <c r="Q973" s="85"/>
      <c r="R973" s="85"/>
      <c r="S973" s="85"/>
      <c r="T973" s="85"/>
      <c r="U973" s="85"/>
      <c r="V973" s="85"/>
      <c r="W973" s="85"/>
      <c r="X973" s="85"/>
      <c r="Y973" s="85"/>
      <c r="Z973" s="85"/>
    </row>
    <row r="974" spans="1:26" ht="15.75" customHeight="1">
      <c r="A974" s="193">
        <v>152</v>
      </c>
      <c r="B974" s="193" t="s">
        <v>450</v>
      </c>
      <c r="C974" s="193" t="s">
        <v>672</v>
      </c>
      <c r="D974" s="194">
        <v>42816</v>
      </c>
      <c r="E974" s="14" t="s">
        <v>2226</v>
      </c>
      <c r="F974" s="184">
        <v>67</v>
      </c>
      <c r="G974" s="14">
        <v>1</v>
      </c>
      <c r="H974" s="184">
        <v>0</v>
      </c>
      <c r="I974" s="14">
        <v>1</v>
      </c>
      <c r="J974" s="14" t="s">
        <v>2225</v>
      </c>
      <c r="K974" s="14"/>
      <c r="L974" s="85"/>
      <c r="M974" s="85"/>
      <c r="N974" s="85"/>
      <c r="O974" s="85"/>
      <c r="P974" s="85"/>
      <c r="Q974" s="85"/>
      <c r="R974" s="85"/>
      <c r="S974" s="85"/>
      <c r="T974" s="85"/>
      <c r="U974" s="85"/>
      <c r="V974" s="85"/>
      <c r="W974" s="85"/>
      <c r="X974" s="85"/>
      <c r="Y974" s="85"/>
      <c r="Z974" s="85"/>
    </row>
    <row r="975" spans="1:26" ht="15.75" customHeight="1">
      <c r="A975" s="193">
        <v>152</v>
      </c>
      <c r="B975" s="193" t="s">
        <v>450</v>
      </c>
      <c r="C975" s="193" t="s">
        <v>672</v>
      </c>
      <c r="D975" s="194">
        <v>42816</v>
      </c>
      <c r="E975" s="14" t="s">
        <v>2227</v>
      </c>
      <c r="F975" s="184">
        <v>43</v>
      </c>
      <c r="G975" s="14">
        <v>1</v>
      </c>
      <c r="H975" s="14">
        <v>0</v>
      </c>
      <c r="I975" s="14">
        <v>1</v>
      </c>
      <c r="J975" s="14" t="s">
        <v>2228</v>
      </c>
      <c r="K975" s="14"/>
      <c r="L975" s="85"/>
      <c r="M975" s="85"/>
      <c r="N975" s="85"/>
      <c r="O975" s="85"/>
      <c r="P975" s="85"/>
      <c r="Q975" s="85"/>
      <c r="R975" s="85"/>
      <c r="S975" s="85"/>
      <c r="T975" s="85"/>
      <c r="U975" s="85"/>
      <c r="V975" s="85"/>
      <c r="W975" s="85"/>
      <c r="X975" s="85"/>
      <c r="Y975" s="85"/>
      <c r="Z975" s="85"/>
    </row>
    <row r="976" spans="1:26" ht="15.75" customHeight="1">
      <c r="A976" s="193">
        <v>152</v>
      </c>
      <c r="B976" s="193" t="s">
        <v>450</v>
      </c>
      <c r="C976" s="193" t="s">
        <v>672</v>
      </c>
      <c r="D976" s="194">
        <v>42816</v>
      </c>
      <c r="E976" s="14" t="s">
        <v>2229</v>
      </c>
      <c r="F976" s="184">
        <v>40</v>
      </c>
      <c r="G976" s="14">
        <v>0</v>
      </c>
      <c r="H976" s="14">
        <v>0</v>
      </c>
      <c r="I976" s="14">
        <v>0</v>
      </c>
      <c r="J976" s="14" t="s">
        <v>100</v>
      </c>
      <c r="K976" s="14"/>
      <c r="L976" s="85"/>
      <c r="M976" s="85"/>
      <c r="N976" s="85"/>
      <c r="O976" s="85"/>
      <c r="P976" s="85"/>
      <c r="Q976" s="85"/>
      <c r="R976" s="85"/>
      <c r="S976" s="85"/>
      <c r="T976" s="85"/>
      <c r="U976" s="85"/>
      <c r="V976" s="85"/>
      <c r="W976" s="85"/>
      <c r="X976" s="85"/>
      <c r="Y976" s="85"/>
      <c r="Z976" s="85"/>
    </row>
    <row r="977" spans="1:26" ht="15.75" customHeight="1">
      <c r="A977" s="201">
        <v>153</v>
      </c>
      <c r="B977" s="201" t="s">
        <v>675</v>
      </c>
      <c r="C977" s="201" t="s">
        <v>190</v>
      </c>
      <c r="D977" s="202">
        <v>42891</v>
      </c>
      <c r="E977" s="14" t="s">
        <v>2230</v>
      </c>
      <c r="F977" s="184">
        <v>53</v>
      </c>
      <c r="G977" s="14">
        <v>0</v>
      </c>
      <c r="H977" s="184">
        <v>0</v>
      </c>
      <c r="I977" s="14">
        <v>1</v>
      </c>
      <c r="J977" s="14" t="s">
        <v>1384</v>
      </c>
      <c r="K977" s="14"/>
      <c r="L977" s="85"/>
      <c r="M977" s="85"/>
      <c r="N977" s="85"/>
      <c r="O977" s="85"/>
      <c r="P977" s="85"/>
      <c r="Q977" s="85"/>
      <c r="R977" s="85"/>
      <c r="S977" s="85"/>
      <c r="T977" s="85"/>
      <c r="U977" s="85"/>
      <c r="V977" s="85"/>
      <c r="W977" s="85"/>
      <c r="X977" s="85"/>
      <c r="Y977" s="85"/>
      <c r="Z977" s="85"/>
    </row>
    <row r="978" spans="1:26" ht="15.75" customHeight="1">
      <c r="A978" s="201">
        <v>153</v>
      </c>
      <c r="B978" s="201" t="s">
        <v>675</v>
      </c>
      <c r="C978" s="201" t="s">
        <v>190</v>
      </c>
      <c r="D978" s="202">
        <v>42891</v>
      </c>
      <c r="E978" s="14" t="s">
        <v>2231</v>
      </c>
      <c r="F978" s="184">
        <v>46</v>
      </c>
      <c r="G978" s="14">
        <v>0</v>
      </c>
      <c r="H978" s="184">
        <v>0</v>
      </c>
      <c r="I978" s="14">
        <v>1</v>
      </c>
      <c r="J978" s="14" t="s">
        <v>1384</v>
      </c>
      <c r="K978" s="14"/>
      <c r="L978" s="85"/>
      <c r="M978" s="85"/>
      <c r="N978" s="85"/>
      <c r="O978" s="85"/>
      <c r="P978" s="85"/>
      <c r="Q978" s="85"/>
      <c r="R978" s="85"/>
      <c r="S978" s="85"/>
      <c r="T978" s="85"/>
      <c r="U978" s="85"/>
      <c r="V978" s="85"/>
      <c r="W978" s="85"/>
      <c r="X978" s="85"/>
      <c r="Y978" s="85"/>
      <c r="Z978" s="85"/>
    </row>
    <row r="979" spans="1:26" ht="15.75" customHeight="1">
      <c r="A979" s="201">
        <v>153</v>
      </c>
      <c r="B979" s="201" t="s">
        <v>675</v>
      </c>
      <c r="C979" s="201" t="s">
        <v>190</v>
      </c>
      <c r="D979" s="202">
        <v>42891</v>
      </c>
      <c r="E979" s="14" t="s">
        <v>2232</v>
      </c>
      <c r="F979" s="184">
        <v>44</v>
      </c>
      <c r="G979" s="14">
        <v>1</v>
      </c>
      <c r="H979" s="184">
        <v>2</v>
      </c>
      <c r="I979" s="14">
        <v>1</v>
      </c>
      <c r="J979" s="14" t="s">
        <v>1384</v>
      </c>
      <c r="K979" s="14"/>
      <c r="L979" s="85"/>
      <c r="M979" s="85"/>
      <c r="N979" s="85"/>
      <c r="O979" s="85"/>
      <c r="P979" s="85"/>
      <c r="Q979" s="85"/>
      <c r="R979" s="85"/>
      <c r="S979" s="85"/>
      <c r="T979" s="85"/>
      <c r="U979" s="85"/>
      <c r="V979" s="85"/>
      <c r="W979" s="85"/>
      <c r="X979" s="85"/>
      <c r="Y979" s="85"/>
      <c r="Z979" s="85"/>
    </row>
    <row r="980" spans="1:26" ht="15.75" customHeight="1">
      <c r="A980" s="201">
        <v>153</v>
      </c>
      <c r="B980" s="201" t="s">
        <v>675</v>
      </c>
      <c r="C980" s="201" t="s">
        <v>190</v>
      </c>
      <c r="D980" s="202">
        <v>42891</v>
      </c>
      <c r="E980" s="14" t="s">
        <v>2233</v>
      </c>
      <c r="F980" s="184">
        <v>57</v>
      </c>
      <c r="G980" s="14">
        <v>0</v>
      </c>
      <c r="H980" s="184">
        <v>0</v>
      </c>
      <c r="I980" s="14">
        <v>1</v>
      </c>
      <c r="J980" s="14" t="s">
        <v>1384</v>
      </c>
      <c r="K980" s="14"/>
      <c r="L980" s="85"/>
      <c r="M980" s="85"/>
      <c r="N980" s="85"/>
      <c r="O980" s="85"/>
      <c r="P980" s="85"/>
      <c r="Q980" s="85"/>
      <c r="R980" s="85"/>
      <c r="S980" s="85"/>
      <c r="T980" s="85"/>
      <c r="U980" s="85"/>
      <c r="V980" s="85"/>
      <c r="W980" s="85"/>
      <c r="X980" s="85"/>
      <c r="Y980" s="85"/>
      <c r="Z980" s="85"/>
    </row>
    <row r="981" spans="1:26" ht="15.75" customHeight="1">
      <c r="A981" s="201">
        <v>153</v>
      </c>
      <c r="B981" s="201" t="s">
        <v>675</v>
      </c>
      <c r="C981" s="201" t="s">
        <v>190</v>
      </c>
      <c r="D981" s="202">
        <v>42891</v>
      </c>
      <c r="E981" s="14" t="s">
        <v>2234</v>
      </c>
      <c r="F981" s="184">
        <v>69</v>
      </c>
      <c r="G981" s="14">
        <v>0</v>
      </c>
      <c r="H981" s="184">
        <v>0</v>
      </c>
      <c r="I981" s="184">
        <v>1</v>
      </c>
      <c r="J981" s="14" t="s">
        <v>1430</v>
      </c>
      <c r="K981" s="14"/>
      <c r="L981" s="85"/>
      <c r="M981" s="85"/>
      <c r="N981" s="85"/>
      <c r="O981" s="85"/>
      <c r="P981" s="85"/>
      <c r="Q981" s="85"/>
      <c r="R981" s="85"/>
      <c r="S981" s="85"/>
      <c r="T981" s="85"/>
      <c r="U981" s="85"/>
      <c r="V981" s="85"/>
      <c r="W981" s="85"/>
      <c r="X981" s="85"/>
      <c r="Y981" s="85"/>
      <c r="Z981" s="85"/>
    </row>
    <row r="982" spans="1:26" ht="15.75" customHeight="1">
      <c r="A982" s="195">
        <v>154</v>
      </c>
      <c r="B982" s="195" t="s">
        <v>677</v>
      </c>
      <c r="C982" s="195" t="s">
        <v>678</v>
      </c>
      <c r="D982" s="196">
        <v>43009</v>
      </c>
      <c r="E982" s="14" t="s">
        <v>2235</v>
      </c>
      <c r="F982" s="184">
        <v>35</v>
      </c>
      <c r="G982" s="14">
        <v>1</v>
      </c>
      <c r="H982" s="184">
        <v>0</v>
      </c>
      <c r="I982" s="14">
        <v>0</v>
      </c>
      <c r="J982" s="14" t="s">
        <v>100</v>
      </c>
      <c r="K982" s="14"/>
      <c r="L982" s="85"/>
      <c r="M982" s="85"/>
      <c r="N982" s="85"/>
      <c r="O982" s="85"/>
      <c r="P982" s="85"/>
      <c r="Q982" s="85"/>
      <c r="R982" s="85"/>
      <c r="S982" s="85"/>
      <c r="T982" s="85"/>
      <c r="U982" s="85"/>
      <c r="V982" s="85"/>
      <c r="W982" s="85"/>
      <c r="X982" s="85"/>
      <c r="Y982" s="85"/>
      <c r="Z982" s="85"/>
    </row>
    <row r="983" spans="1:26" ht="15.75" customHeight="1">
      <c r="A983" s="195">
        <v>154</v>
      </c>
      <c r="B983" s="195" t="s">
        <v>677</v>
      </c>
      <c r="C983" s="195" t="s">
        <v>678</v>
      </c>
      <c r="D983" s="196">
        <v>43009</v>
      </c>
      <c r="E983" s="14" t="s">
        <v>2236</v>
      </c>
      <c r="F983" s="184">
        <v>35</v>
      </c>
      <c r="G983" s="14">
        <v>1</v>
      </c>
      <c r="H983" s="184">
        <v>0</v>
      </c>
      <c r="I983" s="14">
        <v>0</v>
      </c>
      <c r="J983" s="14" t="s">
        <v>100</v>
      </c>
      <c r="K983" s="14"/>
      <c r="L983" s="85"/>
      <c r="M983" s="85"/>
      <c r="N983" s="85"/>
      <c r="O983" s="85"/>
      <c r="P983" s="85"/>
      <c r="Q983" s="85"/>
      <c r="R983" s="85"/>
      <c r="S983" s="85"/>
      <c r="T983" s="85"/>
      <c r="U983" s="85"/>
      <c r="V983" s="85"/>
      <c r="W983" s="85"/>
      <c r="X983" s="85"/>
      <c r="Y983" s="85"/>
      <c r="Z983" s="85"/>
    </row>
    <row r="984" spans="1:26" ht="15.75" customHeight="1">
      <c r="A984" s="195">
        <v>154</v>
      </c>
      <c r="B984" s="195" t="s">
        <v>677</v>
      </c>
      <c r="C984" s="195" t="s">
        <v>678</v>
      </c>
      <c r="D984" s="196">
        <v>43009</v>
      </c>
      <c r="E984" s="14" t="s">
        <v>2237</v>
      </c>
      <c r="F984" s="184">
        <v>49</v>
      </c>
      <c r="G984" s="14">
        <v>1</v>
      </c>
      <c r="H984" s="184">
        <v>0</v>
      </c>
      <c r="I984" s="14">
        <v>0</v>
      </c>
      <c r="J984" s="14" t="s">
        <v>100</v>
      </c>
      <c r="K984" s="14"/>
      <c r="L984" s="85"/>
      <c r="M984" s="85"/>
      <c r="N984" s="85"/>
      <c r="O984" s="85"/>
      <c r="P984" s="85"/>
      <c r="Q984" s="85"/>
      <c r="R984" s="85"/>
      <c r="S984" s="85"/>
      <c r="T984" s="85"/>
      <c r="U984" s="85"/>
      <c r="V984" s="85"/>
      <c r="W984" s="85"/>
      <c r="X984" s="85"/>
      <c r="Y984" s="85"/>
      <c r="Z984" s="85"/>
    </row>
    <row r="985" spans="1:26" ht="15.75" customHeight="1">
      <c r="A985" s="195">
        <v>154</v>
      </c>
      <c r="B985" s="195" t="s">
        <v>677</v>
      </c>
      <c r="C985" s="195" t="s">
        <v>678</v>
      </c>
      <c r="D985" s="196">
        <v>43009</v>
      </c>
      <c r="E985" s="14" t="s">
        <v>2238</v>
      </c>
      <c r="F985" s="184">
        <v>34</v>
      </c>
      <c r="G985" s="14">
        <v>1</v>
      </c>
      <c r="H985" s="184">
        <v>0</v>
      </c>
      <c r="I985" s="14">
        <v>0</v>
      </c>
      <c r="J985" s="14" t="s">
        <v>100</v>
      </c>
      <c r="K985" s="14"/>
      <c r="L985" s="85"/>
      <c r="M985" s="85"/>
      <c r="N985" s="85"/>
      <c r="O985" s="85"/>
      <c r="P985" s="85"/>
      <c r="Q985" s="85"/>
      <c r="R985" s="85"/>
      <c r="S985" s="85"/>
      <c r="T985" s="85"/>
      <c r="U985" s="85"/>
      <c r="V985" s="85"/>
      <c r="W985" s="85"/>
      <c r="X985" s="85"/>
      <c r="Y985" s="85"/>
      <c r="Z985" s="85"/>
    </row>
    <row r="986" spans="1:26" ht="15.75" customHeight="1">
      <c r="A986" s="195">
        <v>154</v>
      </c>
      <c r="B986" s="195" t="s">
        <v>677</v>
      </c>
      <c r="C986" s="195" t="s">
        <v>678</v>
      </c>
      <c r="D986" s="196">
        <v>43009</v>
      </c>
      <c r="E986" s="14" t="s">
        <v>2239</v>
      </c>
      <c r="F986" s="184">
        <v>54</v>
      </c>
      <c r="G986" s="14">
        <v>0</v>
      </c>
      <c r="H986" s="184">
        <v>0</v>
      </c>
      <c r="I986" s="14">
        <v>0</v>
      </c>
      <c r="J986" s="14" t="s">
        <v>100</v>
      </c>
      <c r="K986" s="14"/>
      <c r="L986" s="85"/>
      <c r="M986" s="85"/>
      <c r="N986" s="85"/>
      <c r="O986" s="85"/>
      <c r="P986" s="85"/>
      <c r="Q986" s="85"/>
      <c r="R986" s="85"/>
      <c r="S986" s="85"/>
      <c r="T986" s="85"/>
      <c r="U986" s="85"/>
      <c r="V986" s="85"/>
      <c r="W986" s="85"/>
      <c r="X986" s="85"/>
      <c r="Y986" s="85"/>
      <c r="Z986" s="85"/>
    </row>
    <row r="987" spans="1:26" ht="15.75" customHeight="1">
      <c r="A987" s="195">
        <v>154</v>
      </c>
      <c r="B987" s="195" t="s">
        <v>677</v>
      </c>
      <c r="C987" s="195" t="s">
        <v>678</v>
      </c>
      <c r="D987" s="196">
        <v>43009</v>
      </c>
      <c r="E987" s="14" t="s">
        <v>2240</v>
      </c>
      <c r="F987" s="184">
        <v>44</v>
      </c>
      <c r="G987" s="14">
        <v>0</v>
      </c>
      <c r="H987" s="184">
        <v>0</v>
      </c>
      <c r="I987" s="14">
        <v>0</v>
      </c>
      <c r="J987" s="14" t="s">
        <v>100</v>
      </c>
      <c r="K987" s="14"/>
      <c r="L987" s="85"/>
      <c r="M987" s="85"/>
      <c r="N987" s="85"/>
      <c r="O987" s="85"/>
      <c r="P987" s="85"/>
      <c r="Q987" s="85"/>
      <c r="R987" s="85"/>
      <c r="S987" s="85"/>
      <c r="T987" s="85"/>
      <c r="U987" s="85"/>
      <c r="V987" s="85"/>
      <c r="W987" s="85"/>
      <c r="X987" s="85"/>
      <c r="Y987" s="85"/>
      <c r="Z987" s="85"/>
    </row>
    <row r="988" spans="1:26" ht="15.75" customHeight="1">
      <c r="A988" s="195">
        <v>154</v>
      </c>
      <c r="B988" s="195" t="s">
        <v>677</v>
      </c>
      <c r="C988" s="195" t="s">
        <v>678</v>
      </c>
      <c r="D988" s="196">
        <v>43009</v>
      </c>
      <c r="E988" s="14" t="s">
        <v>2241</v>
      </c>
      <c r="F988" s="184">
        <v>40</v>
      </c>
      <c r="G988" s="14">
        <v>1</v>
      </c>
      <c r="H988" s="184">
        <v>0</v>
      </c>
      <c r="I988" s="14">
        <v>0</v>
      </c>
      <c r="J988" s="14" t="s">
        <v>100</v>
      </c>
      <c r="K988" s="14"/>
      <c r="L988" s="85"/>
      <c r="M988" s="85"/>
      <c r="N988" s="85"/>
      <c r="O988" s="85"/>
      <c r="P988" s="85"/>
      <c r="Q988" s="85"/>
      <c r="R988" s="85"/>
      <c r="S988" s="85"/>
      <c r="T988" s="85"/>
      <c r="U988" s="85"/>
      <c r="V988" s="85"/>
      <c r="W988" s="85"/>
      <c r="X988" s="85"/>
      <c r="Y988" s="85"/>
      <c r="Z988" s="85"/>
    </row>
    <row r="989" spans="1:26" ht="15.75" customHeight="1">
      <c r="A989" s="195">
        <v>154</v>
      </c>
      <c r="B989" s="195" t="s">
        <v>677</v>
      </c>
      <c r="C989" s="195" t="s">
        <v>678</v>
      </c>
      <c r="D989" s="196">
        <v>43009</v>
      </c>
      <c r="E989" s="14" t="s">
        <v>2242</v>
      </c>
      <c r="F989" s="184">
        <v>50</v>
      </c>
      <c r="G989" s="14">
        <v>1</v>
      </c>
      <c r="H989" s="184">
        <v>0</v>
      </c>
      <c r="I989" s="14">
        <v>0</v>
      </c>
      <c r="J989" s="14" t="s">
        <v>100</v>
      </c>
      <c r="K989" s="14"/>
      <c r="L989" s="85"/>
      <c r="M989" s="85"/>
      <c r="N989" s="85"/>
      <c r="O989" s="85"/>
      <c r="P989" s="85"/>
      <c r="Q989" s="85"/>
      <c r="R989" s="85"/>
      <c r="S989" s="85"/>
      <c r="T989" s="85"/>
      <c r="U989" s="85"/>
      <c r="V989" s="85"/>
      <c r="W989" s="85"/>
      <c r="X989" s="85"/>
      <c r="Y989" s="85"/>
      <c r="Z989" s="85"/>
    </row>
    <row r="990" spans="1:26" ht="15.75" customHeight="1">
      <c r="A990" s="195">
        <v>154</v>
      </c>
      <c r="B990" s="195" t="s">
        <v>677</v>
      </c>
      <c r="C990" s="195" t="s">
        <v>678</v>
      </c>
      <c r="D990" s="196">
        <v>43009</v>
      </c>
      <c r="E990" s="14" t="s">
        <v>2243</v>
      </c>
      <c r="F990" s="184">
        <v>34</v>
      </c>
      <c r="G990" s="14">
        <v>1</v>
      </c>
      <c r="H990" s="184">
        <v>0</v>
      </c>
      <c r="I990" s="14">
        <v>0</v>
      </c>
      <c r="J990" s="14" t="s">
        <v>100</v>
      </c>
      <c r="K990" s="14"/>
      <c r="L990" s="85"/>
      <c r="M990" s="85"/>
      <c r="N990" s="85"/>
      <c r="O990" s="85"/>
      <c r="P990" s="85"/>
      <c r="Q990" s="85"/>
      <c r="R990" s="85"/>
      <c r="S990" s="85"/>
      <c r="T990" s="85"/>
      <c r="U990" s="85"/>
      <c r="V990" s="85"/>
      <c r="W990" s="85"/>
      <c r="X990" s="85"/>
      <c r="Y990" s="85"/>
      <c r="Z990" s="85"/>
    </row>
    <row r="991" spans="1:26" ht="15.75" customHeight="1">
      <c r="A991" s="195">
        <v>154</v>
      </c>
      <c r="B991" s="195" t="s">
        <v>677</v>
      </c>
      <c r="C991" s="195" t="s">
        <v>678</v>
      </c>
      <c r="D991" s="196">
        <v>43009</v>
      </c>
      <c r="E991" s="14" t="s">
        <v>2244</v>
      </c>
      <c r="F991" s="184">
        <v>28</v>
      </c>
      <c r="G991" s="14">
        <v>1</v>
      </c>
      <c r="H991" s="184">
        <v>2</v>
      </c>
      <c r="I991" s="14">
        <v>0</v>
      </c>
      <c r="J991" s="14" t="s">
        <v>100</v>
      </c>
      <c r="K991" s="14"/>
      <c r="L991" s="85"/>
      <c r="M991" s="85"/>
      <c r="N991" s="85"/>
      <c r="O991" s="85"/>
      <c r="P991" s="85"/>
      <c r="Q991" s="85"/>
      <c r="R991" s="85"/>
      <c r="S991" s="85"/>
      <c r="T991" s="85"/>
      <c r="U991" s="85"/>
      <c r="V991" s="85"/>
      <c r="W991" s="85"/>
      <c r="X991" s="85"/>
      <c r="Y991" s="85"/>
      <c r="Z991" s="85"/>
    </row>
    <row r="992" spans="1:26" ht="15.75" customHeight="1">
      <c r="A992" s="195">
        <v>154</v>
      </c>
      <c r="B992" s="195" t="s">
        <v>677</v>
      </c>
      <c r="C992" s="195" t="s">
        <v>678</v>
      </c>
      <c r="D992" s="196">
        <v>43009</v>
      </c>
      <c r="E992" s="14" t="s">
        <v>2245</v>
      </c>
      <c r="F992" s="184">
        <v>58</v>
      </c>
      <c r="G992" s="14">
        <v>1</v>
      </c>
      <c r="H992" s="184">
        <v>2</v>
      </c>
      <c r="I992" s="14">
        <v>0</v>
      </c>
      <c r="J992" s="14" t="s">
        <v>100</v>
      </c>
      <c r="K992" s="14"/>
      <c r="L992" s="85"/>
      <c r="M992" s="85"/>
      <c r="N992" s="85"/>
      <c r="O992" s="85"/>
      <c r="P992" s="85"/>
      <c r="Q992" s="85"/>
      <c r="R992" s="85"/>
      <c r="S992" s="85"/>
      <c r="T992" s="85"/>
      <c r="U992" s="85"/>
      <c r="V992" s="85"/>
      <c r="W992" s="85"/>
      <c r="X992" s="85"/>
      <c r="Y992" s="85"/>
      <c r="Z992" s="85"/>
    </row>
    <row r="993" spans="1:26" ht="15.75" customHeight="1">
      <c r="A993" s="195">
        <v>154</v>
      </c>
      <c r="B993" s="195" t="s">
        <v>677</v>
      </c>
      <c r="C993" s="195" t="s">
        <v>678</v>
      </c>
      <c r="D993" s="196">
        <v>43009</v>
      </c>
      <c r="E993" s="14" t="s">
        <v>2246</v>
      </c>
      <c r="F993" s="184">
        <v>29</v>
      </c>
      <c r="G993" s="14">
        <v>0</v>
      </c>
      <c r="H993" s="184">
        <v>0</v>
      </c>
      <c r="I993" s="14">
        <v>0</v>
      </c>
      <c r="J993" s="14" t="s">
        <v>100</v>
      </c>
      <c r="K993" s="14"/>
      <c r="L993" s="85"/>
      <c r="M993" s="85"/>
      <c r="N993" s="85"/>
      <c r="O993" s="85"/>
      <c r="P993" s="85"/>
      <c r="Q993" s="85"/>
      <c r="R993" s="85"/>
      <c r="S993" s="85"/>
      <c r="T993" s="85"/>
      <c r="U993" s="85"/>
      <c r="V993" s="85"/>
      <c r="W993" s="85"/>
      <c r="X993" s="85"/>
      <c r="Y993" s="85"/>
      <c r="Z993" s="85"/>
    </row>
    <row r="994" spans="1:26" ht="15.75" customHeight="1">
      <c r="A994" s="195">
        <v>154</v>
      </c>
      <c r="B994" s="195" t="s">
        <v>677</v>
      </c>
      <c r="C994" s="195" t="s">
        <v>678</v>
      </c>
      <c r="D994" s="196">
        <v>43009</v>
      </c>
      <c r="E994" s="14" t="s">
        <v>2247</v>
      </c>
      <c r="F994" s="184">
        <v>54</v>
      </c>
      <c r="G994" s="14">
        <v>0</v>
      </c>
      <c r="H994" s="184">
        <v>0</v>
      </c>
      <c r="I994" s="14">
        <v>0</v>
      </c>
      <c r="J994" s="14" t="s">
        <v>100</v>
      </c>
      <c r="K994" s="14"/>
      <c r="L994" s="85"/>
      <c r="M994" s="85"/>
      <c r="N994" s="85"/>
      <c r="O994" s="85"/>
      <c r="P994" s="85"/>
      <c r="Q994" s="85"/>
      <c r="R994" s="85"/>
      <c r="S994" s="85"/>
      <c r="T994" s="85"/>
      <c r="U994" s="85"/>
      <c r="V994" s="85"/>
      <c r="W994" s="85"/>
      <c r="X994" s="85"/>
      <c r="Y994" s="85"/>
      <c r="Z994" s="85"/>
    </row>
    <row r="995" spans="1:26" ht="15.75" customHeight="1">
      <c r="A995" s="195">
        <v>154</v>
      </c>
      <c r="B995" s="195" t="s">
        <v>677</v>
      </c>
      <c r="C995" s="195" t="s">
        <v>678</v>
      </c>
      <c r="D995" s="196">
        <v>43009</v>
      </c>
      <c r="E995" s="14" t="s">
        <v>2248</v>
      </c>
      <c r="F995" s="184">
        <v>22</v>
      </c>
      <c r="G995" s="14">
        <v>1</v>
      </c>
      <c r="H995" s="184">
        <v>2</v>
      </c>
      <c r="I995" s="14">
        <v>0</v>
      </c>
      <c r="J995" s="14" t="s">
        <v>100</v>
      </c>
      <c r="K995" s="14"/>
      <c r="L995" s="85"/>
      <c r="M995" s="85"/>
      <c r="N995" s="85"/>
      <c r="O995" s="85"/>
      <c r="P995" s="85"/>
      <c r="Q995" s="85"/>
      <c r="R995" s="85"/>
      <c r="S995" s="85"/>
      <c r="T995" s="85"/>
      <c r="U995" s="85"/>
      <c r="V995" s="85"/>
      <c r="W995" s="85"/>
      <c r="X995" s="85"/>
      <c r="Y995" s="85"/>
      <c r="Z995" s="85"/>
    </row>
    <row r="996" spans="1:26" ht="15.75" customHeight="1">
      <c r="A996" s="195">
        <v>154</v>
      </c>
      <c r="B996" s="195" t="s">
        <v>677</v>
      </c>
      <c r="C996" s="195" t="s">
        <v>678</v>
      </c>
      <c r="D996" s="196">
        <v>43009</v>
      </c>
      <c r="E996" s="14" t="s">
        <v>2249</v>
      </c>
      <c r="F996" s="184">
        <v>50</v>
      </c>
      <c r="G996" s="14">
        <v>1</v>
      </c>
      <c r="H996" s="184">
        <v>0</v>
      </c>
      <c r="I996" s="14">
        <v>0</v>
      </c>
      <c r="J996" s="14" t="s">
        <v>100</v>
      </c>
      <c r="K996" s="14"/>
      <c r="L996" s="85"/>
      <c r="M996" s="85"/>
      <c r="N996" s="85"/>
      <c r="O996" s="85"/>
      <c r="P996" s="85"/>
      <c r="Q996" s="85"/>
      <c r="R996" s="85"/>
      <c r="S996" s="85"/>
      <c r="T996" s="85"/>
      <c r="U996" s="85"/>
      <c r="V996" s="85"/>
      <c r="W996" s="85"/>
      <c r="X996" s="85"/>
      <c r="Y996" s="85"/>
      <c r="Z996" s="85"/>
    </row>
    <row r="997" spans="1:26" ht="15.75" customHeight="1">
      <c r="A997" s="195">
        <v>154</v>
      </c>
      <c r="B997" s="195" t="s">
        <v>677</v>
      </c>
      <c r="C997" s="195" t="s">
        <v>678</v>
      </c>
      <c r="D997" s="196">
        <v>43009</v>
      </c>
      <c r="E997" s="14" t="s">
        <v>2250</v>
      </c>
      <c r="F997" s="184">
        <v>39</v>
      </c>
      <c r="G997" s="14">
        <v>0</v>
      </c>
      <c r="H997" s="184">
        <v>0</v>
      </c>
      <c r="I997" s="14">
        <v>0</v>
      </c>
      <c r="J997" s="14" t="s">
        <v>100</v>
      </c>
      <c r="K997" s="14"/>
      <c r="L997" s="85"/>
      <c r="M997" s="85"/>
      <c r="N997" s="85"/>
      <c r="O997" s="85"/>
      <c r="P997" s="85"/>
      <c r="Q997" s="85"/>
      <c r="R997" s="85"/>
      <c r="S997" s="85"/>
      <c r="T997" s="85"/>
      <c r="U997" s="85"/>
      <c r="V997" s="85"/>
      <c r="W997" s="85"/>
      <c r="X997" s="85"/>
      <c r="Y997" s="85"/>
      <c r="Z997" s="85"/>
    </row>
    <row r="998" spans="1:26" ht="15.75" customHeight="1">
      <c r="A998" s="195">
        <v>154</v>
      </c>
      <c r="B998" s="195" t="s">
        <v>677</v>
      </c>
      <c r="C998" s="195" t="s">
        <v>678</v>
      </c>
      <c r="D998" s="196">
        <v>43009</v>
      </c>
      <c r="E998" s="14" t="s">
        <v>2251</v>
      </c>
      <c r="F998" s="184">
        <v>31</v>
      </c>
      <c r="G998" s="14">
        <v>1</v>
      </c>
      <c r="H998" s="184">
        <v>0</v>
      </c>
      <c r="I998" s="14">
        <v>0</v>
      </c>
      <c r="J998" s="14" t="s">
        <v>100</v>
      </c>
      <c r="K998" s="14"/>
      <c r="L998" s="85"/>
      <c r="M998" s="85"/>
      <c r="N998" s="85"/>
      <c r="O998" s="85"/>
      <c r="P998" s="85"/>
      <c r="Q998" s="85"/>
      <c r="R998" s="85"/>
      <c r="S998" s="85"/>
      <c r="T998" s="85"/>
      <c r="U998" s="85"/>
      <c r="V998" s="85"/>
      <c r="W998" s="85"/>
      <c r="X998" s="85"/>
      <c r="Y998" s="85"/>
      <c r="Z998" s="85"/>
    </row>
    <row r="999" spans="1:26" ht="15.75" customHeight="1">
      <c r="A999" s="195">
        <v>154</v>
      </c>
      <c r="B999" s="195" t="s">
        <v>677</v>
      </c>
      <c r="C999" s="195" t="s">
        <v>678</v>
      </c>
      <c r="D999" s="196">
        <v>43009</v>
      </c>
      <c r="E999" s="14" t="s">
        <v>2252</v>
      </c>
      <c r="F999" s="184">
        <v>52</v>
      </c>
      <c r="G999" s="14">
        <v>1</v>
      </c>
      <c r="H999" s="184">
        <v>0</v>
      </c>
      <c r="I999" s="14">
        <v>0</v>
      </c>
      <c r="J999" s="14" t="s">
        <v>100</v>
      </c>
      <c r="K999" s="14"/>
      <c r="L999" s="85"/>
      <c r="M999" s="85"/>
      <c r="N999" s="85"/>
      <c r="O999" s="85"/>
      <c r="P999" s="85"/>
      <c r="Q999" s="85"/>
      <c r="R999" s="85"/>
      <c r="S999" s="85"/>
      <c r="T999" s="85"/>
      <c r="U999" s="85"/>
      <c r="V999" s="85"/>
      <c r="W999" s="85"/>
      <c r="X999" s="85"/>
      <c r="Y999" s="85"/>
      <c r="Z999" s="85"/>
    </row>
    <row r="1000" spans="1:26" ht="15.75" customHeight="1">
      <c r="A1000" s="195">
        <v>154</v>
      </c>
      <c r="B1000" s="195" t="s">
        <v>677</v>
      </c>
      <c r="C1000" s="195" t="s">
        <v>678</v>
      </c>
      <c r="D1000" s="196">
        <v>43009</v>
      </c>
      <c r="E1000" s="14" t="s">
        <v>2253</v>
      </c>
      <c r="F1000" s="184">
        <v>20</v>
      </c>
      <c r="G1000" s="14">
        <v>1</v>
      </c>
      <c r="H1000" s="184">
        <v>2</v>
      </c>
      <c r="I1000" s="14">
        <v>0</v>
      </c>
      <c r="J1000" s="14" t="s">
        <v>100</v>
      </c>
      <c r="K1000" s="14"/>
      <c r="L1000" s="85"/>
      <c r="M1000" s="85"/>
      <c r="N1000" s="85"/>
      <c r="O1000" s="85"/>
      <c r="P1000" s="85"/>
      <c r="Q1000" s="85"/>
      <c r="R1000" s="85"/>
      <c r="S1000" s="85"/>
      <c r="T1000" s="85"/>
      <c r="U1000" s="85"/>
      <c r="V1000" s="85"/>
      <c r="W1000" s="85"/>
      <c r="X1000" s="85"/>
      <c r="Y1000" s="85"/>
      <c r="Z1000" s="85"/>
    </row>
    <row r="1001" spans="1:26" ht="15.75" customHeight="1">
      <c r="A1001" s="195">
        <v>154</v>
      </c>
      <c r="B1001" s="195" t="s">
        <v>677</v>
      </c>
      <c r="C1001" s="195" t="s">
        <v>678</v>
      </c>
      <c r="D1001" s="196">
        <v>43009</v>
      </c>
      <c r="E1001" s="14" t="s">
        <v>2254</v>
      </c>
      <c r="F1001" s="184">
        <v>34</v>
      </c>
      <c r="G1001" s="14">
        <v>0</v>
      </c>
      <c r="H1001" s="184">
        <v>1</v>
      </c>
      <c r="I1001" s="14">
        <v>0</v>
      </c>
      <c r="J1001" s="14" t="s">
        <v>100</v>
      </c>
      <c r="K1001" s="14"/>
      <c r="L1001" s="85"/>
      <c r="M1001" s="85"/>
      <c r="N1001" s="85"/>
      <c r="O1001" s="85"/>
      <c r="P1001" s="85"/>
      <c r="Q1001" s="85"/>
      <c r="R1001" s="85"/>
      <c r="S1001" s="85"/>
      <c r="T1001" s="85"/>
      <c r="U1001" s="85"/>
      <c r="V1001" s="85"/>
      <c r="W1001" s="85"/>
      <c r="X1001" s="85"/>
      <c r="Y1001" s="85"/>
      <c r="Z1001" s="85"/>
    </row>
    <row r="1002" spans="1:26" ht="15.75" customHeight="1">
      <c r="A1002" s="195">
        <v>154</v>
      </c>
      <c r="B1002" s="195" t="s">
        <v>677</v>
      </c>
      <c r="C1002" s="195" t="s">
        <v>678</v>
      </c>
      <c r="D1002" s="196">
        <v>43009</v>
      </c>
      <c r="E1002" s="14" t="s">
        <v>2255</v>
      </c>
      <c r="F1002" s="184">
        <v>44</v>
      </c>
      <c r="G1002" s="14">
        <v>0</v>
      </c>
      <c r="H1002" s="184">
        <v>0</v>
      </c>
      <c r="I1002" s="14">
        <v>0</v>
      </c>
      <c r="J1002" s="14" t="s">
        <v>100</v>
      </c>
      <c r="K1002" s="14"/>
      <c r="L1002" s="85"/>
      <c r="M1002" s="85"/>
      <c r="N1002" s="85"/>
      <c r="O1002" s="85"/>
      <c r="P1002" s="85"/>
      <c r="Q1002" s="85"/>
      <c r="R1002" s="85"/>
      <c r="S1002" s="85"/>
      <c r="T1002" s="85"/>
      <c r="U1002" s="85"/>
      <c r="V1002" s="85"/>
      <c r="W1002" s="85"/>
      <c r="X1002" s="85"/>
      <c r="Y1002" s="85"/>
      <c r="Z1002" s="85"/>
    </row>
    <row r="1003" spans="1:26" ht="15.75" customHeight="1">
      <c r="A1003" s="195">
        <v>154</v>
      </c>
      <c r="B1003" s="195" t="s">
        <v>677</v>
      </c>
      <c r="C1003" s="195" t="s">
        <v>678</v>
      </c>
      <c r="D1003" s="196">
        <v>43009</v>
      </c>
      <c r="E1003" s="14" t="s">
        <v>2256</v>
      </c>
      <c r="F1003" s="184">
        <v>42</v>
      </c>
      <c r="G1003" s="14">
        <v>1</v>
      </c>
      <c r="H1003" s="184">
        <v>0</v>
      </c>
      <c r="I1003" s="14">
        <v>0</v>
      </c>
      <c r="J1003" s="14" t="s">
        <v>100</v>
      </c>
      <c r="K1003" s="14"/>
      <c r="L1003" s="85"/>
      <c r="M1003" s="85"/>
      <c r="N1003" s="85"/>
      <c r="O1003" s="85"/>
      <c r="P1003" s="85"/>
      <c r="Q1003" s="85"/>
      <c r="R1003" s="85"/>
      <c r="S1003" s="85"/>
      <c r="T1003" s="85"/>
      <c r="U1003" s="85"/>
      <c r="V1003" s="85"/>
      <c r="W1003" s="85"/>
      <c r="X1003" s="85"/>
      <c r="Y1003" s="85"/>
      <c r="Z1003" s="85"/>
    </row>
    <row r="1004" spans="1:26" ht="15.75" customHeight="1">
      <c r="A1004" s="195">
        <v>154</v>
      </c>
      <c r="B1004" s="195" t="s">
        <v>677</v>
      </c>
      <c r="C1004" s="195" t="s">
        <v>678</v>
      </c>
      <c r="D1004" s="196">
        <v>43009</v>
      </c>
      <c r="E1004" s="14" t="s">
        <v>2257</v>
      </c>
      <c r="F1004" s="184">
        <v>38</v>
      </c>
      <c r="G1004" s="14">
        <v>1</v>
      </c>
      <c r="H1004" s="184">
        <v>3</v>
      </c>
      <c r="I1004" s="14">
        <v>0</v>
      </c>
      <c r="J1004" s="14" t="s">
        <v>100</v>
      </c>
      <c r="K1004" s="14"/>
      <c r="L1004" s="85"/>
      <c r="M1004" s="85"/>
      <c r="N1004" s="85"/>
      <c r="O1004" s="85"/>
      <c r="P1004" s="85"/>
      <c r="Q1004" s="85"/>
      <c r="R1004" s="85"/>
      <c r="S1004" s="85"/>
      <c r="T1004" s="85"/>
      <c r="U1004" s="85"/>
      <c r="V1004" s="85"/>
      <c r="W1004" s="85"/>
      <c r="X1004" s="85"/>
      <c r="Y1004" s="85"/>
      <c r="Z1004" s="85"/>
    </row>
    <row r="1005" spans="1:26" ht="15.75" customHeight="1">
      <c r="A1005" s="195">
        <v>154</v>
      </c>
      <c r="B1005" s="195" t="s">
        <v>677</v>
      </c>
      <c r="C1005" s="195" t="s">
        <v>678</v>
      </c>
      <c r="D1005" s="196">
        <v>43009</v>
      </c>
      <c r="E1005" s="14" t="s">
        <v>2258</v>
      </c>
      <c r="F1005" s="184">
        <v>34</v>
      </c>
      <c r="G1005" s="14">
        <v>1</v>
      </c>
      <c r="H1005" s="184">
        <v>0</v>
      </c>
      <c r="I1005" s="14">
        <v>0</v>
      </c>
      <c r="J1005" s="14" t="s">
        <v>100</v>
      </c>
      <c r="K1005" s="14"/>
      <c r="L1005" s="85"/>
      <c r="M1005" s="85"/>
      <c r="N1005" s="85"/>
      <c r="O1005" s="85"/>
      <c r="P1005" s="85"/>
      <c r="Q1005" s="85"/>
      <c r="R1005" s="85"/>
      <c r="S1005" s="85"/>
      <c r="T1005" s="85"/>
      <c r="U1005" s="85"/>
      <c r="V1005" s="85"/>
      <c r="W1005" s="85"/>
      <c r="X1005" s="85"/>
      <c r="Y1005" s="85"/>
      <c r="Z1005" s="85"/>
    </row>
    <row r="1006" spans="1:26" ht="15.75" customHeight="1">
      <c r="A1006" s="195">
        <v>154</v>
      </c>
      <c r="B1006" s="195" t="s">
        <v>677</v>
      </c>
      <c r="C1006" s="195" t="s">
        <v>678</v>
      </c>
      <c r="D1006" s="196">
        <v>43009</v>
      </c>
      <c r="E1006" s="14" t="s">
        <v>2259</v>
      </c>
      <c r="F1006" s="184">
        <v>33</v>
      </c>
      <c r="G1006" s="14">
        <v>1</v>
      </c>
      <c r="H1006" s="184">
        <v>0</v>
      </c>
      <c r="I1006" s="14">
        <v>0</v>
      </c>
      <c r="J1006" s="14" t="s">
        <v>100</v>
      </c>
      <c r="K1006" s="14"/>
      <c r="L1006" s="85"/>
      <c r="M1006" s="85"/>
      <c r="N1006" s="85"/>
      <c r="O1006" s="85"/>
      <c r="P1006" s="85"/>
      <c r="Q1006" s="85"/>
      <c r="R1006" s="85"/>
      <c r="S1006" s="85"/>
      <c r="T1006" s="85"/>
      <c r="U1006" s="85"/>
      <c r="V1006" s="85"/>
      <c r="W1006" s="85"/>
      <c r="X1006" s="85"/>
      <c r="Y1006" s="85"/>
      <c r="Z1006" s="85"/>
    </row>
    <row r="1007" spans="1:26" ht="15.75" customHeight="1">
      <c r="A1007" s="195">
        <v>154</v>
      </c>
      <c r="B1007" s="195" t="s">
        <v>677</v>
      </c>
      <c r="C1007" s="195" t="s">
        <v>678</v>
      </c>
      <c r="D1007" s="196">
        <v>43009</v>
      </c>
      <c r="E1007" s="14" t="s">
        <v>2260</v>
      </c>
      <c r="F1007" s="184">
        <v>42</v>
      </c>
      <c r="G1007" s="14">
        <v>1</v>
      </c>
      <c r="H1007" s="184">
        <v>0</v>
      </c>
      <c r="I1007" s="14">
        <v>0</v>
      </c>
      <c r="J1007" s="14" t="s">
        <v>100</v>
      </c>
      <c r="K1007" s="14"/>
      <c r="L1007" s="85"/>
      <c r="M1007" s="85"/>
      <c r="N1007" s="85"/>
      <c r="O1007" s="85"/>
      <c r="P1007" s="85"/>
      <c r="Q1007" s="85"/>
      <c r="R1007" s="85"/>
      <c r="S1007" s="85"/>
      <c r="T1007" s="85"/>
      <c r="U1007" s="85"/>
      <c r="V1007" s="85"/>
      <c r="W1007" s="85"/>
      <c r="X1007" s="85"/>
      <c r="Y1007" s="85"/>
      <c r="Z1007" s="85"/>
    </row>
    <row r="1008" spans="1:26" ht="15.75" customHeight="1">
      <c r="A1008" s="195">
        <v>154</v>
      </c>
      <c r="B1008" s="195" t="s">
        <v>677</v>
      </c>
      <c r="C1008" s="195" t="s">
        <v>678</v>
      </c>
      <c r="D1008" s="196">
        <v>43009</v>
      </c>
      <c r="E1008" s="14" t="s">
        <v>2261</v>
      </c>
      <c r="F1008" s="184">
        <v>55</v>
      </c>
      <c r="G1008" s="14">
        <v>0</v>
      </c>
      <c r="H1008" s="184">
        <v>0</v>
      </c>
      <c r="I1008" s="14">
        <v>0</v>
      </c>
      <c r="J1008" s="14" t="s">
        <v>100</v>
      </c>
      <c r="K1008" s="14"/>
      <c r="L1008" s="85"/>
      <c r="M1008" s="85"/>
      <c r="N1008" s="85"/>
      <c r="O1008" s="85"/>
      <c r="P1008" s="85"/>
      <c r="Q1008" s="85"/>
      <c r="R1008" s="85"/>
      <c r="S1008" s="85"/>
      <c r="T1008" s="85"/>
      <c r="U1008" s="85"/>
      <c r="V1008" s="85"/>
      <c r="W1008" s="85"/>
      <c r="X1008" s="85"/>
      <c r="Y1008" s="85"/>
      <c r="Z1008" s="85"/>
    </row>
    <row r="1009" spans="1:26" ht="15.75" customHeight="1">
      <c r="A1009" s="195">
        <v>154</v>
      </c>
      <c r="B1009" s="195" t="s">
        <v>677</v>
      </c>
      <c r="C1009" s="195" t="s">
        <v>678</v>
      </c>
      <c r="D1009" s="196">
        <v>43009</v>
      </c>
      <c r="E1009" s="14" t="s">
        <v>2262</v>
      </c>
      <c r="F1009" s="184">
        <v>23</v>
      </c>
      <c r="G1009" s="14">
        <v>0</v>
      </c>
      <c r="H1009" s="184">
        <v>0</v>
      </c>
      <c r="I1009" s="14">
        <v>0</v>
      </c>
      <c r="J1009" s="14" t="s">
        <v>100</v>
      </c>
      <c r="K1009" s="14"/>
      <c r="L1009" s="85"/>
      <c r="M1009" s="85"/>
      <c r="N1009" s="85"/>
      <c r="O1009" s="85"/>
      <c r="P1009" s="85"/>
      <c r="Q1009" s="85"/>
      <c r="R1009" s="85"/>
      <c r="S1009" s="85"/>
      <c r="T1009" s="85"/>
      <c r="U1009" s="85"/>
      <c r="V1009" s="85"/>
      <c r="W1009" s="85"/>
      <c r="X1009" s="85"/>
      <c r="Y1009" s="85"/>
      <c r="Z1009" s="85"/>
    </row>
    <row r="1010" spans="1:26" ht="15.75" customHeight="1">
      <c r="A1010" s="195">
        <v>154</v>
      </c>
      <c r="B1010" s="195" t="s">
        <v>677</v>
      </c>
      <c r="C1010" s="195" t="s">
        <v>678</v>
      </c>
      <c r="D1010" s="196">
        <v>43009</v>
      </c>
      <c r="E1010" s="14" t="s">
        <v>2263</v>
      </c>
      <c r="F1010" s="184">
        <v>28</v>
      </c>
      <c r="G1010" s="14">
        <v>1</v>
      </c>
      <c r="H1010" s="184">
        <v>0</v>
      </c>
      <c r="I1010" s="14">
        <v>0</v>
      </c>
      <c r="J1010" s="14" t="s">
        <v>100</v>
      </c>
      <c r="K1010" s="14"/>
      <c r="L1010" s="85"/>
      <c r="M1010" s="85"/>
      <c r="N1010" s="85"/>
      <c r="O1010" s="85"/>
      <c r="P1010" s="85"/>
      <c r="Q1010" s="85"/>
      <c r="R1010" s="85"/>
      <c r="S1010" s="85"/>
      <c r="T1010" s="85"/>
      <c r="U1010" s="85"/>
      <c r="V1010" s="85"/>
      <c r="W1010" s="85"/>
      <c r="X1010" s="85"/>
      <c r="Y1010" s="85"/>
      <c r="Z1010" s="85"/>
    </row>
    <row r="1011" spans="1:26" ht="15.75" customHeight="1">
      <c r="A1011" s="195">
        <v>154</v>
      </c>
      <c r="B1011" s="195" t="s">
        <v>677</v>
      </c>
      <c r="C1011" s="195" t="s">
        <v>678</v>
      </c>
      <c r="D1011" s="196">
        <v>43009</v>
      </c>
      <c r="E1011" s="14" t="s">
        <v>2264</v>
      </c>
      <c r="F1011" s="184">
        <v>28</v>
      </c>
      <c r="G1011" s="14">
        <v>1</v>
      </c>
      <c r="H1011" s="184">
        <v>0</v>
      </c>
      <c r="I1011" s="14">
        <v>0</v>
      </c>
      <c r="J1011" s="14" t="s">
        <v>100</v>
      </c>
      <c r="K1011" s="14"/>
      <c r="L1011" s="85"/>
      <c r="M1011" s="85"/>
      <c r="N1011" s="85"/>
      <c r="O1011" s="85"/>
      <c r="P1011" s="85"/>
      <c r="Q1011" s="85"/>
      <c r="R1011" s="85"/>
      <c r="S1011" s="85"/>
      <c r="T1011" s="85"/>
      <c r="U1011" s="85"/>
      <c r="V1011" s="85"/>
      <c r="W1011" s="85"/>
      <c r="X1011" s="85"/>
      <c r="Y1011" s="85"/>
      <c r="Z1011" s="85"/>
    </row>
    <row r="1012" spans="1:26" ht="15.75" customHeight="1">
      <c r="A1012" s="195">
        <v>154</v>
      </c>
      <c r="B1012" s="195" t="s">
        <v>677</v>
      </c>
      <c r="C1012" s="195" t="s">
        <v>678</v>
      </c>
      <c r="D1012" s="196">
        <v>43009</v>
      </c>
      <c r="E1012" s="14" t="s">
        <v>2265</v>
      </c>
      <c r="F1012" s="184">
        <v>29</v>
      </c>
      <c r="G1012" s="14">
        <v>0</v>
      </c>
      <c r="H1012" s="184">
        <v>0</v>
      </c>
      <c r="I1012" s="14">
        <v>0</v>
      </c>
      <c r="J1012" s="14" t="s">
        <v>100</v>
      </c>
      <c r="K1012" s="14"/>
      <c r="L1012" s="85"/>
      <c r="M1012" s="85"/>
      <c r="N1012" s="85"/>
      <c r="O1012" s="85"/>
      <c r="P1012" s="85"/>
      <c r="Q1012" s="85"/>
      <c r="R1012" s="85"/>
      <c r="S1012" s="85"/>
      <c r="T1012" s="85"/>
      <c r="U1012" s="85"/>
      <c r="V1012" s="85"/>
      <c r="W1012" s="85"/>
      <c r="X1012" s="85"/>
      <c r="Y1012" s="85"/>
      <c r="Z1012" s="85"/>
    </row>
    <row r="1013" spans="1:26" ht="15.75" customHeight="1">
      <c r="A1013" s="195">
        <v>154</v>
      </c>
      <c r="B1013" s="195" t="s">
        <v>677</v>
      </c>
      <c r="C1013" s="195" t="s">
        <v>678</v>
      </c>
      <c r="D1013" s="196">
        <v>43009</v>
      </c>
      <c r="E1013" s="14" t="s">
        <v>2266</v>
      </c>
      <c r="F1013" s="184">
        <v>67</v>
      </c>
      <c r="G1013" s="14">
        <v>1</v>
      </c>
      <c r="H1013" s="184">
        <v>0</v>
      </c>
      <c r="I1013" s="14">
        <v>0</v>
      </c>
      <c r="J1013" s="14" t="s">
        <v>100</v>
      </c>
      <c r="K1013" s="14"/>
      <c r="L1013" s="85"/>
      <c r="M1013" s="85"/>
      <c r="N1013" s="85"/>
      <c r="O1013" s="85"/>
      <c r="P1013" s="85"/>
      <c r="Q1013" s="85"/>
      <c r="R1013" s="85"/>
      <c r="S1013" s="85"/>
      <c r="T1013" s="85"/>
      <c r="U1013" s="85"/>
      <c r="V1013" s="85"/>
      <c r="W1013" s="85"/>
      <c r="X1013" s="85"/>
      <c r="Y1013" s="85"/>
      <c r="Z1013" s="85"/>
    </row>
    <row r="1014" spans="1:26" ht="15.75" customHeight="1">
      <c r="A1014" s="195">
        <v>154</v>
      </c>
      <c r="B1014" s="195" t="s">
        <v>677</v>
      </c>
      <c r="C1014" s="195" t="s">
        <v>678</v>
      </c>
      <c r="D1014" s="196">
        <v>43009</v>
      </c>
      <c r="E1014" s="14" t="s">
        <v>2267</v>
      </c>
      <c r="F1014" s="184">
        <v>24</v>
      </c>
      <c r="G1014" s="14">
        <v>0</v>
      </c>
      <c r="H1014" s="184">
        <v>0</v>
      </c>
      <c r="I1014" s="14">
        <v>0</v>
      </c>
      <c r="J1014" s="14" t="s">
        <v>100</v>
      </c>
      <c r="K1014" s="14"/>
      <c r="L1014" s="85"/>
      <c r="M1014" s="85"/>
      <c r="N1014" s="85"/>
      <c r="O1014" s="85"/>
      <c r="P1014" s="85"/>
      <c r="Q1014" s="85"/>
      <c r="R1014" s="85"/>
      <c r="S1014" s="85"/>
      <c r="T1014" s="85"/>
      <c r="U1014" s="85"/>
      <c r="V1014" s="85"/>
      <c r="W1014" s="85"/>
      <c r="X1014" s="85"/>
      <c r="Y1014" s="85"/>
      <c r="Z1014" s="85"/>
    </row>
    <row r="1015" spans="1:26" ht="15.75" customHeight="1">
      <c r="A1015" s="195">
        <v>154</v>
      </c>
      <c r="B1015" s="195" t="s">
        <v>677</v>
      </c>
      <c r="C1015" s="195" t="s">
        <v>678</v>
      </c>
      <c r="D1015" s="196">
        <v>43009</v>
      </c>
      <c r="E1015" s="14" t="s">
        <v>2268</v>
      </c>
      <c r="F1015" s="184">
        <v>35</v>
      </c>
      <c r="G1015" s="14">
        <v>0</v>
      </c>
      <c r="H1015" s="184">
        <v>0</v>
      </c>
      <c r="I1015" s="14">
        <v>0</v>
      </c>
      <c r="J1015" s="14" t="s">
        <v>100</v>
      </c>
      <c r="K1015" s="14"/>
      <c r="L1015" s="85"/>
      <c r="M1015" s="85"/>
      <c r="N1015" s="85"/>
      <c r="O1015" s="85"/>
      <c r="P1015" s="85"/>
      <c r="Q1015" s="85"/>
      <c r="R1015" s="85"/>
      <c r="S1015" s="85"/>
      <c r="T1015" s="85"/>
      <c r="U1015" s="85"/>
      <c r="V1015" s="85"/>
      <c r="W1015" s="85"/>
      <c r="X1015" s="85"/>
      <c r="Y1015" s="85"/>
      <c r="Z1015" s="85"/>
    </row>
    <row r="1016" spans="1:26" ht="15.75" customHeight="1">
      <c r="A1016" s="195">
        <v>154</v>
      </c>
      <c r="B1016" s="195" t="s">
        <v>677</v>
      </c>
      <c r="C1016" s="195" t="s">
        <v>678</v>
      </c>
      <c r="D1016" s="196">
        <v>43009</v>
      </c>
      <c r="E1016" s="14" t="s">
        <v>2269</v>
      </c>
      <c r="F1016" s="184">
        <v>33</v>
      </c>
      <c r="G1016" s="14">
        <v>1</v>
      </c>
      <c r="H1016" s="184">
        <v>0</v>
      </c>
      <c r="I1016" s="14">
        <v>0</v>
      </c>
      <c r="J1016" s="14" t="s">
        <v>100</v>
      </c>
      <c r="K1016" s="14"/>
      <c r="L1016" s="85"/>
      <c r="M1016" s="85"/>
      <c r="N1016" s="85"/>
      <c r="O1016" s="85"/>
      <c r="P1016" s="85"/>
      <c r="Q1016" s="85"/>
      <c r="R1016" s="85"/>
      <c r="S1016" s="85"/>
      <c r="T1016" s="85"/>
      <c r="U1016" s="85"/>
      <c r="V1016" s="85"/>
      <c r="W1016" s="85"/>
      <c r="X1016" s="85"/>
      <c r="Y1016" s="85"/>
      <c r="Z1016" s="85"/>
    </row>
    <row r="1017" spans="1:26" ht="15.75" customHeight="1">
      <c r="A1017" s="195">
        <v>154</v>
      </c>
      <c r="B1017" s="195" t="s">
        <v>677</v>
      </c>
      <c r="C1017" s="195" t="s">
        <v>678</v>
      </c>
      <c r="D1017" s="196">
        <v>43009</v>
      </c>
      <c r="E1017" s="14" t="s">
        <v>2270</v>
      </c>
      <c r="F1017" s="184">
        <v>35</v>
      </c>
      <c r="G1017" s="14">
        <v>1</v>
      </c>
      <c r="H1017" s="184">
        <v>0</v>
      </c>
      <c r="I1017" s="14">
        <v>0</v>
      </c>
      <c r="J1017" s="14" t="s">
        <v>100</v>
      </c>
      <c r="K1017" s="14"/>
      <c r="L1017" s="85"/>
      <c r="M1017" s="85"/>
      <c r="N1017" s="85"/>
      <c r="O1017" s="85"/>
      <c r="P1017" s="85"/>
      <c r="Q1017" s="85"/>
      <c r="R1017" s="85"/>
      <c r="S1017" s="85"/>
      <c r="T1017" s="85"/>
      <c r="U1017" s="85"/>
      <c r="V1017" s="85"/>
      <c r="W1017" s="85"/>
      <c r="X1017" s="85"/>
      <c r="Y1017" s="85"/>
      <c r="Z1017" s="85"/>
    </row>
    <row r="1018" spans="1:26" ht="15.75" customHeight="1">
      <c r="A1018" s="195">
        <v>154</v>
      </c>
      <c r="B1018" s="195" t="s">
        <v>677</v>
      </c>
      <c r="C1018" s="195" t="s">
        <v>678</v>
      </c>
      <c r="D1018" s="196">
        <v>43009</v>
      </c>
      <c r="E1018" s="14" t="s">
        <v>2271</v>
      </c>
      <c r="F1018" s="184">
        <v>31</v>
      </c>
      <c r="G1018" s="14">
        <v>1</v>
      </c>
      <c r="H1018" s="184">
        <v>0</v>
      </c>
      <c r="I1018" s="14">
        <v>0</v>
      </c>
      <c r="J1018" s="14" t="s">
        <v>100</v>
      </c>
      <c r="K1018" s="14"/>
      <c r="L1018" s="85"/>
      <c r="M1018" s="85"/>
      <c r="N1018" s="85"/>
      <c r="O1018" s="85"/>
      <c r="P1018" s="85"/>
      <c r="Q1018" s="85"/>
      <c r="R1018" s="85"/>
      <c r="S1018" s="85"/>
      <c r="T1018" s="85"/>
      <c r="U1018" s="85"/>
      <c r="V1018" s="85"/>
      <c r="W1018" s="85"/>
      <c r="X1018" s="85"/>
      <c r="Y1018" s="85"/>
      <c r="Z1018" s="85"/>
    </row>
    <row r="1019" spans="1:26" ht="15.75" customHeight="1">
      <c r="A1019" s="195">
        <v>154</v>
      </c>
      <c r="B1019" s="195" t="s">
        <v>677</v>
      </c>
      <c r="C1019" s="195" t="s">
        <v>678</v>
      </c>
      <c r="D1019" s="196">
        <v>43009</v>
      </c>
      <c r="E1019" s="14" t="s">
        <v>2272</v>
      </c>
      <c r="F1019" s="184">
        <v>46</v>
      </c>
      <c r="G1019" s="14">
        <v>1</v>
      </c>
      <c r="H1019" s="184">
        <v>0</v>
      </c>
      <c r="I1019" s="14">
        <v>0</v>
      </c>
      <c r="J1019" s="14" t="s">
        <v>100</v>
      </c>
      <c r="K1019" s="14"/>
      <c r="L1019" s="85"/>
      <c r="M1019" s="85"/>
      <c r="N1019" s="85"/>
      <c r="O1019" s="85"/>
      <c r="P1019" s="85"/>
      <c r="Q1019" s="85"/>
      <c r="R1019" s="85"/>
      <c r="S1019" s="85"/>
      <c r="T1019" s="85"/>
      <c r="U1019" s="85"/>
      <c r="V1019" s="85"/>
      <c r="W1019" s="85"/>
      <c r="X1019" s="85"/>
      <c r="Y1019" s="85"/>
      <c r="Z1019" s="85"/>
    </row>
    <row r="1020" spans="1:26" ht="15.75" customHeight="1">
      <c r="A1020" s="195">
        <v>154</v>
      </c>
      <c r="B1020" s="195" t="s">
        <v>677</v>
      </c>
      <c r="C1020" s="195" t="s">
        <v>678</v>
      </c>
      <c r="D1020" s="196">
        <v>43009</v>
      </c>
      <c r="E1020" s="14" t="s">
        <v>2273</v>
      </c>
      <c r="F1020" s="184">
        <v>56</v>
      </c>
      <c r="G1020" s="14">
        <v>0</v>
      </c>
      <c r="H1020" s="184">
        <v>0</v>
      </c>
      <c r="I1020" s="14">
        <v>0</v>
      </c>
      <c r="J1020" s="14" t="s">
        <v>100</v>
      </c>
      <c r="K1020" s="14"/>
      <c r="L1020" s="85"/>
      <c r="M1020" s="85"/>
      <c r="N1020" s="85"/>
      <c r="O1020" s="85"/>
      <c r="P1020" s="85"/>
      <c r="Q1020" s="85"/>
      <c r="R1020" s="85"/>
      <c r="S1020" s="85"/>
      <c r="T1020" s="85"/>
      <c r="U1020" s="85"/>
      <c r="V1020" s="85"/>
      <c r="W1020" s="85"/>
      <c r="X1020" s="85"/>
      <c r="Y1020" s="85"/>
      <c r="Z1020" s="85"/>
    </row>
    <row r="1021" spans="1:26" ht="15.75" customHeight="1">
      <c r="A1021" s="195">
        <v>154</v>
      </c>
      <c r="B1021" s="195" t="s">
        <v>677</v>
      </c>
      <c r="C1021" s="195" t="s">
        <v>678</v>
      </c>
      <c r="D1021" s="196">
        <v>43009</v>
      </c>
      <c r="E1021" s="14" t="s">
        <v>2274</v>
      </c>
      <c r="F1021" s="184">
        <v>26</v>
      </c>
      <c r="G1021" s="14">
        <v>1</v>
      </c>
      <c r="H1021" s="184">
        <v>2</v>
      </c>
      <c r="I1021" s="14">
        <v>0</v>
      </c>
      <c r="J1021" s="14" t="s">
        <v>100</v>
      </c>
      <c r="K1021" s="14"/>
      <c r="L1021" s="85"/>
      <c r="M1021" s="85"/>
      <c r="N1021" s="85"/>
      <c r="O1021" s="85"/>
      <c r="P1021" s="85"/>
      <c r="Q1021" s="85"/>
      <c r="R1021" s="85"/>
      <c r="S1021" s="85"/>
      <c r="T1021" s="85"/>
      <c r="U1021" s="85"/>
      <c r="V1021" s="85"/>
      <c r="W1021" s="85"/>
      <c r="X1021" s="85"/>
      <c r="Y1021" s="85"/>
      <c r="Z1021" s="85"/>
    </row>
    <row r="1022" spans="1:26" ht="15.75" customHeight="1">
      <c r="A1022" s="195">
        <v>154</v>
      </c>
      <c r="B1022" s="195" t="s">
        <v>677</v>
      </c>
      <c r="C1022" s="195" t="s">
        <v>678</v>
      </c>
      <c r="D1022" s="196">
        <v>43009</v>
      </c>
      <c r="E1022" s="14" t="s">
        <v>2275</v>
      </c>
      <c r="F1022" s="184">
        <v>21</v>
      </c>
      <c r="G1022" s="14">
        <v>1</v>
      </c>
      <c r="H1022" s="184">
        <v>0</v>
      </c>
      <c r="I1022" s="14">
        <v>0</v>
      </c>
      <c r="J1022" s="14" t="s">
        <v>100</v>
      </c>
      <c r="K1022" s="14"/>
      <c r="L1022" s="85"/>
      <c r="M1022" s="85"/>
      <c r="N1022" s="85"/>
      <c r="O1022" s="85"/>
      <c r="P1022" s="85"/>
      <c r="Q1022" s="85"/>
      <c r="R1022" s="85"/>
      <c r="S1022" s="85"/>
      <c r="T1022" s="85"/>
      <c r="U1022" s="85"/>
      <c r="V1022" s="85"/>
      <c r="W1022" s="85"/>
      <c r="X1022" s="85"/>
      <c r="Y1022" s="85"/>
      <c r="Z1022" s="85"/>
    </row>
    <row r="1023" spans="1:26" ht="15.75" customHeight="1">
      <c r="A1023" s="195">
        <v>154</v>
      </c>
      <c r="B1023" s="195" t="s">
        <v>677</v>
      </c>
      <c r="C1023" s="195" t="s">
        <v>678</v>
      </c>
      <c r="D1023" s="196">
        <v>43009</v>
      </c>
      <c r="E1023" s="14" t="s">
        <v>2276</v>
      </c>
      <c r="F1023" s="184">
        <v>20</v>
      </c>
      <c r="G1023" s="14">
        <v>0</v>
      </c>
      <c r="H1023" s="184">
        <v>0</v>
      </c>
      <c r="I1023" s="14">
        <v>0</v>
      </c>
      <c r="J1023" s="14" t="s">
        <v>100</v>
      </c>
      <c r="K1023" s="14"/>
      <c r="L1023" s="85"/>
      <c r="M1023" s="85"/>
      <c r="N1023" s="85"/>
      <c r="O1023" s="85"/>
      <c r="P1023" s="85"/>
      <c r="Q1023" s="85"/>
      <c r="R1023" s="85"/>
      <c r="S1023" s="85"/>
      <c r="T1023" s="85"/>
      <c r="U1023" s="85"/>
      <c r="V1023" s="85"/>
      <c r="W1023" s="85"/>
      <c r="X1023" s="85"/>
      <c r="Y1023" s="85"/>
      <c r="Z1023" s="85"/>
    </row>
    <row r="1024" spans="1:26" ht="15.75" customHeight="1">
      <c r="A1024" s="195">
        <v>154</v>
      </c>
      <c r="B1024" s="195" t="s">
        <v>677</v>
      </c>
      <c r="C1024" s="195" t="s">
        <v>678</v>
      </c>
      <c r="D1024" s="196">
        <v>43009</v>
      </c>
      <c r="E1024" s="14" t="s">
        <v>2277</v>
      </c>
      <c r="F1024" s="184">
        <v>28</v>
      </c>
      <c r="G1024" s="14">
        <v>0</v>
      </c>
      <c r="H1024" s="184">
        <v>0</v>
      </c>
      <c r="I1024" s="14">
        <v>0</v>
      </c>
      <c r="J1024" s="14" t="s">
        <v>100</v>
      </c>
      <c r="K1024" s="14"/>
      <c r="L1024" s="85"/>
      <c r="M1024" s="85"/>
      <c r="N1024" s="85"/>
      <c r="O1024" s="85"/>
      <c r="P1024" s="85"/>
      <c r="Q1024" s="85"/>
      <c r="R1024" s="85"/>
      <c r="S1024" s="85"/>
      <c r="T1024" s="85"/>
      <c r="U1024" s="85"/>
      <c r="V1024" s="85"/>
      <c r="W1024" s="85"/>
      <c r="X1024" s="85"/>
      <c r="Y1024" s="85"/>
      <c r="Z1024" s="85"/>
    </row>
    <row r="1025" spans="1:26" ht="15.75" customHeight="1">
      <c r="A1025" s="195">
        <v>154</v>
      </c>
      <c r="B1025" s="195" t="s">
        <v>677</v>
      </c>
      <c r="C1025" s="195" t="s">
        <v>678</v>
      </c>
      <c r="D1025" s="196">
        <v>43009</v>
      </c>
      <c r="E1025" s="14" t="s">
        <v>2278</v>
      </c>
      <c r="F1025" s="184">
        <v>40</v>
      </c>
      <c r="G1025" s="14">
        <v>1</v>
      </c>
      <c r="H1025" s="184">
        <v>2</v>
      </c>
      <c r="I1025" s="14">
        <v>0</v>
      </c>
      <c r="J1025" s="14" t="s">
        <v>100</v>
      </c>
      <c r="K1025" s="14"/>
      <c r="L1025" s="85"/>
      <c r="M1025" s="85"/>
      <c r="N1025" s="85"/>
      <c r="O1025" s="85"/>
      <c r="P1025" s="85"/>
      <c r="Q1025" s="85"/>
      <c r="R1025" s="85"/>
      <c r="S1025" s="85"/>
      <c r="T1025" s="85"/>
      <c r="U1025" s="85"/>
      <c r="V1025" s="85"/>
      <c r="W1025" s="85"/>
      <c r="X1025" s="85"/>
      <c r="Y1025" s="85"/>
      <c r="Z1025" s="85"/>
    </row>
    <row r="1026" spans="1:26" ht="15.75" customHeight="1">
      <c r="A1026" s="195">
        <v>154</v>
      </c>
      <c r="B1026" s="195" t="s">
        <v>677</v>
      </c>
      <c r="C1026" s="195" t="s">
        <v>678</v>
      </c>
      <c r="D1026" s="196">
        <v>43009</v>
      </c>
      <c r="E1026" s="14" t="s">
        <v>2279</v>
      </c>
      <c r="F1026" s="184">
        <v>34</v>
      </c>
      <c r="G1026" s="14">
        <v>1</v>
      </c>
      <c r="H1026" s="184">
        <v>0</v>
      </c>
      <c r="I1026" s="14">
        <v>0</v>
      </c>
      <c r="J1026" s="14" t="s">
        <v>100</v>
      </c>
      <c r="K1026" s="14"/>
      <c r="L1026" s="85"/>
      <c r="M1026" s="85"/>
      <c r="N1026" s="85"/>
      <c r="O1026" s="85"/>
      <c r="P1026" s="85"/>
      <c r="Q1026" s="85"/>
      <c r="R1026" s="85"/>
      <c r="S1026" s="85"/>
      <c r="T1026" s="85"/>
      <c r="U1026" s="85"/>
      <c r="V1026" s="85"/>
      <c r="W1026" s="85"/>
      <c r="X1026" s="85"/>
      <c r="Y1026" s="85"/>
      <c r="Z1026" s="85"/>
    </row>
    <row r="1027" spans="1:26" ht="15.75" customHeight="1">
      <c r="A1027" s="195">
        <v>154</v>
      </c>
      <c r="B1027" s="195" t="s">
        <v>677</v>
      </c>
      <c r="C1027" s="195" t="s">
        <v>678</v>
      </c>
      <c r="D1027" s="196">
        <v>43009</v>
      </c>
      <c r="E1027" s="14" t="s">
        <v>2280</v>
      </c>
      <c r="F1027" s="184">
        <v>48</v>
      </c>
      <c r="G1027" s="14">
        <v>1</v>
      </c>
      <c r="H1027" s="184">
        <v>2</v>
      </c>
      <c r="I1027" s="14">
        <v>0</v>
      </c>
      <c r="J1027" s="14" t="s">
        <v>100</v>
      </c>
      <c r="K1027" s="14"/>
      <c r="L1027" s="85"/>
      <c r="M1027" s="85"/>
      <c r="N1027" s="85"/>
      <c r="O1027" s="85"/>
      <c r="P1027" s="85"/>
      <c r="Q1027" s="85"/>
      <c r="R1027" s="85"/>
      <c r="S1027" s="85"/>
      <c r="T1027" s="85"/>
      <c r="U1027" s="85"/>
      <c r="V1027" s="85"/>
      <c r="W1027" s="85"/>
      <c r="X1027" s="85"/>
      <c r="Y1027" s="85"/>
      <c r="Z1027" s="85"/>
    </row>
    <row r="1028" spans="1:26" ht="15.75" customHeight="1">
      <c r="A1028" s="195">
        <v>154</v>
      </c>
      <c r="B1028" s="195" t="s">
        <v>677</v>
      </c>
      <c r="C1028" s="195" t="s">
        <v>678</v>
      </c>
      <c r="D1028" s="196">
        <v>43009</v>
      </c>
      <c r="E1028" s="14" t="s">
        <v>2281</v>
      </c>
      <c r="F1028" s="184">
        <v>28</v>
      </c>
      <c r="G1028" s="14">
        <v>0</v>
      </c>
      <c r="H1028" s="184">
        <v>0</v>
      </c>
      <c r="I1028" s="14">
        <v>0</v>
      </c>
      <c r="J1028" s="14" t="s">
        <v>100</v>
      </c>
      <c r="K1028" s="14"/>
      <c r="L1028" s="85"/>
      <c r="M1028" s="85"/>
      <c r="N1028" s="85"/>
      <c r="O1028" s="85"/>
      <c r="P1028" s="85"/>
      <c r="Q1028" s="85"/>
      <c r="R1028" s="85"/>
      <c r="S1028" s="85"/>
      <c r="T1028" s="85"/>
      <c r="U1028" s="85"/>
      <c r="V1028" s="85"/>
      <c r="W1028" s="85"/>
      <c r="X1028" s="85"/>
      <c r="Y1028" s="85"/>
      <c r="Z1028" s="85"/>
    </row>
    <row r="1029" spans="1:26" ht="15.75" customHeight="1">
      <c r="A1029" s="195">
        <v>154</v>
      </c>
      <c r="B1029" s="195" t="s">
        <v>677</v>
      </c>
      <c r="C1029" s="195" t="s">
        <v>678</v>
      </c>
      <c r="D1029" s="196">
        <v>43009</v>
      </c>
      <c r="E1029" s="14" t="s">
        <v>2282</v>
      </c>
      <c r="F1029" s="184">
        <v>61</v>
      </c>
      <c r="G1029" s="14">
        <v>0</v>
      </c>
      <c r="H1029" s="184">
        <v>0</v>
      </c>
      <c r="I1029" s="14">
        <v>0</v>
      </c>
      <c r="J1029" s="14" t="s">
        <v>100</v>
      </c>
      <c r="K1029" s="14"/>
      <c r="L1029" s="85"/>
      <c r="M1029" s="85"/>
      <c r="N1029" s="85"/>
      <c r="O1029" s="85"/>
      <c r="P1029" s="85"/>
      <c r="Q1029" s="85"/>
      <c r="R1029" s="85"/>
      <c r="S1029" s="85"/>
      <c r="T1029" s="85"/>
      <c r="U1029" s="85"/>
      <c r="V1029" s="85"/>
      <c r="W1029" s="85"/>
      <c r="X1029" s="85"/>
      <c r="Y1029" s="85"/>
      <c r="Z1029" s="85"/>
    </row>
    <row r="1030" spans="1:26" ht="15.75" customHeight="1">
      <c r="A1030" s="195">
        <v>154</v>
      </c>
      <c r="B1030" s="195" t="s">
        <v>677</v>
      </c>
      <c r="C1030" s="195" t="s">
        <v>678</v>
      </c>
      <c r="D1030" s="196">
        <v>43009</v>
      </c>
      <c r="E1030" s="14" t="s">
        <v>2283</v>
      </c>
      <c r="F1030" s="184">
        <v>20</v>
      </c>
      <c r="G1030" s="14">
        <v>1</v>
      </c>
      <c r="H1030" s="184">
        <v>0</v>
      </c>
      <c r="I1030" s="14">
        <v>0</v>
      </c>
      <c r="J1030" s="14" t="s">
        <v>100</v>
      </c>
      <c r="K1030" s="14"/>
      <c r="L1030" s="85"/>
      <c r="M1030" s="85"/>
      <c r="N1030" s="85"/>
      <c r="O1030" s="85"/>
      <c r="P1030" s="85"/>
      <c r="Q1030" s="85"/>
      <c r="R1030" s="85"/>
      <c r="S1030" s="85"/>
      <c r="T1030" s="85"/>
      <c r="U1030" s="85"/>
      <c r="V1030" s="85"/>
      <c r="W1030" s="85"/>
      <c r="X1030" s="85"/>
      <c r="Y1030" s="85"/>
      <c r="Z1030" s="85"/>
    </row>
    <row r="1031" spans="1:26" ht="15.75" customHeight="1">
      <c r="A1031" s="195">
        <v>154</v>
      </c>
      <c r="B1031" s="195" t="s">
        <v>677</v>
      </c>
      <c r="C1031" s="195" t="s">
        <v>678</v>
      </c>
      <c r="D1031" s="196">
        <v>43009</v>
      </c>
      <c r="E1031" s="14" t="s">
        <v>2284</v>
      </c>
      <c r="F1031" s="184">
        <v>50</v>
      </c>
      <c r="G1031" s="14">
        <v>1</v>
      </c>
      <c r="H1031" s="184">
        <v>3</v>
      </c>
      <c r="I1031" s="14">
        <v>0</v>
      </c>
      <c r="J1031" s="14" t="s">
        <v>100</v>
      </c>
      <c r="K1031" s="14"/>
      <c r="L1031" s="85"/>
      <c r="M1031" s="85"/>
      <c r="N1031" s="85"/>
      <c r="O1031" s="85"/>
      <c r="P1031" s="85"/>
      <c r="Q1031" s="85"/>
      <c r="R1031" s="85"/>
      <c r="S1031" s="85"/>
      <c r="T1031" s="85"/>
      <c r="U1031" s="85"/>
      <c r="V1031" s="85"/>
      <c r="W1031" s="85"/>
      <c r="X1031" s="85"/>
      <c r="Y1031" s="85"/>
      <c r="Z1031" s="85"/>
    </row>
    <row r="1032" spans="1:26" ht="15.75" customHeight="1">
      <c r="A1032" s="195">
        <v>154</v>
      </c>
      <c r="B1032" s="195" t="s">
        <v>677</v>
      </c>
      <c r="C1032" s="195" t="s">
        <v>678</v>
      </c>
      <c r="D1032" s="196">
        <v>43009</v>
      </c>
      <c r="E1032" s="14" t="s">
        <v>2285</v>
      </c>
      <c r="F1032" s="184">
        <v>21</v>
      </c>
      <c r="G1032" s="14">
        <v>0</v>
      </c>
      <c r="H1032" s="184">
        <v>2</v>
      </c>
      <c r="I1032" s="14">
        <v>0</v>
      </c>
      <c r="J1032" s="14" t="s">
        <v>100</v>
      </c>
      <c r="K1032" s="14"/>
      <c r="L1032" s="85"/>
      <c r="M1032" s="85"/>
      <c r="N1032" s="85"/>
      <c r="O1032" s="85"/>
      <c r="P1032" s="85"/>
      <c r="Q1032" s="85"/>
      <c r="R1032" s="85"/>
      <c r="S1032" s="85"/>
      <c r="T1032" s="85"/>
      <c r="U1032" s="85"/>
      <c r="V1032" s="85"/>
      <c r="W1032" s="85"/>
      <c r="X1032" s="85"/>
      <c r="Y1032" s="85"/>
      <c r="Z1032" s="85"/>
    </row>
    <row r="1033" spans="1:26" ht="15.75" customHeight="1">
      <c r="A1033" s="195">
        <v>154</v>
      </c>
      <c r="B1033" s="195" t="s">
        <v>677</v>
      </c>
      <c r="C1033" s="195" t="s">
        <v>678</v>
      </c>
      <c r="D1033" s="196">
        <v>43009</v>
      </c>
      <c r="E1033" s="14" t="s">
        <v>2286</v>
      </c>
      <c r="F1033" s="184">
        <v>53</v>
      </c>
      <c r="G1033" s="14">
        <v>1</v>
      </c>
      <c r="H1033" s="184">
        <v>0</v>
      </c>
      <c r="I1033" s="14">
        <v>0</v>
      </c>
      <c r="J1033" s="14" t="s">
        <v>100</v>
      </c>
      <c r="K1033" s="14"/>
      <c r="L1033" s="85"/>
      <c r="M1033" s="85"/>
      <c r="N1033" s="85"/>
      <c r="O1033" s="85"/>
      <c r="P1033" s="85"/>
      <c r="Q1033" s="85"/>
      <c r="R1033" s="85"/>
      <c r="S1033" s="85"/>
      <c r="T1033" s="85"/>
      <c r="U1033" s="85"/>
      <c r="V1033" s="85"/>
      <c r="W1033" s="85"/>
      <c r="X1033" s="85"/>
      <c r="Y1033" s="85"/>
      <c r="Z1033" s="85"/>
    </row>
    <row r="1034" spans="1:26" ht="15.75" customHeight="1">
      <c r="A1034" s="195">
        <v>154</v>
      </c>
      <c r="B1034" s="195" t="s">
        <v>677</v>
      </c>
      <c r="C1034" s="195" t="s">
        <v>678</v>
      </c>
      <c r="D1034" s="196">
        <v>43009</v>
      </c>
      <c r="E1034" s="14" t="s">
        <v>2287</v>
      </c>
      <c r="F1034" s="184">
        <v>30</v>
      </c>
      <c r="G1034" s="14">
        <v>0</v>
      </c>
      <c r="H1034" s="184">
        <v>0</v>
      </c>
      <c r="I1034" s="14">
        <v>0</v>
      </c>
      <c r="J1034" s="14" t="s">
        <v>100</v>
      </c>
      <c r="K1034" s="14"/>
      <c r="L1034" s="85"/>
      <c r="M1034" s="85"/>
      <c r="N1034" s="85"/>
      <c r="O1034" s="85"/>
      <c r="P1034" s="85"/>
      <c r="Q1034" s="85"/>
      <c r="R1034" s="85"/>
      <c r="S1034" s="85"/>
      <c r="T1034" s="85"/>
      <c r="U1034" s="85"/>
      <c r="V1034" s="85"/>
      <c r="W1034" s="85"/>
      <c r="X1034" s="85"/>
      <c r="Y1034" s="85"/>
      <c r="Z1034" s="85"/>
    </row>
    <row r="1035" spans="1:26" ht="15.75" customHeight="1">
      <c r="A1035" s="195">
        <v>154</v>
      </c>
      <c r="B1035" s="195" t="s">
        <v>677</v>
      </c>
      <c r="C1035" s="195" t="s">
        <v>678</v>
      </c>
      <c r="D1035" s="196">
        <v>43009</v>
      </c>
      <c r="E1035" s="14" t="s">
        <v>2288</v>
      </c>
      <c r="F1035" s="184">
        <v>56</v>
      </c>
      <c r="G1035" s="14">
        <v>0</v>
      </c>
      <c r="H1035" s="184">
        <v>0</v>
      </c>
      <c r="I1035" s="14">
        <v>0</v>
      </c>
      <c r="J1035" s="14" t="s">
        <v>100</v>
      </c>
      <c r="K1035" s="14"/>
      <c r="L1035" s="85"/>
      <c r="M1035" s="85"/>
      <c r="N1035" s="85"/>
      <c r="O1035" s="85"/>
      <c r="P1035" s="85"/>
      <c r="Q1035" s="85"/>
      <c r="R1035" s="85"/>
      <c r="S1035" s="85"/>
      <c r="T1035" s="85"/>
      <c r="U1035" s="85"/>
      <c r="V1035" s="85"/>
      <c r="W1035" s="85"/>
      <c r="X1035" s="85"/>
      <c r="Y1035" s="85"/>
      <c r="Z1035" s="85"/>
    </row>
    <row r="1036" spans="1:26" ht="15.75" customHeight="1">
      <c r="A1036" s="195">
        <v>154</v>
      </c>
      <c r="B1036" s="195" t="s">
        <v>677</v>
      </c>
      <c r="C1036" s="195" t="s">
        <v>678</v>
      </c>
      <c r="D1036" s="196">
        <v>43009</v>
      </c>
      <c r="E1036" s="14" t="s">
        <v>2289</v>
      </c>
      <c r="F1036" s="184">
        <v>46</v>
      </c>
      <c r="G1036" s="14">
        <v>1</v>
      </c>
      <c r="H1036" s="184">
        <v>0</v>
      </c>
      <c r="I1036" s="14">
        <v>0</v>
      </c>
      <c r="J1036" s="14" t="s">
        <v>100</v>
      </c>
      <c r="K1036" s="14"/>
      <c r="L1036" s="85"/>
      <c r="M1036" s="85"/>
      <c r="N1036" s="85"/>
      <c r="O1036" s="85"/>
      <c r="P1036" s="85"/>
      <c r="Q1036" s="85"/>
      <c r="R1036" s="85"/>
      <c r="S1036" s="85"/>
      <c r="T1036" s="85"/>
      <c r="U1036" s="85"/>
      <c r="V1036" s="85"/>
      <c r="W1036" s="85"/>
      <c r="X1036" s="85"/>
      <c r="Y1036" s="85"/>
      <c r="Z1036" s="85"/>
    </row>
    <row r="1037" spans="1:26" ht="15.75" customHeight="1">
      <c r="A1037" s="195">
        <v>154</v>
      </c>
      <c r="B1037" s="195" t="s">
        <v>677</v>
      </c>
      <c r="C1037" s="195" t="s">
        <v>678</v>
      </c>
      <c r="D1037" s="196">
        <v>43009</v>
      </c>
      <c r="E1037" s="14" t="s">
        <v>2290</v>
      </c>
      <c r="F1037" s="184">
        <v>32</v>
      </c>
      <c r="G1037" s="14">
        <v>1</v>
      </c>
      <c r="H1037" s="184">
        <v>3</v>
      </c>
      <c r="I1037" s="14">
        <v>0</v>
      </c>
      <c r="J1037" s="14" t="s">
        <v>100</v>
      </c>
      <c r="K1037" s="14"/>
      <c r="L1037" s="85"/>
      <c r="M1037" s="85"/>
      <c r="N1037" s="85"/>
      <c r="O1037" s="85"/>
      <c r="P1037" s="85"/>
      <c r="Q1037" s="85"/>
      <c r="R1037" s="85"/>
      <c r="S1037" s="85"/>
      <c r="T1037" s="85"/>
      <c r="U1037" s="85"/>
      <c r="V1037" s="85"/>
      <c r="W1037" s="85"/>
      <c r="X1037" s="85"/>
      <c r="Y1037" s="85"/>
      <c r="Z1037" s="85"/>
    </row>
    <row r="1038" spans="1:26" ht="15.75" customHeight="1">
      <c r="A1038" s="195">
        <v>154</v>
      </c>
      <c r="B1038" s="195" t="s">
        <v>677</v>
      </c>
      <c r="C1038" s="195" t="s">
        <v>678</v>
      </c>
      <c r="D1038" s="196">
        <v>43009</v>
      </c>
      <c r="E1038" s="14" t="s">
        <v>2291</v>
      </c>
      <c r="F1038" s="184">
        <v>55</v>
      </c>
      <c r="G1038" s="14">
        <v>0</v>
      </c>
      <c r="H1038" s="184">
        <v>0</v>
      </c>
      <c r="I1038" s="14">
        <v>0</v>
      </c>
      <c r="J1038" s="14" t="s">
        <v>100</v>
      </c>
      <c r="K1038" s="14"/>
      <c r="L1038" s="85"/>
      <c r="M1038" s="85"/>
      <c r="N1038" s="85"/>
      <c r="O1038" s="85"/>
      <c r="P1038" s="85"/>
      <c r="Q1038" s="85"/>
      <c r="R1038" s="85"/>
      <c r="S1038" s="85"/>
      <c r="T1038" s="85"/>
      <c r="U1038" s="85"/>
      <c r="V1038" s="85"/>
      <c r="W1038" s="85"/>
      <c r="X1038" s="85"/>
      <c r="Y1038" s="85"/>
      <c r="Z1038" s="85"/>
    </row>
    <row r="1039" spans="1:26" ht="15.75" customHeight="1">
      <c r="A1039" s="195">
        <v>154</v>
      </c>
      <c r="B1039" s="195" t="s">
        <v>677</v>
      </c>
      <c r="C1039" s="195" t="s">
        <v>678</v>
      </c>
      <c r="D1039" s="196">
        <v>43009</v>
      </c>
      <c r="E1039" s="14" t="s">
        <v>2292</v>
      </c>
      <c r="F1039" s="184">
        <v>42</v>
      </c>
      <c r="G1039" s="14">
        <v>0</v>
      </c>
      <c r="H1039" s="184">
        <v>0</v>
      </c>
      <c r="I1039" s="14">
        <v>0</v>
      </c>
      <c r="J1039" s="14" t="s">
        <v>100</v>
      </c>
      <c r="K1039" s="14"/>
      <c r="L1039" s="85"/>
      <c r="M1039" s="85"/>
      <c r="N1039" s="85"/>
      <c r="O1039" s="85"/>
      <c r="P1039" s="85"/>
      <c r="Q1039" s="85"/>
      <c r="R1039" s="85"/>
      <c r="S1039" s="85"/>
      <c r="T1039" s="85"/>
      <c r="U1039" s="85"/>
      <c r="V1039" s="85"/>
      <c r="W1039" s="85"/>
      <c r="X1039" s="85"/>
      <c r="Y1039" s="85"/>
      <c r="Z1039" s="85"/>
    </row>
    <row r="1040" spans="1:26" ht="15.75" customHeight="1">
      <c r="A1040" s="197">
        <v>155</v>
      </c>
      <c r="B1040" s="197" t="s">
        <v>682</v>
      </c>
      <c r="C1040" s="197" t="s">
        <v>683</v>
      </c>
      <c r="D1040" s="198">
        <v>43044</v>
      </c>
      <c r="E1040" s="14" t="s">
        <v>2293</v>
      </c>
      <c r="F1040" s="184">
        <v>62</v>
      </c>
      <c r="G1040" s="14">
        <v>0</v>
      </c>
      <c r="H1040" s="14">
        <v>0</v>
      </c>
      <c r="I1040" s="14">
        <v>0</v>
      </c>
      <c r="J1040" s="14" t="s">
        <v>100</v>
      </c>
      <c r="K1040" s="14"/>
      <c r="L1040" s="85"/>
      <c r="M1040" s="85"/>
      <c r="N1040" s="85"/>
      <c r="O1040" s="85"/>
      <c r="P1040" s="85"/>
      <c r="Q1040" s="85"/>
      <c r="R1040" s="85"/>
      <c r="S1040" s="85"/>
      <c r="T1040" s="85"/>
      <c r="U1040" s="85"/>
      <c r="V1040" s="85"/>
      <c r="W1040" s="85"/>
      <c r="X1040" s="85"/>
      <c r="Y1040" s="85"/>
      <c r="Z1040" s="85"/>
    </row>
    <row r="1041" spans="1:26" ht="15.75" customHeight="1">
      <c r="A1041" s="197">
        <v>155</v>
      </c>
      <c r="B1041" s="197" t="s">
        <v>682</v>
      </c>
      <c r="C1041" s="197" t="s">
        <v>683</v>
      </c>
      <c r="D1041" s="198">
        <v>43044</v>
      </c>
      <c r="E1041" s="14" t="s">
        <v>2294</v>
      </c>
      <c r="F1041" s="184">
        <v>51</v>
      </c>
      <c r="G1041" s="14">
        <v>0</v>
      </c>
      <c r="H1041" s="14">
        <v>0</v>
      </c>
      <c r="I1041" s="14">
        <v>0</v>
      </c>
      <c r="J1041" s="14" t="s">
        <v>100</v>
      </c>
      <c r="K1041" s="14"/>
      <c r="L1041" s="85"/>
      <c r="M1041" s="85"/>
      <c r="N1041" s="85"/>
      <c r="O1041" s="85"/>
      <c r="P1041" s="85"/>
      <c r="Q1041" s="85"/>
      <c r="R1041" s="85"/>
      <c r="S1041" s="85"/>
      <c r="T1041" s="85"/>
      <c r="U1041" s="85"/>
      <c r="V1041" s="85"/>
      <c r="W1041" s="85"/>
      <c r="X1041" s="85"/>
      <c r="Y1041" s="85"/>
      <c r="Z1041" s="85"/>
    </row>
    <row r="1042" spans="1:26" ht="15.75" customHeight="1">
      <c r="A1042" s="197">
        <v>155</v>
      </c>
      <c r="B1042" s="197" t="s">
        <v>682</v>
      </c>
      <c r="C1042" s="197" t="s">
        <v>683</v>
      </c>
      <c r="D1042" s="198">
        <v>43044</v>
      </c>
      <c r="E1042" s="14" t="s">
        <v>2295</v>
      </c>
      <c r="F1042" s="184">
        <v>51</v>
      </c>
      <c r="G1042" s="14">
        <v>1</v>
      </c>
      <c r="H1042" s="14">
        <v>0</v>
      </c>
      <c r="I1042" s="14">
        <v>0</v>
      </c>
      <c r="J1042" s="14" t="s">
        <v>100</v>
      </c>
      <c r="K1042" s="14"/>
      <c r="L1042" s="85"/>
      <c r="M1042" s="85"/>
      <c r="N1042" s="85"/>
      <c r="O1042" s="85"/>
      <c r="P1042" s="85"/>
      <c r="Q1042" s="85"/>
      <c r="R1042" s="85"/>
      <c r="S1042" s="85"/>
      <c r="T1042" s="85"/>
      <c r="U1042" s="85"/>
      <c r="V1042" s="85"/>
      <c r="W1042" s="85"/>
      <c r="X1042" s="85"/>
      <c r="Y1042" s="85"/>
      <c r="Z1042" s="85"/>
    </row>
    <row r="1043" spans="1:26" ht="15.75" customHeight="1">
      <c r="A1043" s="197">
        <v>155</v>
      </c>
      <c r="B1043" s="197" t="s">
        <v>682</v>
      </c>
      <c r="C1043" s="197" t="s">
        <v>683</v>
      </c>
      <c r="D1043" s="198">
        <v>43044</v>
      </c>
      <c r="E1043" s="14" t="s">
        <v>2296</v>
      </c>
      <c r="F1043" s="184">
        <v>60</v>
      </c>
      <c r="G1043" s="14">
        <v>0</v>
      </c>
      <c r="H1043" s="184">
        <v>0</v>
      </c>
      <c r="I1043" s="14">
        <v>0</v>
      </c>
      <c r="J1043" s="14" t="s">
        <v>100</v>
      </c>
      <c r="K1043" s="14"/>
      <c r="L1043" s="85"/>
      <c r="M1043" s="85"/>
      <c r="N1043" s="85"/>
      <c r="O1043" s="85"/>
      <c r="P1043" s="85"/>
      <c r="Q1043" s="85"/>
      <c r="R1043" s="85"/>
      <c r="S1043" s="85"/>
      <c r="T1043" s="85"/>
      <c r="U1043" s="85"/>
      <c r="V1043" s="85"/>
      <c r="W1043" s="85"/>
      <c r="X1043" s="85"/>
      <c r="Y1043" s="85"/>
      <c r="Z1043" s="85"/>
    </row>
    <row r="1044" spans="1:26" ht="15.75" customHeight="1">
      <c r="A1044" s="197">
        <v>155</v>
      </c>
      <c r="B1044" s="197" t="s">
        <v>682</v>
      </c>
      <c r="C1044" s="197" t="s">
        <v>683</v>
      </c>
      <c r="D1044" s="198">
        <v>43044</v>
      </c>
      <c r="E1044" s="14" t="s">
        <v>2297</v>
      </c>
      <c r="F1044" s="184">
        <v>36</v>
      </c>
      <c r="G1044" s="14">
        <v>1</v>
      </c>
      <c r="H1044" s="184">
        <v>0</v>
      </c>
      <c r="I1044" s="14">
        <v>0</v>
      </c>
      <c r="J1044" s="14" t="s">
        <v>100</v>
      </c>
      <c r="K1044" s="14"/>
      <c r="L1044" s="85"/>
      <c r="M1044" s="85"/>
      <c r="N1044" s="85"/>
      <c r="O1044" s="85"/>
      <c r="P1044" s="85"/>
      <c r="Q1044" s="85"/>
      <c r="R1044" s="85"/>
      <c r="S1044" s="85"/>
      <c r="T1044" s="85"/>
      <c r="U1044" s="85"/>
      <c r="V1044" s="85"/>
      <c r="W1044" s="85"/>
      <c r="X1044" s="85"/>
      <c r="Y1044" s="85"/>
      <c r="Z1044" s="85"/>
    </row>
    <row r="1045" spans="1:26" ht="15.75" customHeight="1">
      <c r="A1045" s="197">
        <v>155</v>
      </c>
      <c r="B1045" s="197" t="s">
        <v>682</v>
      </c>
      <c r="C1045" s="197" t="s">
        <v>683</v>
      </c>
      <c r="D1045" s="198">
        <v>43044</v>
      </c>
      <c r="E1045" s="14" t="s">
        <v>2298</v>
      </c>
      <c r="F1045" s="184">
        <v>11</v>
      </c>
      <c r="G1045" s="14">
        <v>1</v>
      </c>
      <c r="H1045" s="14">
        <v>0</v>
      </c>
      <c r="I1045" s="14">
        <v>0</v>
      </c>
      <c r="J1045" s="14" t="s">
        <v>100</v>
      </c>
      <c r="K1045" s="14"/>
      <c r="L1045" s="85"/>
      <c r="M1045" s="85"/>
      <c r="N1045" s="85"/>
      <c r="O1045" s="85"/>
      <c r="P1045" s="85"/>
      <c r="Q1045" s="85"/>
      <c r="R1045" s="85"/>
      <c r="S1045" s="85"/>
      <c r="T1045" s="85"/>
      <c r="U1045" s="85"/>
      <c r="V1045" s="85"/>
      <c r="W1045" s="85"/>
      <c r="X1045" s="85"/>
      <c r="Y1045" s="85"/>
      <c r="Z1045" s="85"/>
    </row>
    <row r="1046" spans="1:26" ht="15.75" customHeight="1">
      <c r="A1046" s="197">
        <v>155</v>
      </c>
      <c r="B1046" s="197" t="s">
        <v>682</v>
      </c>
      <c r="C1046" s="197" t="s">
        <v>683</v>
      </c>
      <c r="D1046" s="198">
        <v>43044</v>
      </c>
      <c r="E1046" s="14" t="s">
        <v>2299</v>
      </c>
      <c r="F1046" s="184">
        <v>13</v>
      </c>
      <c r="G1046" s="14">
        <v>0</v>
      </c>
      <c r="H1046" s="14">
        <v>0</v>
      </c>
      <c r="I1046" s="14">
        <v>0</v>
      </c>
      <c r="J1046" s="14" t="s">
        <v>100</v>
      </c>
      <c r="K1046" s="14"/>
      <c r="L1046" s="85"/>
      <c r="M1046" s="85"/>
      <c r="N1046" s="85"/>
      <c r="O1046" s="85"/>
      <c r="P1046" s="85"/>
      <c r="Q1046" s="85"/>
      <c r="R1046" s="85"/>
      <c r="S1046" s="85"/>
      <c r="T1046" s="85"/>
      <c r="U1046" s="85"/>
      <c r="V1046" s="85"/>
      <c r="W1046" s="85"/>
      <c r="X1046" s="85"/>
      <c r="Y1046" s="85"/>
      <c r="Z1046" s="85"/>
    </row>
    <row r="1047" spans="1:26" ht="15.75" customHeight="1">
      <c r="A1047" s="197">
        <v>155</v>
      </c>
      <c r="B1047" s="197" t="s">
        <v>682</v>
      </c>
      <c r="C1047" s="197" t="s">
        <v>683</v>
      </c>
      <c r="D1047" s="198">
        <v>43044</v>
      </c>
      <c r="E1047" s="14" t="s">
        <v>2300</v>
      </c>
      <c r="F1047" s="184">
        <v>58</v>
      </c>
      <c r="G1047" s="14">
        <v>1</v>
      </c>
      <c r="H1047" s="184">
        <v>0</v>
      </c>
      <c r="I1047" s="14">
        <v>0</v>
      </c>
      <c r="J1047" s="14" t="s">
        <v>100</v>
      </c>
      <c r="K1047" s="14"/>
      <c r="L1047" s="85"/>
      <c r="M1047" s="85"/>
      <c r="N1047" s="85"/>
      <c r="O1047" s="85"/>
      <c r="P1047" s="85"/>
      <c r="Q1047" s="85"/>
      <c r="R1047" s="85"/>
      <c r="S1047" s="85"/>
      <c r="T1047" s="85"/>
      <c r="U1047" s="85"/>
      <c r="V1047" s="85"/>
      <c r="W1047" s="85"/>
      <c r="X1047" s="85"/>
      <c r="Y1047" s="85"/>
      <c r="Z1047" s="85"/>
    </row>
    <row r="1048" spans="1:26" ht="15.75" customHeight="1">
      <c r="A1048" s="197">
        <v>155</v>
      </c>
      <c r="B1048" s="197" t="s">
        <v>682</v>
      </c>
      <c r="C1048" s="197" t="s">
        <v>683</v>
      </c>
      <c r="D1048" s="198">
        <v>43044</v>
      </c>
      <c r="E1048" s="14" t="s">
        <v>2301</v>
      </c>
      <c r="F1048" s="184">
        <v>36</v>
      </c>
      <c r="G1048" s="14">
        <v>0</v>
      </c>
      <c r="H1048" s="184">
        <v>0</v>
      </c>
      <c r="I1048" s="14">
        <v>0</v>
      </c>
      <c r="J1048" s="14" t="s">
        <v>100</v>
      </c>
      <c r="K1048" s="14"/>
      <c r="L1048" s="85"/>
      <c r="M1048" s="85"/>
      <c r="N1048" s="85"/>
      <c r="O1048" s="85"/>
      <c r="P1048" s="85"/>
      <c r="Q1048" s="85"/>
      <c r="R1048" s="85"/>
      <c r="S1048" s="85"/>
      <c r="T1048" s="85"/>
      <c r="U1048" s="85"/>
      <c r="V1048" s="85"/>
      <c r="W1048" s="85"/>
      <c r="X1048" s="85"/>
      <c r="Y1048" s="85"/>
      <c r="Z1048" s="85"/>
    </row>
    <row r="1049" spans="1:26" ht="15.75" customHeight="1">
      <c r="A1049" s="197">
        <v>155</v>
      </c>
      <c r="B1049" s="197" t="s">
        <v>682</v>
      </c>
      <c r="C1049" s="197" t="s">
        <v>683</v>
      </c>
      <c r="D1049" s="198">
        <v>43044</v>
      </c>
      <c r="E1049" s="14" t="s">
        <v>2302</v>
      </c>
      <c r="F1049" s="184">
        <v>9</v>
      </c>
      <c r="G1049" s="14">
        <v>1</v>
      </c>
      <c r="H1049" s="14">
        <v>0</v>
      </c>
      <c r="I1049" s="14">
        <v>0</v>
      </c>
      <c r="J1049" s="14" t="s">
        <v>100</v>
      </c>
      <c r="K1049" s="14"/>
      <c r="L1049" s="85"/>
      <c r="M1049" s="85"/>
      <c r="N1049" s="85"/>
      <c r="O1049" s="85"/>
      <c r="P1049" s="85"/>
      <c r="Q1049" s="85"/>
      <c r="R1049" s="85"/>
      <c r="S1049" s="85"/>
      <c r="T1049" s="85"/>
      <c r="U1049" s="85"/>
      <c r="V1049" s="85"/>
      <c r="W1049" s="85"/>
      <c r="X1049" s="85"/>
      <c r="Y1049" s="85"/>
      <c r="Z1049" s="85"/>
    </row>
    <row r="1050" spans="1:26" ht="15.75" customHeight="1">
      <c r="A1050" s="197">
        <v>155</v>
      </c>
      <c r="B1050" s="197" t="s">
        <v>682</v>
      </c>
      <c r="C1050" s="197" t="s">
        <v>683</v>
      </c>
      <c r="D1050" s="198">
        <v>43044</v>
      </c>
      <c r="E1050" s="14" t="s">
        <v>2303</v>
      </c>
      <c r="F1050" s="184">
        <v>1</v>
      </c>
      <c r="G1050" s="14">
        <v>1</v>
      </c>
      <c r="H1050" s="184">
        <v>0</v>
      </c>
      <c r="I1050" s="14">
        <v>0</v>
      </c>
      <c r="J1050" s="14" t="s">
        <v>100</v>
      </c>
      <c r="K1050" s="14"/>
      <c r="L1050" s="85"/>
      <c r="M1050" s="85"/>
      <c r="N1050" s="85"/>
      <c r="O1050" s="85"/>
      <c r="P1050" s="85"/>
      <c r="Q1050" s="85"/>
      <c r="R1050" s="85"/>
      <c r="S1050" s="85"/>
      <c r="T1050" s="85"/>
      <c r="U1050" s="85"/>
      <c r="V1050" s="85"/>
      <c r="W1050" s="85"/>
      <c r="X1050" s="85"/>
      <c r="Y1050" s="85"/>
      <c r="Z1050" s="85"/>
    </row>
    <row r="1051" spans="1:26" ht="15.75" customHeight="1">
      <c r="A1051" s="197">
        <v>155</v>
      </c>
      <c r="B1051" s="197" t="s">
        <v>682</v>
      </c>
      <c r="C1051" s="197" t="s">
        <v>683</v>
      </c>
      <c r="D1051" s="198">
        <v>43044</v>
      </c>
      <c r="E1051" s="14" t="s">
        <v>2304</v>
      </c>
      <c r="F1051" s="184">
        <v>77</v>
      </c>
      <c r="G1051" s="14">
        <v>0</v>
      </c>
      <c r="H1051" s="14">
        <v>0</v>
      </c>
      <c r="I1051" s="14">
        <v>0</v>
      </c>
      <c r="J1051" s="14" t="s">
        <v>100</v>
      </c>
      <c r="K1051" s="14"/>
      <c r="L1051" s="85"/>
      <c r="M1051" s="85"/>
      <c r="N1051" s="85"/>
      <c r="O1051" s="85"/>
      <c r="P1051" s="85"/>
      <c r="Q1051" s="85"/>
      <c r="R1051" s="85"/>
      <c r="S1051" s="85"/>
      <c r="T1051" s="85"/>
      <c r="U1051" s="85"/>
      <c r="V1051" s="85"/>
      <c r="W1051" s="85"/>
      <c r="X1051" s="85"/>
      <c r="Y1051" s="85"/>
      <c r="Z1051" s="85"/>
    </row>
    <row r="1052" spans="1:26" ht="15.75" customHeight="1">
      <c r="A1052" s="197">
        <v>155</v>
      </c>
      <c r="B1052" s="197" t="s">
        <v>682</v>
      </c>
      <c r="C1052" s="197" t="s">
        <v>683</v>
      </c>
      <c r="D1052" s="198">
        <v>43044</v>
      </c>
      <c r="E1052" s="14" t="s">
        <v>2305</v>
      </c>
      <c r="F1052" s="184">
        <v>68</v>
      </c>
      <c r="G1052" s="14">
        <v>1</v>
      </c>
      <c r="H1052" s="14">
        <v>0</v>
      </c>
      <c r="I1052" s="14">
        <v>0</v>
      </c>
      <c r="J1052" s="14" t="s">
        <v>100</v>
      </c>
      <c r="K1052" s="14"/>
      <c r="L1052" s="85"/>
      <c r="M1052" s="85"/>
      <c r="N1052" s="85"/>
      <c r="O1052" s="85"/>
      <c r="P1052" s="85"/>
      <c r="Q1052" s="85"/>
      <c r="R1052" s="85"/>
      <c r="S1052" s="85"/>
      <c r="T1052" s="85"/>
      <c r="U1052" s="85"/>
      <c r="V1052" s="85"/>
      <c r="W1052" s="85"/>
      <c r="X1052" s="85"/>
      <c r="Y1052" s="85"/>
      <c r="Z1052" s="85"/>
    </row>
    <row r="1053" spans="1:26" ht="15.75" customHeight="1">
      <c r="A1053" s="197">
        <v>155</v>
      </c>
      <c r="B1053" s="197" t="s">
        <v>682</v>
      </c>
      <c r="C1053" s="197" t="s">
        <v>683</v>
      </c>
      <c r="D1053" s="198">
        <v>43044</v>
      </c>
      <c r="E1053" s="14" t="s">
        <v>2306</v>
      </c>
      <c r="F1053" s="184">
        <v>14</v>
      </c>
      <c r="G1053" s="14">
        <v>1</v>
      </c>
      <c r="H1053" s="184">
        <v>2</v>
      </c>
      <c r="I1053" s="14">
        <v>0</v>
      </c>
      <c r="J1053" s="14" t="s">
        <v>100</v>
      </c>
      <c r="K1053" s="14"/>
      <c r="L1053" s="85"/>
      <c r="M1053" s="85"/>
      <c r="N1053" s="85"/>
      <c r="O1053" s="85"/>
      <c r="P1053" s="85"/>
      <c r="Q1053" s="85"/>
      <c r="R1053" s="85"/>
      <c r="S1053" s="85"/>
      <c r="T1053" s="85"/>
      <c r="U1053" s="85"/>
      <c r="V1053" s="85"/>
      <c r="W1053" s="85"/>
      <c r="X1053" s="85"/>
      <c r="Y1053" s="85"/>
      <c r="Z1053" s="85"/>
    </row>
    <row r="1054" spans="1:26" ht="15.75" customHeight="1">
      <c r="A1054" s="197">
        <v>155</v>
      </c>
      <c r="B1054" s="197" t="s">
        <v>682</v>
      </c>
      <c r="C1054" s="197" t="s">
        <v>683</v>
      </c>
      <c r="D1054" s="198">
        <v>43044</v>
      </c>
      <c r="E1054" s="14" t="s">
        <v>2307</v>
      </c>
      <c r="F1054" s="184">
        <v>16</v>
      </c>
      <c r="G1054" s="14">
        <v>1</v>
      </c>
      <c r="H1054" s="14">
        <v>0</v>
      </c>
      <c r="I1054" s="14">
        <v>0</v>
      </c>
      <c r="J1054" s="14" t="s">
        <v>100</v>
      </c>
      <c r="K1054" s="14"/>
      <c r="L1054" s="85"/>
      <c r="M1054" s="85"/>
      <c r="N1054" s="85"/>
      <c r="O1054" s="85"/>
      <c r="P1054" s="85"/>
      <c r="Q1054" s="85"/>
      <c r="R1054" s="85"/>
      <c r="S1054" s="85"/>
      <c r="T1054" s="85"/>
      <c r="U1054" s="85"/>
      <c r="V1054" s="85"/>
      <c r="W1054" s="85"/>
      <c r="X1054" s="85"/>
      <c r="Y1054" s="85"/>
      <c r="Z1054" s="85"/>
    </row>
    <row r="1055" spans="1:26" ht="15.75" customHeight="1">
      <c r="A1055" s="197">
        <v>155</v>
      </c>
      <c r="B1055" s="197" t="s">
        <v>682</v>
      </c>
      <c r="C1055" s="197" t="s">
        <v>683</v>
      </c>
      <c r="D1055" s="198">
        <v>43044</v>
      </c>
      <c r="E1055" s="14" t="s">
        <v>2308</v>
      </c>
      <c r="F1055" s="184">
        <v>56</v>
      </c>
      <c r="G1055" s="14">
        <v>1</v>
      </c>
      <c r="H1055" s="184">
        <v>0</v>
      </c>
      <c r="I1055" s="14">
        <v>0</v>
      </c>
      <c r="J1055" s="14" t="s">
        <v>100</v>
      </c>
      <c r="K1055" s="14"/>
      <c r="L1055" s="85"/>
      <c r="M1055" s="85"/>
      <c r="N1055" s="85"/>
      <c r="O1055" s="85"/>
      <c r="P1055" s="85"/>
      <c r="Q1055" s="85"/>
      <c r="R1055" s="85"/>
      <c r="S1055" s="85"/>
      <c r="T1055" s="85"/>
      <c r="U1055" s="85"/>
      <c r="V1055" s="85"/>
      <c r="W1055" s="85"/>
      <c r="X1055" s="85"/>
      <c r="Y1055" s="85"/>
      <c r="Z1055" s="85"/>
    </row>
    <row r="1056" spans="1:26" ht="15.75" customHeight="1">
      <c r="A1056" s="197">
        <v>155</v>
      </c>
      <c r="B1056" s="197" t="s">
        <v>682</v>
      </c>
      <c r="C1056" s="197" t="s">
        <v>683</v>
      </c>
      <c r="D1056" s="198">
        <v>43044</v>
      </c>
      <c r="E1056" s="14" t="s">
        <v>2309</v>
      </c>
      <c r="F1056" s="184">
        <v>56</v>
      </c>
      <c r="G1056" s="14">
        <v>0</v>
      </c>
      <c r="H1056" s="14">
        <v>0</v>
      </c>
      <c r="I1056" s="14">
        <v>0</v>
      </c>
      <c r="J1056" s="14" t="s">
        <v>100</v>
      </c>
      <c r="K1056" s="14"/>
      <c r="L1056" s="85"/>
      <c r="M1056" s="85"/>
      <c r="N1056" s="85"/>
      <c r="O1056" s="85"/>
      <c r="P1056" s="85"/>
      <c r="Q1056" s="85"/>
      <c r="R1056" s="85"/>
      <c r="S1056" s="85"/>
      <c r="T1056" s="85"/>
      <c r="U1056" s="85"/>
      <c r="V1056" s="85"/>
      <c r="W1056" s="85"/>
      <c r="X1056" s="85"/>
      <c r="Y1056" s="85"/>
      <c r="Z1056" s="85"/>
    </row>
    <row r="1057" spans="1:26" ht="15.75" customHeight="1">
      <c r="A1057" s="197">
        <v>155</v>
      </c>
      <c r="B1057" s="197" t="s">
        <v>682</v>
      </c>
      <c r="C1057" s="197" t="s">
        <v>683</v>
      </c>
      <c r="D1057" s="198">
        <v>43044</v>
      </c>
      <c r="E1057" s="184" t="s">
        <v>2310</v>
      </c>
      <c r="F1057" s="184">
        <v>33</v>
      </c>
      <c r="G1057" s="14">
        <v>1</v>
      </c>
      <c r="H1057" s="14">
        <v>0</v>
      </c>
      <c r="I1057" s="14">
        <v>0</v>
      </c>
      <c r="J1057" s="14" t="s">
        <v>100</v>
      </c>
      <c r="K1057" s="14"/>
      <c r="L1057" s="85"/>
      <c r="M1057" s="85"/>
      <c r="N1057" s="85"/>
      <c r="O1057" s="85"/>
      <c r="P1057" s="85"/>
      <c r="Q1057" s="85"/>
      <c r="R1057" s="85"/>
      <c r="S1057" s="85"/>
      <c r="T1057" s="85"/>
      <c r="U1057" s="85"/>
      <c r="V1057" s="85"/>
      <c r="W1057" s="85"/>
      <c r="X1057" s="85"/>
      <c r="Y1057" s="85"/>
      <c r="Z1057" s="85"/>
    </row>
    <row r="1058" spans="1:26" ht="15.75" customHeight="1">
      <c r="A1058" s="197">
        <v>155</v>
      </c>
      <c r="B1058" s="197" t="s">
        <v>682</v>
      </c>
      <c r="C1058" s="197" t="s">
        <v>683</v>
      </c>
      <c r="D1058" s="198">
        <v>43044</v>
      </c>
      <c r="E1058" s="14" t="s">
        <v>2311</v>
      </c>
      <c r="F1058" s="184">
        <v>64</v>
      </c>
      <c r="G1058" s="14">
        <v>0</v>
      </c>
      <c r="H1058" s="184">
        <v>2</v>
      </c>
      <c r="I1058" s="14">
        <v>0</v>
      </c>
      <c r="J1058" s="14" t="s">
        <v>100</v>
      </c>
      <c r="K1058" s="14"/>
      <c r="L1058" s="85"/>
      <c r="M1058" s="85"/>
      <c r="N1058" s="85"/>
      <c r="O1058" s="85"/>
      <c r="P1058" s="85"/>
      <c r="Q1058" s="85"/>
      <c r="R1058" s="85"/>
      <c r="S1058" s="85"/>
      <c r="T1058" s="85"/>
      <c r="U1058" s="85"/>
      <c r="V1058" s="85"/>
      <c r="W1058" s="85"/>
      <c r="X1058" s="85"/>
      <c r="Y1058" s="85"/>
      <c r="Z1058" s="85"/>
    </row>
    <row r="1059" spans="1:26" ht="15.75" customHeight="1">
      <c r="A1059" s="197">
        <v>155</v>
      </c>
      <c r="B1059" s="197" t="s">
        <v>682</v>
      </c>
      <c r="C1059" s="197" t="s">
        <v>683</v>
      </c>
      <c r="D1059" s="198">
        <v>43044</v>
      </c>
      <c r="E1059" s="14" t="s">
        <v>2312</v>
      </c>
      <c r="F1059" s="184">
        <v>66</v>
      </c>
      <c r="G1059" s="14">
        <v>1</v>
      </c>
      <c r="H1059" s="184">
        <v>0</v>
      </c>
      <c r="I1059" s="14">
        <v>0</v>
      </c>
      <c r="J1059" s="14" t="s">
        <v>100</v>
      </c>
      <c r="K1059" s="14"/>
      <c r="L1059" s="85"/>
      <c r="M1059" s="85"/>
      <c r="N1059" s="85"/>
      <c r="O1059" s="85"/>
      <c r="P1059" s="85"/>
      <c r="Q1059" s="85"/>
      <c r="R1059" s="85"/>
      <c r="S1059" s="85"/>
      <c r="T1059" s="85"/>
      <c r="U1059" s="85"/>
      <c r="V1059" s="85"/>
      <c r="W1059" s="85"/>
      <c r="X1059" s="85"/>
      <c r="Y1059" s="85"/>
      <c r="Z1059" s="85"/>
    </row>
    <row r="1060" spans="1:26" ht="15.75" customHeight="1">
      <c r="A1060" s="197">
        <v>155</v>
      </c>
      <c r="B1060" s="197" t="s">
        <v>682</v>
      </c>
      <c r="C1060" s="197" t="s">
        <v>683</v>
      </c>
      <c r="D1060" s="198">
        <v>43044</v>
      </c>
      <c r="E1060" s="184" t="s">
        <v>2313</v>
      </c>
      <c r="F1060" s="184">
        <v>30</v>
      </c>
      <c r="G1060" s="14">
        <v>1</v>
      </c>
      <c r="H1060" s="184">
        <v>5</v>
      </c>
      <c r="I1060" s="14">
        <v>0</v>
      </c>
      <c r="J1060" s="14" t="s">
        <v>100</v>
      </c>
      <c r="K1060" s="14"/>
      <c r="L1060" s="85"/>
      <c r="M1060" s="85"/>
      <c r="N1060" s="85"/>
      <c r="O1060" s="85"/>
      <c r="P1060" s="85"/>
      <c r="Q1060" s="85"/>
      <c r="R1060" s="85"/>
      <c r="S1060" s="85"/>
      <c r="T1060" s="85"/>
      <c r="U1060" s="85"/>
      <c r="V1060" s="85"/>
      <c r="W1060" s="85"/>
      <c r="X1060" s="85"/>
      <c r="Y1060" s="85"/>
      <c r="Z1060" s="85"/>
    </row>
    <row r="1061" spans="1:26" ht="15.75" customHeight="1">
      <c r="A1061" s="197">
        <v>155</v>
      </c>
      <c r="B1061" s="197" t="s">
        <v>682</v>
      </c>
      <c r="C1061" s="197" t="s">
        <v>683</v>
      </c>
      <c r="D1061" s="198">
        <v>43044</v>
      </c>
      <c r="E1061" s="14" t="s">
        <v>2314</v>
      </c>
      <c r="F1061" s="184">
        <v>5</v>
      </c>
      <c r="G1061" s="14">
        <v>1</v>
      </c>
      <c r="H1061" s="184">
        <v>0</v>
      </c>
      <c r="I1061" s="14">
        <v>0</v>
      </c>
      <c r="J1061" s="14" t="s">
        <v>100</v>
      </c>
      <c r="K1061" s="14"/>
      <c r="L1061" s="85"/>
      <c r="M1061" s="85"/>
      <c r="N1061" s="85"/>
      <c r="O1061" s="85"/>
      <c r="P1061" s="85"/>
      <c r="Q1061" s="85"/>
      <c r="R1061" s="85"/>
      <c r="S1061" s="85"/>
      <c r="T1061" s="85"/>
      <c r="U1061" s="85"/>
      <c r="V1061" s="85"/>
      <c r="W1061" s="85"/>
      <c r="X1061" s="85"/>
      <c r="Y1061" s="85"/>
      <c r="Z1061" s="85"/>
    </row>
    <row r="1062" spans="1:26" ht="15.75" customHeight="1">
      <c r="A1062" s="197">
        <v>155</v>
      </c>
      <c r="B1062" s="197" t="s">
        <v>682</v>
      </c>
      <c r="C1062" s="197" t="s">
        <v>683</v>
      </c>
      <c r="D1062" s="198">
        <v>43044</v>
      </c>
      <c r="E1062" s="14" t="s">
        <v>2315</v>
      </c>
      <c r="F1062" s="184">
        <v>7</v>
      </c>
      <c r="G1062" s="14">
        <v>1</v>
      </c>
      <c r="H1062" s="184">
        <v>2</v>
      </c>
      <c r="I1062" s="14">
        <v>0</v>
      </c>
      <c r="J1062" s="14" t="s">
        <v>100</v>
      </c>
      <c r="K1062" s="14"/>
      <c r="L1062" s="85"/>
      <c r="M1062" s="85"/>
      <c r="N1062" s="85"/>
      <c r="O1062" s="85"/>
      <c r="P1062" s="85"/>
      <c r="Q1062" s="85"/>
      <c r="R1062" s="85"/>
      <c r="S1062" s="85"/>
      <c r="T1062" s="85"/>
      <c r="U1062" s="85"/>
      <c r="V1062" s="85"/>
      <c r="W1062" s="85"/>
      <c r="X1062" s="85"/>
      <c r="Y1062" s="85"/>
      <c r="Z1062" s="85"/>
    </row>
    <row r="1063" spans="1:26" ht="15.75" customHeight="1">
      <c r="A1063" s="197">
        <v>155</v>
      </c>
      <c r="B1063" s="197" t="s">
        <v>682</v>
      </c>
      <c r="C1063" s="197" t="s">
        <v>683</v>
      </c>
      <c r="D1063" s="198">
        <v>43044</v>
      </c>
      <c r="E1063" s="14" t="s">
        <v>2316</v>
      </c>
      <c r="F1063" s="184">
        <v>56</v>
      </c>
      <c r="G1063" s="14">
        <v>1</v>
      </c>
      <c r="H1063" s="14">
        <v>0</v>
      </c>
      <c r="I1063" s="14">
        <v>0</v>
      </c>
      <c r="J1063" s="14" t="s">
        <v>100</v>
      </c>
      <c r="K1063" s="14"/>
      <c r="L1063" s="85"/>
      <c r="M1063" s="85"/>
      <c r="N1063" s="85"/>
      <c r="O1063" s="85"/>
      <c r="P1063" s="85"/>
      <c r="Q1063" s="85"/>
      <c r="R1063" s="85"/>
      <c r="S1063" s="85"/>
      <c r="T1063" s="85"/>
      <c r="U1063" s="85"/>
      <c r="V1063" s="85"/>
      <c r="W1063" s="85"/>
      <c r="X1063" s="85"/>
      <c r="Y1063" s="85"/>
      <c r="Z1063" s="85"/>
    </row>
    <row r="1064" spans="1:26" ht="15.75" customHeight="1">
      <c r="A1064" s="197">
        <v>155</v>
      </c>
      <c r="B1064" s="197" t="s">
        <v>682</v>
      </c>
      <c r="C1064" s="197" t="s">
        <v>683</v>
      </c>
      <c r="D1064" s="198">
        <v>43044</v>
      </c>
      <c r="E1064" s="14" t="s">
        <v>2317</v>
      </c>
      <c r="F1064" s="184">
        <v>71</v>
      </c>
      <c r="G1064" s="14">
        <v>1</v>
      </c>
      <c r="H1064" s="184">
        <v>0</v>
      </c>
      <c r="I1064" s="184">
        <v>1</v>
      </c>
      <c r="J1064" s="14" t="s">
        <v>2318</v>
      </c>
      <c r="K1064" s="14"/>
      <c r="L1064" s="85"/>
      <c r="M1064" s="85"/>
      <c r="N1064" s="85"/>
      <c r="O1064" s="85"/>
      <c r="P1064" s="85"/>
      <c r="Q1064" s="85"/>
      <c r="R1064" s="85"/>
      <c r="S1064" s="85"/>
      <c r="T1064" s="85"/>
      <c r="U1064" s="85"/>
      <c r="V1064" s="85"/>
      <c r="W1064" s="85"/>
      <c r="X1064" s="85"/>
      <c r="Y1064" s="85"/>
      <c r="Z1064" s="85"/>
    </row>
    <row r="1065" spans="1:26" ht="15.75" customHeight="1">
      <c r="A1065" s="207">
        <v>156</v>
      </c>
      <c r="B1065" s="207" t="s">
        <v>687</v>
      </c>
      <c r="C1065" s="207" t="s">
        <v>688</v>
      </c>
      <c r="D1065" s="215">
        <v>43052</v>
      </c>
      <c r="E1065" s="14" t="s">
        <v>2319</v>
      </c>
      <c r="F1065" s="184">
        <v>38</v>
      </c>
      <c r="G1065" s="14">
        <v>1</v>
      </c>
      <c r="H1065" s="14">
        <v>0</v>
      </c>
      <c r="I1065" s="184">
        <v>1</v>
      </c>
      <c r="J1065" s="14" t="s">
        <v>1150</v>
      </c>
      <c r="K1065" s="14"/>
      <c r="L1065" s="85"/>
      <c r="M1065" s="85"/>
      <c r="N1065" s="85"/>
      <c r="O1065" s="85"/>
      <c r="P1065" s="85"/>
      <c r="Q1065" s="85"/>
      <c r="R1065" s="85"/>
      <c r="S1065" s="85"/>
      <c r="T1065" s="85"/>
      <c r="U1065" s="85"/>
      <c r="V1065" s="85"/>
      <c r="W1065" s="85"/>
      <c r="X1065" s="85"/>
      <c r="Y1065" s="85"/>
      <c r="Z1065" s="85"/>
    </row>
    <row r="1066" spans="1:26" ht="15.75" customHeight="1">
      <c r="A1066" s="207">
        <v>156</v>
      </c>
      <c r="B1066" s="207" t="s">
        <v>687</v>
      </c>
      <c r="C1066" s="207" t="s">
        <v>688</v>
      </c>
      <c r="D1066" s="208">
        <v>43053</v>
      </c>
      <c r="E1066" s="14" t="s">
        <v>2320</v>
      </c>
      <c r="F1066" s="184">
        <v>38</v>
      </c>
      <c r="G1066" s="14">
        <v>0</v>
      </c>
      <c r="H1066" s="184">
        <v>0</v>
      </c>
      <c r="I1066" s="184">
        <v>1</v>
      </c>
      <c r="J1066" s="14" t="s">
        <v>1182</v>
      </c>
      <c r="K1066" s="14"/>
      <c r="L1066" s="85"/>
      <c r="M1066" s="85"/>
      <c r="N1066" s="85"/>
      <c r="O1066" s="85"/>
      <c r="P1066" s="85"/>
      <c r="Q1066" s="85"/>
      <c r="R1066" s="85"/>
      <c r="S1066" s="85"/>
      <c r="T1066" s="85"/>
      <c r="U1066" s="85"/>
      <c r="V1066" s="85"/>
      <c r="W1066" s="85"/>
      <c r="X1066" s="85"/>
      <c r="Y1066" s="85"/>
      <c r="Z1066" s="85"/>
    </row>
    <row r="1067" spans="1:26" ht="15.75" customHeight="1">
      <c r="A1067" s="207">
        <v>156</v>
      </c>
      <c r="B1067" s="207" t="s">
        <v>687</v>
      </c>
      <c r="C1067" s="207" t="s">
        <v>688</v>
      </c>
      <c r="D1067" s="208">
        <v>43053</v>
      </c>
      <c r="E1067" s="14" t="s">
        <v>2321</v>
      </c>
      <c r="F1067" s="184">
        <v>55</v>
      </c>
      <c r="G1067" s="14">
        <v>1</v>
      </c>
      <c r="H1067" s="184">
        <v>0</v>
      </c>
      <c r="I1067" s="14">
        <v>0</v>
      </c>
      <c r="J1067" s="14" t="s">
        <v>100</v>
      </c>
      <c r="K1067" s="14"/>
      <c r="L1067" s="85"/>
      <c r="M1067" s="85"/>
      <c r="N1067" s="85"/>
      <c r="O1067" s="85"/>
      <c r="P1067" s="85"/>
      <c r="Q1067" s="85"/>
      <c r="R1067" s="85"/>
      <c r="S1067" s="85"/>
      <c r="T1067" s="85"/>
      <c r="U1067" s="85"/>
      <c r="V1067" s="85"/>
      <c r="W1067" s="85"/>
      <c r="X1067" s="85"/>
      <c r="Y1067" s="85"/>
      <c r="Z1067" s="85"/>
    </row>
    <row r="1068" spans="1:26" ht="15.75" customHeight="1">
      <c r="A1068" s="207">
        <v>156</v>
      </c>
      <c r="B1068" s="207" t="s">
        <v>687</v>
      </c>
      <c r="C1068" s="207" t="s">
        <v>688</v>
      </c>
      <c r="D1068" s="208">
        <v>43053</v>
      </c>
      <c r="E1068" s="14" t="s">
        <v>2322</v>
      </c>
      <c r="F1068" s="184">
        <v>56</v>
      </c>
      <c r="G1068" s="14">
        <v>0</v>
      </c>
      <c r="H1068" s="184">
        <v>0</v>
      </c>
      <c r="I1068" s="14">
        <v>0</v>
      </c>
      <c r="J1068" s="14" t="s">
        <v>100</v>
      </c>
      <c r="K1068" s="14"/>
      <c r="L1068" s="85"/>
      <c r="M1068" s="85"/>
      <c r="N1068" s="85"/>
      <c r="O1068" s="85"/>
      <c r="P1068" s="85"/>
      <c r="Q1068" s="85"/>
      <c r="R1068" s="85"/>
      <c r="S1068" s="85"/>
      <c r="T1068" s="85"/>
      <c r="U1068" s="85"/>
      <c r="V1068" s="85"/>
      <c r="W1068" s="85"/>
      <c r="X1068" s="85"/>
      <c r="Y1068" s="85"/>
      <c r="Z1068" s="85"/>
    </row>
    <row r="1069" spans="1:26" ht="15.75" customHeight="1">
      <c r="A1069" s="207">
        <v>156</v>
      </c>
      <c r="B1069" s="207" t="s">
        <v>687</v>
      </c>
      <c r="C1069" s="207" t="s">
        <v>688</v>
      </c>
      <c r="D1069" s="208">
        <v>43053</v>
      </c>
      <c r="E1069" s="14" t="s">
        <v>2323</v>
      </c>
      <c r="F1069" s="184">
        <v>68</v>
      </c>
      <c r="G1069" s="14">
        <v>1</v>
      </c>
      <c r="H1069" s="184">
        <v>0</v>
      </c>
      <c r="I1069" s="184">
        <v>1</v>
      </c>
      <c r="J1069" s="14" t="s">
        <v>1182</v>
      </c>
      <c r="K1069" s="14"/>
      <c r="L1069" s="85"/>
      <c r="M1069" s="85"/>
      <c r="N1069" s="85"/>
      <c r="O1069" s="85"/>
      <c r="P1069" s="85"/>
      <c r="Q1069" s="85"/>
      <c r="R1069" s="85"/>
      <c r="S1069" s="85"/>
      <c r="T1069" s="85"/>
      <c r="U1069" s="85"/>
      <c r="V1069" s="85"/>
      <c r="W1069" s="85"/>
      <c r="X1069" s="85"/>
      <c r="Y1069" s="85"/>
      <c r="Z1069" s="85"/>
    </row>
    <row r="1070" spans="1:26" ht="15.75" customHeight="1">
      <c r="A1070" s="199">
        <v>157</v>
      </c>
      <c r="B1070" s="199" t="s">
        <v>692</v>
      </c>
      <c r="C1070" s="199" t="s">
        <v>693</v>
      </c>
      <c r="D1070" s="200">
        <v>43128</v>
      </c>
      <c r="E1070" s="14" t="s">
        <v>2324</v>
      </c>
      <c r="F1070" s="184">
        <v>25</v>
      </c>
      <c r="G1070" s="14">
        <v>1</v>
      </c>
      <c r="H1070" s="184">
        <v>0</v>
      </c>
      <c r="I1070" s="184">
        <v>1</v>
      </c>
      <c r="J1070" s="14" t="s">
        <v>1326</v>
      </c>
      <c r="K1070" s="14"/>
      <c r="L1070" s="85"/>
      <c r="M1070" s="85"/>
      <c r="N1070" s="85"/>
      <c r="O1070" s="85"/>
      <c r="P1070" s="85"/>
      <c r="Q1070" s="85"/>
      <c r="R1070" s="85"/>
      <c r="S1070" s="85"/>
      <c r="T1070" s="85"/>
      <c r="U1070" s="85"/>
      <c r="V1070" s="85"/>
      <c r="W1070" s="85"/>
      <c r="X1070" s="85"/>
      <c r="Y1070" s="85"/>
      <c r="Z1070" s="85"/>
    </row>
    <row r="1071" spans="1:26" ht="15.75" customHeight="1">
      <c r="A1071" s="199">
        <v>157</v>
      </c>
      <c r="B1071" s="199" t="s">
        <v>692</v>
      </c>
      <c r="C1071" s="199" t="s">
        <v>693</v>
      </c>
      <c r="D1071" s="200">
        <v>43128</v>
      </c>
      <c r="E1071" s="14" t="s">
        <v>2325</v>
      </c>
      <c r="F1071" s="184">
        <v>21</v>
      </c>
      <c r="G1071" s="14">
        <v>0</v>
      </c>
      <c r="H1071" s="184">
        <v>0</v>
      </c>
      <c r="I1071" s="184">
        <v>1</v>
      </c>
      <c r="J1071" s="14" t="s">
        <v>1535</v>
      </c>
      <c r="K1071" s="14"/>
      <c r="L1071" s="85"/>
      <c r="M1071" s="85"/>
      <c r="N1071" s="85"/>
      <c r="O1071" s="85"/>
      <c r="P1071" s="85"/>
      <c r="Q1071" s="85"/>
      <c r="R1071" s="85"/>
      <c r="S1071" s="85"/>
      <c r="T1071" s="85"/>
      <c r="U1071" s="85"/>
      <c r="V1071" s="85"/>
      <c r="W1071" s="85"/>
      <c r="X1071" s="85"/>
      <c r="Y1071" s="85"/>
      <c r="Z1071" s="85"/>
    </row>
    <row r="1072" spans="1:26" ht="15.75" customHeight="1">
      <c r="A1072" s="199">
        <v>157</v>
      </c>
      <c r="B1072" s="199" t="s">
        <v>692</v>
      </c>
      <c r="C1072" s="199" t="s">
        <v>693</v>
      </c>
      <c r="D1072" s="200">
        <v>43128</v>
      </c>
      <c r="E1072" s="14" t="s">
        <v>2326</v>
      </c>
      <c r="F1072" s="184">
        <v>23</v>
      </c>
      <c r="G1072" s="14">
        <v>1</v>
      </c>
      <c r="H1072" s="184">
        <v>0</v>
      </c>
      <c r="I1072" s="184">
        <v>1</v>
      </c>
      <c r="J1072" s="14" t="s">
        <v>1535</v>
      </c>
      <c r="K1072" s="14"/>
      <c r="L1072" s="85"/>
      <c r="M1072" s="85"/>
      <c r="N1072" s="85"/>
      <c r="O1072" s="85"/>
      <c r="P1072" s="85"/>
      <c r="Q1072" s="85"/>
      <c r="R1072" s="85"/>
      <c r="S1072" s="85"/>
      <c r="T1072" s="85"/>
      <c r="U1072" s="85"/>
      <c r="V1072" s="85"/>
      <c r="W1072" s="85"/>
      <c r="X1072" s="85"/>
      <c r="Y1072" s="85"/>
      <c r="Z1072" s="85"/>
    </row>
    <row r="1073" spans="1:26" ht="15.75" customHeight="1">
      <c r="A1073" s="199">
        <v>157</v>
      </c>
      <c r="B1073" s="199" t="s">
        <v>692</v>
      </c>
      <c r="C1073" s="199" t="s">
        <v>693</v>
      </c>
      <c r="D1073" s="200">
        <v>43128</v>
      </c>
      <c r="E1073" s="14" t="s">
        <v>2327</v>
      </c>
      <c r="F1073" s="184">
        <v>27</v>
      </c>
      <c r="G1073" s="14">
        <v>0</v>
      </c>
      <c r="H1073" s="184">
        <v>0</v>
      </c>
      <c r="I1073" s="184">
        <v>1</v>
      </c>
      <c r="J1073" s="14" t="s">
        <v>1535</v>
      </c>
      <c r="K1073" s="14"/>
      <c r="L1073" s="85"/>
      <c r="M1073" s="85"/>
      <c r="N1073" s="85"/>
      <c r="O1073" s="85"/>
      <c r="P1073" s="85"/>
      <c r="Q1073" s="85"/>
      <c r="R1073" s="85"/>
      <c r="S1073" s="85"/>
      <c r="T1073" s="85"/>
      <c r="U1073" s="85"/>
      <c r="V1073" s="85"/>
      <c r="W1073" s="85"/>
      <c r="X1073" s="85"/>
      <c r="Y1073" s="85"/>
      <c r="Z1073" s="85"/>
    </row>
    <row r="1074" spans="1:26" ht="15.75" customHeight="1">
      <c r="A1074" s="205">
        <v>158</v>
      </c>
      <c r="B1074" s="205" t="s">
        <v>697</v>
      </c>
      <c r="C1074" s="205" t="s">
        <v>698</v>
      </c>
      <c r="D1074" s="206">
        <v>43145</v>
      </c>
      <c r="E1074" s="14" t="s">
        <v>2328</v>
      </c>
      <c r="F1074" s="184">
        <v>14</v>
      </c>
      <c r="G1074" s="14">
        <v>1</v>
      </c>
      <c r="H1074" s="184">
        <v>0</v>
      </c>
      <c r="I1074" s="14">
        <v>0</v>
      </c>
      <c r="J1074" s="14" t="s">
        <v>100</v>
      </c>
      <c r="K1074" s="14"/>
      <c r="L1074" s="85"/>
      <c r="M1074" s="85"/>
      <c r="N1074" s="85"/>
      <c r="O1074" s="85"/>
      <c r="P1074" s="85"/>
      <c r="Q1074" s="85"/>
      <c r="R1074" s="85"/>
      <c r="S1074" s="85"/>
      <c r="T1074" s="85"/>
      <c r="U1074" s="85"/>
      <c r="V1074" s="85"/>
      <c r="W1074" s="85"/>
      <c r="X1074" s="85"/>
      <c r="Y1074" s="85"/>
      <c r="Z1074" s="85"/>
    </row>
    <row r="1075" spans="1:26" ht="15.75" customHeight="1">
      <c r="A1075" s="205">
        <v>158</v>
      </c>
      <c r="B1075" s="205" t="s">
        <v>697</v>
      </c>
      <c r="C1075" s="205" t="s">
        <v>698</v>
      </c>
      <c r="D1075" s="206">
        <v>43145</v>
      </c>
      <c r="E1075" s="14" t="s">
        <v>2329</v>
      </c>
      <c r="F1075" s="184">
        <v>14</v>
      </c>
      <c r="G1075" s="14">
        <v>0</v>
      </c>
      <c r="H1075" s="14">
        <v>2</v>
      </c>
      <c r="I1075" s="14">
        <v>0</v>
      </c>
      <c r="J1075" s="14" t="s">
        <v>100</v>
      </c>
      <c r="K1075" s="14"/>
      <c r="L1075" s="85"/>
      <c r="M1075" s="85"/>
      <c r="N1075" s="85"/>
      <c r="O1075" s="85"/>
      <c r="P1075" s="85"/>
      <c r="Q1075" s="85"/>
      <c r="R1075" s="85"/>
      <c r="S1075" s="85"/>
      <c r="T1075" s="85"/>
      <c r="U1075" s="85"/>
      <c r="V1075" s="85"/>
      <c r="W1075" s="85"/>
      <c r="X1075" s="85"/>
      <c r="Y1075" s="85"/>
      <c r="Z1075" s="85"/>
    </row>
    <row r="1076" spans="1:26" ht="15.75" customHeight="1">
      <c r="A1076" s="205">
        <v>158</v>
      </c>
      <c r="B1076" s="205" t="s">
        <v>697</v>
      </c>
      <c r="C1076" s="205" t="s">
        <v>698</v>
      </c>
      <c r="D1076" s="206">
        <v>43145</v>
      </c>
      <c r="E1076" s="14" t="s">
        <v>2330</v>
      </c>
      <c r="F1076" s="184">
        <v>35</v>
      </c>
      <c r="G1076" s="14">
        <v>0</v>
      </c>
      <c r="H1076" s="14">
        <v>0</v>
      </c>
      <c r="I1076" s="14">
        <v>2</v>
      </c>
      <c r="J1076" s="14" t="s">
        <v>2331</v>
      </c>
      <c r="K1076" s="14"/>
      <c r="L1076" s="85"/>
      <c r="M1076" s="85"/>
      <c r="N1076" s="85"/>
      <c r="O1076" s="85"/>
      <c r="P1076" s="85"/>
      <c r="Q1076" s="85"/>
      <c r="R1076" s="85"/>
      <c r="S1076" s="85"/>
      <c r="T1076" s="85"/>
      <c r="U1076" s="85"/>
      <c r="V1076" s="85"/>
      <c r="W1076" s="85"/>
      <c r="X1076" s="85"/>
      <c r="Y1076" s="85"/>
      <c r="Z1076" s="85"/>
    </row>
    <row r="1077" spans="1:26" ht="15.75" customHeight="1">
      <c r="A1077" s="205">
        <v>158</v>
      </c>
      <c r="B1077" s="205" t="s">
        <v>697</v>
      </c>
      <c r="C1077" s="205" t="s">
        <v>698</v>
      </c>
      <c r="D1077" s="206">
        <v>43145</v>
      </c>
      <c r="E1077" s="14" t="s">
        <v>2332</v>
      </c>
      <c r="F1077" s="184">
        <v>17</v>
      </c>
      <c r="G1077" s="14">
        <v>0</v>
      </c>
      <c r="H1077" s="14">
        <v>0</v>
      </c>
      <c r="I1077" s="14">
        <v>2</v>
      </c>
      <c r="J1077" s="14" t="s">
        <v>1881</v>
      </c>
      <c r="K1077" s="14"/>
      <c r="L1077" s="85"/>
      <c r="M1077" s="85"/>
      <c r="N1077" s="85"/>
      <c r="O1077" s="85"/>
      <c r="P1077" s="85"/>
      <c r="Q1077" s="85"/>
      <c r="R1077" s="85"/>
      <c r="S1077" s="85"/>
      <c r="T1077" s="85"/>
      <c r="U1077" s="85"/>
      <c r="V1077" s="85"/>
      <c r="W1077" s="85"/>
      <c r="X1077" s="85"/>
      <c r="Y1077" s="85"/>
      <c r="Z1077" s="85"/>
    </row>
    <row r="1078" spans="1:26" ht="15.75" customHeight="1">
      <c r="A1078" s="205">
        <v>158</v>
      </c>
      <c r="B1078" s="205" t="s">
        <v>697</v>
      </c>
      <c r="C1078" s="205" t="s">
        <v>698</v>
      </c>
      <c r="D1078" s="206">
        <v>43145</v>
      </c>
      <c r="E1078" s="14" t="s">
        <v>2333</v>
      </c>
      <c r="F1078" s="184">
        <v>37</v>
      </c>
      <c r="G1078" s="14">
        <v>0</v>
      </c>
      <c r="H1078" s="14">
        <v>0</v>
      </c>
      <c r="I1078" s="14">
        <v>2</v>
      </c>
      <c r="J1078" s="14" t="s">
        <v>2334</v>
      </c>
      <c r="K1078" s="14"/>
      <c r="L1078" s="85"/>
      <c r="M1078" s="85"/>
      <c r="N1078" s="85"/>
      <c r="O1078" s="85"/>
      <c r="P1078" s="85"/>
      <c r="Q1078" s="85"/>
      <c r="R1078" s="85"/>
      <c r="S1078" s="85"/>
      <c r="T1078" s="85"/>
      <c r="U1078" s="85"/>
      <c r="V1078" s="85"/>
      <c r="W1078" s="85"/>
      <c r="X1078" s="85"/>
      <c r="Y1078" s="85"/>
      <c r="Z1078" s="85"/>
    </row>
    <row r="1079" spans="1:26" ht="15.75" customHeight="1">
      <c r="A1079" s="205">
        <v>158</v>
      </c>
      <c r="B1079" s="205" t="s">
        <v>697</v>
      </c>
      <c r="C1079" s="205" t="s">
        <v>698</v>
      </c>
      <c r="D1079" s="206">
        <v>43145</v>
      </c>
      <c r="E1079" s="14" t="s">
        <v>2335</v>
      </c>
      <c r="F1079" s="184">
        <v>14</v>
      </c>
      <c r="G1079" s="14">
        <v>1</v>
      </c>
      <c r="H1079" s="184">
        <v>0</v>
      </c>
      <c r="I1079" s="14">
        <v>0</v>
      </c>
      <c r="J1079" s="14" t="s">
        <v>100</v>
      </c>
      <c r="K1079" s="14"/>
      <c r="L1079" s="85"/>
      <c r="M1079" s="85"/>
      <c r="N1079" s="85"/>
      <c r="O1079" s="85"/>
      <c r="P1079" s="85"/>
      <c r="Q1079" s="85"/>
      <c r="R1079" s="85"/>
      <c r="S1079" s="85"/>
      <c r="T1079" s="85"/>
      <c r="U1079" s="85"/>
      <c r="V1079" s="85"/>
      <c r="W1079" s="85"/>
      <c r="X1079" s="85"/>
      <c r="Y1079" s="85"/>
      <c r="Z1079" s="85"/>
    </row>
    <row r="1080" spans="1:26" ht="15.75" customHeight="1">
      <c r="A1080" s="205">
        <v>158</v>
      </c>
      <c r="B1080" s="205" t="s">
        <v>697</v>
      </c>
      <c r="C1080" s="205" t="s">
        <v>698</v>
      </c>
      <c r="D1080" s="206">
        <v>43145</v>
      </c>
      <c r="E1080" s="14" t="s">
        <v>2336</v>
      </c>
      <c r="F1080" s="184">
        <v>49</v>
      </c>
      <c r="G1080" s="14">
        <v>0</v>
      </c>
      <c r="H1080" s="14">
        <v>0</v>
      </c>
      <c r="I1080" s="14">
        <v>2</v>
      </c>
      <c r="J1080" s="14" t="s">
        <v>2337</v>
      </c>
      <c r="K1080" s="14"/>
      <c r="L1080" s="85"/>
      <c r="M1080" s="85"/>
      <c r="N1080" s="85"/>
      <c r="O1080" s="85"/>
      <c r="P1080" s="85"/>
      <c r="Q1080" s="85"/>
      <c r="R1080" s="85"/>
      <c r="S1080" s="85"/>
      <c r="T1080" s="85"/>
      <c r="U1080" s="85"/>
      <c r="V1080" s="85"/>
      <c r="W1080" s="85"/>
      <c r="X1080" s="85"/>
      <c r="Y1080" s="85"/>
      <c r="Z1080" s="85"/>
    </row>
    <row r="1081" spans="1:26" ht="15.75" customHeight="1">
      <c r="A1081" s="205">
        <v>158</v>
      </c>
      <c r="B1081" s="205" t="s">
        <v>697</v>
      </c>
      <c r="C1081" s="205" t="s">
        <v>698</v>
      </c>
      <c r="D1081" s="206">
        <v>43145</v>
      </c>
      <c r="E1081" s="14" t="s">
        <v>2338</v>
      </c>
      <c r="F1081" s="184">
        <v>15</v>
      </c>
      <c r="G1081" s="14">
        <v>0</v>
      </c>
      <c r="H1081" s="14">
        <v>0</v>
      </c>
      <c r="I1081" s="14">
        <v>0</v>
      </c>
      <c r="J1081" s="14" t="s">
        <v>100</v>
      </c>
      <c r="K1081" s="14"/>
      <c r="L1081" s="85"/>
      <c r="M1081" s="85"/>
      <c r="N1081" s="85"/>
      <c r="O1081" s="85"/>
      <c r="P1081" s="85"/>
      <c r="Q1081" s="85"/>
      <c r="R1081" s="85"/>
      <c r="S1081" s="85"/>
      <c r="T1081" s="85"/>
      <c r="U1081" s="85"/>
      <c r="V1081" s="85"/>
      <c r="W1081" s="85"/>
      <c r="X1081" s="85"/>
      <c r="Y1081" s="85"/>
      <c r="Z1081" s="85"/>
    </row>
    <row r="1082" spans="1:26" ht="15.75" customHeight="1">
      <c r="A1082" s="205">
        <v>158</v>
      </c>
      <c r="B1082" s="205" t="s">
        <v>697</v>
      </c>
      <c r="C1082" s="205" t="s">
        <v>698</v>
      </c>
      <c r="D1082" s="206">
        <v>43145</v>
      </c>
      <c r="E1082" s="14" t="s">
        <v>2339</v>
      </c>
      <c r="F1082" s="184">
        <v>14</v>
      </c>
      <c r="G1082" s="14">
        <v>1</v>
      </c>
      <c r="H1082" s="14">
        <v>0</v>
      </c>
      <c r="I1082" s="14">
        <v>0</v>
      </c>
      <c r="J1082" s="14" t="s">
        <v>100</v>
      </c>
      <c r="K1082" s="14"/>
      <c r="L1082" s="85"/>
      <c r="M1082" s="85"/>
      <c r="N1082" s="85"/>
      <c r="O1082" s="85"/>
      <c r="P1082" s="85"/>
      <c r="Q1082" s="85"/>
      <c r="R1082" s="85"/>
      <c r="S1082" s="85"/>
      <c r="T1082" s="85"/>
      <c r="U1082" s="85"/>
      <c r="V1082" s="85"/>
      <c r="W1082" s="85"/>
      <c r="X1082" s="85"/>
      <c r="Y1082" s="85"/>
      <c r="Z1082" s="85"/>
    </row>
    <row r="1083" spans="1:26" ht="15.75" customHeight="1">
      <c r="A1083" s="205">
        <v>158</v>
      </c>
      <c r="B1083" s="205" t="s">
        <v>697</v>
      </c>
      <c r="C1083" s="205" t="s">
        <v>698</v>
      </c>
      <c r="D1083" s="206">
        <v>43145</v>
      </c>
      <c r="E1083" s="14" t="s">
        <v>2340</v>
      </c>
      <c r="F1083" s="184">
        <v>14</v>
      </c>
      <c r="G1083" s="14">
        <v>1</v>
      </c>
      <c r="H1083" s="14"/>
      <c r="I1083" s="14">
        <v>0</v>
      </c>
      <c r="J1083" s="14" t="s">
        <v>100</v>
      </c>
      <c r="K1083" s="14"/>
      <c r="L1083" s="85"/>
      <c r="M1083" s="85"/>
      <c r="N1083" s="85"/>
      <c r="O1083" s="85"/>
      <c r="P1083" s="85"/>
      <c r="Q1083" s="85"/>
      <c r="R1083" s="85"/>
      <c r="S1083" s="85"/>
      <c r="T1083" s="85"/>
      <c r="U1083" s="85"/>
      <c r="V1083" s="85"/>
      <c r="W1083" s="85"/>
      <c r="X1083" s="85"/>
      <c r="Y1083" s="85"/>
      <c r="Z1083" s="85"/>
    </row>
    <row r="1084" spans="1:26" ht="15.75" customHeight="1">
      <c r="A1084" s="205">
        <v>158</v>
      </c>
      <c r="B1084" s="205" t="s">
        <v>697</v>
      </c>
      <c r="C1084" s="205" t="s">
        <v>698</v>
      </c>
      <c r="D1084" s="206">
        <v>43145</v>
      </c>
      <c r="E1084" s="14" t="s">
        <v>2341</v>
      </c>
      <c r="F1084" s="184">
        <v>17</v>
      </c>
      <c r="G1084" s="14">
        <v>0</v>
      </c>
      <c r="H1084" s="14">
        <v>2</v>
      </c>
      <c r="I1084" s="14">
        <v>2</v>
      </c>
      <c r="J1084" s="14" t="s">
        <v>1881</v>
      </c>
      <c r="K1084" s="14"/>
      <c r="L1084" s="85"/>
      <c r="M1084" s="85"/>
      <c r="N1084" s="85"/>
      <c r="O1084" s="85"/>
      <c r="P1084" s="85"/>
      <c r="Q1084" s="85"/>
      <c r="R1084" s="85"/>
      <c r="S1084" s="85"/>
      <c r="T1084" s="85"/>
      <c r="U1084" s="85"/>
      <c r="V1084" s="85"/>
      <c r="W1084" s="85"/>
      <c r="X1084" s="85"/>
      <c r="Y1084" s="85"/>
      <c r="Z1084" s="85"/>
    </row>
    <row r="1085" spans="1:26" ht="15.75" customHeight="1">
      <c r="A1085" s="205">
        <v>158</v>
      </c>
      <c r="B1085" s="205" t="s">
        <v>697</v>
      </c>
      <c r="C1085" s="205" t="s">
        <v>698</v>
      </c>
      <c r="D1085" s="206">
        <v>43145</v>
      </c>
      <c r="E1085" s="14" t="s">
        <v>2342</v>
      </c>
      <c r="F1085" s="184">
        <v>14</v>
      </c>
      <c r="G1085" s="14">
        <v>1</v>
      </c>
      <c r="H1085" s="14">
        <v>0</v>
      </c>
      <c r="I1085" s="14">
        <v>0</v>
      </c>
      <c r="J1085" s="14" t="s">
        <v>100</v>
      </c>
      <c r="K1085" s="14"/>
      <c r="L1085" s="85"/>
      <c r="M1085" s="85"/>
      <c r="N1085" s="85"/>
      <c r="O1085" s="85"/>
      <c r="P1085" s="85"/>
      <c r="Q1085" s="85"/>
      <c r="R1085" s="85"/>
      <c r="S1085" s="85"/>
      <c r="T1085" s="85"/>
      <c r="U1085" s="85"/>
      <c r="V1085" s="85"/>
      <c r="W1085" s="85"/>
      <c r="X1085" s="85"/>
      <c r="Y1085" s="85"/>
      <c r="Z1085" s="85"/>
    </row>
    <row r="1086" spans="1:26" ht="15.75" customHeight="1">
      <c r="A1086" s="205">
        <v>158</v>
      </c>
      <c r="B1086" s="205" t="s">
        <v>697</v>
      </c>
      <c r="C1086" s="205" t="s">
        <v>698</v>
      </c>
      <c r="D1086" s="206">
        <v>43145</v>
      </c>
      <c r="E1086" s="14" t="s">
        <v>2343</v>
      </c>
      <c r="F1086" s="184">
        <v>18</v>
      </c>
      <c r="G1086" s="14">
        <v>1</v>
      </c>
      <c r="H1086" s="14">
        <v>0</v>
      </c>
      <c r="I1086" s="14">
        <v>2</v>
      </c>
      <c r="J1086" s="14" t="s">
        <v>1881</v>
      </c>
      <c r="K1086" s="14"/>
      <c r="L1086" s="85"/>
      <c r="M1086" s="85"/>
      <c r="N1086" s="85"/>
      <c r="O1086" s="85"/>
      <c r="P1086" s="85"/>
      <c r="Q1086" s="85"/>
      <c r="R1086" s="85"/>
      <c r="S1086" s="85"/>
      <c r="T1086" s="85"/>
      <c r="U1086" s="85"/>
      <c r="V1086" s="85"/>
      <c r="W1086" s="85"/>
      <c r="X1086" s="85"/>
      <c r="Y1086" s="85"/>
      <c r="Z1086" s="85"/>
    </row>
    <row r="1087" spans="1:26" ht="15.75" customHeight="1">
      <c r="A1087" s="205">
        <v>158</v>
      </c>
      <c r="B1087" s="205" t="s">
        <v>697</v>
      </c>
      <c r="C1087" s="205" t="s">
        <v>698</v>
      </c>
      <c r="D1087" s="206">
        <v>43145</v>
      </c>
      <c r="E1087" s="14" t="s">
        <v>2344</v>
      </c>
      <c r="F1087" s="184">
        <v>17</v>
      </c>
      <c r="G1087" s="14">
        <v>1</v>
      </c>
      <c r="H1087" s="184">
        <v>1</v>
      </c>
      <c r="I1087" s="14">
        <v>2</v>
      </c>
      <c r="J1087" s="14" t="s">
        <v>1881</v>
      </c>
      <c r="K1087" s="14"/>
      <c r="L1087" s="85"/>
      <c r="M1087" s="85"/>
      <c r="N1087" s="85"/>
      <c r="O1087" s="85"/>
      <c r="P1087" s="85"/>
      <c r="Q1087" s="85"/>
      <c r="R1087" s="85"/>
      <c r="S1087" s="85"/>
      <c r="T1087" s="85"/>
      <c r="U1087" s="85"/>
      <c r="V1087" s="85"/>
      <c r="W1087" s="85"/>
      <c r="X1087" s="85"/>
      <c r="Y1087" s="85"/>
      <c r="Z1087" s="85"/>
    </row>
    <row r="1088" spans="1:26" ht="15.75" customHeight="1">
      <c r="A1088" s="205">
        <v>158</v>
      </c>
      <c r="B1088" s="205" t="s">
        <v>697</v>
      </c>
      <c r="C1088" s="205" t="s">
        <v>698</v>
      </c>
      <c r="D1088" s="206">
        <v>43145</v>
      </c>
      <c r="E1088" s="14" t="s">
        <v>2345</v>
      </c>
      <c r="F1088" s="184">
        <v>14</v>
      </c>
      <c r="G1088" s="14">
        <v>0</v>
      </c>
      <c r="H1088" s="14">
        <v>0</v>
      </c>
      <c r="I1088" s="14">
        <v>2</v>
      </c>
      <c r="J1088" s="14" t="s">
        <v>1881</v>
      </c>
      <c r="K1088" s="14"/>
      <c r="L1088" s="85"/>
      <c r="M1088" s="85"/>
      <c r="N1088" s="85"/>
      <c r="O1088" s="85"/>
      <c r="P1088" s="85"/>
      <c r="Q1088" s="85"/>
      <c r="R1088" s="85"/>
      <c r="S1088" s="85"/>
      <c r="T1088" s="85"/>
      <c r="U1088" s="85"/>
      <c r="V1088" s="85"/>
      <c r="W1088" s="85"/>
      <c r="X1088" s="85"/>
      <c r="Y1088" s="85"/>
      <c r="Z1088" s="85"/>
    </row>
    <row r="1089" spans="1:26" ht="15.75" customHeight="1">
      <c r="A1089" s="205">
        <v>158</v>
      </c>
      <c r="B1089" s="205" t="s">
        <v>697</v>
      </c>
      <c r="C1089" s="205" t="s">
        <v>698</v>
      </c>
      <c r="D1089" s="206">
        <v>43145</v>
      </c>
      <c r="E1089" s="14" t="s">
        <v>2346</v>
      </c>
      <c r="F1089" s="184">
        <v>16</v>
      </c>
      <c r="G1089" s="14">
        <v>1</v>
      </c>
      <c r="H1089" s="14"/>
      <c r="I1089" s="14">
        <v>2</v>
      </c>
      <c r="J1089" s="14" t="s">
        <v>1881</v>
      </c>
      <c r="K1089" s="14"/>
      <c r="L1089" s="85"/>
      <c r="M1089" s="85"/>
      <c r="N1089" s="85"/>
      <c r="O1089" s="85"/>
      <c r="P1089" s="85"/>
      <c r="Q1089" s="85"/>
      <c r="R1089" s="85"/>
      <c r="S1089" s="85"/>
      <c r="T1089" s="85"/>
      <c r="U1089" s="85"/>
      <c r="V1089" s="85"/>
      <c r="W1089" s="85"/>
      <c r="X1089" s="85"/>
      <c r="Y1089" s="85"/>
      <c r="Z1089" s="85"/>
    </row>
    <row r="1090" spans="1:26" ht="15.75" customHeight="1">
      <c r="A1090" s="205">
        <v>158</v>
      </c>
      <c r="B1090" s="205" t="s">
        <v>697</v>
      </c>
      <c r="C1090" s="205" t="s">
        <v>698</v>
      </c>
      <c r="D1090" s="206">
        <v>43145</v>
      </c>
      <c r="E1090" s="14" t="s">
        <v>2347</v>
      </c>
      <c r="F1090" s="184">
        <v>15</v>
      </c>
      <c r="G1090" s="14">
        <v>0</v>
      </c>
      <c r="H1090" s="14">
        <v>3</v>
      </c>
      <c r="I1090" s="14">
        <v>0</v>
      </c>
      <c r="J1090" s="14" t="s">
        <v>100</v>
      </c>
      <c r="K1090" s="14"/>
      <c r="L1090" s="85"/>
      <c r="M1090" s="85"/>
      <c r="N1090" s="85"/>
      <c r="O1090" s="85"/>
      <c r="P1090" s="85"/>
      <c r="Q1090" s="85"/>
      <c r="R1090" s="85"/>
      <c r="S1090" s="85"/>
      <c r="T1090" s="85"/>
      <c r="U1090" s="85"/>
      <c r="V1090" s="85"/>
      <c r="W1090" s="85"/>
      <c r="X1090" s="85"/>
      <c r="Y1090" s="85"/>
      <c r="Z1090" s="85"/>
    </row>
    <row r="1091" spans="1:26" ht="15.75" customHeight="1">
      <c r="A1091" s="191">
        <v>159</v>
      </c>
      <c r="B1091" s="191" t="s">
        <v>700</v>
      </c>
      <c r="C1091" s="191" t="s">
        <v>268</v>
      </c>
      <c r="D1091" s="192">
        <v>43157</v>
      </c>
      <c r="E1091" s="14" t="s">
        <v>2348</v>
      </c>
      <c r="F1091" s="184">
        <v>24</v>
      </c>
      <c r="G1091" s="14">
        <v>1</v>
      </c>
      <c r="H1091" s="184">
        <v>1</v>
      </c>
      <c r="I1091" s="14">
        <v>1</v>
      </c>
      <c r="J1091" s="14" t="s">
        <v>2051</v>
      </c>
      <c r="K1091" s="14"/>
      <c r="L1091" s="85"/>
      <c r="M1091" s="85"/>
      <c r="N1091" s="85"/>
      <c r="O1091" s="85"/>
      <c r="P1091" s="85"/>
      <c r="Q1091" s="85"/>
      <c r="R1091" s="85"/>
      <c r="S1091" s="85"/>
      <c r="T1091" s="85"/>
      <c r="U1091" s="85"/>
      <c r="V1091" s="85"/>
      <c r="W1091" s="85"/>
      <c r="X1091" s="85"/>
      <c r="Y1091" s="85"/>
      <c r="Z1091" s="85"/>
    </row>
    <row r="1092" spans="1:26" ht="15.75" customHeight="1">
      <c r="A1092" s="191">
        <v>159</v>
      </c>
      <c r="B1092" s="191" t="s">
        <v>700</v>
      </c>
      <c r="C1092" s="191" t="s">
        <v>268</v>
      </c>
      <c r="D1092" s="192">
        <v>43157</v>
      </c>
      <c r="E1092" s="14" t="s">
        <v>2349</v>
      </c>
      <c r="F1092" s="184">
        <v>60</v>
      </c>
      <c r="G1092" s="14">
        <v>0</v>
      </c>
      <c r="H1092" s="14">
        <v>1</v>
      </c>
      <c r="I1092" s="184">
        <v>1</v>
      </c>
      <c r="J1092" s="14" t="s">
        <v>2350</v>
      </c>
      <c r="K1092" s="14"/>
      <c r="L1092" s="85"/>
      <c r="M1092" s="85"/>
      <c r="N1092" s="85"/>
      <c r="O1092" s="85"/>
      <c r="P1092" s="85"/>
      <c r="Q1092" s="85"/>
      <c r="R1092" s="85"/>
      <c r="S1092" s="85"/>
      <c r="T1092" s="85"/>
      <c r="U1092" s="85"/>
      <c r="V1092" s="85"/>
      <c r="W1092" s="85"/>
      <c r="X1092" s="85"/>
      <c r="Y1092" s="85"/>
      <c r="Z1092" s="85"/>
    </row>
    <row r="1093" spans="1:26" ht="15.75" customHeight="1">
      <c r="A1093" s="191">
        <v>159</v>
      </c>
      <c r="B1093" s="191" t="s">
        <v>700</v>
      </c>
      <c r="C1093" s="191" t="s">
        <v>268</v>
      </c>
      <c r="D1093" s="192">
        <v>43157</v>
      </c>
      <c r="E1093" s="14" t="s">
        <v>2351</v>
      </c>
      <c r="F1093" s="184">
        <v>22</v>
      </c>
      <c r="G1093" s="14">
        <v>0</v>
      </c>
      <c r="H1093" s="14">
        <v>1</v>
      </c>
      <c r="I1093" s="14">
        <v>1</v>
      </c>
      <c r="J1093" s="14" t="s">
        <v>2097</v>
      </c>
      <c r="K1093" s="14"/>
      <c r="L1093" s="85"/>
      <c r="M1093" s="85"/>
      <c r="N1093" s="85"/>
      <c r="O1093" s="85"/>
      <c r="P1093" s="85"/>
      <c r="Q1093" s="85"/>
      <c r="R1093" s="85"/>
      <c r="S1093" s="85"/>
      <c r="T1093" s="85"/>
      <c r="U1093" s="85"/>
      <c r="V1093" s="85"/>
      <c r="W1093" s="85"/>
      <c r="X1093" s="85"/>
      <c r="Y1093" s="85"/>
      <c r="Z1093" s="85"/>
    </row>
    <row r="1094" spans="1:26" ht="15.75" customHeight="1">
      <c r="A1094" s="191">
        <v>159</v>
      </c>
      <c r="B1094" s="191" t="s">
        <v>700</v>
      </c>
      <c r="C1094" s="191" t="s">
        <v>268</v>
      </c>
      <c r="D1094" s="192">
        <v>43157</v>
      </c>
      <c r="E1094" s="14" t="s">
        <v>2352</v>
      </c>
      <c r="F1094" s="184">
        <v>21</v>
      </c>
      <c r="G1094" s="14">
        <v>1</v>
      </c>
      <c r="H1094" s="14">
        <v>1</v>
      </c>
      <c r="I1094" s="14">
        <v>2</v>
      </c>
      <c r="J1094" s="14" t="s">
        <v>2353</v>
      </c>
      <c r="K1094" s="14"/>
      <c r="L1094" s="85"/>
      <c r="M1094" s="85"/>
      <c r="N1094" s="85"/>
      <c r="O1094" s="85"/>
      <c r="P1094" s="85"/>
      <c r="Q1094" s="85"/>
      <c r="R1094" s="85"/>
      <c r="S1094" s="85"/>
      <c r="T1094" s="85"/>
      <c r="U1094" s="85"/>
      <c r="V1094" s="85"/>
      <c r="W1094" s="85"/>
      <c r="X1094" s="85"/>
      <c r="Y1094" s="85"/>
      <c r="Z1094" s="85"/>
    </row>
    <row r="1095" spans="1:26" ht="15.75" customHeight="1">
      <c r="A1095" s="193">
        <v>160</v>
      </c>
      <c r="B1095" s="193" t="s">
        <v>703</v>
      </c>
      <c r="C1095" s="193" t="s">
        <v>704</v>
      </c>
      <c r="D1095" s="194">
        <v>43212</v>
      </c>
      <c r="E1095" s="14" t="s">
        <v>2354</v>
      </c>
      <c r="F1095" s="184">
        <v>23</v>
      </c>
      <c r="G1095" s="14">
        <v>0</v>
      </c>
      <c r="H1095" s="184">
        <v>1</v>
      </c>
      <c r="I1095" s="14">
        <v>0</v>
      </c>
      <c r="J1095" s="14" t="s">
        <v>100</v>
      </c>
      <c r="K1095" s="14"/>
      <c r="L1095" s="85"/>
      <c r="M1095" s="85"/>
      <c r="N1095" s="85"/>
      <c r="O1095" s="85"/>
      <c r="P1095" s="85"/>
      <c r="Q1095" s="85"/>
      <c r="R1095" s="85"/>
      <c r="S1095" s="85"/>
      <c r="T1095" s="85"/>
      <c r="U1095" s="85"/>
      <c r="V1095" s="85"/>
      <c r="W1095" s="85"/>
      <c r="X1095" s="85"/>
      <c r="Y1095" s="85"/>
      <c r="Z1095" s="85"/>
    </row>
    <row r="1096" spans="1:26" ht="15.75" customHeight="1">
      <c r="A1096" s="193">
        <v>160</v>
      </c>
      <c r="B1096" s="193" t="s">
        <v>703</v>
      </c>
      <c r="C1096" s="193" t="s">
        <v>704</v>
      </c>
      <c r="D1096" s="194">
        <v>43212</v>
      </c>
      <c r="E1096" s="14" t="s">
        <v>2355</v>
      </c>
      <c r="F1096" s="184">
        <v>21</v>
      </c>
      <c r="G1096" s="14">
        <v>1</v>
      </c>
      <c r="H1096" s="184">
        <v>1</v>
      </c>
      <c r="I1096" s="14">
        <v>0</v>
      </c>
      <c r="J1096" s="14" t="s">
        <v>100</v>
      </c>
      <c r="K1096" s="14"/>
      <c r="L1096" s="85"/>
      <c r="M1096" s="85"/>
      <c r="N1096" s="85"/>
      <c r="O1096" s="85"/>
      <c r="P1096" s="85"/>
      <c r="Q1096" s="85"/>
      <c r="R1096" s="85"/>
      <c r="S1096" s="85"/>
      <c r="T1096" s="85"/>
      <c r="U1096" s="85"/>
      <c r="V1096" s="85"/>
      <c r="W1096" s="85"/>
      <c r="X1096" s="85"/>
      <c r="Y1096" s="85"/>
      <c r="Z1096" s="85"/>
    </row>
    <row r="1097" spans="1:26" ht="15.75" customHeight="1">
      <c r="A1097" s="193">
        <v>160</v>
      </c>
      <c r="B1097" s="193" t="s">
        <v>703</v>
      </c>
      <c r="C1097" s="193" t="s">
        <v>704</v>
      </c>
      <c r="D1097" s="194">
        <v>43212</v>
      </c>
      <c r="E1097" s="14" t="s">
        <v>2356</v>
      </c>
      <c r="F1097" s="184">
        <v>20</v>
      </c>
      <c r="G1097" s="14">
        <v>0</v>
      </c>
      <c r="H1097" s="184">
        <v>2</v>
      </c>
      <c r="I1097" s="14">
        <v>0</v>
      </c>
      <c r="J1097" s="14" t="s">
        <v>100</v>
      </c>
      <c r="K1097" s="14"/>
      <c r="L1097" s="85"/>
      <c r="M1097" s="85"/>
      <c r="N1097" s="85"/>
      <c r="O1097" s="85"/>
      <c r="P1097" s="85"/>
      <c r="Q1097" s="85"/>
      <c r="R1097" s="85"/>
      <c r="S1097" s="85"/>
      <c r="T1097" s="85"/>
      <c r="U1097" s="85"/>
      <c r="V1097" s="85"/>
      <c r="W1097" s="85"/>
      <c r="X1097" s="85"/>
      <c r="Y1097" s="85"/>
      <c r="Z1097" s="85"/>
    </row>
    <row r="1098" spans="1:26" ht="15.75" customHeight="1">
      <c r="A1098" s="193">
        <v>160</v>
      </c>
      <c r="B1098" s="193" t="s">
        <v>703</v>
      </c>
      <c r="C1098" s="193" t="s">
        <v>704</v>
      </c>
      <c r="D1098" s="194">
        <v>43212</v>
      </c>
      <c r="E1098" s="14" t="s">
        <v>2357</v>
      </c>
      <c r="F1098" s="184">
        <v>29</v>
      </c>
      <c r="G1098" s="14">
        <v>0</v>
      </c>
      <c r="H1098" s="184">
        <v>1</v>
      </c>
      <c r="I1098" s="14">
        <v>0</v>
      </c>
      <c r="J1098" s="14" t="s">
        <v>100</v>
      </c>
      <c r="K1098" s="14"/>
      <c r="L1098" s="85"/>
      <c r="M1098" s="85"/>
      <c r="N1098" s="85"/>
      <c r="O1098" s="85"/>
      <c r="P1098" s="85"/>
      <c r="Q1098" s="85"/>
      <c r="R1098" s="85"/>
      <c r="S1098" s="85"/>
      <c r="T1098" s="85"/>
      <c r="U1098" s="85"/>
      <c r="V1098" s="85"/>
      <c r="W1098" s="85"/>
      <c r="X1098" s="85"/>
      <c r="Y1098" s="85"/>
      <c r="Z1098" s="85"/>
    </row>
    <row r="1099" spans="1:26" ht="15.75" customHeight="1">
      <c r="A1099" s="195">
        <v>161</v>
      </c>
      <c r="B1099" s="195" t="s">
        <v>706</v>
      </c>
      <c r="C1099" s="195" t="s">
        <v>707</v>
      </c>
      <c r="D1099" s="196">
        <v>43238</v>
      </c>
      <c r="E1099" s="14" t="s">
        <v>2358</v>
      </c>
      <c r="F1099" s="184">
        <v>17</v>
      </c>
      <c r="G1099" s="14">
        <v>0</v>
      </c>
      <c r="H1099" s="184">
        <v>0</v>
      </c>
      <c r="I1099" s="14">
        <v>1</v>
      </c>
      <c r="J1099" s="14" t="s">
        <v>1462</v>
      </c>
      <c r="K1099" s="14"/>
      <c r="L1099" s="85"/>
      <c r="M1099" s="85"/>
      <c r="N1099" s="85"/>
      <c r="O1099" s="85"/>
      <c r="P1099" s="85"/>
      <c r="Q1099" s="85"/>
      <c r="R1099" s="85"/>
      <c r="S1099" s="85"/>
      <c r="T1099" s="85"/>
      <c r="U1099" s="85"/>
      <c r="V1099" s="85"/>
      <c r="W1099" s="85"/>
      <c r="X1099" s="85"/>
      <c r="Y1099" s="85"/>
      <c r="Z1099" s="85"/>
    </row>
    <row r="1100" spans="1:26" ht="15.75" customHeight="1">
      <c r="A1100" s="195">
        <v>161</v>
      </c>
      <c r="B1100" s="195" t="s">
        <v>706</v>
      </c>
      <c r="C1100" s="195" t="s">
        <v>707</v>
      </c>
      <c r="D1100" s="196">
        <v>43238</v>
      </c>
      <c r="E1100" s="14" t="s">
        <v>2359</v>
      </c>
      <c r="F1100" s="184">
        <v>16</v>
      </c>
      <c r="G1100" s="14">
        <v>1</v>
      </c>
      <c r="H1100" s="184">
        <v>0</v>
      </c>
      <c r="I1100" s="14">
        <v>1</v>
      </c>
      <c r="J1100" s="14" t="s">
        <v>1462</v>
      </c>
      <c r="K1100" s="14"/>
      <c r="L1100" s="85"/>
      <c r="M1100" s="85"/>
      <c r="N1100" s="85"/>
      <c r="O1100" s="85"/>
      <c r="P1100" s="85"/>
      <c r="Q1100" s="85"/>
      <c r="R1100" s="85"/>
      <c r="S1100" s="85"/>
      <c r="T1100" s="85"/>
      <c r="U1100" s="85"/>
      <c r="V1100" s="85"/>
      <c r="W1100" s="85"/>
      <c r="X1100" s="85"/>
      <c r="Y1100" s="85"/>
      <c r="Z1100" s="85"/>
    </row>
    <row r="1101" spans="1:26" ht="15.75" customHeight="1">
      <c r="A1101" s="195">
        <v>161</v>
      </c>
      <c r="B1101" s="195" t="s">
        <v>706</v>
      </c>
      <c r="C1101" s="195" t="s">
        <v>707</v>
      </c>
      <c r="D1101" s="196">
        <v>43238</v>
      </c>
      <c r="E1101" s="14" t="s">
        <v>2360</v>
      </c>
      <c r="F1101" s="184">
        <v>15</v>
      </c>
      <c r="G1101" s="14">
        <v>0</v>
      </c>
      <c r="H1101" s="184"/>
      <c r="I1101" s="14">
        <v>1</v>
      </c>
      <c r="J1101" s="14" t="s">
        <v>1462</v>
      </c>
      <c r="K1101" s="14"/>
      <c r="L1101" s="85"/>
      <c r="M1101" s="85"/>
      <c r="N1101" s="85"/>
      <c r="O1101" s="85"/>
      <c r="P1101" s="85"/>
      <c r="Q1101" s="85"/>
      <c r="R1101" s="85"/>
      <c r="S1101" s="85"/>
      <c r="T1101" s="85"/>
      <c r="U1101" s="85"/>
      <c r="V1101" s="85"/>
      <c r="W1101" s="85"/>
      <c r="X1101" s="85"/>
      <c r="Y1101" s="85"/>
      <c r="Z1101" s="85"/>
    </row>
    <row r="1102" spans="1:26" ht="15.75" customHeight="1">
      <c r="A1102" s="195">
        <v>161</v>
      </c>
      <c r="B1102" s="195" t="s">
        <v>706</v>
      </c>
      <c r="C1102" s="195" t="s">
        <v>707</v>
      </c>
      <c r="D1102" s="196">
        <v>43238</v>
      </c>
      <c r="E1102" s="14" t="s">
        <v>2361</v>
      </c>
      <c r="F1102" s="184">
        <v>15</v>
      </c>
      <c r="G1102" s="14">
        <v>0</v>
      </c>
      <c r="H1102" s="184">
        <v>0</v>
      </c>
      <c r="I1102" s="14">
        <v>1</v>
      </c>
      <c r="J1102" s="14" t="s">
        <v>1462</v>
      </c>
      <c r="K1102" s="14"/>
      <c r="L1102" s="85"/>
      <c r="M1102" s="85"/>
      <c r="N1102" s="85"/>
      <c r="O1102" s="85"/>
      <c r="P1102" s="85"/>
      <c r="Q1102" s="85"/>
      <c r="R1102" s="85"/>
      <c r="S1102" s="85"/>
      <c r="T1102" s="85"/>
      <c r="U1102" s="85"/>
      <c r="V1102" s="85"/>
      <c r="W1102" s="85"/>
      <c r="X1102" s="85"/>
      <c r="Y1102" s="85"/>
      <c r="Z1102" s="85"/>
    </row>
    <row r="1103" spans="1:26" ht="15.75" customHeight="1">
      <c r="A1103" s="195">
        <v>161</v>
      </c>
      <c r="B1103" s="195" t="s">
        <v>706</v>
      </c>
      <c r="C1103" s="195" t="s">
        <v>707</v>
      </c>
      <c r="D1103" s="196">
        <v>43238</v>
      </c>
      <c r="E1103" s="14" t="s">
        <v>2362</v>
      </c>
      <c r="F1103" s="184">
        <v>64</v>
      </c>
      <c r="G1103" s="14">
        <v>1</v>
      </c>
      <c r="H1103" s="184">
        <v>0</v>
      </c>
      <c r="I1103" s="14">
        <v>1</v>
      </c>
      <c r="J1103" s="14" t="s">
        <v>1592</v>
      </c>
      <c r="K1103" s="14"/>
      <c r="L1103" s="85"/>
      <c r="M1103" s="85"/>
      <c r="N1103" s="85"/>
      <c r="O1103" s="85"/>
      <c r="P1103" s="85"/>
      <c r="Q1103" s="85"/>
      <c r="R1103" s="85"/>
      <c r="S1103" s="85"/>
      <c r="T1103" s="85"/>
      <c r="U1103" s="85"/>
      <c r="V1103" s="85"/>
      <c r="W1103" s="85"/>
      <c r="X1103" s="85"/>
      <c r="Y1103" s="85"/>
      <c r="Z1103" s="85"/>
    </row>
    <row r="1104" spans="1:26" ht="15.75" customHeight="1">
      <c r="A1104" s="195">
        <v>161</v>
      </c>
      <c r="B1104" s="195" t="s">
        <v>706</v>
      </c>
      <c r="C1104" s="195" t="s">
        <v>707</v>
      </c>
      <c r="D1104" s="196">
        <v>43238</v>
      </c>
      <c r="E1104" s="14" t="s">
        <v>2363</v>
      </c>
      <c r="F1104" s="184">
        <v>15</v>
      </c>
      <c r="G1104" s="14">
        <v>1</v>
      </c>
      <c r="H1104" s="184">
        <v>2</v>
      </c>
      <c r="I1104" s="14">
        <v>1</v>
      </c>
      <c r="J1104" s="14" t="s">
        <v>1462</v>
      </c>
      <c r="K1104" s="14"/>
      <c r="L1104" s="85"/>
      <c r="M1104" s="85"/>
      <c r="N1104" s="85"/>
      <c r="O1104" s="85"/>
      <c r="P1104" s="85"/>
      <c r="Q1104" s="85"/>
      <c r="R1104" s="85"/>
      <c r="S1104" s="85"/>
      <c r="T1104" s="85"/>
      <c r="U1104" s="85"/>
      <c r="V1104" s="85"/>
      <c r="W1104" s="85"/>
      <c r="X1104" s="85"/>
      <c r="Y1104" s="85"/>
      <c r="Z1104" s="85"/>
    </row>
    <row r="1105" spans="1:26" ht="15.75" customHeight="1">
      <c r="A1105" s="195">
        <v>161</v>
      </c>
      <c r="B1105" s="195" t="s">
        <v>706</v>
      </c>
      <c r="C1105" s="195" t="s">
        <v>707</v>
      </c>
      <c r="D1105" s="196">
        <v>43238</v>
      </c>
      <c r="E1105" s="14" t="s">
        <v>2364</v>
      </c>
      <c r="F1105" s="184">
        <v>17</v>
      </c>
      <c r="G1105" s="14">
        <v>1</v>
      </c>
      <c r="H1105" s="184">
        <v>4</v>
      </c>
      <c r="I1105" s="14">
        <v>1</v>
      </c>
      <c r="J1105" s="14" t="s">
        <v>1462</v>
      </c>
      <c r="K1105" s="14"/>
      <c r="L1105" s="85"/>
      <c r="M1105" s="85"/>
      <c r="N1105" s="85"/>
      <c r="O1105" s="85"/>
      <c r="P1105" s="85"/>
      <c r="Q1105" s="85"/>
      <c r="R1105" s="85"/>
      <c r="S1105" s="85"/>
      <c r="T1105" s="85"/>
      <c r="U1105" s="85"/>
      <c r="V1105" s="85"/>
      <c r="W1105" s="85"/>
      <c r="X1105" s="85"/>
      <c r="Y1105" s="85"/>
      <c r="Z1105" s="85"/>
    </row>
    <row r="1106" spans="1:26" ht="15.75" customHeight="1">
      <c r="A1106" s="195">
        <v>161</v>
      </c>
      <c r="B1106" s="195" t="s">
        <v>706</v>
      </c>
      <c r="C1106" s="195" t="s">
        <v>707</v>
      </c>
      <c r="D1106" s="196">
        <v>43238</v>
      </c>
      <c r="E1106" s="14" t="s">
        <v>2365</v>
      </c>
      <c r="F1106" s="184">
        <v>17</v>
      </c>
      <c r="G1106" s="14">
        <v>0</v>
      </c>
      <c r="H1106" s="184">
        <v>2</v>
      </c>
      <c r="I1106" s="14">
        <v>1</v>
      </c>
      <c r="J1106" s="14" t="s">
        <v>1462</v>
      </c>
      <c r="K1106" s="14"/>
      <c r="L1106" s="85"/>
      <c r="M1106" s="85"/>
      <c r="N1106" s="85"/>
      <c r="O1106" s="85"/>
      <c r="P1106" s="85"/>
      <c r="Q1106" s="85"/>
      <c r="R1106" s="85"/>
      <c r="S1106" s="85"/>
      <c r="T1106" s="85"/>
      <c r="U1106" s="85"/>
      <c r="V1106" s="85"/>
      <c r="W1106" s="85"/>
      <c r="X1106" s="85"/>
      <c r="Y1106" s="85"/>
      <c r="Z1106" s="85"/>
    </row>
    <row r="1107" spans="1:26" ht="15.75" customHeight="1">
      <c r="A1107" s="195">
        <v>161</v>
      </c>
      <c r="B1107" s="195" t="s">
        <v>706</v>
      </c>
      <c r="C1107" s="195" t="s">
        <v>707</v>
      </c>
      <c r="D1107" s="196">
        <v>43238</v>
      </c>
      <c r="E1107" s="14" t="s">
        <v>2366</v>
      </c>
      <c r="F1107" s="184">
        <v>63</v>
      </c>
      <c r="G1107" s="14">
        <v>1</v>
      </c>
      <c r="H1107" s="184">
        <v>0</v>
      </c>
      <c r="I1107" s="14">
        <v>1</v>
      </c>
      <c r="J1107" s="14" t="s">
        <v>1592</v>
      </c>
      <c r="K1107" s="14"/>
      <c r="L1107" s="85"/>
      <c r="M1107" s="85"/>
      <c r="N1107" s="85"/>
      <c r="O1107" s="85"/>
      <c r="P1107" s="85"/>
      <c r="Q1107" s="85"/>
      <c r="R1107" s="85"/>
      <c r="S1107" s="85"/>
      <c r="T1107" s="85"/>
      <c r="U1107" s="85"/>
      <c r="V1107" s="85"/>
      <c r="W1107" s="85"/>
      <c r="X1107" s="85"/>
      <c r="Y1107" s="85"/>
      <c r="Z1107" s="85"/>
    </row>
    <row r="1108" spans="1:26" ht="15.75" customHeight="1">
      <c r="A1108" s="195">
        <v>161</v>
      </c>
      <c r="B1108" s="195" t="s">
        <v>706</v>
      </c>
      <c r="C1108" s="195" t="s">
        <v>707</v>
      </c>
      <c r="D1108" s="196">
        <v>43238</v>
      </c>
      <c r="E1108" s="14" t="s">
        <v>2367</v>
      </c>
      <c r="F1108" s="184">
        <v>14</v>
      </c>
      <c r="G1108" s="14">
        <v>1</v>
      </c>
      <c r="H1108" s="184">
        <v>0</v>
      </c>
      <c r="I1108" s="14">
        <v>1</v>
      </c>
      <c r="J1108" s="14" t="s">
        <v>1462</v>
      </c>
      <c r="K1108" s="14"/>
      <c r="L1108" s="85"/>
      <c r="M1108" s="85"/>
      <c r="N1108" s="85"/>
      <c r="O1108" s="85"/>
      <c r="P1108" s="85"/>
      <c r="Q1108" s="85"/>
      <c r="R1108" s="85"/>
      <c r="S1108" s="85"/>
      <c r="T1108" s="85"/>
      <c r="U1108" s="85"/>
      <c r="V1108" s="85"/>
      <c r="W1108" s="85"/>
      <c r="X1108" s="85"/>
      <c r="Y1108" s="85"/>
      <c r="Z1108" s="85"/>
    </row>
    <row r="1109" spans="1:26" ht="15.75" customHeight="1">
      <c r="A1109" s="197">
        <v>162</v>
      </c>
      <c r="B1109" s="197" t="s">
        <v>710</v>
      </c>
      <c r="C1109" s="197" t="s">
        <v>711</v>
      </c>
      <c r="D1109" s="198">
        <v>43279</v>
      </c>
      <c r="E1109" s="14" t="s">
        <v>2368</v>
      </c>
      <c r="F1109" s="184">
        <v>61</v>
      </c>
      <c r="G1109" s="14">
        <v>0</v>
      </c>
      <c r="H1109" s="184">
        <v>0</v>
      </c>
      <c r="I1109" s="14">
        <v>0</v>
      </c>
      <c r="J1109" s="14" t="s">
        <v>100</v>
      </c>
      <c r="K1109" s="14"/>
      <c r="L1109" s="85"/>
      <c r="M1109" s="85"/>
      <c r="N1109" s="85"/>
      <c r="O1109" s="85"/>
      <c r="P1109" s="85"/>
      <c r="Q1109" s="85"/>
      <c r="R1109" s="85"/>
      <c r="S1109" s="85"/>
      <c r="T1109" s="85"/>
      <c r="U1109" s="85"/>
      <c r="V1109" s="85"/>
      <c r="W1109" s="85"/>
      <c r="X1109" s="85"/>
      <c r="Y1109" s="85"/>
      <c r="Z1109" s="85"/>
    </row>
    <row r="1110" spans="1:26" ht="15.75" customHeight="1">
      <c r="A1110" s="197">
        <v>162</v>
      </c>
      <c r="B1110" s="197" t="s">
        <v>710</v>
      </c>
      <c r="C1110" s="197" t="s">
        <v>711</v>
      </c>
      <c r="D1110" s="198">
        <v>43279</v>
      </c>
      <c r="E1110" s="14" t="s">
        <v>2369</v>
      </c>
      <c r="F1110" s="184">
        <v>59</v>
      </c>
      <c r="G1110" s="14">
        <v>0</v>
      </c>
      <c r="H1110" s="184">
        <v>0</v>
      </c>
      <c r="I1110" s="14">
        <v>0</v>
      </c>
      <c r="J1110" s="14" t="s">
        <v>100</v>
      </c>
      <c r="K1110" s="14"/>
      <c r="L1110" s="85"/>
      <c r="M1110" s="85"/>
      <c r="N1110" s="85"/>
      <c r="O1110" s="85"/>
      <c r="P1110" s="85"/>
      <c r="Q1110" s="85"/>
      <c r="R1110" s="85"/>
      <c r="S1110" s="85"/>
      <c r="T1110" s="85"/>
      <c r="U1110" s="85"/>
      <c r="V1110" s="85"/>
      <c r="W1110" s="85"/>
      <c r="X1110" s="85"/>
      <c r="Y1110" s="85"/>
      <c r="Z1110" s="85"/>
    </row>
    <row r="1111" spans="1:26" ht="15.75" customHeight="1">
      <c r="A1111" s="197">
        <v>162</v>
      </c>
      <c r="B1111" s="197" t="s">
        <v>710</v>
      </c>
      <c r="C1111" s="197" t="s">
        <v>711</v>
      </c>
      <c r="D1111" s="198">
        <v>43279</v>
      </c>
      <c r="E1111" s="14" t="s">
        <v>2370</v>
      </c>
      <c r="F1111" s="184">
        <v>56</v>
      </c>
      <c r="G1111" s="14">
        <v>0</v>
      </c>
      <c r="H1111" s="184">
        <v>0</v>
      </c>
      <c r="I1111" s="14">
        <v>0</v>
      </c>
      <c r="J1111" s="14" t="s">
        <v>100</v>
      </c>
      <c r="K1111" s="14"/>
      <c r="L1111" s="85"/>
      <c r="M1111" s="85"/>
      <c r="N1111" s="85"/>
      <c r="O1111" s="85"/>
      <c r="P1111" s="85"/>
      <c r="Q1111" s="85"/>
      <c r="R1111" s="85"/>
      <c r="S1111" s="85"/>
      <c r="T1111" s="85"/>
      <c r="U1111" s="85"/>
      <c r="V1111" s="85"/>
      <c r="W1111" s="85"/>
      <c r="X1111" s="85"/>
      <c r="Y1111" s="85"/>
      <c r="Z1111" s="85"/>
    </row>
    <row r="1112" spans="1:26" ht="15.75" customHeight="1">
      <c r="A1112" s="197">
        <v>162</v>
      </c>
      <c r="B1112" s="197" t="s">
        <v>710</v>
      </c>
      <c r="C1112" s="197" t="s">
        <v>711</v>
      </c>
      <c r="D1112" s="198">
        <v>43279</v>
      </c>
      <c r="E1112" s="14" t="s">
        <v>2371</v>
      </c>
      <c r="F1112" s="184">
        <v>34</v>
      </c>
      <c r="G1112" s="14">
        <v>1</v>
      </c>
      <c r="H1112" s="184">
        <v>0</v>
      </c>
      <c r="I1112" s="14">
        <v>0</v>
      </c>
      <c r="J1112" s="14" t="s">
        <v>100</v>
      </c>
      <c r="K1112" s="14"/>
      <c r="L1112" s="85"/>
      <c r="M1112" s="85"/>
      <c r="N1112" s="85"/>
      <c r="O1112" s="85"/>
      <c r="P1112" s="85"/>
      <c r="Q1112" s="85"/>
      <c r="R1112" s="85"/>
      <c r="S1112" s="85"/>
      <c r="T1112" s="85"/>
      <c r="U1112" s="85"/>
      <c r="V1112" s="85"/>
      <c r="W1112" s="85"/>
      <c r="X1112" s="85"/>
      <c r="Y1112" s="85"/>
      <c r="Z1112" s="85"/>
    </row>
    <row r="1113" spans="1:26" ht="15.75" customHeight="1">
      <c r="A1113" s="197">
        <v>162</v>
      </c>
      <c r="B1113" s="197" t="s">
        <v>710</v>
      </c>
      <c r="C1113" s="197" t="s">
        <v>711</v>
      </c>
      <c r="D1113" s="198">
        <v>43279</v>
      </c>
      <c r="E1113" s="14" t="s">
        <v>2372</v>
      </c>
      <c r="F1113" s="184">
        <v>65</v>
      </c>
      <c r="G1113" s="14">
        <v>1</v>
      </c>
      <c r="H1113" s="184">
        <v>0</v>
      </c>
      <c r="I1113" s="14">
        <v>0</v>
      </c>
      <c r="J1113" s="14" t="s">
        <v>100</v>
      </c>
      <c r="K1113" s="14"/>
      <c r="L1113" s="85"/>
      <c r="M1113" s="85"/>
      <c r="N1113" s="85"/>
      <c r="O1113" s="85"/>
      <c r="P1113" s="85"/>
      <c r="Q1113" s="85"/>
      <c r="R1113" s="85"/>
      <c r="S1113" s="85"/>
      <c r="T1113" s="85"/>
      <c r="U1113" s="85"/>
      <c r="V1113" s="85"/>
      <c r="W1113" s="85"/>
      <c r="X1113" s="85"/>
      <c r="Y1113" s="85"/>
      <c r="Z1113" s="85"/>
    </row>
    <row r="1114" spans="1:26" ht="15.75" customHeight="1">
      <c r="A1114" s="207">
        <v>163</v>
      </c>
      <c r="B1114" s="207" t="s">
        <v>714</v>
      </c>
      <c r="C1114" s="207" t="s">
        <v>715</v>
      </c>
      <c r="D1114" s="208">
        <v>43355</v>
      </c>
      <c r="E1114" s="14" t="s">
        <v>2373</v>
      </c>
      <c r="F1114" s="184">
        <v>45</v>
      </c>
      <c r="G1114" s="14">
        <v>1</v>
      </c>
      <c r="H1114" s="184">
        <v>2</v>
      </c>
      <c r="I1114" s="184">
        <v>1</v>
      </c>
      <c r="J1114" s="14" t="s">
        <v>1977</v>
      </c>
      <c r="K1114" s="14"/>
      <c r="L1114" s="85"/>
      <c r="M1114" s="85"/>
      <c r="N1114" s="85"/>
      <c r="O1114" s="85"/>
      <c r="P1114" s="85"/>
      <c r="Q1114" s="85"/>
      <c r="R1114" s="85"/>
      <c r="S1114" s="85"/>
      <c r="T1114" s="85"/>
      <c r="U1114" s="85"/>
      <c r="V1114" s="85"/>
      <c r="W1114" s="85"/>
      <c r="X1114" s="85"/>
      <c r="Y1114" s="85"/>
      <c r="Z1114" s="85"/>
    </row>
    <row r="1115" spans="1:26" ht="15.75" customHeight="1">
      <c r="A1115" s="207">
        <v>163</v>
      </c>
      <c r="B1115" s="207" t="s">
        <v>714</v>
      </c>
      <c r="C1115" s="207" t="s">
        <v>715</v>
      </c>
      <c r="D1115" s="208">
        <v>43355</v>
      </c>
      <c r="E1115" s="14" t="s">
        <v>2374</v>
      </c>
      <c r="F1115" s="184">
        <v>57</v>
      </c>
      <c r="G1115" s="14">
        <v>0</v>
      </c>
      <c r="H1115" s="184">
        <v>2</v>
      </c>
      <c r="I1115" s="184">
        <v>1</v>
      </c>
      <c r="J1115" s="14" t="s">
        <v>2375</v>
      </c>
      <c r="K1115" s="14"/>
      <c r="L1115" s="85"/>
      <c r="M1115" s="85"/>
      <c r="N1115" s="85"/>
      <c r="O1115" s="85"/>
      <c r="P1115" s="85"/>
      <c r="Q1115" s="85"/>
      <c r="R1115" s="85"/>
      <c r="S1115" s="85"/>
      <c r="T1115" s="85"/>
      <c r="U1115" s="85"/>
      <c r="V1115" s="85"/>
      <c r="W1115" s="85"/>
      <c r="X1115" s="85"/>
      <c r="Y1115" s="85"/>
      <c r="Z1115" s="85"/>
    </row>
    <row r="1116" spans="1:26" ht="15.75" customHeight="1">
      <c r="A1116" s="207">
        <v>163</v>
      </c>
      <c r="B1116" s="207" t="s">
        <v>714</v>
      </c>
      <c r="C1116" s="207" t="s">
        <v>715</v>
      </c>
      <c r="D1116" s="208">
        <v>43355</v>
      </c>
      <c r="E1116" s="14" t="s">
        <v>2376</v>
      </c>
      <c r="F1116" s="184">
        <v>50</v>
      </c>
      <c r="G1116" s="14">
        <v>0</v>
      </c>
      <c r="H1116" s="14">
        <v>2</v>
      </c>
      <c r="I1116" s="184">
        <v>1</v>
      </c>
      <c r="J1116" s="14" t="s">
        <v>2375</v>
      </c>
      <c r="K1116" s="14"/>
      <c r="L1116" s="85"/>
      <c r="M1116" s="85"/>
      <c r="N1116" s="85"/>
      <c r="O1116" s="85"/>
      <c r="P1116" s="85"/>
      <c r="Q1116" s="85"/>
      <c r="R1116" s="85"/>
      <c r="S1116" s="85"/>
      <c r="T1116" s="85"/>
      <c r="U1116" s="85"/>
      <c r="V1116" s="85"/>
      <c r="W1116" s="85"/>
      <c r="X1116" s="85"/>
      <c r="Y1116" s="85"/>
      <c r="Z1116" s="85"/>
    </row>
    <row r="1117" spans="1:26" ht="15.75" customHeight="1">
      <c r="A1117" s="207">
        <v>163</v>
      </c>
      <c r="B1117" s="207" t="s">
        <v>714</v>
      </c>
      <c r="C1117" s="207" t="s">
        <v>715</v>
      </c>
      <c r="D1117" s="208">
        <v>43355</v>
      </c>
      <c r="E1117" s="14" t="s">
        <v>2377</v>
      </c>
      <c r="F1117" s="184">
        <v>31</v>
      </c>
      <c r="G1117" s="14">
        <v>1</v>
      </c>
      <c r="H1117" s="184">
        <v>2</v>
      </c>
      <c r="I1117" s="14">
        <v>0</v>
      </c>
      <c r="J1117" s="14" t="s">
        <v>2378</v>
      </c>
      <c r="K1117" s="14"/>
      <c r="L1117" s="85"/>
      <c r="M1117" s="85"/>
      <c r="N1117" s="85"/>
      <c r="O1117" s="85"/>
      <c r="P1117" s="85"/>
      <c r="Q1117" s="85"/>
      <c r="R1117" s="85"/>
      <c r="S1117" s="85"/>
      <c r="T1117" s="85"/>
      <c r="U1117" s="85"/>
      <c r="V1117" s="85"/>
      <c r="W1117" s="85"/>
      <c r="X1117" s="85"/>
      <c r="Y1117" s="85"/>
      <c r="Z1117" s="85"/>
    </row>
    <row r="1118" spans="1:26" ht="15.75" customHeight="1">
      <c r="A1118" s="207">
        <v>163</v>
      </c>
      <c r="B1118" s="207" t="s">
        <v>714</v>
      </c>
      <c r="C1118" s="207" t="s">
        <v>715</v>
      </c>
      <c r="D1118" s="208">
        <v>43355</v>
      </c>
      <c r="E1118" s="14" t="s">
        <v>2379</v>
      </c>
      <c r="F1118" s="184">
        <v>50</v>
      </c>
      <c r="G1118" s="14">
        <v>0</v>
      </c>
      <c r="H1118" s="184">
        <v>2</v>
      </c>
      <c r="I1118" s="184">
        <v>1</v>
      </c>
      <c r="J1118" s="14" t="s">
        <v>2375</v>
      </c>
      <c r="K1118" s="14"/>
      <c r="L1118" s="85"/>
      <c r="M1118" s="85"/>
      <c r="N1118" s="85"/>
      <c r="O1118" s="85"/>
      <c r="P1118" s="85"/>
      <c r="Q1118" s="85"/>
      <c r="R1118" s="85"/>
      <c r="S1118" s="85"/>
      <c r="T1118" s="85"/>
      <c r="U1118" s="85"/>
      <c r="V1118" s="85"/>
      <c r="W1118" s="85"/>
      <c r="X1118" s="85"/>
      <c r="Y1118" s="85"/>
      <c r="Z1118" s="85"/>
    </row>
    <row r="1119" spans="1:26" ht="15.75" customHeight="1">
      <c r="A1119" s="199">
        <v>164</v>
      </c>
      <c r="B1119" s="199" t="s">
        <v>718</v>
      </c>
      <c r="C1119" s="199" t="s">
        <v>102</v>
      </c>
      <c r="D1119" s="200">
        <v>43400</v>
      </c>
      <c r="E1119" s="14" t="s">
        <v>2380</v>
      </c>
      <c r="F1119" s="184">
        <v>75</v>
      </c>
      <c r="G1119" s="14">
        <v>1</v>
      </c>
      <c r="H1119" s="184">
        <v>0</v>
      </c>
      <c r="I1119" s="14">
        <v>0</v>
      </c>
      <c r="J1119" s="14" t="s">
        <v>100</v>
      </c>
      <c r="K1119" s="14"/>
      <c r="L1119" s="85"/>
      <c r="M1119" s="85"/>
      <c r="N1119" s="85"/>
      <c r="O1119" s="85"/>
      <c r="P1119" s="85"/>
      <c r="Q1119" s="85"/>
      <c r="R1119" s="85"/>
      <c r="S1119" s="85"/>
      <c r="T1119" s="85"/>
      <c r="U1119" s="85"/>
      <c r="V1119" s="85"/>
      <c r="W1119" s="85"/>
      <c r="X1119" s="85"/>
      <c r="Y1119" s="85"/>
      <c r="Z1119" s="85"/>
    </row>
    <row r="1120" spans="1:26" ht="15.75" customHeight="1">
      <c r="A1120" s="199">
        <v>164</v>
      </c>
      <c r="B1120" s="199" t="s">
        <v>718</v>
      </c>
      <c r="C1120" s="199" t="s">
        <v>102</v>
      </c>
      <c r="D1120" s="200">
        <v>43400</v>
      </c>
      <c r="E1120" s="14" t="s">
        <v>2381</v>
      </c>
      <c r="F1120" s="184">
        <v>65</v>
      </c>
      <c r="G1120" s="14">
        <v>0</v>
      </c>
      <c r="H1120" s="184">
        <v>0</v>
      </c>
      <c r="I1120" s="14">
        <v>0</v>
      </c>
      <c r="J1120" s="14" t="s">
        <v>100</v>
      </c>
      <c r="K1120" s="14"/>
      <c r="L1120" s="85"/>
      <c r="M1120" s="85"/>
      <c r="N1120" s="85"/>
      <c r="O1120" s="85"/>
      <c r="P1120" s="85"/>
      <c r="Q1120" s="85"/>
      <c r="R1120" s="85"/>
      <c r="S1120" s="85"/>
      <c r="T1120" s="85"/>
      <c r="U1120" s="85"/>
      <c r="V1120" s="85"/>
      <c r="W1120" s="85"/>
      <c r="X1120" s="85"/>
      <c r="Y1120" s="85"/>
      <c r="Z1120" s="85"/>
    </row>
    <row r="1121" spans="1:26" ht="15.75" customHeight="1">
      <c r="A1121" s="199">
        <v>164</v>
      </c>
      <c r="B1121" s="199" t="s">
        <v>718</v>
      </c>
      <c r="C1121" s="199" t="s">
        <v>102</v>
      </c>
      <c r="D1121" s="200">
        <v>43400</v>
      </c>
      <c r="E1121" s="14" t="s">
        <v>2382</v>
      </c>
      <c r="F1121" s="184">
        <v>97</v>
      </c>
      <c r="G1121" s="14">
        <v>1</v>
      </c>
      <c r="H1121" s="184">
        <v>0</v>
      </c>
      <c r="I1121" s="14">
        <v>0</v>
      </c>
      <c r="J1121" s="14" t="s">
        <v>100</v>
      </c>
      <c r="K1121" s="14"/>
      <c r="L1121" s="85"/>
      <c r="M1121" s="85"/>
      <c r="N1121" s="85"/>
      <c r="O1121" s="85"/>
      <c r="P1121" s="85"/>
      <c r="Q1121" s="85"/>
      <c r="R1121" s="85"/>
      <c r="S1121" s="85"/>
      <c r="T1121" s="85"/>
      <c r="U1121" s="85"/>
      <c r="V1121" s="85"/>
      <c r="W1121" s="85"/>
      <c r="X1121" s="85"/>
      <c r="Y1121" s="85"/>
      <c r="Z1121" s="85"/>
    </row>
    <row r="1122" spans="1:26" ht="15.75" customHeight="1">
      <c r="A1122" s="199">
        <v>164</v>
      </c>
      <c r="B1122" s="199" t="s">
        <v>718</v>
      </c>
      <c r="C1122" s="199" t="s">
        <v>102</v>
      </c>
      <c r="D1122" s="200">
        <v>43400</v>
      </c>
      <c r="E1122" s="14" t="s">
        <v>2383</v>
      </c>
      <c r="F1122" s="184">
        <v>66</v>
      </c>
      <c r="G1122" s="14">
        <v>0</v>
      </c>
      <c r="H1122" s="184">
        <v>0</v>
      </c>
      <c r="I1122" s="14">
        <v>0</v>
      </c>
      <c r="J1122" s="14" t="s">
        <v>100</v>
      </c>
      <c r="K1122" s="14"/>
      <c r="L1122" s="85"/>
      <c r="M1122" s="85"/>
      <c r="N1122" s="85"/>
      <c r="O1122" s="85"/>
      <c r="P1122" s="85"/>
      <c r="Q1122" s="85"/>
      <c r="R1122" s="85"/>
      <c r="S1122" s="85"/>
      <c r="T1122" s="85"/>
      <c r="U1122" s="85"/>
      <c r="V1122" s="85"/>
      <c r="W1122" s="85"/>
      <c r="X1122" s="85"/>
      <c r="Y1122" s="85"/>
      <c r="Z1122" s="85"/>
    </row>
    <row r="1123" spans="1:26" ht="15.75" customHeight="1">
      <c r="A1123" s="199">
        <v>164</v>
      </c>
      <c r="B1123" s="199" t="s">
        <v>718</v>
      </c>
      <c r="C1123" s="199" t="s">
        <v>102</v>
      </c>
      <c r="D1123" s="200">
        <v>43400</v>
      </c>
      <c r="E1123" s="14" t="s">
        <v>2384</v>
      </c>
      <c r="F1123" s="184">
        <v>59</v>
      </c>
      <c r="G1123" s="14">
        <v>0</v>
      </c>
      <c r="H1123" s="184">
        <v>0</v>
      </c>
      <c r="I1123" s="14">
        <v>0</v>
      </c>
      <c r="J1123" s="14" t="s">
        <v>100</v>
      </c>
      <c r="K1123" s="14"/>
      <c r="L1123" s="85"/>
      <c r="M1123" s="85"/>
      <c r="N1123" s="85"/>
      <c r="O1123" s="85"/>
      <c r="P1123" s="85"/>
      <c r="Q1123" s="85"/>
      <c r="R1123" s="85"/>
      <c r="S1123" s="85"/>
      <c r="T1123" s="85"/>
      <c r="U1123" s="85"/>
      <c r="V1123" s="85"/>
      <c r="W1123" s="85"/>
      <c r="X1123" s="85"/>
      <c r="Y1123" s="85"/>
      <c r="Z1123" s="85"/>
    </row>
    <row r="1124" spans="1:26" ht="15.75" customHeight="1">
      <c r="A1124" s="199">
        <v>164</v>
      </c>
      <c r="B1124" s="199" t="s">
        <v>718</v>
      </c>
      <c r="C1124" s="199" t="s">
        <v>102</v>
      </c>
      <c r="D1124" s="200">
        <v>43400</v>
      </c>
      <c r="E1124" s="14" t="s">
        <v>2385</v>
      </c>
      <c r="F1124" s="184">
        <v>54</v>
      </c>
      <c r="G1124" s="14">
        <v>0</v>
      </c>
      <c r="H1124" s="184">
        <v>0</v>
      </c>
      <c r="I1124" s="14">
        <v>0</v>
      </c>
      <c r="J1124" s="14" t="s">
        <v>100</v>
      </c>
      <c r="K1124" s="14"/>
      <c r="L1124" s="85"/>
      <c r="M1124" s="85"/>
      <c r="N1124" s="85"/>
      <c r="O1124" s="85"/>
      <c r="P1124" s="85"/>
      <c r="Q1124" s="85"/>
      <c r="R1124" s="85"/>
      <c r="S1124" s="85"/>
      <c r="T1124" s="85"/>
      <c r="U1124" s="85"/>
      <c r="V1124" s="85"/>
      <c r="W1124" s="85"/>
      <c r="X1124" s="85"/>
      <c r="Y1124" s="85"/>
      <c r="Z1124" s="85"/>
    </row>
    <row r="1125" spans="1:26" ht="15.75" customHeight="1">
      <c r="A1125" s="199">
        <v>164</v>
      </c>
      <c r="B1125" s="199" t="s">
        <v>718</v>
      </c>
      <c r="C1125" s="199" t="s">
        <v>102</v>
      </c>
      <c r="D1125" s="200">
        <v>43400</v>
      </c>
      <c r="E1125" s="14" t="s">
        <v>2386</v>
      </c>
      <c r="F1125" s="184">
        <v>84</v>
      </c>
      <c r="G1125" s="14">
        <v>1</v>
      </c>
      <c r="H1125" s="184">
        <v>0</v>
      </c>
      <c r="I1125" s="14">
        <v>0</v>
      </c>
      <c r="J1125" s="14" t="s">
        <v>100</v>
      </c>
      <c r="K1125" s="14"/>
      <c r="L1125" s="85"/>
      <c r="M1125" s="85"/>
      <c r="N1125" s="85"/>
      <c r="O1125" s="85"/>
      <c r="P1125" s="85"/>
      <c r="Q1125" s="85"/>
      <c r="R1125" s="85"/>
      <c r="S1125" s="85"/>
      <c r="T1125" s="85"/>
      <c r="U1125" s="85"/>
      <c r="V1125" s="85"/>
      <c r="W1125" s="85"/>
      <c r="X1125" s="85"/>
      <c r="Y1125" s="85"/>
      <c r="Z1125" s="85"/>
    </row>
    <row r="1126" spans="1:26" ht="15.75" customHeight="1">
      <c r="A1126" s="199">
        <v>164</v>
      </c>
      <c r="B1126" s="199" t="s">
        <v>718</v>
      </c>
      <c r="C1126" s="199" t="s">
        <v>102</v>
      </c>
      <c r="D1126" s="200">
        <v>43400</v>
      </c>
      <c r="E1126" s="14" t="s">
        <v>2387</v>
      </c>
      <c r="F1126" s="184">
        <v>86</v>
      </c>
      <c r="G1126" s="14">
        <v>0</v>
      </c>
      <c r="H1126" s="184">
        <v>0</v>
      </c>
      <c r="I1126" s="14">
        <v>0</v>
      </c>
      <c r="J1126" s="14" t="s">
        <v>100</v>
      </c>
      <c r="K1126" s="14"/>
      <c r="L1126" s="85"/>
      <c r="M1126" s="85"/>
      <c r="N1126" s="85"/>
      <c r="O1126" s="85"/>
      <c r="P1126" s="85"/>
      <c r="Q1126" s="85"/>
      <c r="R1126" s="85"/>
      <c r="S1126" s="85"/>
      <c r="T1126" s="85"/>
      <c r="U1126" s="85"/>
      <c r="V1126" s="85"/>
      <c r="W1126" s="85"/>
      <c r="X1126" s="85"/>
      <c r="Y1126" s="85"/>
      <c r="Z1126" s="85"/>
    </row>
    <row r="1127" spans="1:26" ht="15.75" customHeight="1">
      <c r="A1127" s="199">
        <v>164</v>
      </c>
      <c r="B1127" s="199" t="s">
        <v>718</v>
      </c>
      <c r="C1127" s="199" t="s">
        <v>102</v>
      </c>
      <c r="D1127" s="200">
        <v>43400</v>
      </c>
      <c r="E1127" s="14" t="s">
        <v>2388</v>
      </c>
      <c r="F1127" s="184">
        <v>71</v>
      </c>
      <c r="G1127" s="14">
        <v>0</v>
      </c>
      <c r="H1127" s="184">
        <v>0</v>
      </c>
      <c r="I1127" s="14">
        <v>0</v>
      </c>
      <c r="J1127" s="14" t="s">
        <v>100</v>
      </c>
      <c r="K1127" s="14"/>
      <c r="L1127" s="85"/>
      <c r="M1127" s="85"/>
      <c r="N1127" s="85"/>
      <c r="O1127" s="85"/>
      <c r="P1127" s="85"/>
      <c r="Q1127" s="85"/>
      <c r="R1127" s="85"/>
      <c r="S1127" s="85"/>
      <c r="T1127" s="85"/>
      <c r="U1127" s="85"/>
      <c r="V1127" s="85"/>
      <c r="W1127" s="85"/>
      <c r="X1127" s="85"/>
      <c r="Y1127" s="85"/>
      <c r="Z1127" s="85"/>
    </row>
    <row r="1128" spans="1:26" ht="15.75" customHeight="1">
      <c r="A1128" s="199">
        <v>164</v>
      </c>
      <c r="B1128" s="199" t="s">
        <v>718</v>
      </c>
      <c r="C1128" s="199" t="s">
        <v>102</v>
      </c>
      <c r="D1128" s="200">
        <v>43400</v>
      </c>
      <c r="E1128" s="14" t="s">
        <v>2389</v>
      </c>
      <c r="F1128" s="184">
        <v>88</v>
      </c>
      <c r="G1128" s="14">
        <v>0</v>
      </c>
      <c r="H1128" s="184">
        <v>0</v>
      </c>
      <c r="I1128" s="14">
        <v>0</v>
      </c>
      <c r="J1128" s="14" t="s">
        <v>100</v>
      </c>
      <c r="K1128" s="14"/>
      <c r="L1128" s="85"/>
      <c r="M1128" s="85"/>
      <c r="N1128" s="85"/>
      <c r="O1128" s="85"/>
      <c r="P1128" s="85"/>
      <c r="Q1128" s="85"/>
      <c r="R1128" s="85"/>
      <c r="S1128" s="85"/>
      <c r="T1128" s="85"/>
      <c r="U1128" s="85"/>
      <c r="V1128" s="85"/>
      <c r="W1128" s="85"/>
      <c r="X1128" s="85"/>
      <c r="Y1128" s="85"/>
      <c r="Z1128" s="85"/>
    </row>
    <row r="1129" spans="1:26" ht="15.75" customHeight="1">
      <c r="A1129" s="199">
        <v>164</v>
      </c>
      <c r="B1129" s="199" t="s">
        <v>718</v>
      </c>
      <c r="C1129" s="199" t="s">
        <v>102</v>
      </c>
      <c r="D1129" s="200">
        <v>43400</v>
      </c>
      <c r="E1129" s="14" t="s">
        <v>2390</v>
      </c>
      <c r="F1129" s="184">
        <v>69</v>
      </c>
      <c r="G1129" s="14">
        <v>0</v>
      </c>
      <c r="H1129" s="184">
        <v>0</v>
      </c>
      <c r="I1129" s="14">
        <v>0</v>
      </c>
      <c r="J1129" s="14" t="s">
        <v>100</v>
      </c>
      <c r="K1129" s="14"/>
      <c r="L1129" s="85"/>
      <c r="M1129" s="85"/>
      <c r="N1129" s="85"/>
      <c r="O1129" s="85"/>
      <c r="P1129" s="85"/>
      <c r="Q1129" s="85"/>
      <c r="R1129" s="85"/>
      <c r="S1129" s="85"/>
      <c r="T1129" s="85"/>
      <c r="U1129" s="85"/>
      <c r="V1129" s="85"/>
      <c r="W1129" s="85"/>
      <c r="X1129" s="85"/>
      <c r="Y1129" s="85"/>
      <c r="Z1129" s="85"/>
    </row>
    <row r="1130" spans="1:26" ht="15.75" customHeight="1">
      <c r="A1130" s="205">
        <v>165</v>
      </c>
      <c r="B1130" s="205" t="s">
        <v>721</v>
      </c>
      <c r="C1130" s="205" t="s">
        <v>722</v>
      </c>
      <c r="D1130" s="206">
        <v>43411</v>
      </c>
      <c r="E1130" s="14" t="s">
        <v>2391</v>
      </c>
      <c r="F1130" s="184">
        <v>48</v>
      </c>
      <c r="G1130" s="14">
        <v>0</v>
      </c>
      <c r="H1130" s="184">
        <v>0</v>
      </c>
      <c r="I1130" s="14">
        <v>0</v>
      </c>
      <c r="J1130" s="14" t="s">
        <v>100</v>
      </c>
      <c r="K1130" s="14"/>
      <c r="L1130" s="85"/>
      <c r="M1130" s="85"/>
      <c r="N1130" s="85"/>
      <c r="O1130" s="85"/>
      <c r="P1130" s="85"/>
      <c r="Q1130" s="85"/>
      <c r="R1130" s="85"/>
      <c r="S1130" s="85"/>
      <c r="T1130" s="85"/>
      <c r="U1130" s="85"/>
      <c r="V1130" s="85"/>
      <c r="W1130" s="85"/>
      <c r="X1130" s="85"/>
      <c r="Y1130" s="85"/>
      <c r="Z1130" s="85"/>
    </row>
    <row r="1131" spans="1:26" ht="15.75" customHeight="1">
      <c r="A1131" s="205">
        <v>165</v>
      </c>
      <c r="B1131" s="205" t="s">
        <v>721</v>
      </c>
      <c r="C1131" s="205" t="s">
        <v>722</v>
      </c>
      <c r="D1131" s="206">
        <v>43411</v>
      </c>
      <c r="E1131" s="14" t="s">
        <v>2392</v>
      </c>
      <c r="F1131" s="184">
        <v>22</v>
      </c>
      <c r="G1131" s="14">
        <v>0</v>
      </c>
      <c r="H1131" s="184">
        <v>0</v>
      </c>
      <c r="I1131" s="14">
        <v>0</v>
      </c>
      <c r="J1131" s="14" t="s">
        <v>100</v>
      </c>
      <c r="K1131" s="14"/>
      <c r="L1131" s="85"/>
      <c r="M1131" s="85"/>
      <c r="N1131" s="85"/>
      <c r="O1131" s="85"/>
      <c r="P1131" s="85"/>
      <c r="Q1131" s="85"/>
      <c r="R1131" s="85"/>
      <c r="S1131" s="85"/>
      <c r="T1131" s="85"/>
      <c r="U1131" s="85"/>
      <c r="V1131" s="85"/>
      <c r="W1131" s="85"/>
      <c r="X1131" s="85"/>
      <c r="Y1131" s="85"/>
      <c r="Z1131" s="85"/>
    </row>
    <row r="1132" spans="1:26" ht="15.75" customHeight="1">
      <c r="A1132" s="205">
        <v>165</v>
      </c>
      <c r="B1132" s="205" t="s">
        <v>721</v>
      </c>
      <c r="C1132" s="205" t="s">
        <v>722</v>
      </c>
      <c r="D1132" s="206">
        <v>43411</v>
      </c>
      <c r="E1132" s="14" t="s">
        <v>2393</v>
      </c>
      <c r="F1132" s="184">
        <v>21</v>
      </c>
      <c r="G1132" s="14">
        <v>0</v>
      </c>
      <c r="H1132" s="184">
        <v>0</v>
      </c>
      <c r="I1132" s="14">
        <v>0</v>
      </c>
      <c r="J1132" s="14" t="s">
        <v>100</v>
      </c>
      <c r="K1132" s="14"/>
      <c r="L1132" s="85"/>
      <c r="M1132" s="85"/>
      <c r="N1132" s="85"/>
      <c r="O1132" s="85"/>
      <c r="P1132" s="85"/>
      <c r="Q1132" s="85"/>
      <c r="R1132" s="85"/>
      <c r="S1132" s="85"/>
      <c r="T1132" s="85"/>
      <c r="U1132" s="85"/>
      <c r="V1132" s="85"/>
      <c r="W1132" s="85"/>
      <c r="X1132" s="85"/>
      <c r="Y1132" s="85"/>
      <c r="Z1132" s="85"/>
    </row>
    <row r="1133" spans="1:26" ht="15.75" customHeight="1">
      <c r="A1133" s="205">
        <v>165</v>
      </c>
      <c r="B1133" s="205" t="s">
        <v>721</v>
      </c>
      <c r="C1133" s="205" t="s">
        <v>722</v>
      </c>
      <c r="D1133" s="206">
        <v>43411</v>
      </c>
      <c r="E1133" s="14" t="s">
        <v>2394</v>
      </c>
      <c r="F1133" s="184">
        <v>21</v>
      </c>
      <c r="G1133" s="14">
        <v>0</v>
      </c>
      <c r="H1133" s="184">
        <v>0</v>
      </c>
      <c r="I1133" s="14">
        <v>0</v>
      </c>
      <c r="J1133" s="14" t="s">
        <v>100</v>
      </c>
      <c r="K1133" s="14"/>
      <c r="L1133" s="85"/>
      <c r="M1133" s="85"/>
      <c r="N1133" s="85"/>
      <c r="O1133" s="85"/>
      <c r="P1133" s="85"/>
      <c r="Q1133" s="85"/>
      <c r="R1133" s="85"/>
      <c r="S1133" s="85"/>
      <c r="T1133" s="85"/>
      <c r="U1133" s="85"/>
      <c r="V1133" s="85"/>
      <c r="W1133" s="85"/>
      <c r="X1133" s="85"/>
      <c r="Y1133" s="85"/>
      <c r="Z1133" s="85"/>
    </row>
    <row r="1134" spans="1:26" ht="15.75" customHeight="1">
      <c r="A1134" s="205">
        <v>165</v>
      </c>
      <c r="B1134" s="205" t="s">
        <v>721</v>
      </c>
      <c r="C1134" s="205" t="s">
        <v>722</v>
      </c>
      <c r="D1134" s="206">
        <v>43411</v>
      </c>
      <c r="E1134" s="14" t="s">
        <v>2395</v>
      </c>
      <c r="F1134" s="184">
        <v>54</v>
      </c>
      <c r="G1134" s="14">
        <v>0</v>
      </c>
      <c r="H1134" s="14">
        <v>0</v>
      </c>
      <c r="I1134" s="14">
        <v>0</v>
      </c>
      <c r="J1134" s="14" t="s">
        <v>100</v>
      </c>
      <c r="K1134" s="14"/>
      <c r="L1134" s="85"/>
      <c r="M1134" s="85"/>
      <c r="N1134" s="85"/>
      <c r="O1134" s="85"/>
      <c r="P1134" s="85"/>
      <c r="Q1134" s="85"/>
      <c r="R1134" s="85"/>
      <c r="S1134" s="85"/>
      <c r="T1134" s="85"/>
      <c r="U1134" s="85"/>
      <c r="V1134" s="85"/>
      <c r="W1134" s="85"/>
      <c r="X1134" s="85"/>
      <c r="Y1134" s="85"/>
      <c r="Z1134" s="85"/>
    </row>
    <row r="1135" spans="1:26" ht="15.75" customHeight="1">
      <c r="A1135" s="205">
        <v>165</v>
      </c>
      <c r="B1135" s="205" t="s">
        <v>721</v>
      </c>
      <c r="C1135" s="205" t="s">
        <v>722</v>
      </c>
      <c r="D1135" s="206">
        <v>43411</v>
      </c>
      <c r="E1135" s="14" t="s">
        <v>2396</v>
      </c>
      <c r="F1135" s="184">
        <v>18</v>
      </c>
      <c r="G1135" s="14">
        <v>1</v>
      </c>
      <c r="H1135" s="184">
        <v>0</v>
      </c>
      <c r="I1135" s="14">
        <v>0</v>
      </c>
      <c r="J1135" s="14" t="s">
        <v>100</v>
      </c>
      <c r="K1135" s="14"/>
      <c r="L1135" s="85"/>
      <c r="M1135" s="85"/>
      <c r="N1135" s="85"/>
      <c r="O1135" s="85"/>
      <c r="P1135" s="85"/>
      <c r="Q1135" s="85"/>
      <c r="R1135" s="85"/>
      <c r="S1135" s="85"/>
      <c r="T1135" s="85"/>
      <c r="U1135" s="85"/>
      <c r="V1135" s="85"/>
      <c r="W1135" s="85"/>
      <c r="X1135" s="85"/>
      <c r="Y1135" s="85"/>
      <c r="Z1135" s="85"/>
    </row>
    <row r="1136" spans="1:26" ht="15.75" customHeight="1">
      <c r="A1136" s="205">
        <v>165</v>
      </c>
      <c r="B1136" s="205" t="s">
        <v>721</v>
      </c>
      <c r="C1136" s="205" t="s">
        <v>722</v>
      </c>
      <c r="D1136" s="206">
        <v>43411</v>
      </c>
      <c r="E1136" s="14" t="s">
        <v>2397</v>
      </c>
      <c r="F1136" s="184">
        <v>33</v>
      </c>
      <c r="G1136" s="14">
        <v>0</v>
      </c>
      <c r="H1136" s="184">
        <v>0</v>
      </c>
      <c r="I1136" s="14">
        <v>0</v>
      </c>
      <c r="J1136" s="14" t="s">
        <v>100</v>
      </c>
      <c r="K1136" s="14"/>
      <c r="L1136" s="85"/>
      <c r="M1136" s="85"/>
      <c r="N1136" s="85"/>
      <c r="O1136" s="85"/>
      <c r="P1136" s="85"/>
      <c r="Q1136" s="85"/>
      <c r="R1136" s="85"/>
      <c r="S1136" s="85"/>
      <c r="T1136" s="85"/>
      <c r="U1136" s="85"/>
      <c r="V1136" s="85"/>
      <c r="W1136" s="85"/>
      <c r="X1136" s="85"/>
      <c r="Y1136" s="85"/>
      <c r="Z1136" s="85"/>
    </row>
    <row r="1137" spans="1:26" ht="15.75" customHeight="1">
      <c r="A1137" s="205">
        <v>165</v>
      </c>
      <c r="B1137" s="205" t="s">
        <v>721</v>
      </c>
      <c r="C1137" s="205" t="s">
        <v>722</v>
      </c>
      <c r="D1137" s="206">
        <v>43411</v>
      </c>
      <c r="E1137" s="14" t="s">
        <v>2398</v>
      </c>
      <c r="F1137" s="184">
        <v>23</v>
      </c>
      <c r="G1137" s="14">
        <v>0</v>
      </c>
      <c r="H1137" s="184">
        <v>0</v>
      </c>
      <c r="I1137" s="14">
        <v>0</v>
      </c>
      <c r="J1137" s="14" t="s">
        <v>100</v>
      </c>
      <c r="K1137" s="14"/>
      <c r="L1137" s="85"/>
      <c r="M1137" s="85"/>
      <c r="N1137" s="85"/>
      <c r="O1137" s="85"/>
      <c r="P1137" s="85"/>
      <c r="Q1137" s="85"/>
      <c r="R1137" s="85"/>
      <c r="S1137" s="85"/>
      <c r="T1137" s="85"/>
      <c r="U1137" s="85"/>
      <c r="V1137" s="85"/>
      <c r="W1137" s="85"/>
      <c r="X1137" s="85"/>
      <c r="Y1137" s="85"/>
      <c r="Z1137" s="85"/>
    </row>
    <row r="1138" spans="1:26" ht="15.75" customHeight="1">
      <c r="A1138" s="205">
        <v>165</v>
      </c>
      <c r="B1138" s="205" t="s">
        <v>721</v>
      </c>
      <c r="C1138" s="205" t="s">
        <v>722</v>
      </c>
      <c r="D1138" s="206">
        <v>43411</v>
      </c>
      <c r="E1138" s="14" t="s">
        <v>2399</v>
      </c>
      <c r="F1138" s="184">
        <v>20</v>
      </c>
      <c r="G1138" s="14">
        <v>0</v>
      </c>
      <c r="H1138" s="184">
        <v>2</v>
      </c>
      <c r="I1138" s="14">
        <v>0</v>
      </c>
      <c r="J1138" s="14" t="s">
        <v>100</v>
      </c>
      <c r="K1138" s="14"/>
      <c r="L1138" s="85"/>
      <c r="M1138" s="85"/>
      <c r="N1138" s="85"/>
      <c r="O1138" s="85"/>
      <c r="P1138" s="85"/>
      <c r="Q1138" s="85"/>
      <c r="R1138" s="85"/>
      <c r="S1138" s="85"/>
      <c r="T1138" s="85"/>
      <c r="U1138" s="85"/>
      <c r="V1138" s="85"/>
      <c r="W1138" s="85"/>
      <c r="X1138" s="85"/>
      <c r="Y1138" s="85"/>
      <c r="Z1138" s="85"/>
    </row>
    <row r="1139" spans="1:26" ht="15.75" customHeight="1">
      <c r="A1139" s="205">
        <v>165</v>
      </c>
      <c r="B1139" s="205" t="s">
        <v>721</v>
      </c>
      <c r="C1139" s="205" t="s">
        <v>722</v>
      </c>
      <c r="D1139" s="206">
        <v>43411</v>
      </c>
      <c r="E1139" s="14" t="s">
        <v>2400</v>
      </c>
      <c r="F1139" s="184">
        <v>20</v>
      </c>
      <c r="G1139" s="14">
        <v>1</v>
      </c>
      <c r="H1139" s="184">
        <v>0</v>
      </c>
      <c r="I1139" s="14">
        <v>0</v>
      </c>
      <c r="J1139" s="14" t="s">
        <v>100</v>
      </c>
      <c r="K1139" s="14"/>
      <c r="L1139" s="85"/>
      <c r="M1139" s="85"/>
      <c r="N1139" s="85"/>
      <c r="O1139" s="85"/>
      <c r="P1139" s="85"/>
      <c r="Q1139" s="85"/>
      <c r="R1139" s="85"/>
      <c r="S1139" s="85"/>
      <c r="T1139" s="85"/>
      <c r="U1139" s="85"/>
      <c r="V1139" s="85"/>
      <c r="W1139" s="85"/>
      <c r="X1139" s="85"/>
      <c r="Y1139" s="85"/>
      <c r="Z1139" s="85"/>
    </row>
    <row r="1140" spans="1:26" ht="15.75" customHeight="1">
      <c r="A1140" s="205">
        <v>165</v>
      </c>
      <c r="B1140" s="205" t="s">
        <v>721</v>
      </c>
      <c r="C1140" s="205" t="s">
        <v>722</v>
      </c>
      <c r="D1140" s="206">
        <v>43411</v>
      </c>
      <c r="E1140" s="14" t="s">
        <v>2401</v>
      </c>
      <c r="F1140" s="184">
        <v>27</v>
      </c>
      <c r="G1140" s="14">
        <v>0</v>
      </c>
      <c r="H1140" s="184">
        <v>0</v>
      </c>
      <c r="I1140" s="14">
        <v>0</v>
      </c>
      <c r="J1140" s="14" t="s">
        <v>100</v>
      </c>
      <c r="K1140" s="14"/>
      <c r="L1140" s="85"/>
      <c r="M1140" s="85"/>
      <c r="N1140" s="85"/>
      <c r="O1140" s="85"/>
      <c r="P1140" s="85"/>
      <c r="Q1140" s="85"/>
      <c r="R1140" s="85"/>
      <c r="S1140" s="85"/>
      <c r="T1140" s="85"/>
      <c r="U1140" s="85"/>
      <c r="V1140" s="85"/>
      <c r="W1140" s="85"/>
      <c r="X1140" s="85"/>
      <c r="Y1140" s="85"/>
      <c r="Z1140" s="85"/>
    </row>
    <row r="1141" spans="1:26" ht="15.75" customHeight="1">
      <c r="A1141" s="205">
        <v>165</v>
      </c>
      <c r="B1141" s="205" t="s">
        <v>721</v>
      </c>
      <c r="C1141" s="205" t="s">
        <v>722</v>
      </c>
      <c r="D1141" s="206">
        <v>43411</v>
      </c>
      <c r="E1141" s="14" t="s">
        <v>2402</v>
      </c>
      <c r="F1141" s="184">
        <v>21</v>
      </c>
      <c r="G1141" s="14">
        <v>1</v>
      </c>
      <c r="H1141" s="184">
        <v>0</v>
      </c>
      <c r="I1141" s="14">
        <v>0</v>
      </c>
      <c r="J1141" s="14" t="s">
        <v>100</v>
      </c>
      <c r="K1141" s="14"/>
      <c r="L1141" s="85"/>
      <c r="M1141" s="85"/>
      <c r="N1141" s="85"/>
      <c r="O1141" s="85"/>
      <c r="P1141" s="85"/>
      <c r="Q1141" s="85"/>
      <c r="R1141" s="85"/>
      <c r="S1141" s="85"/>
      <c r="T1141" s="85"/>
      <c r="U1141" s="85"/>
      <c r="V1141" s="85"/>
      <c r="W1141" s="85"/>
      <c r="X1141" s="85"/>
      <c r="Y1141" s="85"/>
      <c r="Z1141" s="85"/>
    </row>
    <row r="1142" spans="1:26" ht="15.75" customHeight="1">
      <c r="A1142" s="191">
        <v>166</v>
      </c>
      <c r="B1142" s="191" t="s">
        <v>725</v>
      </c>
      <c r="C1142" s="191" t="s">
        <v>726</v>
      </c>
      <c r="D1142" s="192">
        <v>43488</v>
      </c>
      <c r="E1142" s="14" t="s">
        <v>2403</v>
      </c>
      <c r="F1142" s="184">
        <v>54</v>
      </c>
      <c r="G1142" s="14">
        <v>1</v>
      </c>
      <c r="H1142" s="14">
        <v>0</v>
      </c>
      <c r="I1142" s="14">
        <v>0</v>
      </c>
      <c r="J1142" s="14" t="s">
        <v>100</v>
      </c>
      <c r="K1142" s="14"/>
      <c r="L1142" s="85"/>
      <c r="M1142" s="85"/>
      <c r="N1142" s="85"/>
      <c r="O1142" s="85"/>
      <c r="P1142" s="85"/>
      <c r="Q1142" s="85"/>
      <c r="R1142" s="85"/>
      <c r="S1142" s="85"/>
      <c r="T1142" s="85"/>
      <c r="U1142" s="85"/>
      <c r="V1142" s="85"/>
      <c r="W1142" s="85"/>
      <c r="X1142" s="85"/>
      <c r="Y1142" s="85"/>
      <c r="Z1142" s="85"/>
    </row>
    <row r="1143" spans="1:26" ht="15.75" customHeight="1">
      <c r="A1143" s="191">
        <v>166</v>
      </c>
      <c r="B1143" s="191" t="s">
        <v>725</v>
      </c>
      <c r="C1143" s="191" t="s">
        <v>726</v>
      </c>
      <c r="D1143" s="192">
        <v>43488</v>
      </c>
      <c r="E1143" s="14" t="s">
        <v>2404</v>
      </c>
      <c r="F1143" s="184">
        <v>55</v>
      </c>
      <c r="G1143" s="14">
        <v>1</v>
      </c>
      <c r="H1143" s="14">
        <v>2</v>
      </c>
      <c r="I1143" s="14">
        <v>0</v>
      </c>
      <c r="J1143" s="14" t="s">
        <v>100</v>
      </c>
      <c r="K1143" s="14"/>
      <c r="L1143" s="85"/>
      <c r="M1143" s="85"/>
      <c r="N1143" s="85"/>
      <c r="O1143" s="85"/>
      <c r="P1143" s="85"/>
      <c r="Q1143" s="85"/>
      <c r="R1143" s="85"/>
      <c r="S1143" s="85"/>
      <c r="T1143" s="85"/>
      <c r="U1143" s="85"/>
      <c r="V1143" s="85"/>
      <c r="W1143" s="85"/>
      <c r="X1143" s="85"/>
      <c r="Y1143" s="85"/>
      <c r="Z1143" s="85"/>
    </row>
    <row r="1144" spans="1:26" ht="15.75" customHeight="1">
      <c r="A1144" s="191">
        <v>166</v>
      </c>
      <c r="B1144" s="191" t="s">
        <v>725</v>
      </c>
      <c r="C1144" s="191" t="s">
        <v>726</v>
      </c>
      <c r="D1144" s="192">
        <v>43488</v>
      </c>
      <c r="E1144" s="14" t="s">
        <v>2405</v>
      </c>
      <c r="F1144" s="184">
        <v>31</v>
      </c>
      <c r="G1144" s="14">
        <v>1</v>
      </c>
      <c r="H1144" s="14">
        <v>0</v>
      </c>
      <c r="I1144" s="14">
        <v>0</v>
      </c>
      <c r="J1144" s="14" t="s">
        <v>100</v>
      </c>
      <c r="K1144" s="14"/>
      <c r="L1144" s="85"/>
      <c r="M1144" s="85"/>
      <c r="N1144" s="85"/>
      <c r="O1144" s="85"/>
      <c r="P1144" s="85"/>
      <c r="Q1144" s="85"/>
      <c r="R1144" s="85"/>
      <c r="S1144" s="85"/>
      <c r="T1144" s="85"/>
      <c r="U1144" s="85"/>
      <c r="V1144" s="85"/>
      <c r="W1144" s="85"/>
      <c r="X1144" s="85"/>
      <c r="Y1144" s="85"/>
      <c r="Z1144" s="85"/>
    </row>
    <row r="1145" spans="1:26" ht="15.75" customHeight="1">
      <c r="A1145" s="191">
        <v>166</v>
      </c>
      <c r="B1145" s="191" t="s">
        <v>725</v>
      </c>
      <c r="C1145" s="191" t="s">
        <v>726</v>
      </c>
      <c r="D1145" s="192">
        <v>43488</v>
      </c>
      <c r="E1145" s="14" t="s">
        <v>2406</v>
      </c>
      <c r="F1145" s="184">
        <v>38</v>
      </c>
      <c r="G1145" s="14">
        <v>1</v>
      </c>
      <c r="H1145" s="14">
        <v>2</v>
      </c>
      <c r="I1145" s="14">
        <v>0</v>
      </c>
      <c r="J1145" s="14" t="s">
        <v>100</v>
      </c>
      <c r="K1145" s="14"/>
      <c r="L1145" s="85"/>
      <c r="M1145" s="85"/>
      <c r="N1145" s="85"/>
      <c r="O1145" s="85"/>
      <c r="P1145" s="85"/>
      <c r="Q1145" s="85"/>
      <c r="R1145" s="85"/>
      <c r="S1145" s="85"/>
      <c r="T1145" s="85"/>
      <c r="U1145" s="85"/>
      <c r="V1145" s="85"/>
      <c r="W1145" s="85"/>
      <c r="X1145" s="85"/>
      <c r="Y1145" s="85"/>
      <c r="Z1145" s="85"/>
    </row>
    <row r="1146" spans="1:26" ht="15.75" customHeight="1">
      <c r="A1146" s="191">
        <v>166</v>
      </c>
      <c r="B1146" s="191" t="s">
        <v>725</v>
      </c>
      <c r="C1146" s="191" t="s">
        <v>726</v>
      </c>
      <c r="D1146" s="192">
        <v>43488</v>
      </c>
      <c r="E1146" s="14" t="s">
        <v>2407</v>
      </c>
      <c r="F1146" s="184">
        <v>65</v>
      </c>
      <c r="G1146" s="184">
        <v>1</v>
      </c>
      <c r="H1146" s="184">
        <v>0</v>
      </c>
      <c r="I1146" s="14">
        <v>0</v>
      </c>
      <c r="J1146" s="14" t="s">
        <v>100</v>
      </c>
      <c r="K1146" s="14"/>
      <c r="L1146" s="85"/>
      <c r="M1146" s="85"/>
      <c r="N1146" s="85"/>
      <c r="O1146" s="85"/>
      <c r="P1146" s="85"/>
      <c r="Q1146" s="85"/>
      <c r="R1146" s="85"/>
      <c r="S1146" s="85"/>
      <c r="T1146" s="85"/>
      <c r="U1146" s="85"/>
      <c r="V1146" s="85"/>
      <c r="W1146" s="85"/>
      <c r="X1146" s="85"/>
      <c r="Y1146" s="85"/>
      <c r="Z1146" s="85"/>
    </row>
    <row r="1147" spans="1:26" ht="15.75" customHeight="1">
      <c r="A1147" s="193">
        <v>167</v>
      </c>
      <c r="B1147" s="193" t="s">
        <v>728</v>
      </c>
      <c r="C1147" s="193" t="s">
        <v>729</v>
      </c>
      <c r="D1147" s="194">
        <v>43511</v>
      </c>
      <c r="E1147" s="14" t="s">
        <v>2408</v>
      </c>
      <c r="F1147" s="184">
        <v>47</v>
      </c>
      <c r="G1147" s="14">
        <v>0</v>
      </c>
      <c r="H1147" s="184">
        <v>0</v>
      </c>
      <c r="I1147" s="184">
        <v>1</v>
      </c>
      <c r="J1147" s="14" t="s">
        <v>1175</v>
      </c>
      <c r="K1147" s="14"/>
      <c r="L1147" s="85"/>
      <c r="M1147" s="85"/>
      <c r="N1147" s="85"/>
      <c r="O1147" s="85"/>
      <c r="P1147" s="85"/>
      <c r="Q1147" s="85"/>
      <c r="R1147" s="85"/>
      <c r="S1147" s="85"/>
      <c r="T1147" s="85"/>
      <c r="U1147" s="85"/>
      <c r="V1147" s="85"/>
      <c r="W1147" s="85"/>
      <c r="X1147" s="85"/>
      <c r="Y1147" s="85"/>
      <c r="Z1147" s="85"/>
    </row>
    <row r="1148" spans="1:26" ht="15.75" customHeight="1">
      <c r="A1148" s="193">
        <v>167</v>
      </c>
      <c r="B1148" s="193" t="s">
        <v>728</v>
      </c>
      <c r="C1148" s="193" t="s">
        <v>729</v>
      </c>
      <c r="D1148" s="194">
        <v>43511</v>
      </c>
      <c r="E1148" s="14" t="s">
        <v>2409</v>
      </c>
      <c r="F1148" s="184">
        <v>32</v>
      </c>
      <c r="G1148" s="14">
        <v>0</v>
      </c>
      <c r="H1148" s="184">
        <v>0</v>
      </c>
      <c r="I1148" s="184">
        <v>1</v>
      </c>
      <c r="J1148" s="14" t="s">
        <v>1179</v>
      </c>
      <c r="K1148" s="14"/>
      <c r="L1148" s="85"/>
      <c r="M1148" s="85"/>
      <c r="N1148" s="85"/>
      <c r="O1148" s="85"/>
      <c r="P1148" s="85"/>
      <c r="Q1148" s="85"/>
      <c r="R1148" s="85"/>
      <c r="S1148" s="85"/>
      <c r="T1148" s="85"/>
      <c r="U1148" s="85"/>
      <c r="V1148" s="85"/>
      <c r="W1148" s="85"/>
      <c r="X1148" s="85"/>
      <c r="Y1148" s="85"/>
      <c r="Z1148" s="85"/>
    </row>
    <row r="1149" spans="1:26" ht="15.75" customHeight="1">
      <c r="A1149" s="193">
        <v>167</v>
      </c>
      <c r="B1149" s="193" t="s">
        <v>728</v>
      </c>
      <c r="C1149" s="193" t="s">
        <v>729</v>
      </c>
      <c r="D1149" s="194">
        <v>43511</v>
      </c>
      <c r="E1149" s="14" t="s">
        <v>2410</v>
      </c>
      <c r="F1149" s="184">
        <v>54</v>
      </c>
      <c r="G1149" s="14">
        <v>0</v>
      </c>
      <c r="H1149" s="184">
        <v>2</v>
      </c>
      <c r="I1149" s="184">
        <v>1</v>
      </c>
      <c r="J1149" s="14" t="s">
        <v>1175</v>
      </c>
      <c r="K1149" s="14"/>
      <c r="L1149" s="85"/>
      <c r="M1149" s="85"/>
      <c r="N1149" s="85"/>
      <c r="O1149" s="85"/>
      <c r="P1149" s="85"/>
      <c r="Q1149" s="85"/>
      <c r="R1149" s="85"/>
      <c r="S1149" s="85"/>
      <c r="T1149" s="85"/>
      <c r="U1149" s="85"/>
      <c r="V1149" s="85"/>
      <c r="W1149" s="85"/>
      <c r="X1149" s="85"/>
      <c r="Y1149" s="85"/>
      <c r="Z1149" s="85"/>
    </row>
    <row r="1150" spans="1:26" ht="15.75" customHeight="1">
      <c r="A1150" s="193">
        <v>167</v>
      </c>
      <c r="B1150" s="193" t="s">
        <v>728</v>
      </c>
      <c r="C1150" s="193" t="s">
        <v>729</v>
      </c>
      <c r="D1150" s="194">
        <v>43511</v>
      </c>
      <c r="E1150" s="14" t="s">
        <v>2411</v>
      </c>
      <c r="F1150" s="184">
        <v>37</v>
      </c>
      <c r="G1150" s="14">
        <v>0</v>
      </c>
      <c r="H1150" s="184">
        <v>0</v>
      </c>
      <c r="I1150" s="184">
        <v>1</v>
      </c>
      <c r="J1150" s="14" t="s">
        <v>1179</v>
      </c>
      <c r="K1150" s="14"/>
      <c r="L1150" s="85"/>
      <c r="M1150" s="85"/>
      <c r="N1150" s="85"/>
      <c r="O1150" s="85"/>
      <c r="P1150" s="85"/>
      <c r="Q1150" s="85"/>
      <c r="R1150" s="85"/>
      <c r="S1150" s="85"/>
      <c r="T1150" s="85"/>
      <c r="U1150" s="85"/>
      <c r="V1150" s="85"/>
      <c r="W1150" s="85"/>
      <c r="X1150" s="85"/>
      <c r="Y1150" s="85"/>
      <c r="Z1150" s="85"/>
    </row>
    <row r="1151" spans="1:26" ht="15.75" customHeight="1">
      <c r="A1151" s="193">
        <v>167</v>
      </c>
      <c r="B1151" s="193" t="s">
        <v>728</v>
      </c>
      <c r="C1151" s="193" t="s">
        <v>729</v>
      </c>
      <c r="D1151" s="194">
        <v>43511</v>
      </c>
      <c r="E1151" s="14" t="s">
        <v>2412</v>
      </c>
      <c r="F1151" s="184">
        <v>21</v>
      </c>
      <c r="G1151" s="14">
        <v>0</v>
      </c>
      <c r="H1151" s="184">
        <v>0</v>
      </c>
      <c r="I1151" s="184">
        <v>0</v>
      </c>
      <c r="J1151" s="14" t="s">
        <v>2413</v>
      </c>
      <c r="K1151" s="14"/>
      <c r="L1151" s="85"/>
      <c r="M1151" s="85"/>
      <c r="N1151" s="85"/>
      <c r="O1151" s="85"/>
      <c r="P1151" s="85"/>
      <c r="Q1151" s="85"/>
      <c r="R1151" s="85"/>
      <c r="S1151" s="85"/>
      <c r="T1151" s="85"/>
      <c r="U1151" s="85"/>
      <c r="V1151" s="85"/>
      <c r="W1151" s="85"/>
      <c r="X1151" s="85"/>
      <c r="Y1151" s="85"/>
      <c r="Z1151" s="85"/>
    </row>
    <row r="1152" spans="1:26" ht="15.75" customHeight="1">
      <c r="A1152" s="195">
        <v>168</v>
      </c>
      <c r="B1152" s="195" t="s">
        <v>731</v>
      </c>
      <c r="C1152" s="195" t="s">
        <v>732</v>
      </c>
      <c r="D1152" s="196">
        <v>43616</v>
      </c>
      <c r="E1152" s="14" t="s">
        <v>2414</v>
      </c>
      <c r="F1152" s="184">
        <v>39</v>
      </c>
      <c r="G1152" s="14">
        <v>1</v>
      </c>
      <c r="H1152" s="184">
        <v>1</v>
      </c>
      <c r="I1152" s="14">
        <v>1</v>
      </c>
      <c r="J1152" s="14" t="s">
        <v>1175</v>
      </c>
      <c r="K1152" s="14"/>
      <c r="L1152" s="85"/>
      <c r="M1152" s="85"/>
      <c r="N1152" s="85"/>
      <c r="O1152" s="85"/>
      <c r="P1152" s="85"/>
      <c r="Q1152" s="85"/>
      <c r="R1152" s="85"/>
      <c r="S1152" s="85"/>
      <c r="T1152" s="85"/>
      <c r="U1152" s="85"/>
      <c r="V1152" s="85"/>
      <c r="W1152" s="85"/>
      <c r="X1152" s="85"/>
      <c r="Y1152" s="85"/>
      <c r="Z1152" s="85"/>
    </row>
    <row r="1153" spans="1:26" ht="15.75" customHeight="1">
      <c r="A1153" s="195">
        <v>168</v>
      </c>
      <c r="B1153" s="195" t="s">
        <v>731</v>
      </c>
      <c r="C1153" s="195" t="s">
        <v>732</v>
      </c>
      <c r="D1153" s="196">
        <v>43616</v>
      </c>
      <c r="E1153" s="14" t="s">
        <v>2415</v>
      </c>
      <c r="F1153" s="184">
        <v>50</v>
      </c>
      <c r="G1153" s="14">
        <v>0</v>
      </c>
      <c r="H1153" s="184">
        <v>1</v>
      </c>
      <c r="I1153" s="14">
        <v>1</v>
      </c>
      <c r="J1153" s="14" t="s">
        <v>1175</v>
      </c>
      <c r="K1153" s="14"/>
      <c r="L1153" s="85"/>
      <c r="M1153" s="85"/>
      <c r="N1153" s="85"/>
      <c r="O1153" s="85"/>
      <c r="P1153" s="85"/>
      <c r="Q1153" s="85"/>
      <c r="R1153" s="85"/>
      <c r="S1153" s="85"/>
      <c r="T1153" s="85"/>
      <c r="U1153" s="85"/>
      <c r="V1153" s="85"/>
      <c r="W1153" s="85"/>
      <c r="X1153" s="85"/>
      <c r="Y1153" s="85"/>
      <c r="Z1153" s="85"/>
    </row>
    <row r="1154" spans="1:26" ht="15.75" customHeight="1">
      <c r="A1154" s="195">
        <v>168</v>
      </c>
      <c r="B1154" s="195" t="s">
        <v>731</v>
      </c>
      <c r="C1154" s="195" t="s">
        <v>732</v>
      </c>
      <c r="D1154" s="196">
        <v>43616</v>
      </c>
      <c r="E1154" s="14" t="s">
        <v>2416</v>
      </c>
      <c r="F1154" s="184">
        <v>39</v>
      </c>
      <c r="G1154" s="14">
        <v>1</v>
      </c>
      <c r="H1154" s="184">
        <v>0</v>
      </c>
      <c r="I1154" s="14">
        <v>1</v>
      </c>
      <c r="J1154" s="14" t="s">
        <v>1175</v>
      </c>
      <c r="K1154" s="14"/>
      <c r="L1154" s="85"/>
      <c r="M1154" s="85"/>
      <c r="N1154" s="85"/>
      <c r="O1154" s="85"/>
      <c r="P1154" s="85"/>
      <c r="Q1154" s="85"/>
      <c r="R1154" s="85"/>
      <c r="S1154" s="85"/>
      <c r="T1154" s="85"/>
      <c r="U1154" s="85"/>
      <c r="V1154" s="85"/>
      <c r="W1154" s="85"/>
      <c r="X1154" s="85"/>
      <c r="Y1154" s="85"/>
      <c r="Z1154" s="85"/>
    </row>
    <row r="1155" spans="1:26" ht="15.75" customHeight="1">
      <c r="A1155" s="195">
        <v>168</v>
      </c>
      <c r="B1155" s="195" t="s">
        <v>731</v>
      </c>
      <c r="C1155" s="195" t="s">
        <v>732</v>
      </c>
      <c r="D1155" s="196">
        <v>43616</v>
      </c>
      <c r="E1155" s="14" t="s">
        <v>2417</v>
      </c>
      <c r="F1155" s="184">
        <v>65</v>
      </c>
      <c r="G1155" s="14">
        <v>1</v>
      </c>
      <c r="H1155" s="184">
        <v>0</v>
      </c>
      <c r="I1155" s="14">
        <v>1</v>
      </c>
      <c r="J1155" s="14" t="s">
        <v>1175</v>
      </c>
      <c r="K1155" s="14"/>
      <c r="L1155" s="85"/>
      <c r="M1155" s="85"/>
      <c r="N1155" s="85"/>
      <c r="O1155" s="85"/>
      <c r="P1155" s="85"/>
      <c r="Q1155" s="85"/>
      <c r="R1155" s="85"/>
      <c r="S1155" s="85"/>
      <c r="T1155" s="85"/>
      <c r="U1155" s="85"/>
      <c r="V1155" s="85"/>
      <c r="W1155" s="85"/>
      <c r="X1155" s="85"/>
      <c r="Y1155" s="85"/>
      <c r="Z1155" s="85"/>
    </row>
    <row r="1156" spans="1:26" ht="15.75" customHeight="1">
      <c r="A1156" s="195">
        <v>168</v>
      </c>
      <c r="B1156" s="195" t="s">
        <v>731</v>
      </c>
      <c r="C1156" s="195" t="s">
        <v>732</v>
      </c>
      <c r="D1156" s="196">
        <v>43616</v>
      </c>
      <c r="E1156" s="14" t="s">
        <v>2418</v>
      </c>
      <c r="F1156" s="184">
        <v>35</v>
      </c>
      <c r="G1156" s="14">
        <v>0</v>
      </c>
      <c r="H1156" s="184">
        <v>0</v>
      </c>
      <c r="I1156" s="14">
        <v>1</v>
      </c>
      <c r="J1156" s="14" t="s">
        <v>1175</v>
      </c>
      <c r="K1156" s="14"/>
      <c r="L1156" s="85"/>
      <c r="M1156" s="85"/>
      <c r="N1156" s="85"/>
      <c r="O1156" s="85"/>
      <c r="P1156" s="85"/>
      <c r="Q1156" s="85"/>
      <c r="R1156" s="85"/>
      <c r="S1156" s="85"/>
      <c r="T1156" s="85"/>
      <c r="U1156" s="85"/>
      <c r="V1156" s="85"/>
      <c r="W1156" s="85"/>
      <c r="X1156" s="85"/>
      <c r="Y1156" s="85"/>
      <c r="Z1156" s="85"/>
    </row>
    <row r="1157" spans="1:26" ht="15.75" customHeight="1">
      <c r="A1157" s="195">
        <v>168</v>
      </c>
      <c r="B1157" s="195" t="s">
        <v>731</v>
      </c>
      <c r="C1157" s="195" t="s">
        <v>732</v>
      </c>
      <c r="D1157" s="196">
        <v>43616</v>
      </c>
      <c r="E1157" s="14" t="s">
        <v>2419</v>
      </c>
      <c r="F1157" s="184">
        <v>52</v>
      </c>
      <c r="G1157" s="14">
        <v>0</v>
      </c>
      <c r="H1157" s="184">
        <v>1</v>
      </c>
      <c r="I1157" s="14">
        <v>1</v>
      </c>
      <c r="J1157" s="14" t="s">
        <v>1175</v>
      </c>
      <c r="K1157" s="14"/>
      <c r="L1157" s="85"/>
      <c r="M1157" s="85"/>
      <c r="N1157" s="85"/>
      <c r="O1157" s="85"/>
      <c r="P1157" s="85"/>
      <c r="Q1157" s="85"/>
      <c r="R1157" s="85"/>
      <c r="S1157" s="85"/>
      <c r="T1157" s="85"/>
      <c r="U1157" s="85"/>
      <c r="V1157" s="85"/>
      <c r="W1157" s="85"/>
      <c r="X1157" s="85"/>
      <c r="Y1157" s="85"/>
      <c r="Z1157" s="85"/>
    </row>
    <row r="1158" spans="1:26" ht="15.75" customHeight="1">
      <c r="A1158" s="195">
        <v>168</v>
      </c>
      <c r="B1158" s="195" t="s">
        <v>731</v>
      </c>
      <c r="C1158" s="195" t="s">
        <v>732</v>
      </c>
      <c r="D1158" s="196">
        <v>43616</v>
      </c>
      <c r="E1158" s="14" t="s">
        <v>2420</v>
      </c>
      <c r="F1158" s="184">
        <v>60</v>
      </c>
      <c r="G1158" s="14">
        <v>1</v>
      </c>
      <c r="H1158" s="184">
        <v>0</v>
      </c>
      <c r="I1158" s="14">
        <v>1</v>
      </c>
      <c r="J1158" s="14" t="s">
        <v>1175</v>
      </c>
      <c r="K1158" s="14"/>
      <c r="L1158" s="85"/>
      <c r="M1158" s="85"/>
      <c r="N1158" s="85"/>
      <c r="O1158" s="85"/>
      <c r="P1158" s="85"/>
      <c r="Q1158" s="85"/>
      <c r="R1158" s="85"/>
      <c r="S1158" s="85"/>
      <c r="T1158" s="85"/>
      <c r="U1158" s="85"/>
      <c r="V1158" s="85"/>
      <c r="W1158" s="85"/>
      <c r="X1158" s="85"/>
      <c r="Y1158" s="85"/>
      <c r="Z1158" s="85"/>
    </row>
    <row r="1159" spans="1:26" ht="15.75" customHeight="1">
      <c r="A1159" s="195">
        <v>168</v>
      </c>
      <c r="B1159" s="195" t="s">
        <v>731</v>
      </c>
      <c r="C1159" s="195" t="s">
        <v>732</v>
      </c>
      <c r="D1159" s="196">
        <v>43616</v>
      </c>
      <c r="E1159" s="14" t="s">
        <v>2421</v>
      </c>
      <c r="F1159" s="184">
        <v>65</v>
      </c>
      <c r="G1159" s="14">
        <v>0</v>
      </c>
      <c r="H1159" s="184">
        <v>3</v>
      </c>
      <c r="I1159" s="14">
        <v>1</v>
      </c>
      <c r="J1159" s="14" t="s">
        <v>1175</v>
      </c>
      <c r="K1159" s="14"/>
      <c r="L1159" s="85"/>
      <c r="M1159" s="85"/>
      <c r="N1159" s="85"/>
      <c r="O1159" s="85"/>
      <c r="P1159" s="85"/>
      <c r="Q1159" s="85"/>
      <c r="R1159" s="85"/>
      <c r="S1159" s="85"/>
      <c r="T1159" s="85"/>
      <c r="U1159" s="85"/>
      <c r="V1159" s="85"/>
      <c r="W1159" s="85"/>
      <c r="X1159" s="85"/>
      <c r="Y1159" s="85"/>
      <c r="Z1159" s="85"/>
    </row>
    <row r="1160" spans="1:26" ht="15.75" customHeight="1">
      <c r="A1160" s="195">
        <v>168</v>
      </c>
      <c r="B1160" s="195" t="s">
        <v>731</v>
      </c>
      <c r="C1160" s="195" t="s">
        <v>732</v>
      </c>
      <c r="D1160" s="196">
        <v>43616</v>
      </c>
      <c r="E1160" s="14" t="s">
        <v>2422</v>
      </c>
      <c r="F1160" s="184">
        <v>42</v>
      </c>
      <c r="G1160" s="14">
        <v>1</v>
      </c>
      <c r="H1160" s="184">
        <v>0</v>
      </c>
      <c r="I1160" s="14">
        <v>1</v>
      </c>
      <c r="J1160" s="14" t="s">
        <v>1175</v>
      </c>
      <c r="K1160" s="14"/>
      <c r="L1160" s="85"/>
      <c r="M1160" s="85"/>
      <c r="N1160" s="85"/>
      <c r="O1160" s="85"/>
      <c r="P1160" s="85"/>
      <c r="Q1160" s="85"/>
      <c r="R1160" s="85"/>
      <c r="S1160" s="85"/>
      <c r="T1160" s="85"/>
      <c r="U1160" s="85"/>
      <c r="V1160" s="85"/>
      <c r="W1160" s="85"/>
      <c r="X1160" s="85"/>
      <c r="Y1160" s="85"/>
      <c r="Z1160" s="85"/>
    </row>
    <row r="1161" spans="1:26" ht="15.75" customHeight="1">
      <c r="A1161" s="195">
        <v>168</v>
      </c>
      <c r="B1161" s="195" t="s">
        <v>731</v>
      </c>
      <c r="C1161" s="195" t="s">
        <v>732</v>
      </c>
      <c r="D1161" s="196">
        <v>43616</v>
      </c>
      <c r="E1161" s="14" t="s">
        <v>2423</v>
      </c>
      <c r="F1161" s="184">
        <v>54</v>
      </c>
      <c r="G1161" s="14">
        <v>0</v>
      </c>
      <c r="H1161" s="184">
        <v>0</v>
      </c>
      <c r="I1161" s="14">
        <v>1</v>
      </c>
      <c r="J1161" s="14" t="s">
        <v>1175</v>
      </c>
      <c r="K1161" s="14"/>
      <c r="L1161" s="85"/>
      <c r="M1161" s="85"/>
      <c r="N1161" s="85"/>
      <c r="O1161" s="85"/>
      <c r="P1161" s="85"/>
      <c r="Q1161" s="85"/>
      <c r="R1161" s="85"/>
      <c r="S1161" s="85"/>
      <c r="T1161" s="85"/>
      <c r="U1161" s="85"/>
      <c r="V1161" s="85"/>
      <c r="W1161" s="85"/>
      <c r="X1161" s="85"/>
      <c r="Y1161" s="85"/>
      <c r="Z1161" s="85"/>
    </row>
    <row r="1162" spans="1:26" ht="15.75" customHeight="1">
      <c r="A1162" s="195">
        <v>168</v>
      </c>
      <c r="B1162" s="195" t="s">
        <v>731</v>
      </c>
      <c r="C1162" s="195" t="s">
        <v>732</v>
      </c>
      <c r="D1162" s="196">
        <v>43616</v>
      </c>
      <c r="E1162" s="14" t="s">
        <v>2424</v>
      </c>
      <c r="F1162" s="184">
        <v>57</v>
      </c>
      <c r="G1162" s="14">
        <v>0</v>
      </c>
      <c r="H1162" s="184">
        <v>0</v>
      </c>
      <c r="I1162" s="184">
        <v>0</v>
      </c>
      <c r="J1162" s="14" t="s">
        <v>100</v>
      </c>
      <c r="K1162" s="14"/>
      <c r="L1162" s="85"/>
      <c r="M1162" s="85"/>
      <c r="N1162" s="85"/>
      <c r="O1162" s="85"/>
      <c r="P1162" s="85"/>
      <c r="Q1162" s="85"/>
      <c r="R1162" s="85"/>
      <c r="S1162" s="85"/>
      <c r="T1162" s="85"/>
      <c r="U1162" s="85"/>
      <c r="V1162" s="85"/>
      <c r="W1162" s="85"/>
      <c r="X1162" s="85"/>
      <c r="Y1162" s="85"/>
      <c r="Z1162" s="85"/>
    </row>
    <row r="1163" spans="1:26" ht="15.75" customHeight="1">
      <c r="A1163" s="195">
        <v>168</v>
      </c>
      <c r="B1163" s="195" t="s">
        <v>731</v>
      </c>
      <c r="C1163" s="195" t="s">
        <v>732</v>
      </c>
      <c r="D1163" s="196">
        <v>43616</v>
      </c>
      <c r="E1163" s="14" t="s">
        <v>2425</v>
      </c>
      <c r="F1163" s="184">
        <v>72</v>
      </c>
      <c r="G1163" s="14">
        <v>0</v>
      </c>
      <c r="H1163" s="184">
        <v>0</v>
      </c>
      <c r="I1163" s="14">
        <v>1</v>
      </c>
      <c r="J1163" s="14" t="s">
        <v>1175</v>
      </c>
      <c r="K1163" s="14"/>
      <c r="L1163" s="85"/>
      <c r="M1163" s="85"/>
      <c r="N1163" s="85"/>
      <c r="O1163" s="85"/>
      <c r="P1163" s="85"/>
      <c r="Q1163" s="85"/>
      <c r="R1163" s="85"/>
      <c r="S1163" s="85"/>
      <c r="T1163" s="85"/>
      <c r="U1163" s="85"/>
      <c r="V1163" s="85"/>
      <c r="W1163" s="85"/>
      <c r="X1163" s="85"/>
      <c r="Y1163" s="85"/>
      <c r="Z1163" s="85"/>
    </row>
    <row r="1164" spans="1:26" ht="15.75" customHeight="1">
      <c r="A1164" s="197">
        <v>169</v>
      </c>
      <c r="B1164" s="197" t="s">
        <v>736</v>
      </c>
      <c r="C1164" s="197" t="s">
        <v>234</v>
      </c>
      <c r="D1164" s="198">
        <v>43680</v>
      </c>
      <c r="E1164" s="14" t="s">
        <v>2426</v>
      </c>
      <c r="F1164" s="184">
        <v>25</v>
      </c>
      <c r="G1164" s="14">
        <v>1</v>
      </c>
      <c r="H1164" s="184">
        <v>0</v>
      </c>
      <c r="I1164" s="14">
        <v>0</v>
      </c>
      <c r="J1164" s="14" t="s">
        <v>100</v>
      </c>
      <c r="K1164" s="14"/>
      <c r="L1164" s="85"/>
      <c r="M1164" s="85"/>
      <c r="N1164" s="85"/>
      <c r="O1164" s="85"/>
      <c r="P1164" s="85"/>
      <c r="Q1164" s="85"/>
      <c r="R1164" s="85"/>
      <c r="S1164" s="85"/>
      <c r="T1164" s="85"/>
      <c r="U1164" s="85"/>
      <c r="V1164" s="85"/>
      <c r="W1164" s="85"/>
      <c r="X1164" s="85"/>
      <c r="Y1164" s="85"/>
      <c r="Z1164" s="85"/>
    </row>
    <row r="1165" spans="1:26" ht="15.75" customHeight="1">
      <c r="A1165" s="197">
        <v>169</v>
      </c>
      <c r="B1165" s="197" t="s">
        <v>736</v>
      </c>
      <c r="C1165" s="197" t="s">
        <v>234</v>
      </c>
      <c r="D1165" s="198">
        <v>43680</v>
      </c>
      <c r="E1165" s="14" t="s">
        <v>2427</v>
      </c>
      <c r="F1165" s="184">
        <v>23</v>
      </c>
      <c r="G1165" s="14">
        <v>0</v>
      </c>
      <c r="H1165" s="184">
        <v>2</v>
      </c>
      <c r="I1165" s="14">
        <v>0</v>
      </c>
      <c r="J1165" s="14" t="s">
        <v>100</v>
      </c>
      <c r="K1165" s="14"/>
      <c r="L1165" s="85"/>
      <c r="M1165" s="85"/>
      <c r="N1165" s="85"/>
      <c r="O1165" s="85"/>
      <c r="P1165" s="85"/>
      <c r="Q1165" s="85"/>
      <c r="R1165" s="85"/>
      <c r="S1165" s="85"/>
      <c r="T1165" s="85"/>
      <c r="U1165" s="85"/>
      <c r="V1165" s="85"/>
      <c r="W1165" s="85"/>
      <c r="X1165" s="85"/>
      <c r="Y1165" s="85"/>
      <c r="Z1165" s="85"/>
    </row>
    <row r="1166" spans="1:26" ht="15.75" customHeight="1">
      <c r="A1166" s="197">
        <v>169</v>
      </c>
      <c r="B1166" s="197" t="s">
        <v>736</v>
      </c>
      <c r="C1166" s="197" t="s">
        <v>234</v>
      </c>
      <c r="D1166" s="198">
        <v>43680</v>
      </c>
      <c r="E1166" s="14" t="s">
        <v>2428</v>
      </c>
      <c r="F1166" s="184">
        <v>60</v>
      </c>
      <c r="G1166" s="14">
        <v>0</v>
      </c>
      <c r="H1166" s="184">
        <v>2</v>
      </c>
      <c r="I1166" s="14">
        <v>0</v>
      </c>
      <c r="J1166" s="14" t="s">
        <v>100</v>
      </c>
      <c r="K1166" s="14"/>
      <c r="L1166" s="85"/>
      <c r="M1166" s="85"/>
      <c r="N1166" s="85"/>
      <c r="O1166" s="85"/>
      <c r="P1166" s="85"/>
      <c r="Q1166" s="85"/>
      <c r="R1166" s="85"/>
      <c r="S1166" s="85"/>
      <c r="T1166" s="85"/>
      <c r="U1166" s="85"/>
      <c r="V1166" s="85"/>
      <c r="W1166" s="85"/>
      <c r="X1166" s="85"/>
      <c r="Y1166" s="85"/>
      <c r="Z1166" s="85"/>
    </row>
    <row r="1167" spans="1:26" ht="15.75" customHeight="1">
      <c r="A1167" s="197">
        <v>169</v>
      </c>
      <c r="B1167" s="197" t="s">
        <v>736</v>
      </c>
      <c r="C1167" s="197" t="s">
        <v>234</v>
      </c>
      <c r="D1167" s="198">
        <v>43680</v>
      </c>
      <c r="E1167" s="14" t="s">
        <v>2429</v>
      </c>
      <c r="F1167" s="184">
        <v>41</v>
      </c>
      <c r="G1167" s="14">
        <v>0</v>
      </c>
      <c r="H1167" s="184">
        <v>2</v>
      </c>
      <c r="I1167" s="14">
        <v>0</v>
      </c>
      <c r="J1167" s="14" t="s">
        <v>100</v>
      </c>
      <c r="K1167" s="14"/>
      <c r="L1167" s="85"/>
      <c r="M1167" s="85"/>
      <c r="N1167" s="85"/>
      <c r="O1167" s="85"/>
      <c r="P1167" s="85"/>
      <c r="Q1167" s="85"/>
      <c r="R1167" s="85"/>
      <c r="S1167" s="85"/>
      <c r="T1167" s="85"/>
      <c r="U1167" s="85"/>
      <c r="V1167" s="85"/>
      <c r="W1167" s="85"/>
      <c r="X1167" s="85"/>
      <c r="Y1167" s="85"/>
      <c r="Z1167" s="85"/>
    </row>
    <row r="1168" spans="1:26" ht="15.75" customHeight="1">
      <c r="A1168" s="197">
        <v>169</v>
      </c>
      <c r="B1168" s="197" t="s">
        <v>736</v>
      </c>
      <c r="C1168" s="197" t="s">
        <v>234</v>
      </c>
      <c r="D1168" s="198">
        <v>43680</v>
      </c>
      <c r="E1168" s="14" t="s">
        <v>2430</v>
      </c>
      <c r="F1168" s="184">
        <v>56</v>
      </c>
      <c r="G1168" s="14">
        <v>1</v>
      </c>
      <c r="H1168" s="184">
        <v>2</v>
      </c>
      <c r="I1168" s="14">
        <v>0</v>
      </c>
      <c r="J1168" s="14" t="s">
        <v>100</v>
      </c>
      <c r="K1168" s="14"/>
      <c r="L1168" s="85"/>
      <c r="M1168" s="85"/>
      <c r="N1168" s="85"/>
      <c r="O1168" s="85"/>
      <c r="P1168" s="85"/>
      <c r="Q1168" s="85"/>
      <c r="R1168" s="85"/>
      <c r="S1168" s="85"/>
      <c r="T1168" s="85"/>
      <c r="U1168" s="85"/>
      <c r="V1168" s="85"/>
      <c r="W1168" s="85"/>
      <c r="X1168" s="85"/>
      <c r="Y1168" s="85"/>
      <c r="Z1168" s="85"/>
    </row>
    <row r="1169" spans="1:26" ht="15.75" customHeight="1">
      <c r="A1169" s="197">
        <v>169</v>
      </c>
      <c r="B1169" s="197" t="s">
        <v>736</v>
      </c>
      <c r="C1169" s="197" t="s">
        <v>234</v>
      </c>
      <c r="D1169" s="198">
        <v>43680</v>
      </c>
      <c r="E1169" s="14" t="s">
        <v>2431</v>
      </c>
      <c r="F1169" s="184">
        <v>77</v>
      </c>
      <c r="G1169" s="14">
        <v>0</v>
      </c>
      <c r="H1169" s="184">
        <v>2</v>
      </c>
      <c r="I1169" s="14">
        <v>0</v>
      </c>
      <c r="J1169" s="14" t="s">
        <v>100</v>
      </c>
      <c r="K1169" s="14"/>
      <c r="L1169" s="85"/>
      <c r="M1169" s="85"/>
      <c r="N1169" s="85"/>
      <c r="O1169" s="85"/>
      <c r="P1169" s="85"/>
      <c r="Q1169" s="85"/>
      <c r="R1169" s="85"/>
      <c r="S1169" s="85"/>
      <c r="T1169" s="85"/>
      <c r="U1169" s="85"/>
      <c r="V1169" s="85"/>
      <c r="W1169" s="85"/>
      <c r="X1169" s="85"/>
      <c r="Y1169" s="85"/>
      <c r="Z1169" s="85"/>
    </row>
    <row r="1170" spans="1:26" ht="15.75" customHeight="1">
      <c r="A1170" s="197">
        <v>169</v>
      </c>
      <c r="B1170" s="197" t="s">
        <v>736</v>
      </c>
      <c r="C1170" s="197" t="s">
        <v>234</v>
      </c>
      <c r="D1170" s="198">
        <v>43680</v>
      </c>
      <c r="E1170" s="14" t="s">
        <v>2432</v>
      </c>
      <c r="F1170" s="184">
        <v>86</v>
      </c>
      <c r="G1170" s="14">
        <v>1</v>
      </c>
      <c r="H1170" s="184">
        <v>2</v>
      </c>
      <c r="I1170" s="14">
        <v>0</v>
      </c>
      <c r="J1170" s="14" t="s">
        <v>100</v>
      </c>
      <c r="K1170" s="14"/>
      <c r="L1170" s="85"/>
      <c r="M1170" s="85"/>
      <c r="N1170" s="85"/>
      <c r="O1170" s="85"/>
      <c r="P1170" s="85"/>
      <c r="Q1170" s="85"/>
      <c r="R1170" s="85"/>
      <c r="S1170" s="85"/>
      <c r="T1170" s="85"/>
      <c r="U1170" s="85"/>
      <c r="V1170" s="85"/>
      <c r="W1170" s="85"/>
      <c r="X1170" s="85"/>
      <c r="Y1170" s="85"/>
      <c r="Z1170" s="85"/>
    </row>
    <row r="1171" spans="1:26" ht="15.75" customHeight="1">
      <c r="A1171" s="197">
        <v>169</v>
      </c>
      <c r="B1171" s="197" t="s">
        <v>736</v>
      </c>
      <c r="C1171" s="197" t="s">
        <v>234</v>
      </c>
      <c r="D1171" s="198">
        <v>43680</v>
      </c>
      <c r="E1171" s="14" t="s">
        <v>2433</v>
      </c>
      <c r="F1171" s="184">
        <v>66</v>
      </c>
      <c r="G1171" s="14">
        <v>0</v>
      </c>
      <c r="H1171" s="184">
        <v>0</v>
      </c>
      <c r="I1171" s="14">
        <v>0</v>
      </c>
      <c r="J1171" s="14" t="s">
        <v>100</v>
      </c>
      <c r="K1171" s="14"/>
      <c r="L1171" s="85"/>
      <c r="M1171" s="85"/>
      <c r="N1171" s="85"/>
      <c r="O1171" s="85"/>
      <c r="P1171" s="85"/>
      <c r="Q1171" s="85"/>
      <c r="R1171" s="85"/>
      <c r="S1171" s="85"/>
      <c r="T1171" s="85"/>
      <c r="U1171" s="85"/>
      <c r="V1171" s="85"/>
      <c r="W1171" s="85"/>
      <c r="X1171" s="85"/>
      <c r="Y1171" s="85"/>
      <c r="Z1171" s="85"/>
    </row>
    <row r="1172" spans="1:26" ht="15.75" customHeight="1">
      <c r="A1172" s="197">
        <v>169</v>
      </c>
      <c r="B1172" s="197" t="s">
        <v>736</v>
      </c>
      <c r="C1172" s="197" t="s">
        <v>234</v>
      </c>
      <c r="D1172" s="198">
        <v>43680</v>
      </c>
      <c r="E1172" s="14" t="s">
        <v>2434</v>
      </c>
      <c r="F1172" s="184">
        <v>63</v>
      </c>
      <c r="G1172" s="14">
        <v>0</v>
      </c>
      <c r="H1172" s="184">
        <v>0</v>
      </c>
      <c r="I1172" s="14">
        <v>0</v>
      </c>
      <c r="J1172" s="14" t="s">
        <v>100</v>
      </c>
      <c r="K1172" s="14"/>
      <c r="L1172" s="85"/>
      <c r="M1172" s="85"/>
      <c r="N1172" s="85"/>
      <c r="O1172" s="85"/>
      <c r="P1172" s="85"/>
      <c r="Q1172" s="85"/>
      <c r="R1172" s="85"/>
      <c r="S1172" s="85"/>
      <c r="T1172" s="85"/>
      <c r="U1172" s="85"/>
      <c r="V1172" s="85"/>
      <c r="W1172" s="85"/>
      <c r="X1172" s="85"/>
      <c r="Y1172" s="85"/>
      <c r="Z1172" s="85"/>
    </row>
    <row r="1173" spans="1:26" ht="15.75" customHeight="1">
      <c r="A1173" s="197">
        <v>169</v>
      </c>
      <c r="B1173" s="197" t="s">
        <v>736</v>
      </c>
      <c r="C1173" s="197" t="s">
        <v>234</v>
      </c>
      <c r="D1173" s="198">
        <v>43680</v>
      </c>
      <c r="E1173" s="14" t="s">
        <v>2435</v>
      </c>
      <c r="F1173" s="184">
        <v>90</v>
      </c>
      <c r="G1173" s="14">
        <v>0</v>
      </c>
      <c r="H1173" s="184">
        <v>2</v>
      </c>
      <c r="I1173" s="14">
        <v>0</v>
      </c>
      <c r="J1173" s="14" t="s">
        <v>100</v>
      </c>
      <c r="K1173" s="14"/>
      <c r="L1173" s="85"/>
      <c r="M1173" s="85"/>
      <c r="N1173" s="85"/>
      <c r="O1173" s="85"/>
      <c r="P1173" s="85"/>
      <c r="Q1173" s="85"/>
      <c r="R1173" s="85"/>
      <c r="S1173" s="85"/>
      <c r="T1173" s="85"/>
      <c r="U1173" s="85"/>
      <c r="V1173" s="85"/>
      <c r="W1173" s="85"/>
      <c r="X1173" s="85"/>
      <c r="Y1173" s="85"/>
      <c r="Z1173" s="85"/>
    </row>
    <row r="1174" spans="1:26" ht="15.75" customHeight="1">
      <c r="A1174" s="197">
        <v>169</v>
      </c>
      <c r="B1174" s="197" t="s">
        <v>736</v>
      </c>
      <c r="C1174" s="197" t="s">
        <v>234</v>
      </c>
      <c r="D1174" s="198">
        <v>43680</v>
      </c>
      <c r="E1174" s="184" t="s">
        <v>2436</v>
      </c>
      <c r="F1174" s="184">
        <v>61</v>
      </c>
      <c r="G1174" s="14">
        <v>1</v>
      </c>
      <c r="H1174" s="184">
        <v>2</v>
      </c>
      <c r="I1174" s="14">
        <v>0</v>
      </c>
      <c r="J1174" s="14" t="s">
        <v>100</v>
      </c>
      <c r="K1174" s="14"/>
      <c r="L1174" s="85"/>
      <c r="M1174" s="85"/>
      <c r="N1174" s="85"/>
      <c r="O1174" s="85"/>
      <c r="P1174" s="85"/>
      <c r="Q1174" s="85"/>
      <c r="R1174" s="85"/>
      <c r="S1174" s="85"/>
      <c r="T1174" s="85"/>
      <c r="U1174" s="85"/>
      <c r="V1174" s="85"/>
      <c r="W1174" s="85"/>
      <c r="X1174" s="85"/>
      <c r="Y1174" s="85"/>
      <c r="Z1174" s="85"/>
    </row>
    <row r="1175" spans="1:26" ht="15.75" customHeight="1">
      <c r="A1175" s="197">
        <v>169</v>
      </c>
      <c r="B1175" s="197" t="s">
        <v>736</v>
      </c>
      <c r="C1175" s="197" t="s">
        <v>234</v>
      </c>
      <c r="D1175" s="198">
        <v>43680</v>
      </c>
      <c r="E1175" s="184" t="s">
        <v>2437</v>
      </c>
      <c r="F1175" s="184">
        <v>46</v>
      </c>
      <c r="G1175" s="14">
        <v>0</v>
      </c>
      <c r="H1175" s="184">
        <v>2</v>
      </c>
      <c r="I1175" s="14">
        <v>0</v>
      </c>
      <c r="J1175" s="14" t="s">
        <v>100</v>
      </c>
      <c r="K1175" s="14"/>
      <c r="L1175" s="85"/>
      <c r="M1175" s="85"/>
      <c r="N1175" s="85"/>
      <c r="O1175" s="85"/>
      <c r="P1175" s="85"/>
      <c r="Q1175" s="85"/>
      <c r="R1175" s="85"/>
      <c r="S1175" s="85"/>
      <c r="T1175" s="85"/>
      <c r="U1175" s="85"/>
      <c r="V1175" s="85"/>
      <c r="W1175" s="85"/>
      <c r="X1175" s="85"/>
      <c r="Y1175" s="85"/>
      <c r="Z1175" s="85"/>
    </row>
    <row r="1176" spans="1:26" ht="15.75" customHeight="1">
      <c r="A1176" s="197">
        <v>169</v>
      </c>
      <c r="B1176" s="197" t="s">
        <v>736</v>
      </c>
      <c r="C1176" s="197" t="s">
        <v>234</v>
      </c>
      <c r="D1176" s="198">
        <v>43680</v>
      </c>
      <c r="E1176" s="14" t="s">
        <v>2438</v>
      </c>
      <c r="F1176" s="184">
        <v>57</v>
      </c>
      <c r="G1176" s="14">
        <v>1</v>
      </c>
      <c r="H1176" s="184">
        <v>2</v>
      </c>
      <c r="I1176" s="14">
        <v>0</v>
      </c>
      <c r="J1176" s="14" t="s">
        <v>100</v>
      </c>
      <c r="K1176" s="14"/>
      <c r="L1176" s="85"/>
      <c r="M1176" s="85"/>
      <c r="N1176" s="85"/>
      <c r="O1176" s="85"/>
      <c r="P1176" s="85"/>
      <c r="Q1176" s="85"/>
      <c r="R1176" s="85"/>
      <c r="S1176" s="85"/>
      <c r="T1176" s="85"/>
      <c r="U1176" s="85"/>
      <c r="V1176" s="85"/>
      <c r="W1176" s="85"/>
      <c r="X1176" s="85"/>
      <c r="Y1176" s="85"/>
      <c r="Z1176" s="85"/>
    </row>
    <row r="1177" spans="1:26" ht="15.75" customHeight="1">
      <c r="A1177" s="197">
        <v>169</v>
      </c>
      <c r="B1177" s="197" t="s">
        <v>736</v>
      </c>
      <c r="C1177" s="197" t="s">
        <v>234</v>
      </c>
      <c r="D1177" s="198">
        <v>43680</v>
      </c>
      <c r="E1177" s="14" t="s">
        <v>2439</v>
      </c>
      <c r="F1177" s="184">
        <v>66</v>
      </c>
      <c r="G1177" s="14">
        <v>1</v>
      </c>
      <c r="H1177" s="184">
        <v>2</v>
      </c>
      <c r="I1177" s="14">
        <v>0</v>
      </c>
      <c r="J1177" s="14" t="s">
        <v>100</v>
      </c>
      <c r="K1177" s="14"/>
      <c r="L1177" s="85"/>
      <c r="M1177" s="85"/>
      <c r="N1177" s="85"/>
      <c r="O1177" s="85"/>
      <c r="P1177" s="85"/>
      <c r="Q1177" s="85"/>
      <c r="R1177" s="85"/>
      <c r="S1177" s="85"/>
      <c r="T1177" s="85"/>
      <c r="U1177" s="85"/>
      <c r="V1177" s="85"/>
      <c r="W1177" s="85"/>
      <c r="X1177" s="85"/>
      <c r="Y1177" s="85"/>
      <c r="Z1177" s="85"/>
    </row>
    <row r="1178" spans="1:26" ht="15.75" customHeight="1">
      <c r="A1178" s="197">
        <v>169</v>
      </c>
      <c r="B1178" s="197" t="s">
        <v>736</v>
      </c>
      <c r="C1178" s="197" t="s">
        <v>234</v>
      </c>
      <c r="D1178" s="198">
        <v>43680</v>
      </c>
      <c r="E1178" s="14" t="s">
        <v>2440</v>
      </c>
      <c r="F1178" s="184">
        <v>63</v>
      </c>
      <c r="G1178" s="14">
        <v>1</v>
      </c>
      <c r="H1178" s="184">
        <v>0</v>
      </c>
      <c r="I1178" s="14">
        <v>0</v>
      </c>
      <c r="J1178" s="14" t="s">
        <v>100</v>
      </c>
      <c r="K1178" s="14"/>
      <c r="L1178" s="85"/>
      <c r="M1178" s="85"/>
      <c r="N1178" s="85"/>
      <c r="O1178" s="85"/>
      <c r="P1178" s="85"/>
      <c r="Q1178" s="85"/>
      <c r="R1178" s="85"/>
      <c r="S1178" s="85"/>
      <c r="T1178" s="85"/>
      <c r="U1178" s="85"/>
      <c r="V1178" s="85"/>
      <c r="W1178" s="85"/>
      <c r="X1178" s="85"/>
      <c r="Y1178" s="85"/>
      <c r="Z1178" s="85"/>
    </row>
    <row r="1179" spans="1:26" ht="15.75" customHeight="1">
      <c r="A1179" s="197">
        <v>169</v>
      </c>
      <c r="B1179" s="197" t="s">
        <v>736</v>
      </c>
      <c r="C1179" s="197" t="s">
        <v>234</v>
      </c>
      <c r="D1179" s="198">
        <v>43680</v>
      </c>
      <c r="E1179" s="14" t="s">
        <v>2441</v>
      </c>
      <c r="F1179" s="184">
        <v>15</v>
      </c>
      <c r="G1179" s="14">
        <v>0</v>
      </c>
      <c r="H1179" s="184">
        <v>2</v>
      </c>
      <c r="I1179" s="14">
        <v>0</v>
      </c>
      <c r="J1179" s="14" t="s">
        <v>100</v>
      </c>
      <c r="K1179" s="14"/>
      <c r="L1179" s="85"/>
      <c r="M1179" s="85"/>
      <c r="N1179" s="85"/>
      <c r="O1179" s="85"/>
      <c r="P1179" s="85"/>
      <c r="Q1179" s="85"/>
      <c r="R1179" s="85"/>
      <c r="S1179" s="85"/>
      <c r="T1179" s="85"/>
      <c r="U1179" s="85"/>
      <c r="V1179" s="85"/>
      <c r="W1179" s="85"/>
      <c r="X1179" s="85"/>
      <c r="Y1179" s="85"/>
      <c r="Z1179" s="85"/>
    </row>
    <row r="1180" spans="1:26" ht="15.75" customHeight="1">
      <c r="A1180" s="197">
        <v>169</v>
      </c>
      <c r="B1180" s="197" t="s">
        <v>736</v>
      </c>
      <c r="C1180" s="197" t="s">
        <v>234</v>
      </c>
      <c r="D1180" s="198">
        <v>43680</v>
      </c>
      <c r="E1180" s="14" t="s">
        <v>2442</v>
      </c>
      <c r="F1180" s="184">
        <v>58</v>
      </c>
      <c r="G1180" s="14">
        <v>1</v>
      </c>
      <c r="H1180" s="184">
        <v>2</v>
      </c>
      <c r="I1180" s="14">
        <v>0</v>
      </c>
      <c r="J1180" s="14" t="s">
        <v>100</v>
      </c>
      <c r="K1180" s="14"/>
      <c r="L1180" s="85"/>
      <c r="M1180" s="85"/>
      <c r="N1180" s="85"/>
      <c r="O1180" s="85"/>
      <c r="P1180" s="85"/>
      <c r="Q1180" s="85"/>
      <c r="R1180" s="85"/>
      <c r="S1180" s="85"/>
      <c r="T1180" s="85"/>
      <c r="U1180" s="85"/>
      <c r="V1180" s="85"/>
      <c r="W1180" s="85"/>
      <c r="X1180" s="85"/>
      <c r="Y1180" s="85"/>
      <c r="Z1180" s="85"/>
    </row>
    <row r="1181" spans="1:26" ht="15.75" customHeight="1">
      <c r="A1181" s="197">
        <v>169</v>
      </c>
      <c r="B1181" s="197" t="s">
        <v>736</v>
      </c>
      <c r="C1181" s="197" t="s">
        <v>234</v>
      </c>
      <c r="D1181" s="198">
        <v>43680</v>
      </c>
      <c r="E1181" s="184" t="s">
        <v>2443</v>
      </c>
      <c r="F1181" s="184">
        <v>82</v>
      </c>
      <c r="G1181" s="14">
        <v>1</v>
      </c>
      <c r="H1181" s="184">
        <v>2</v>
      </c>
      <c r="I1181" s="14">
        <v>0</v>
      </c>
      <c r="J1181" s="14" t="s">
        <v>100</v>
      </c>
      <c r="K1181" s="14"/>
      <c r="L1181" s="85"/>
      <c r="M1181" s="85"/>
      <c r="N1181" s="85"/>
      <c r="O1181" s="85"/>
      <c r="P1181" s="85"/>
      <c r="Q1181" s="85"/>
      <c r="R1181" s="85"/>
      <c r="S1181" s="85"/>
      <c r="T1181" s="85"/>
      <c r="U1181" s="85"/>
      <c r="V1181" s="85"/>
      <c r="W1181" s="85"/>
      <c r="X1181" s="85"/>
      <c r="Y1181" s="85"/>
      <c r="Z1181" s="85"/>
    </row>
    <row r="1182" spans="1:26" ht="15.75" customHeight="1">
      <c r="A1182" s="197">
        <v>169</v>
      </c>
      <c r="B1182" s="197" t="s">
        <v>736</v>
      </c>
      <c r="C1182" s="197" t="s">
        <v>234</v>
      </c>
      <c r="D1182" s="198">
        <v>43680</v>
      </c>
      <c r="E1182" s="184" t="s">
        <v>2444</v>
      </c>
      <c r="F1182" s="184">
        <v>61</v>
      </c>
      <c r="G1182" s="14">
        <v>0</v>
      </c>
      <c r="H1182" s="184">
        <v>2</v>
      </c>
      <c r="I1182" s="14">
        <v>0</v>
      </c>
      <c r="J1182" s="14" t="s">
        <v>100</v>
      </c>
      <c r="K1182" s="14"/>
      <c r="L1182" s="85"/>
      <c r="M1182" s="85"/>
      <c r="N1182" s="85"/>
      <c r="O1182" s="85"/>
      <c r="P1182" s="85"/>
      <c r="Q1182" s="85"/>
      <c r="R1182" s="85"/>
      <c r="S1182" s="85"/>
      <c r="T1182" s="85"/>
      <c r="U1182" s="85"/>
      <c r="V1182" s="85"/>
      <c r="W1182" s="85"/>
      <c r="X1182" s="85"/>
      <c r="Y1182" s="85"/>
      <c r="Z1182" s="85"/>
    </row>
    <row r="1183" spans="1:26" ht="15.75" customHeight="1">
      <c r="A1183" s="197">
        <v>169</v>
      </c>
      <c r="B1183" s="197" t="s">
        <v>736</v>
      </c>
      <c r="C1183" s="197" t="s">
        <v>234</v>
      </c>
      <c r="D1183" s="198">
        <v>43680</v>
      </c>
      <c r="E1183" s="184" t="s">
        <v>2445</v>
      </c>
      <c r="F1183" s="184">
        <v>68</v>
      </c>
      <c r="G1183" s="14">
        <v>0</v>
      </c>
      <c r="H1183" s="184">
        <v>2</v>
      </c>
      <c r="I1183" s="14">
        <v>0</v>
      </c>
      <c r="J1183" s="14" t="s">
        <v>100</v>
      </c>
      <c r="K1183" s="14"/>
      <c r="L1183" s="85"/>
      <c r="M1183" s="85"/>
      <c r="N1183" s="85"/>
      <c r="O1183" s="85"/>
      <c r="P1183" s="85"/>
      <c r="Q1183" s="85"/>
      <c r="R1183" s="85"/>
      <c r="S1183" s="85"/>
      <c r="T1183" s="85"/>
      <c r="U1183" s="85"/>
      <c r="V1183" s="85"/>
      <c r="W1183" s="85"/>
      <c r="X1183" s="85"/>
      <c r="Y1183" s="85"/>
      <c r="Z1183" s="85"/>
    </row>
    <row r="1184" spans="1:26" ht="15.75" customHeight="1">
      <c r="A1184" s="197">
        <v>169</v>
      </c>
      <c r="B1184" s="197" t="s">
        <v>736</v>
      </c>
      <c r="C1184" s="197" t="s">
        <v>234</v>
      </c>
      <c r="D1184" s="198">
        <v>43680</v>
      </c>
      <c r="E1184" s="14" t="s">
        <v>2446</v>
      </c>
      <c r="F1184" s="184">
        <v>83</v>
      </c>
      <c r="G1184" s="14">
        <v>0</v>
      </c>
      <c r="H1184" s="184">
        <v>2</v>
      </c>
      <c r="I1184" s="14">
        <v>0</v>
      </c>
      <c r="J1184" s="14" t="s">
        <v>100</v>
      </c>
      <c r="K1184" s="14"/>
      <c r="L1184" s="85"/>
      <c r="M1184" s="85"/>
      <c r="N1184" s="85"/>
      <c r="O1184" s="85"/>
      <c r="P1184" s="85"/>
      <c r="Q1184" s="85"/>
      <c r="R1184" s="85"/>
      <c r="S1184" s="85"/>
      <c r="T1184" s="85"/>
      <c r="U1184" s="85"/>
      <c r="V1184" s="85"/>
      <c r="W1184" s="85"/>
      <c r="X1184" s="85"/>
      <c r="Y1184" s="85"/>
      <c r="Z1184" s="85"/>
    </row>
    <row r="1185" spans="1:26" ht="15.75" customHeight="1">
      <c r="A1185" s="197">
        <v>169</v>
      </c>
      <c r="B1185" s="197" t="s">
        <v>736</v>
      </c>
      <c r="C1185" s="197" t="s">
        <v>234</v>
      </c>
      <c r="D1185" s="198">
        <v>43680</v>
      </c>
      <c r="E1185" s="14" t="s">
        <v>2447</v>
      </c>
      <c r="F1185" s="184">
        <v>77</v>
      </c>
      <c r="G1185" s="14">
        <v>1</v>
      </c>
      <c r="H1185" s="184">
        <v>2</v>
      </c>
      <c r="I1185" s="14">
        <v>0</v>
      </c>
      <c r="J1185" s="14" t="s">
        <v>100</v>
      </c>
      <c r="K1185" s="14"/>
      <c r="L1185" s="85"/>
      <c r="M1185" s="85"/>
      <c r="N1185" s="85"/>
      <c r="O1185" s="85"/>
      <c r="P1185" s="85"/>
      <c r="Q1185" s="85"/>
      <c r="R1185" s="85"/>
      <c r="S1185" s="85"/>
      <c r="T1185" s="85"/>
      <c r="U1185" s="85"/>
      <c r="V1185" s="85"/>
      <c r="W1185" s="85"/>
      <c r="X1185" s="85"/>
      <c r="Y1185" s="85"/>
      <c r="Z1185" s="85"/>
    </row>
    <row r="1186" spans="1:26" ht="15.75" customHeight="1">
      <c r="A1186" s="197">
        <v>169</v>
      </c>
      <c r="B1186" s="197" t="s">
        <v>736</v>
      </c>
      <c r="C1186" s="197" t="s">
        <v>234</v>
      </c>
      <c r="D1186" s="198">
        <v>43680</v>
      </c>
      <c r="E1186" s="14" t="s">
        <v>2448</v>
      </c>
      <c r="F1186" s="184" t="str">
        <f>HYPERLINK("https://www.nytimes.com/2020/04/27/us/el-paso-shooting-guillermo-memo-garcia.html","36")</f>
        <v>36</v>
      </c>
      <c r="G1186" s="14">
        <v>0</v>
      </c>
      <c r="H1186" s="184">
        <v>2</v>
      </c>
      <c r="I1186" s="14">
        <v>0</v>
      </c>
      <c r="J1186" s="14" t="s">
        <v>100</v>
      </c>
      <c r="K1186" s="14"/>
      <c r="L1186" s="85"/>
      <c r="M1186" s="85"/>
      <c r="N1186" s="85"/>
      <c r="O1186" s="85"/>
      <c r="P1186" s="85"/>
      <c r="Q1186" s="85"/>
      <c r="R1186" s="85"/>
      <c r="S1186" s="85"/>
      <c r="T1186" s="85"/>
      <c r="U1186" s="85"/>
      <c r="V1186" s="85"/>
      <c r="W1186" s="85"/>
      <c r="X1186" s="85"/>
      <c r="Y1186" s="85"/>
      <c r="Z1186" s="85"/>
    </row>
    <row r="1187" spans="1:26" ht="15.75" customHeight="1">
      <c r="A1187" s="193">
        <v>170</v>
      </c>
      <c r="B1187" s="193" t="s">
        <v>738</v>
      </c>
      <c r="C1187" s="193" t="s">
        <v>739</v>
      </c>
      <c r="D1187" s="194">
        <v>43681</v>
      </c>
      <c r="E1187" s="14" t="s">
        <v>2449</v>
      </c>
      <c r="F1187" s="184">
        <v>22</v>
      </c>
      <c r="G1187" s="14">
        <v>0</v>
      </c>
      <c r="H1187" s="184">
        <v>0</v>
      </c>
      <c r="I1187" s="14">
        <v>1</v>
      </c>
      <c r="J1187" s="14" t="s">
        <v>2450</v>
      </c>
      <c r="K1187" s="14"/>
      <c r="L1187" s="85"/>
      <c r="M1187" s="85"/>
      <c r="N1187" s="85"/>
      <c r="O1187" s="85"/>
      <c r="P1187" s="85"/>
      <c r="Q1187" s="85"/>
      <c r="R1187" s="85"/>
      <c r="S1187" s="85"/>
      <c r="T1187" s="85"/>
      <c r="U1187" s="85"/>
      <c r="V1187" s="85"/>
      <c r="W1187" s="85"/>
      <c r="X1187" s="85"/>
      <c r="Y1187" s="85"/>
      <c r="Z1187" s="85"/>
    </row>
    <row r="1188" spans="1:26" ht="15.75" customHeight="1">
      <c r="A1188" s="193">
        <v>170</v>
      </c>
      <c r="B1188" s="193" t="s">
        <v>738</v>
      </c>
      <c r="C1188" s="193" t="s">
        <v>739</v>
      </c>
      <c r="D1188" s="194">
        <v>43681</v>
      </c>
      <c r="E1188" s="14" t="s">
        <v>2451</v>
      </c>
      <c r="F1188" s="184">
        <v>39</v>
      </c>
      <c r="G1188" s="14">
        <v>1</v>
      </c>
      <c r="H1188" s="184">
        <v>1</v>
      </c>
      <c r="I1188" s="14">
        <v>0</v>
      </c>
      <c r="J1188" s="14" t="s">
        <v>100</v>
      </c>
      <c r="K1188" s="14"/>
      <c r="L1188" s="85"/>
      <c r="M1188" s="85"/>
      <c r="N1188" s="85"/>
      <c r="O1188" s="85"/>
      <c r="P1188" s="85"/>
      <c r="Q1188" s="85"/>
      <c r="R1188" s="85"/>
      <c r="S1188" s="85"/>
      <c r="T1188" s="85"/>
      <c r="U1188" s="85"/>
      <c r="V1188" s="85"/>
      <c r="W1188" s="85"/>
      <c r="X1188" s="85"/>
      <c r="Y1188" s="85"/>
      <c r="Z1188" s="85"/>
    </row>
    <row r="1189" spans="1:26" ht="15.75" customHeight="1">
      <c r="A1189" s="193">
        <v>170</v>
      </c>
      <c r="B1189" s="193" t="s">
        <v>738</v>
      </c>
      <c r="C1189" s="193" t="s">
        <v>739</v>
      </c>
      <c r="D1189" s="194">
        <v>43681</v>
      </c>
      <c r="E1189" s="14" t="s">
        <v>2452</v>
      </c>
      <c r="F1189" s="184">
        <v>25</v>
      </c>
      <c r="G1189" s="14">
        <v>0</v>
      </c>
      <c r="H1189" s="14">
        <v>0</v>
      </c>
      <c r="I1189" s="14">
        <v>0</v>
      </c>
      <c r="J1189" s="14" t="s">
        <v>100</v>
      </c>
      <c r="K1189" s="14"/>
      <c r="L1189" s="85"/>
      <c r="M1189" s="85"/>
      <c r="N1189" s="85"/>
      <c r="O1189" s="85"/>
      <c r="P1189" s="85"/>
      <c r="Q1189" s="85"/>
      <c r="R1189" s="85"/>
      <c r="S1189" s="85"/>
      <c r="T1189" s="85"/>
      <c r="U1189" s="85"/>
      <c r="V1189" s="85"/>
      <c r="W1189" s="85"/>
      <c r="X1189" s="85"/>
      <c r="Y1189" s="85"/>
      <c r="Z1189" s="85"/>
    </row>
    <row r="1190" spans="1:26" ht="15.75" customHeight="1">
      <c r="A1190" s="193">
        <v>170</v>
      </c>
      <c r="B1190" s="193" t="s">
        <v>738</v>
      </c>
      <c r="C1190" s="193" t="s">
        <v>739</v>
      </c>
      <c r="D1190" s="194">
        <v>43681</v>
      </c>
      <c r="E1190" s="14" t="s">
        <v>2453</v>
      </c>
      <c r="F1190" s="184">
        <v>57</v>
      </c>
      <c r="G1190" s="14">
        <v>0</v>
      </c>
      <c r="H1190" s="184">
        <v>1</v>
      </c>
      <c r="I1190" s="14">
        <v>0</v>
      </c>
      <c r="J1190" s="14" t="s">
        <v>100</v>
      </c>
      <c r="K1190" s="14"/>
      <c r="L1190" s="85"/>
      <c r="M1190" s="85"/>
      <c r="N1190" s="85"/>
      <c r="O1190" s="85"/>
      <c r="P1190" s="85"/>
      <c r="Q1190" s="85"/>
      <c r="R1190" s="85"/>
      <c r="S1190" s="85"/>
      <c r="T1190" s="85"/>
      <c r="U1190" s="85"/>
      <c r="V1190" s="85"/>
      <c r="W1190" s="85"/>
      <c r="X1190" s="85"/>
      <c r="Y1190" s="85"/>
      <c r="Z1190" s="85"/>
    </row>
    <row r="1191" spans="1:26" ht="15.75" customHeight="1">
      <c r="A1191" s="193">
        <v>170</v>
      </c>
      <c r="B1191" s="193" t="s">
        <v>738</v>
      </c>
      <c r="C1191" s="193" t="s">
        <v>739</v>
      </c>
      <c r="D1191" s="194">
        <v>43681</v>
      </c>
      <c r="E1191" s="14" t="s">
        <v>2454</v>
      </c>
      <c r="F1191" s="184">
        <v>25</v>
      </c>
      <c r="G1191" s="14">
        <v>0</v>
      </c>
      <c r="H1191" s="14">
        <v>1</v>
      </c>
      <c r="I1191" s="14">
        <v>0</v>
      </c>
      <c r="J1191" s="14" t="s">
        <v>100</v>
      </c>
      <c r="K1191" s="14"/>
      <c r="L1191" s="85"/>
      <c r="M1191" s="85"/>
      <c r="N1191" s="85"/>
      <c r="O1191" s="85"/>
      <c r="P1191" s="85"/>
      <c r="Q1191" s="85"/>
      <c r="R1191" s="85"/>
      <c r="S1191" s="85"/>
      <c r="T1191" s="85"/>
      <c r="U1191" s="85"/>
      <c r="V1191" s="85"/>
      <c r="W1191" s="85"/>
      <c r="X1191" s="85"/>
      <c r="Y1191" s="85"/>
      <c r="Z1191" s="85"/>
    </row>
    <row r="1192" spans="1:26" ht="15.75" customHeight="1">
      <c r="A1192" s="193">
        <v>170</v>
      </c>
      <c r="B1192" s="193" t="s">
        <v>738</v>
      </c>
      <c r="C1192" s="193" t="s">
        <v>739</v>
      </c>
      <c r="D1192" s="194">
        <v>43681</v>
      </c>
      <c r="E1192" s="14" t="s">
        <v>2455</v>
      </c>
      <c r="F1192" s="184">
        <v>27</v>
      </c>
      <c r="G1192" s="14">
        <v>1</v>
      </c>
      <c r="H1192" s="14">
        <v>1</v>
      </c>
      <c r="I1192" s="14">
        <v>0</v>
      </c>
      <c r="J1192" s="14" t="s">
        <v>100</v>
      </c>
      <c r="K1192" s="14"/>
      <c r="L1192" s="85"/>
      <c r="M1192" s="85"/>
      <c r="N1192" s="85"/>
      <c r="O1192" s="85"/>
      <c r="P1192" s="85"/>
      <c r="Q1192" s="85"/>
      <c r="R1192" s="85"/>
      <c r="S1192" s="85"/>
      <c r="T1192" s="85"/>
      <c r="U1192" s="85"/>
      <c r="V1192" s="85"/>
      <c r="W1192" s="85"/>
      <c r="X1192" s="85"/>
      <c r="Y1192" s="85"/>
      <c r="Z1192" s="85"/>
    </row>
    <row r="1193" spans="1:26" ht="15.75" customHeight="1">
      <c r="A1193" s="193">
        <v>170</v>
      </c>
      <c r="B1193" s="193" t="s">
        <v>738</v>
      </c>
      <c r="C1193" s="193" t="s">
        <v>739</v>
      </c>
      <c r="D1193" s="194">
        <v>43681</v>
      </c>
      <c r="E1193" s="14" t="s">
        <v>2456</v>
      </c>
      <c r="F1193" s="184">
        <v>38</v>
      </c>
      <c r="G1193" s="14">
        <v>0</v>
      </c>
      <c r="H1193" s="14">
        <v>1</v>
      </c>
      <c r="I1193" s="14">
        <v>0</v>
      </c>
      <c r="J1193" s="14" t="s">
        <v>100</v>
      </c>
      <c r="K1193" s="14"/>
      <c r="L1193" s="85"/>
      <c r="M1193" s="85"/>
      <c r="N1193" s="85"/>
      <c r="O1193" s="85"/>
      <c r="P1193" s="85"/>
      <c r="Q1193" s="85"/>
      <c r="R1193" s="85"/>
      <c r="S1193" s="85"/>
      <c r="T1193" s="85"/>
      <c r="U1193" s="85"/>
      <c r="V1193" s="85"/>
      <c r="W1193" s="85"/>
      <c r="X1193" s="85"/>
      <c r="Y1193" s="85"/>
      <c r="Z1193" s="85"/>
    </row>
    <row r="1194" spans="1:26" ht="15.75" customHeight="1">
      <c r="A1194" s="193">
        <v>170</v>
      </c>
      <c r="B1194" s="193" t="s">
        <v>738</v>
      </c>
      <c r="C1194" s="193" t="s">
        <v>739</v>
      </c>
      <c r="D1194" s="194">
        <v>43681</v>
      </c>
      <c r="E1194" s="14" t="s">
        <v>2457</v>
      </c>
      <c r="F1194" s="184">
        <v>30</v>
      </c>
      <c r="G1194" s="14">
        <v>0</v>
      </c>
      <c r="H1194" s="184">
        <v>0</v>
      </c>
      <c r="I1194" s="14">
        <v>0</v>
      </c>
      <c r="J1194" s="14" t="s">
        <v>100</v>
      </c>
      <c r="K1194" s="14"/>
      <c r="L1194" s="85"/>
      <c r="M1194" s="85"/>
      <c r="N1194" s="85"/>
      <c r="O1194" s="85"/>
      <c r="P1194" s="85"/>
      <c r="Q1194" s="85"/>
      <c r="R1194" s="85"/>
      <c r="S1194" s="85"/>
      <c r="T1194" s="85"/>
      <c r="U1194" s="85"/>
      <c r="V1194" s="85"/>
      <c r="W1194" s="85"/>
      <c r="X1194" s="85"/>
      <c r="Y1194" s="85"/>
      <c r="Z1194" s="85"/>
    </row>
    <row r="1195" spans="1:26" ht="15.75" customHeight="1">
      <c r="A1195" s="193">
        <v>170</v>
      </c>
      <c r="B1195" s="193" t="s">
        <v>738</v>
      </c>
      <c r="C1195" s="193" t="s">
        <v>739</v>
      </c>
      <c r="D1195" s="194">
        <v>43681</v>
      </c>
      <c r="E1195" s="14" t="s">
        <v>2458</v>
      </c>
      <c r="F1195" s="184">
        <v>36</v>
      </c>
      <c r="G1195" s="14">
        <v>1</v>
      </c>
      <c r="H1195" s="14">
        <v>1</v>
      </c>
      <c r="I1195" s="14">
        <v>0</v>
      </c>
      <c r="J1195" s="14" t="s">
        <v>100</v>
      </c>
      <c r="K1195" s="14"/>
      <c r="L1195" s="85"/>
      <c r="M1195" s="85"/>
      <c r="N1195" s="85"/>
      <c r="O1195" s="85"/>
      <c r="P1195" s="85"/>
      <c r="Q1195" s="85"/>
      <c r="R1195" s="85"/>
      <c r="S1195" s="85"/>
      <c r="T1195" s="85"/>
      <c r="U1195" s="85"/>
      <c r="V1195" s="85"/>
      <c r="W1195" s="85"/>
      <c r="X1195" s="85"/>
      <c r="Y1195" s="85"/>
      <c r="Z1195" s="85"/>
    </row>
    <row r="1196" spans="1:26" ht="15.75" customHeight="1">
      <c r="A1196" s="195">
        <v>171</v>
      </c>
      <c r="B1196" s="195" t="s">
        <v>744</v>
      </c>
      <c r="C1196" s="195" t="s">
        <v>745</v>
      </c>
      <c r="D1196" s="196">
        <v>43708</v>
      </c>
      <c r="E1196" s="14" t="s">
        <v>2459</v>
      </c>
      <c r="F1196" s="184">
        <v>57</v>
      </c>
      <c r="G1196" s="14">
        <v>0</v>
      </c>
      <c r="H1196" s="184">
        <v>0</v>
      </c>
      <c r="I1196" s="14">
        <v>0</v>
      </c>
      <c r="J1196" s="14" t="s">
        <v>100</v>
      </c>
      <c r="K1196" s="14"/>
      <c r="L1196" s="85"/>
      <c r="M1196" s="85"/>
      <c r="N1196" s="85"/>
      <c r="O1196" s="85"/>
      <c r="P1196" s="85"/>
      <c r="Q1196" s="85"/>
      <c r="R1196" s="85"/>
      <c r="S1196" s="85"/>
      <c r="T1196" s="85"/>
      <c r="U1196" s="85"/>
      <c r="V1196" s="85"/>
      <c r="W1196" s="85"/>
      <c r="X1196" s="85"/>
      <c r="Y1196" s="85"/>
      <c r="Z1196" s="85"/>
    </row>
    <row r="1197" spans="1:26" ht="15.75" customHeight="1">
      <c r="A1197" s="195">
        <v>171</v>
      </c>
      <c r="B1197" s="195" t="s">
        <v>744</v>
      </c>
      <c r="C1197" s="195" t="s">
        <v>745</v>
      </c>
      <c r="D1197" s="196">
        <v>43708</v>
      </c>
      <c r="E1197" s="14" t="s">
        <v>2460</v>
      </c>
      <c r="F1197" s="184">
        <v>30</v>
      </c>
      <c r="G1197" s="14">
        <v>0</v>
      </c>
      <c r="H1197" s="14">
        <v>1</v>
      </c>
      <c r="I1197" s="14">
        <v>0</v>
      </c>
      <c r="J1197" s="14" t="s">
        <v>100</v>
      </c>
      <c r="K1197" s="14"/>
      <c r="L1197" s="85"/>
      <c r="M1197" s="85"/>
      <c r="N1197" s="85"/>
      <c r="O1197" s="85"/>
      <c r="P1197" s="85"/>
      <c r="Q1197" s="85"/>
      <c r="R1197" s="85"/>
      <c r="S1197" s="85"/>
      <c r="T1197" s="85"/>
      <c r="U1197" s="85"/>
      <c r="V1197" s="85"/>
      <c r="W1197" s="85"/>
      <c r="X1197" s="85"/>
      <c r="Y1197" s="85"/>
      <c r="Z1197" s="85"/>
    </row>
    <row r="1198" spans="1:26" ht="15.75" customHeight="1">
      <c r="A1198" s="195">
        <v>171</v>
      </c>
      <c r="B1198" s="195" t="s">
        <v>744</v>
      </c>
      <c r="C1198" s="195" t="s">
        <v>745</v>
      </c>
      <c r="D1198" s="196">
        <v>43708</v>
      </c>
      <c r="E1198" s="14" t="s">
        <v>2461</v>
      </c>
      <c r="F1198" s="184">
        <v>35</v>
      </c>
      <c r="G1198" s="14">
        <v>0</v>
      </c>
      <c r="H1198" s="184">
        <v>2</v>
      </c>
      <c r="I1198" s="14">
        <v>0</v>
      </c>
      <c r="J1198" s="14" t="s">
        <v>100</v>
      </c>
      <c r="K1198" s="14"/>
      <c r="L1198" s="85"/>
      <c r="M1198" s="85"/>
      <c r="N1198" s="85"/>
      <c r="O1198" s="85"/>
      <c r="P1198" s="85"/>
      <c r="Q1198" s="85"/>
      <c r="R1198" s="85"/>
      <c r="S1198" s="85"/>
      <c r="T1198" s="85"/>
      <c r="U1198" s="85"/>
      <c r="V1198" s="85"/>
      <c r="W1198" s="85"/>
      <c r="X1198" s="85"/>
      <c r="Y1198" s="85"/>
      <c r="Z1198" s="85"/>
    </row>
    <row r="1199" spans="1:26" ht="15.75" customHeight="1">
      <c r="A1199" s="195">
        <v>171</v>
      </c>
      <c r="B1199" s="195" t="s">
        <v>744</v>
      </c>
      <c r="C1199" s="195" t="s">
        <v>745</v>
      </c>
      <c r="D1199" s="196">
        <v>43708</v>
      </c>
      <c r="E1199" s="14" t="s">
        <v>2462</v>
      </c>
      <c r="F1199" s="184">
        <v>29</v>
      </c>
      <c r="G1199" s="14">
        <v>1</v>
      </c>
      <c r="H1199" s="184">
        <v>2</v>
      </c>
      <c r="I1199" s="14">
        <v>0</v>
      </c>
      <c r="J1199" s="14" t="s">
        <v>100</v>
      </c>
      <c r="K1199" s="14"/>
      <c r="L1199" s="85"/>
      <c r="M1199" s="85"/>
      <c r="N1199" s="85"/>
      <c r="O1199" s="85"/>
      <c r="P1199" s="85"/>
      <c r="Q1199" s="85"/>
      <c r="R1199" s="85"/>
      <c r="S1199" s="85"/>
      <c r="T1199" s="85"/>
      <c r="U1199" s="85"/>
      <c r="V1199" s="85"/>
      <c r="W1199" s="85"/>
      <c r="X1199" s="85"/>
      <c r="Y1199" s="85"/>
      <c r="Z1199" s="85"/>
    </row>
    <row r="1200" spans="1:26" ht="15.75" customHeight="1">
      <c r="A1200" s="195">
        <v>171</v>
      </c>
      <c r="B1200" s="195" t="s">
        <v>744</v>
      </c>
      <c r="C1200" s="195" t="s">
        <v>745</v>
      </c>
      <c r="D1200" s="196">
        <v>43708</v>
      </c>
      <c r="E1200" s="14" t="s">
        <v>2463</v>
      </c>
      <c r="F1200" s="184">
        <v>40</v>
      </c>
      <c r="G1200" s="14">
        <v>0</v>
      </c>
      <c r="H1200" s="184">
        <v>0</v>
      </c>
      <c r="I1200" s="14">
        <v>0</v>
      </c>
      <c r="J1200" s="14" t="s">
        <v>100</v>
      </c>
      <c r="K1200" s="14"/>
      <c r="L1200" s="85"/>
      <c r="M1200" s="85"/>
      <c r="N1200" s="85"/>
      <c r="O1200" s="85"/>
      <c r="P1200" s="85"/>
      <c r="Q1200" s="85"/>
      <c r="R1200" s="85"/>
      <c r="S1200" s="85"/>
      <c r="T1200" s="85"/>
      <c r="U1200" s="85"/>
      <c r="V1200" s="85"/>
      <c r="W1200" s="85"/>
      <c r="X1200" s="85"/>
      <c r="Y1200" s="85"/>
      <c r="Z1200" s="85"/>
    </row>
    <row r="1201" spans="1:26" ht="15.75" customHeight="1">
      <c r="A1201" s="195">
        <v>171</v>
      </c>
      <c r="B1201" s="195" t="s">
        <v>744</v>
      </c>
      <c r="C1201" s="195" t="s">
        <v>745</v>
      </c>
      <c r="D1201" s="196">
        <v>43708</v>
      </c>
      <c r="E1201" s="14" t="s">
        <v>2464</v>
      </c>
      <c r="F1201" s="184">
        <v>15</v>
      </c>
      <c r="G1201" s="14">
        <v>1</v>
      </c>
      <c r="H1201" s="184">
        <v>2</v>
      </c>
      <c r="I1201" s="14">
        <v>0</v>
      </c>
      <c r="J1201" s="14" t="s">
        <v>100</v>
      </c>
      <c r="K1201" s="14"/>
      <c r="L1201" s="85"/>
      <c r="M1201" s="85"/>
      <c r="N1201" s="85"/>
      <c r="O1201" s="85"/>
      <c r="P1201" s="85"/>
      <c r="Q1201" s="85"/>
      <c r="R1201" s="85"/>
      <c r="S1201" s="85"/>
      <c r="T1201" s="85"/>
      <c r="U1201" s="85"/>
      <c r="V1201" s="85"/>
      <c r="W1201" s="85"/>
      <c r="X1201" s="85"/>
      <c r="Y1201" s="85"/>
      <c r="Z1201" s="85"/>
    </row>
    <row r="1202" spans="1:26" ht="15.75" customHeight="1">
      <c r="A1202" s="195">
        <v>171</v>
      </c>
      <c r="B1202" s="195" t="s">
        <v>744</v>
      </c>
      <c r="C1202" s="195" t="s">
        <v>745</v>
      </c>
      <c r="D1202" s="196">
        <v>43708</v>
      </c>
      <c r="E1202" s="14" t="s">
        <v>2465</v>
      </c>
      <c r="F1202" s="184">
        <v>25</v>
      </c>
      <c r="G1202" s="14">
        <v>0</v>
      </c>
      <c r="H1202" s="184">
        <v>2</v>
      </c>
      <c r="I1202" s="14">
        <v>0</v>
      </c>
      <c r="J1202" s="14" t="s">
        <v>100</v>
      </c>
      <c r="K1202" s="14"/>
      <c r="L1202" s="85"/>
      <c r="M1202" s="85"/>
      <c r="N1202" s="85"/>
      <c r="O1202" s="85"/>
      <c r="P1202" s="85"/>
      <c r="Q1202" s="85"/>
      <c r="R1202" s="85"/>
      <c r="S1202" s="85"/>
      <c r="T1202" s="85"/>
      <c r="U1202" s="85"/>
      <c r="V1202" s="85"/>
      <c r="W1202" s="85"/>
      <c r="X1202" s="85"/>
      <c r="Y1202" s="85"/>
      <c r="Z1202" s="85"/>
    </row>
    <row r="1203" spans="1:26" ht="15.75" customHeight="1">
      <c r="A1203" s="207" t="s">
        <v>1140</v>
      </c>
      <c r="B1203" s="207" t="s">
        <v>1141</v>
      </c>
      <c r="C1203" s="207" t="s">
        <v>1142</v>
      </c>
      <c r="D1203" s="208">
        <v>43809</v>
      </c>
      <c r="E1203" s="14" t="s">
        <v>2466</v>
      </c>
      <c r="F1203" s="184">
        <v>33</v>
      </c>
      <c r="G1203" s="14">
        <v>1</v>
      </c>
      <c r="H1203" s="14">
        <v>0</v>
      </c>
      <c r="I1203" s="14">
        <v>0</v>
      </c>
      <c r="J1203" s="14" t="s">
        <v>100</v>
      </c>
      <c r="K1203" s="14"/>
      <c r="L1203" s="85"/>
      <c r="M1203" s="85"/>
      <c r="N1203" s="85"/>
      <c r="O1203" s="85"/>
      <c r="P1203" s="85"/>
      <c r="Q1203" s="85"/>
      <c r="R1203" s="85"/>
      <c r="S1203" s="85"/>
      <c r="T1203" s="85"/>
      <c r="U1203" s="85"/>
      <c r="V1203" s="85"/>
      <c r="W1203" s="85"/>
      <c r="X1203" s="85"/>
      <c r="Y1203" s="85"/>
      <c r="Z1203" s="85"/>
    </row>
    <row r="1204" spans="1:26" ht="15.75" customHeight="1">
      <c r="A1204" s="207" t="s">
        <v>1140</v>
      </c>
      <c r="B1204" s="207" t="s">
        <v>1141</v>
      </c>
      <c r="C1204" s="207" t="s">
        <v>1142</v>
      </c>
      <c r="D1204" s="208">
        <v>43809</v>
      </c>
      <c r="E1204" s="14" t="s">
        <v>2467</v>
      </c>
      <c r="F1204" s="184">
        <v>49</v>
      </c>
      <c r="G1204" s="14">
        <v>0</v>
      </c>
      <c r="H1204" s="184">
        <v>2</v>
      </c>
      <c r="I1204" s="14">
        <v>0</v>
      </c>
      <c r="J1204" s="14" t="s">
        <v>100</v>
      </c>
      <c r="K1204" s="14"/>
      <c r="L1204" s="85"/>
      <c r="M1204" s="85"/>
      <c r="N1204" s="85"/>
      <c r="O1204" s="85"/>
      <c r="P1204" s="85"/>
      <c r="Q1204" s="85"/>
      <c r="R1204" s="85"/>
      <c r="S1204" s="85"/>
      <c r="T1204" s="85"/>
      <c r="U1204" s="85"/>
      <c r="V1204" s="85"/>
      <c r="W1204" s="85"/>
      <c r="X1204" s="85"/>
      <c r="Y1204" s="85"/>
      <c r="Z1204" s="85"/>
    </row>
    <row r="1205" spans="1:26" ht="15.75" customHeight="1">
      <c r="A1205" s="207" t="s">
        <v>1140</v>
      </c>
      <c r="B1205" s="207" t="s">
        <v>1141</v>
      </c>
      <c r="C1205" s="207" t="s">
        <v>1142</v>
      </c>
      <c r="D1205" s="208">
        <v>43809</v>
      </c>
      <c r="E1205" s="14" t="s">
        <v>2468</v>
      </c>
      <c r="F1205" s="184">
        <v>24</v>
      </c>
      <c r="G1205" s="14">
        <v>0</v>
      </c>
      <c r="H1205" s="14">
        <v>0</v>
      </c>
      <c r="I1205" s="14">
        <v>0</v>
      </c>
      <c r="J1205" s="14" t="s">
        <v>100</v>
      </c>
      <c r="K1205" s="14"/>
      <c r="L1205" s="85"/>
      <c r="M1205" s="85"/>
      <c r="N1205" s="85"/>
      <c r="O1205" s="85"/>
      <c r="P1205" s="85"/>
      <c r="Q1205" s="85"/>
      <c r="R1205" s="85"/>
      <c r="S1205" s="85"/>
      <c r="T1205" s="85"/>
      <c r="U1205" s="85"/>
      <c r="V1205" s="85"/>
      <c r="W1205" s="85"/>
      <c r="X1205" s="85"/>
      <c r="Y1205" s="85"/>
      <c r="Z1205" s="85"/>
    </row>
    <row r="1206" spans="1:26" ht="15.75" customHeight="1">
      <c r="A1206" s="207" t="s">
        <v>1140</v>
      </c>
      <c r="B1206" s="207" t="s">
        <v>1141</v>
      </c>
      <c r="C1206" s="207" t="s">
        <v>1142</v>
      </c>
      <c r="D1206" s="208">
        <v>43809</v>
      </c>
      <c r="E1206" s="14" t="s">
        <v>2469</v>
      </c>
      <c r="F1206" s="184">
        <v>39</v>
      </c>
      <c r="G1206" s="14">
        <v>0</v>
      </c>
      <c r="H1206" s="184">
        <v>0</v>
      </c>
      <c r="I1206" s="14">
        <v>0</v>
      </c>
      <c r="J1206" s="14" t="s">
        <v>100</v>
      </c>
      <c r="K1206" s="14"/>
      <c r="L1206" s="85"/>
      <c r="M1206" s="85"/>
      <c r="N1206" s="85"/>
      <c r="O1206" s="85"/>
      <c r="P1206" s="85"/>
      <c r="Q1206" s="85"/>
      <c r="R1206" s="85"/>
      <c r="S1206" s="85"/>
      <c r="T1206" s="85"/>
      <c r="U1206" s="85"/>
      <c r="V1206" s="85"/>
      <c r="W1206" s="85"/>
      <c r="X1206" s="85"/>
      <c r="Y1206" s="85"/>
      <c r="Z1206" s="85"/>
    </row>
    <row r="1207" spans="1:26" ht="15.75" customHeight="1">
      <c r="A1207" s="205">
        <v>174</v>
      </c>
      <c r="B1207" s="205" t="s">
        <v>895</v>
      </c>
      <c r="C1207" s="205" t="s">
        <v>481</v>
      </c>
      <c r="D1207" s="206">
        <v>43887</v>
      </c>
      <c r="E1207" s="14" t="s">
        <v>2470</v>
      </c>
      <c r="F1207" s="184">
        <v>33</v>
      </c>
      <c r="G1207" s="14">
        <v>0</v>
      </c>
      <c r="H1207" s="184">
        <v>2</v>
      </c>
      <c r="I1207" s="14">
        <v>1</v>
      </c>
      <c r="J1207" s="14" t="s">
        <v>1175</v>
      </c>
      <c r="K1207" s="14"/>
      <c r="L1207" s="85"/>
      <c r="M1207" s="85"/>
      <c r="N1207" s="85"/>
      <c r="O1207" s="85"/>
      <c r="P1207" s="85"/>
      <c r="Q1207" s="85"/>
      <c r="R1207" s="85"/>
      <c r="S1207" s="85"/>
      <c r="T1207" s="85"/>
      <c r="U1207" s="85"/>
      <c r="V1207" s="85"/>
      <c r="W1207" s="85"/>
      <c r="X1207" s="85"/>
      <c r="Y1207" s="85"/>
      <c r="Z1207" s="85"/>
    </row>
    <row r="1208" spans="1:26" ht="15.75" customHeight="1">
      <c r="A1208" s="205">
        <v>174</v>
      </c>
      <c r="B1208" s="205" t="s">
        <v>895</v>
      </c>
      <c r="C1208" s="205" t="s">
        <v>481</v>
      </c>
      <c r="D1208" s="206">
        <v>43887</v>
      </c>
      <c r="E1208" s="14" t="s">
        <v>2471</v>
      </c>
      <c r="F1208" s="184">
        <v>61</v>
      </c>
      <c r="G1208" s="14">
        <v>0</v>
      </c>
      <c r="H1208" s="184">
        <v>0</v>
      </c>
      <c r="I1208" s="14">
        <v>1</v>
      </c>
      <c r="J1208" s="14" t="s">
        <v>1175</v>
      </c>
      <c r="K1208" s="14"/>
      <c r="L1208" s="85"/>
      <c r="M1208" s="85"/>
      <c r="N1208" s="85"/>
      <c r="O1208" s="85"/>
      <c r="P1208" s="85"/>
      <c r="Q1208" s="85"/>
      <c r="R1208" s="85"/>
      <c r="S1208" s="85"/>
      <c r="T1208" s="85"/>
      <c r="U1208" s="85"/>
      <c r="V1208" s="85"/>
      <c r="W1208" s="85"/>
      <c r="X1208" s="85"/>
      <c r="Y1208" s="85"/>
      <c r="Z1208" s="85"/>
    </row>
    <row r="1209" spans="1:26" ht="15.75" customHeight="1">
      <c r="A1209" s="205">
        <v>174</v>
      </c>
      <c r="B1209" s="205" t="s">
        <v>895</v>
      </c>
      <c r="C1209" s="205" t="s">
        <v>481</v>
      </c>
      <c r="D1209" s="206">
        <v>43887</v>
      </c>
      <c r="E1209" s="14" t="s">
        <v>2472</v>
      </c>
      <c r="F1209" s="184">
        <v>33</v>
      </c>
      <c r="G1209" s="14">
        <v>0</v>
      </c>
      <c r="H1209" s="184">
        <v>0</v>
      </c>
      <c r="I1209" s="14">
        <v>1</v>
      </c>
      <c r="J1209" s="14" t="s">
        <v>1175</v>
      </c>
      <c r="K1209" s="14"/>
      <c r="L1209" s="85"/>
      <c r="M1209" s="85"/>
      <c r="N1209" s="85"/>
      <c r="O1209" s="85"/>
      <c r="P1209" s="85"/>
      <c r="Q1209" s="85"/>
      <c r="R1209" s="85"/>
      <c r="S1209" s="85"/>
      <c r="T1209" s="85"/>
      <c r="U1209" s="85"/>
      <c r="V1209" s="85"/>
      <c r="W1209" s="85"/>
      <c r="X1209" s="85"/>
      <c r="Y1209" s="85"/>
      <c r="Z1209" s="85"/>
    </row>
    <row r="1210" spans="1:26" ht="15.75" customHeight="1">
      <c r="A1210" s="205">
        <v>174</v>
      </c>
      <c r="B1210" s="205" t="s">
        <v>895</v>
      </c>
      <c r="C1210" s="205" t="s">
        <v>481</v>
      </c>
      <c r="D1210" s="206">
        <v>43887</v>
      </c>
      <c r="E1210" s="14" t="s">
        <v>2473</v>
      </c>
      <c r="F1210" s="184">
        <v>57</v>
      </c>
      <c r="G1210" s="14">
        <v>0</v>
      </c>
      <c r="H1210" s="184">
        <v>0</v>
      </c>
      <c r="I1210" s="14">
        <v>1</v>
      </c>
      <c r="J1210" s="14" t="s">
        <v>1175</v>
      </c>
      <c r="K1210" s="14"/>
      <c r="L1210" s="85"/>
      <c r="M1210" s="85"/>
      <c r="N1210" s="85"/>
      <c r="O1210" s="85"/>
      <c r="P1210" s="85"/>
      <c r="Q1210" s="85"/>
      <c r="R1210" s="85"/>
      <c r="S1210" s="85"/>
      <c r="T1210" s="85"/>
      <c r="U1210" s="85"/>
      <c r="V1210" s="85"/>
      <c r="W1210" s="85"/>
      <c r="X1210" s="85"/>
      <c r="Y1210" s="85"/>
      <c r="Z1210" s="85"/>
    </row>
    <row r="1211" spans="1:26" ht="15.75" customHeight="1">
      <c r="A1211" s="205">
        <v>174</v>
      </c>
      <c r="B1211" s="205" t="s">
        <v>895</v>
      </c>
      <c r="C1211" s="205" t="s">
        <v>481</v>
      </c>
      <c r="D1211" s="206">
        <v>43887</v>
      </c>
      <c r="E1211" s="14" t="s">
        <v>2474</v>
      </c>
      <c r="F1211" s="184">
        <v>60</v>
      </c>
      <c r="G1211" s="14">
        <v>0</v>
      </c>
      <c r="H1211" s="184">
        <v>0</v>
      </c>
      <c r="I1211" s="14">
        <v>1</v>
      </c>
      <c r="J1211" s="14" t="s">
        <v>1175</v>
      </c>
      <c r="K1211" s="14"/>
      <c r="L1211" s="85"/>
      <c r="M1211" s="85"/>
      <c r="N1211" s="85"/>
      <c r="O1211" s="85"/>
      <c r="P1211" s="85"/>
      <c r="Q1211" s="85"/>
      <c r="R1211" s="85"/>
      <c r="S1211" s="85"/>
      <c r="T1211" s="85"/>
      <c r="U1211" s="85"/>
      <c r="V1211" s="85"/>
      <c r="W1211" s="85"/>
      <c r="X1211" s="85"/>
      <c r="Y1211" s="85"/>
      <c r="Z1211" s="85"/>
    </row>
    <row r="1212" spans="1:26" ht="15.75" customHeight="1">
      <c r="A1212" s="86"/>
      <c r="B1212" s="86"/>
      <c r="C1212" s="86"/>
      <c r="D1212" s="86"/>
      <c r="E1212" s="18"/>
      <c r="F1212" s="18"/>
      <c r="G1212" s="18"/>
      <c r="H1212" s="18"/>
      <c r="I1212" s="18"/>
      <c r="J1212" s="18"/>
      <c r="K1212" s="18"/>
      <c r="L1212" s="85"/>
      <c r="M1212" s="85"/>
      <c r="N1212" s="85"/>
      <c r="O1212" s="85"/>
      <c r="P1212" s="85"/>
      <c r="Q1212" s="85"/>
      <c r="R1212" s="85"/>
      <c r="S1212" s="85"/>
      <c r="T1212" s="85"/>
      <c r="U1212" s="85"/>
      <c r="V1212" s="85"/>
      <c r="W1212" s="85"/>
      <c r="X1212" s="85"/>
      <c r="Y1212" s="85"/>
      <c r="Z1212" s="85"/>
    </row>
    <row r="1213" spans="1:26" ht="15.75" customHeight="1">
      <c r="A1213" s="86"/>
      <c r="B1213" s="86"/>
      <c r="C1213" s="86"/>
      <c r="D1213" s="86"/>
      <c r="E1213" s="18"/>
      <c r="F1213" s="18"/>
      <c r="G1213" s="18"/>
      <c r="H1213" s="18"/>
      <c r="I1213" s="18"/>
      <c r="J1213" s="18"/>
      <c r="K1213" s="18"/>
      <c r="L1213" s="85"/>
      <c r="M1213" s="85"/>
      <c r="N1213" s="85"/>
      <c r="O1213" s="85"/>
      <c r="P1213" s="85"/>
      <c r="Q1213" s="85"/>
      <c r="R1213" s="85"/>
      <c r="S1213" s="85"/>
      <c r="T1213" s="85"/>
      <c r="U1213" s="85"/>
      <c r="V1213" s="85"/>
      <c r="W1213" s="85"/>
      <c r="X1213" s="85"/>
      <c r="Y1213" s="85"/>
      <c r="Z1213" s="85"/>
    </row>
    <row r="1214" spans="1:26" ht="15.75" customHeight="1">
      <c r="A1214" s="86"/>
      <c r="B1214" s="86"/>
      <c r="C1214" s="86"/>
      <c r="D1214" s="86"/>
      <c r="E1214" s="18"/>
      <c r="F1214" s="18"/>
      <c r="G1214" s="18"/>
      <c r="H1214" s="18"/>
      <c r="I1214" s="18"/>
      <c r="J1214" s="18"/>
      <c r="K1214" s="18"/>
      <c r="L1214" s="85"/>
      <c r="M1214" s="85"/>
      <c r="N1214" s="85"/>
      <c r="O1214" s="85"/>
      <c r="P1214" s="85"/>
      <c r="Q1214" s="85"/>
      <c r="R1214" s="85"/>
      <c r="S1214" s="85"/>
      <c r="T1214" s="85"/>
      <c r="U1214" s="85"/>
      <c r="V1214" s="85"/>
      <c r="W1214" s="85"/>
      <c r="X1214" s="85"/>
      <c r="Y1214" s="85"/>
      <c r="Z1214" s="85"/>
    </row>
    <row r="1215" spans="1:26" ht="15.75" customHeight="1">
      <c r="A1215" s="86"/>
      <c r="B1215" s="86"/>
      <c r="C1215" s="86"/>
      <c r="D1215" s="86"/>
      <c r="E1215" s="18"/>
      <c r="F1215" s="18"/>
      <c r="G1215" s="18"/>
      <c r="H1215" s="18"/>
      <c r="I1215" s="18"/>
      <c r="J1215" s="18"/>
      <c r="K1215" s="18"/>
      <c r="L1215" s="85"/>
      <c r="M1215" s="85"/>
      <c r="N1215" s="85"/>
      <c r="O1215" s="85"/>
      <c r="P1215" s="85"/>
      <c r="Q1215" s="85"/>
      <c r="R1215" s="85"/>
      <c r="S1215" s="85"/>
      <c r="T1215" s="85"/>
      <c r="U1215" s="85"/>
      <c r="V1215" s="85"/>
      <c r="W1215" s="85"/>
      <c r="X1215" s="85"/>
      <c r="Y1215" s="85"/>
      <c r="Z1215" s="85"/>
    </row>
    <row r="1216" spans="1:26" ht="15.75" customHeight="1">
      <c r="A1216" s="86"/>
      <c r="B1216" s="86"/>
      <c r="C1216" s="86"/>
      <c r="D1216" s="86"/>
      <c r="E1216" s="18"/>
      <c r="F1216" s="18"/>
      <c r="G1216" s="18"/>
      <c r="H1216" s="18"/>
      <c r="I1216" s="18"/>
      <c r="J1216" s="18"/>
      <c r="K1216" s="18"/>
      <c r="L1216" s="85"/>
      <c r="M1216" s="85"/>
      <c r="N1216" s="85"/>
      <c r="O1216" s="85"/>
      <c r="P1216" s="85"/>
      <c r="Q1216" s="85"/>
      <c r="R1216" s="85"/>
      <c r="S1216" s="85"/>
      <c r="T1216" s="85"/>
      <c r="U1216" s="85"/>
      <c r="V1216" s="85"/>
      <c r="W1216" s="85"/>
      <c r="X1216" s="85"/>
      <c r="Y1216" s="85"/>
      <c r="Z1216" s="85"/>
    </row>
    <row r="1217" spans="1:26" ht="15.75" customHeight="1">
      <c r="A1217" s="86"/>
      <c r="B1217" s="86"/>
      <c r="C1217" s="86"/>
      <c r="D1217" s="86"/>
      <c r="E1217" s="18"/>
      <c r="F1217" s="18"/>
      <c r="G1217" s="18"/>
      <c r="H1217" s="18"/>
      <c r="I1217" s="18"/>
      <c r="J1217" s="18"/>
      <c r="K1217" s="18"/>
      <c r="L1217" s="85"/>
      <c r="M1217" s="85"/>
      <c r="N1217" s="85"/>
      <c r="O1217" s="85"/>
      <c r="P1217" s="85"/>
      <c r="Q1217" s="85"/>
      <c r="R1217" s="85"/>
      <c r="S1217" s="85"/>
      <c r="T1217" s="85"/>
      <c r="U1217" s="85"/>
      <c r="V1217" s="85"/>
      <c r="W1217" s="85"/>
      <c r="X1217" s="85"/>
      <c r="Y1217" s="85"/>
      <c r="Z1217" s="85"/>
    </row>
    <row r="1218" spans="1:26" ht="15.75" customHeight="1">
      <c r="A1218" s="86"/>
      <c r="B1218" s="86"/>
      <c r="C1218" s="86"/>
      <c r="D1218" s="86"/>
      <c r="E1218" s="18"/>
      <c r="F1218" s="18"/>
      <c r="G1218" s="18"/>
      <c r="H1218" s="18"/>
      <c r="I1218" s="18"/>
      <c r="J1218" s="18"/>
      <c r="K1218" s="18"/>
      <c r="L1218" s="85"/>
      <c r="M1218" s="85"/>
      <c r="N1218" s="85"/>
      <c r="O1218" s="85"/>
      <c r="P1218" s="85"/>
      <c r="Q1218" s="85"/>
      <c r="R1218" s="85"/>
      <c r="S1218" s="85"/>
      <c r="T1218" s="85"/>
      <c r="U1218" s="85"/>
      <c r="V1218" s="85"/>
      <c r="W1218" s="85"/>
      <c r="X1218" s="85"/>
      <c r="Y1218" s="85"/>
      <c r="Z1218" s="85"/>
    </row>
    <row r="1219" spans="1:26" ht="15.75" customHeight="1">
      <c r="A1219" s="86"/>
      <c r="B1219" s="86"/>
      <c r="C1219" s="86"/>
      <c r="D1219" s="86"/>
      <c r="E1219" s="18"/>
      <c r="F1219" s="18"/>
      <c r="G1219" s="18"/>
      <c r="H1219" s="18"/>
      <c r="I1219" s="18"/>
      <c r="J1219" s="18"/>
      <c r="K1219" s="18"/>
      <c r="L1219" s="85"/>
      <c r="M1219" s="85"/>
      <c r="N1219" s="85"/>
      <c r="O1219" s="85"/>
      <c r="P1219" s="85"/>
      <c r="Q1219" s="85"/>
      <c r="R1219" s="85"/>
      <c r="S1219" s="85"/>
      <c r="T1219" s="85"/>
      <c r="U1219" s="85"/>
      <c r="V1219" s="85"/>
      <c r="W1219" s="85"/>
      <c r="X1219" s="85"/>
      <c r="Y1219" s="85"/>
      <c r="Z1219" s="85"/>
    </row>
    <row r="1220" spans="1:26" ht="15.75" customHeight="1">
      <c r="A1220" s="86"/>
      <c r="B1220" s="86"/>
      <c r="C1220" s="86"/>
      <c r="D1220" s="86"/>
      <c r="E1220" s="18"/>
      <c r="F1220" s="18"/>
      <c r="G1220" s="18"/>
      <c r="H1220" s="18"/>
      <c r="I1220" s="18"/>
      <c r="J1220" s="18"/>
      <c r="K1220" s="18"/>
      <c r="L1220" s="85"/>
      <c r="M1220" s="85"/>
      <c r="N1220" s="85"/>
      <c r="O1220" s="85"/>
      <c r="P1220" s="85"/>
      <c r="Q1220" s="85"/>
      <c r="R1220" s="85"/>
      <c r="S1220" s="85"/>
      <c r="T1220" s="85"/>
      <c r="U1220" s="85"/>
      <c r="V1220" s="85"/>
      <c r="W1220" s="85"/>
      <c r="X1220" s="85"/>
      <c r="Y1220" s="85"/>
      <c r="Z1220" s="85"/>
    </row>
    <row r="1221" spans="1:26" ht="15.75" customHeight="1">
      <c r="A1221" s="86"/>
      <c r="B1221" s="86"/>
      <c r="C1221" s="86"/>
      <c r="D1221" s="86"/>
      <c r="E1221" s="18"/>
      <c r="F1221" s="18"/>
      <c r="G1221" s="18"/>
      <c r="H1221" s="18"/>
      <c r="I1221" s="18"/>
      <c r="J1221" s="18"/>
      <c r="K1221" s="18"/>
      <c r="L1221" s="85"/>
      <c r="M1221" s="85"/>
      <c r="N1221" s="85"/>
      <c r="O1221" s="85"/>
      <c r="P1221" s="85"/>
      <c r="Q1221" s="85"/>
      <c r="R1221" s="85"/>
      <c r="S1221" s="85"/>
      <c r="T1221" s="85"/>
      <c r="U1221" s="85"/>
      <c r="V1221" s="85"/>
      <c r="W1221" s="85"/>
      <c r="X1221" s="85"/>
      <c r="Y1221" s="85"/>
      <c r="Z1221" s="85"/>
    </row>
    <row r="1222" spans="1:26" ht="15.75" customHeight="1">
      <c r="A1222" s="86"/>
      <c r="B1222" s="86"/>
      <c r="C1222" s="86"/>
      <c r="D1222" s="86"/>
      <c r="E1222" s="18"/>
      <c r="F1222" s="18"/>
      <c r="G1222" s="18"/>
      <c r="H1222" s="18"/>
      <c r="I1222" s="18"/>
      <c r="J1222" s="18"/>
      <c r="K1222" s="18"/>
      <c r="L1222" s="85"/>
      <c r="M1222" s="85"/>
      <c r="N1222" s="85"/>
      <c r="O1222" s="85"/>
      <c r="P1222" s="85"/>
      <c r="Q1222" s="85"/>
      <c r="R1222" s="85"/>
      <c r="S1222" s="85"/>
      <c r="T1222" s="85"/>
      <c r="U1222" s="85"/>
      <c r="V1222" s="85"/>
      <c r="W1222" s="85"/>
      <c r="X1222" s="85"/>
      <c r="Y1222" s="85"/>
      <c r="Z1222" s="85"/>
    </row>
    <row r="1223" spans="1:26" ht="15.75" customHeight="1">
      <c r="A1223" s="86"/>
      <c r="B1223" s="86"/>
      <c r="C1223" s="86"/>
      <c r="D1223" s="86"/>
      <c r="E1223" s="18"/>
      <c r="F1223" s="18"/>
      <c r="G1223" s="18"/>
      <c r="H1223" s="18"/>
      <c r="I1223" s="18"/>
      <c r="J1223" s="18"/>
      <c r="K1223" s="18"/>
      <c r="L1223" s="85"/>
      <c r="M1223" s="85"/>
      <c r="N1223" s="85"/>
      <c r="O1223" s="85"/>
      <c r="P1223" s="85"/>
      <c r="Q1223" s="85"/>
      <c r="R1223" s="85"/>
      <c r="S1223" s="85"/>
      <c r="T1223" s="85"/>
      <c r="U1223" s="85"/>
      <c r="V1223" s="85"/>
      <c r="W1223" s="85"/>
      <c r="X1223" s="85"/>
      <c r="Y1223" s="85"/>
      <c r="Z1223" s="85"/>
    </row>
    <row r="1224" spans="1:26" ht="15.75" customHeight="1">
      <c r="A1224" s="86"/>
      <c r="B1224" s="86"/>
      <c r="C1224" s="86"/>
      <c r="D1224" s="86"/>
      <c r="E1224" s="18"/>
      <c r="F1224" s="18"/>
      <c r="G1224" s="18"/>
      <c r="H1224" s="18"/>
      <c r="I1224" s="18"/>
      <c r="J1224" s="18"/>
      <c r="K1224" s="18"/>
      <c r="L1224" s="85"/>
      <c r="M1224" s="85"/>
      <c r="N1224" s="85"/>
      <c r="O1224" s="85"/>
      <c r="P1224" s="85"/>
      <c r="Q1224" s="85"/>
      <c r="R1224" s="85"/>
      <c r="S1224" s="85"/>
      <c r="T1224" s="85"/>
      <c r="U1224" s="85"/>
      <c r="V1224" s="85"/>
      <c r="W1224" s="85"/>
      <c r="X1224" s="85"/>
      <c r="Y1224" s="85"/>
      <c r="Z1224" s="85"/>
    </row>
    <row r="1225" spans="1:26" ht="15.75" customHeight="1">
      <c r="A1225" s="86"/>
      <c r="B1225" s="86"/>
      <c r="C1225" s="86"/>
      <c r="D1225" s="86"/>
      <c r="E1225" s="18"/>
      <c r="F1225" s="18"/>
      <c r="G1225" s="18"/>
      <c r="H1225" s="18"/>
      <c r="I1225" s="18"/>
      <c r="J1225" s="18"/>
      <c r="K1225" s="18"/>
      <c r="L1225" s="85"/>
      <c r="M1225" s="85"/>
      <c r="N1225" s="85"/>
      <c r="O1225" s="85"/>
      <c r="P1225" s="85"/>
      <c r="Q1225" s="85"/>
      <c r="R1225" s="85"/>
      <c r="S1225" s="85"/>
      <c r="T1225" s="85"/>
      <c r="U1225" s="85"/>
      <c r="V1225" s="85"/>
      <c r="W1225" s="85"/>
      <c r="X1225" s="85"/>
      <c r="Y1225" s="85"/>
      <c r="Z1225" s="85"/>
    </row>
    <row r="1226" spans="1:26" ht="15.75" customHeight="1">
      <c r="A1226" s="86"/>
      <c r="B1226" s="86"/>
      <c r="C1226" s="86"/>
      <c r="D1226" s="86"/>
      <c r="E1226" s="18"/>
      <c r="F1226" s="18"/>
      <c r="G1226" s="18"/>
      <c r="H1226" s="18"/>
      <c r="I1226" s="18"/>
      <c r="J1226" s="18"/>
      <c r="K1226" s="18"/>
      <c r="L1226" s="85"/>
      <c r="M1226" s="85"/>
      <c r="N1226" s="85"/>
      <c r="O1226" s="85"/>
      <c r="P1226" s="85"/>
      <c r="Q1226" s="85"/>
      <c r="R1226" s="85"/>
      <c r="S1226" s="85"/>
      <c r="T1226" s="85"/>
      <c r="U1226" s="85"/>
      <c r="V1226" s="85"/>
      <c r="W1226" s="85"/>
      <c r="X1226" s="85"/>
      <c r="Y1226" s="85"/>
      <c r="Z1226" s="85"/>
    </row>
    <row r="1227" spans="1:26" ht="15.75" customHeight="1">
      <c r="A1227" s="86"/>
      <c r="B1227" s="86"/>
      <c r="C1227" s="86"/>
      <c r="D1227" s="86"/>
      <c r="E1227" s="18"/>
      <c r="F1227" s="18"/>
      <c r="G1227" s="18"/>
      <c r="H1227" s="18"/>
      <c r="I1227" s="18"/>
      <c r="J1227" s="18"/>
      <c r="K1227" s="18"/>
      <c r="L1227" s="85"/>
      <c r="M1227" s="85"/>
      <c r="N1227" s="85"/>
      <c r="O1227" s="85"/>
      <c r="P1227" s="85"/>
      <c r="Q1227" s="85"/>
      <c r="R1227" s="85"/>
      <c r="S1227" s="85"/>
      <c r="T1227" s="85"/>
      <c r="U1227" s="85"/>
      <c r="V1227" s="85"/>
      <c r="W1227" s="85"/>
      <c r="X1227" s="85"/>
      <c r="Y1227" s="85"/>
      <c r="Z1227" s="85"/>
    </row>
    <row r="1228" spans="1:26" ht="15.75" customHeight="1">
      <c r="A1228" s="86"/>
      <c r="B1228" s="86"/>
      <c r="C1228" s="86"/>
      <c r="D1228" s="86"/>
      <c r="E1228" s="18"/>
      <c r="F1228" s="18"/>
      <c r="G1228" s="18"/>
      <c r="H1228" s="18"/>
      <c r="I1228" s="18"/>
      <c r="J1228" s="18"/>
      <c r="K1228" s="18"/>
      <c r="L1228" s="85"/>
      <c r="M1228" s="85"/>
      <c r="N1228" s="85"/>
      <c r="O1228" s="85"/>
      <c r="P1228" s="85"/>
      <c r="Q1228" s="85"/>
      <c r="R1228" s="85"/>
      <c r="S1228" s="85"/>
      <c r="T1228" s="85"/>
      <c r="U1228" s="85"/>
      <c r="V1228" s="85"/>
      <c r="W1228" s="85"/>
      <c r="X1228" s="85"/>
      <c r="Y1228" s="85"/>
      <c r="Z1228" s="85"/>
    </row>
    <row r="1229" spans="1:26" ht="15.75" customHeight="1">
      <c r="A1229" s="86"/>
      <c r="B1229" s="86"/>
      <c r="C1229" s="86"/>
      <c r="D1229" s="86"/>
      <c r="E1229" s="18"/>
      <c r="F1229" s="18"/>
      <c r="G1229" s="18"/>
      <c r="H1229" s="18"/>
      <c r="I1229" s="18"/>
      <c r="J1229" s="18"/>
      <c r="K1229" s="18"/>
      <c r="L1229" s="85"/>
      <c r="M1229" s="85"/>
      <c r="N1229" s="85"/>
      <c r="O1229" s="85"/>
      <c r="P1229" s="85"/>
      <c r="Q1229" s="85"/>
      <c r="R1229" s="85"/>
      <c r="S1229" s="85"/>
      <c r="T1229" s="85"/>
      <c r="U1229" s="85"/>
      <c r="V1229" s="85"/>
      <c r="W1229" s="85"/>
      <c r="X1229" s="85"/>
      <c r="Y1229" s="85"/>
      <c r="Z1229" s="85"/>
    </row>
    <row r="1230" spans="1:26" ht="15.75" customHeight="1">
      <c r="A1230" s="86"/>
      <c r="B1230" s="86"/>
      <c r="C1230" s="86"/>
      <c r="D1230" s="86"/>
      <c r="E1230" s="18"/>
      <c r="F1230" s="18"/>
      <c r="G1230" s="18"/>
      <c r="H1230" s="18"/>
      <c r="I1230" s="18"/>
      <c r="J1230" s="18"/>
      <c r="K1230" s="18"/>
      <c r="L1230" s="85"/>
      <c r="M1230" s="85"/>
      <c r="N1230" s="85"/>
      <c r="O1230" s="85"/>
      <c r="P1230" s="85"/>
      <c r="Q1230" s="85"/>
      <c r="R1230" s="85"/>
      <c r="S1230" s="85"/>
      <c r="T1230" s="85"/>
      <c r="U1230" s="85"/>
      <c r="V1230" s="85"/>
      <c r="W1230" s="85"/>
      <c r="X1230" s="85"/>
      <c r="Y1230" s="85"/>
      <c r="Z1230" s="85"/>
    </row>
    <row r="1231" spans="1:26" ht="15.75" customHeight="1">
      <c r="A1231" s="86"/>
      <c r="B1231" s="86"/>
      <c r="C1231" s="86"/>
      <c r="D1231" s="86"/>
      <c r="E1231" s="18"/>
      <c r="F1231" s="18"/>
      <c r="G1231" s="18"/>
      <c r="H1231" s="18"/>
      <c r="I1231" s="18"/>
      <c r="J1231" s="18"/>
      <c r="K1231" s="18"/>
      <c r="L1231" s="85"/>
      <c r="M1231" s="85"/>
      <c r="N1231" s="85"/>
      <c r="O1231" s="85"/>
      <c r="P1231" s="85"/>
      <c r="Q1231" s="85"/>
      <c r="R1231" s="85"/>
      <c r="S1231" s="85"/>
      <c r="T1231" s="85"/>
      <c r="U1231" s="85"/>
      <c r="V1231" s="85"/>
      <c r="W1231" s="85"/>
      <c r="X1231" s="85"/>
      <c r="Y1231" s="85"/>
      <c r="Z1231" s="85"/>
    </row>
    <row r="1232" spans="1:26" ht="15.75" customHeight="1">
      <c r="A1232" s="86"/>
      <c r="B1232" s="86"/>
      <c r="C1232" s="86"/>
      <c r="D1232" s="86"/>
      <c r="E1232" s="18"/>
      <c r="F1232" s="18"/>
      <c r="G1232" s="18"/>
      <c r="H1232" s="18"/>
      <c r="I1232" s="18"/>
      <c r="J1232" s="18"/>
      <c r="K1232" s="18"/>
      <c r="L1232" s="85"/>
      <c r="M1232" s="85"/>
      <c r="N1232" s="85"/>
      <c r="O1232" s="85"/>
      <c r="P1232" s="85"/>
      <c r="Q1232" s="85"/>
      <c r="R1232" s="85"/>
      <c r="S1232" s="85"/>
      <c r="T1232" s="85"/>
      <c r="U1232" s="85"/>
      <c r="V1232" s="85"/>
      <c r="W1232" s="85"/>
      <c r="X1232" s="85"/>
      <c r="Y1232" s="85"/>
      <c r="Z1232" s="85"/>
    </row>
    <row r="1233" spans="1:26" ht="15.75" customHeight="1">
      <c r="A1233" s="86"/>
      <c r="B1233" s="86"/>
      <c r="C1233" s="86"/>
      <c r="D1233" s="86"/>
      <c r="E1233" s="18"/>
      <c r="F1233" s="18"/>
      <c r="G1233" s="18"/>
      <c r="H1233" s="18"/>
      <c r="I1233" s="18"/>
      <c r="J1233" s="18"/>
      <c r="K1233" s="18"/>
      <c r="L1233" s="85"/>
      <c r="M1233" s="85"/>
      <c r="N1233" s="85"/>
      <c r="O1233" s="85"/>
      <c r="P1233" s="85"/>
      <c r="Q1233" s="85"/>
      <c r="R1233" s="85"/>
      <c r="S1233" s="85"/>
      <c r="T1233" s="85"/>
      <c r="U1233" s="85"/>
      <c r="V1233" s="85"/>
      <c r="W1233" s="85"/>
      <c r="X1233" s="85"/>
      <c r="Y1233" s="85"/>
      <c r="Z1233" s="85"/>
    </row>
    <row r="1234" spans="1:26" ht="15.75" customHeight="1">
      <c r="A1234" s="86"/>
      <c r="B1234" s="86"/>
      <c r="C1234" s="86"/>
      <c r="D1234" s="86"/>
      <c r="E1234" s="18"/>
      <c r="F1234" s="18"/>
      <c r="G1234" s="18"/>
      <c r="H1234" s="18"/>
      <c r="I1234" s="18"/>
      <c r="J1234" s="18"/>
      <c r="K1234" s="18"/>
      <c r="L1234" s="85"/>
      <c r="M1234" s="85"/>
      <c r="N1234" s="85"/>
      <c r="O1234" s="85"/>
      <c r="P1234" s="85"/>
      <c r="Q1234" s="85"/>
      <c r="R1234" s="85"/>
      <c r="S1234" s="85"/>
      <c r="T1234" s="85"/>
      <c r="U1234" s="85"/>
      <c r="V1234" s="85"/>
      <c r="W1234" s="85"/>
      <c r="X1234" s="85"/>
      <c r="Y1234" s="85"/>
      <c r="Z1234" s="85"/>
    </row>
    <row r="1235" spans="1:26" ht="15.75" customHeight="1">
      <c r="A1235" s="86"/>
      <c r="B1235" s="86"/>
      <c r="C1235" s="86"/>
      <c r="D1235" s="86"/>
      <c r="E1235" s="18"/>
      <c r="F1235" s="18"/>
      <c r="G1235" s="18"/>
      <c r="H1235" s="18"/>
      <c r="I1235" s="18"/>
      <c r="J1235" s="18"/>
      <c r="K1235" s="18"/>
      <c r="L1235" s="85"/>
      <c r="M1235" s="85"/>
      <c r="N1235" s="85"/>
      <c r="O1235" s="85"/>
      <c r="P1235" s="85"/>
      <c r="Q1235" s="85"/>
      <c r="R1235" s="85"/>
      <c r="S1235" s="85"/>
      <c r="T1235" s="85"/>
      <c r="U1235" s="85"/>
      <c r="V1235" s="85"/>
      <c r="W1235" s="85"/>
      <c r="X1235" s="85"/>
      <c r="Y1235" s="85"/>
      <c r="Z1235" s="85"/>
    </row>
    <row r="1236" spans="1:26" ht="15.75" customHeight="1">
      <c r="A1236" s="86"/>
      <c r="B1236" s="86"/>
      <c r="C1236" s="86"/>
      <c r="D1236" s="86"/>
      <c r="E1236" s="18"/>
      <c r="F1236" s="18"/>
      <c r="G1236" s="18"/>
      <c r="H1236" s="18"/>
      <c r="I1236" s="18"/>
      <c r="J1236" s="18"/>
      <c r="K1236" s="18"/>
      <c r="L1236" s="85"/>
      <c r="M1236" s="85"/>
      <c r="N1236" s="85"/>
      <c r="O1236" s="85"/>
      <c r="P1236" s="85"/>
      <c r="Q1236" s="85"/>
      <c r="R1236" s="85"/>
      <c r="S1236" s="85"/>
      <c r="T1236" s="85"/>
      <c r="U1236" s="85"/>
      <c r="V1236" s="85"/>
      <c r="W1236" s="85"/>
      <c r="X1236" s="85"/>
      <c r="Y1236" s="85"/>
      <c r="Z1236" s="85"/>
    </row>
    <row r="1237" spans="1:26" ht="15.75" customHeight="1">
      <c r="A1237" s="86"/>
      <c r="B1237" s="86"/>
      <c r="C1237" s="86"/>
      <c r="D1237" s="86"/>
      <c r="E1237" s="18"/>
      <c r="F1237" s="18"/>
      <c r="G1237" s="18"/>
      <c r="H1237" s="18"/>
      <c r="I1237" s="18"/>
      <c r="J1237" s="18"/>
      <c r="K1237" s="18"/>
      <c r="L1237" s="85"/>
      <c r="M1237" s="85"/>
      <c r="N1237" s="85"/>
      <c r="O1237" s="85"/>
      <c r="P1237" s="85"/>
      <c r="Q1237" s="85"/>
      <c r="R1237" s="85"/>
      <c r="S1237" s="85"/>
      <c r="T1237" s="85"/>
      <c r="U1237" s="85"/>
      <c r="V1237" s="85"/>
      <c r="W1237" s="85"/>
      <c r="X1237" s="85"/>
      <c r="Y1237" s="85"/>
      <c r="Z1237" s="85"/>
    </row>
    <row r="1238" spans="1:26" ht="15.75" customHeight="1">
      <c r="A1238" s="86"/>
      <c r="B1238" s="86"/>
      <c r="C1238" s="86"/>
      <c r="D1238" s="86"/>
      <c r="E1238" s="18"/>
      <c r="F1238" s="18"/>
      <c r="G1238" s="18"/>
      <c r="H1238" s="18"/>
      <c r="I1238" s="18"/>
      <c r="J1238" s="18"/>
      <c r="K1238" s="18"/>
      <c r="L1238" s="85"/>
      <c r="M1238" s="85"/>
      <c r="N1238" s="85"/>
      <c r="O1238" s="85"/>
      <c r="P1238" s="85"/>
      <c r="Q1238" s="85"/>
      <c r="R1238" s="85"/>
      <c r="S1238" s="85"/>
      <c r="T1238" s="85"/>
      <c r="U1238" s="85"/>
      <c r="V1238" s="85"/>
      <c r="W1238" s="85"/>
      <c r="X1238" s="85"/>
      <c r="Y1238" s="85"/>
      <c r="Z1238" s="85"/>
    </row>
    <row r="1239" spans="1:26" ht="15.75" customHeight="1">
      <c r="A1239" s="86"/>
      <c r="B1239" s="86"/>
      <c r="C1239" s="86"/>
      <c r="D1239" s="86"/>
      <c r="E1239" s="18"/>
      <c r="F1239" s="18"/>
      <c r="G1239" s="18"/>
      <c r="H1239" s="18"/>
      <c r="I1239" s="18"/>
      <c r="J1239" s="18"/>
      <c r="K1239" s="18"/>
      <c r="L1239" s="85"/>
      <c r="M1239" s="85"/>
      <c r="N1239" s="85"/>
      <c r="O1239" s="85"/>
      <c r="P1239" s="85"/>
      <c r="Q1239" s="85"/>
      <c r="R1239" s="85"/>
      <c r="S1239" s="85"/>
      <c r="T1239" s="85"/>
      <c r="U1239" s="85"/>
      <c r="V1239" s="85"/>
      <c r="W1239" s="85"/>
      <c r="X1239" s="85"/>
      <c r="Y1239" s="85"/>
      <c r="Z1239" s="85"/>
    </row>
    <row r="1240" spans="1:26" ht="15.75" customHeight="1">
      <c r="A1240" s="86"/>
      <c r="B1240" s="86"/>
      <c r="C1240" s="86"/>
      <c r="D1240" s="86"/>
      <c r="E1240" s="18"/>
      <c r="F1240" s="18"/>
      <c r="G1240" s="18"/>
      <c r="H1240" s="18"/>
      <c r="I1240" s="18"/>
      <c r="J1240" s="18"/>
      <c r="K1240" s="18"/>
      <c r="L1240" s="85"/>
      <c r="M1240" s="85"/>
      <c r="N1240" s="85"/>
      <c r="O1240" s="85"/>
      <c r="P1240" s="85"/>
      <c r="Q1240" s="85"/>
      <c r="R1240" s="85"/>
      <c r="S1240" s="85"/>
      <c r="T1240" s="85"/>
      <c r="U1240" s="85"/>
      <c r="V1240" s="85"/>
      <c r="W1240" s="85"/>
      <c r="X1240" s="85"/>
      <c r="Y1240" s="85"/>
      <c r="Z1240" s="85"/>
    </row>
    <row r="1241" spans="1:26" ht="15.75" customHeight="1">
      <c r="A1241" s="86"/>
      <c r="B1241" s="86"/>
      <c r="C1241" s="86"/>
      <c r="D1241" s="86"/>
      <c r="E1241" s="18"/>
      <c r="F1241" s="18"/>
      <c r="G1241" s="18"/>
      <c r="H1241" s="18"/>
      <c r="I1241" s="18"/>
      <c r="J1241" s="18"/>
      <c r="K1241" s="18"/>
      <c r="L1241" s="85"/>
      <c r="M1241" s="85"/>
      <c r="N1241" s="85"/>
      <c r="O1241" s="85"/>
      <c r="P1241" s="85"/>
      <c r="Q1241" s="85"/>
      <c r="R1241" s="85"/>
      <c r="S1241" s="85"/>
      <c r="T1241" s="85"/>
      <c r="U1241" s="85"/>
      <c r="V1241" s="85"/>
      <c r="W1241" s="85"/>
      <c r="X1241" s="85"/>
      <c r="Y1241" s="85"/>
      <c r="Z1241" s="85"/>
    </row>
    <row r="1242" spans="1:26" ht="15.75" customHeight="1">
      <c r="A1242" s="86"/>
      <c r="B1242" s="86"/>
      <c r="C1242" s="86"/>
      <c r="D1242" s="86"/>
      <c r="E1242" s="18"/>
      <c r="F1242" s="18"/>
      <c r="G1242" s="18"/>
      <c r="H1242" s="18"/>
      <c r="I1242" s="18"/>
      <c r="J1242" s="18"/>
      <c r="K1242" s="18"/>
      <c r="L1242" s="85"/>
      <c r="M1242" s="85"/>
      <c r="N1242" s="85"/>
      <c r="O1242" s="85"/>
      <c r="P1242" s="85"/>
      <c r="Q1242" s="85"/>
      <c r="R1242" s="85"/>
      <c r="S1242" s="85"/>
      <c r="T1242" s="85"/>
      <c r="U1242" s="85"/>
      <c r="V1242" s="85"/>
      <c r="W1242" s="85"/>
      <c r="X1242" s="85"/>
      <c r="Y1242" s="85"/>
      <c r="Z1242" s="85"/>
    </row>
    <row r="1243" spans="1:26" ht="15.75" customHeight="1">
      <c r="A1243" s="86"/>
      <c r="B1243" s="86"/>
      <c r="C1243" s="86"/>
      <c r="D1243" s="86"/>
      <c r="E1243" s="18"/>
      <c r="F1243" s="18"/>
      <c r="G1243" s="18"/>
      <c r="H1243" s="18"/>
      <c r="I1243" s="18"/>
      <c r="J1243" s="18"/>
      <c r="K1243" s="18"/>
      <c r="L1243" s="85"/>
      <c r="M1243" s="85"/>
      <c r="N1243" s="85"/>
      <c r="O1243" s="85"/>
      <c r="P1243" s="85"/>
      <c r="Q1243" s="85"/>
      <c r="R1243" s="85"/>
      <c r="S1243" s="85"/>
      <c r="T1243" s="85"/>
      <c r="U1243" s="85"/>
      <c r="V1243" s="85"/>
      <c r="W1243" s="85"/>
      <c r="X1243" s="85"/>
      <c r="Y1243" s="85"/>
      <c r="Z1243" s="85"/>
    </row>
    <row r="1244" spans="1:26" ht="15.75" customHeight="1">
      <c r="A1244" s="86"/>
      <c r="B1244" s="86"/>
      <c r="C1244" s="86"/>
      <c r="D1244" s="86"/>
      <c r="E1244" s="18"/>
      <c r="F1244" s="18"/>
      <c r="G1244" s="18"/>
      <c r="H1244" s="18"/>
      <c r="I1244" s="18"/>
      <c r="J1244" s="18"/>
      <c r="K1244" s="18"/>
      <c r="L1244" s="85"/>
      <c r="M1244" s="85"/>
      <c r="N1244" s="85"/>
      <c r="O1244" s="85"/>
      <c r="P1244" s="85"/>
      <c r="Q1244" s="85"/>
      <c r="R1244" s="85"/>
      <c r="S1244" s="85"/>
      <c r="T1244" s="85"/>
      <c r="U1244" s="85"/>
      <c r="V1244" s="85"/>
      <c r="W1244" s="85"/>
      <c r="X1244" s="85"/>
      <c r="Y1244" s="85"/>
      <c r="Z1244" s="85"/>
    </row>
    <row r="1245" spans="1:26" ht="15.75" customHeight="1">
      <c r="A1245" s="86"/>
      <c r="B1245" s="86"/>
      <c r="C1245" s="86"/>
      <c r="D1245" s="86"/>
      <c r="E1245" s="18"/>
      <c r="F1245" s="18"/>
      <c r="G1245" s="18"/>
      <c r="H1245" s="18"/>
      <c r="I1245" s="18"/>
      <c r="J1245" s="18"/>
      <c r="K1245" s="18"/>
      <c r="L1245" s="85"/>
      <c r="M1245" s="85"/>
      <c r="N1245" s="85"/>
      <c r="O1245" s="85"/>
      <c r="P1245" s="85"/>
      <c r="Q1245" s="85"/>
      <c r="R1245" s="85"/>
      <c r="S1245" s="85"/>
      <c r="T1245" s="85"/>
      <c r="U1245" s="85"/>
      <c r="V1245" s="85"/>
      <c r="W1245" s="85"/>
      <c r="X1245" s="85"/>
      <c r="Y1245" s="85"/>
      <c r="Z1245" s="85"/>
    </row>
    <row r="1246" spans="1:26" ht="15.75" customHeight="1">
      <c r="A1246" s="86"/>
      <c r="B1246" s="86"/>
      <c r="C1246" s="86"/>
      <c r="D1246" s="86"/>
      <c r="E1246" s="18"/>
      <c r="F1246" s="18"/>
      <c r="G1246" s="18"/>
      <c r="H1246" s="18"/>
      <c r="I1246" s="18"/>
      <c r="J1246" s="18"/>
      <c r="K1246" s="18"/>
      <c r="L1246" s="85"/>
      <c r="M1246" s="85"/>
      <c r="N1246" s="85"/>
      <c r="O1246" s="85"/>
      <c r="P1246" s="85"/>
      <c r="Q1246" s="85"/>
      <c r="R1246" s="85"/>
      <c r="S1246" s="85"/>
      <c r="T1246" s="85"/>
      <c r="U1246" s="85"/>
      <c r="V1246" s="85"/>
      <c r="W1246" s="85"/>
      <c r="X1246" s="85"/>
      <c r="Y1246" s="85"/>
      <c r="Z1246" s="85"/>
    </row>
    <row r="1247" spans="1:26" ht="15.75" customHeight="1">
      <c r="A1247" s="86"/>
      <c r="B1247" s="86"/>
      <c r="C1247" s="86"/>
      <c r="D1247" s="86"/>
      <c r="E1247" s="18"/>
      <c r="F1247" s="18"/>
      <c r="G1247" s="18"/>
      <c r="H1247" s="18"/>
      <c r="I1247" s="18"/>
      <c r="J1247" s="18"/>
      <c r="K1247" s="18"/>
      <c r="L1247" s="85"/>
      <c r="M1247" s="85"/>
      <c r="N1247" s="85"/>
      <c r="O1247" s="85"/>
      <c r="P1247" s="85"/>
      <c r="Q1247" s="85"/>
      <c r="R1247" s="85"/>
      <c r="S1247" s="85"/>
      <c r="T1247" s="85"/>
      <c r="U1247" s="85"/>
      <c r="V1247" s="85"/>
      <c r="W1247" s="85"/>
      <c r="X1247" s="85"/>
      <c r="Y1247" s="85"/>
      <c r="Z1247" s="85"/>
    </row>
    <row r="1248" spans="1:26" ht="15.75" customHeight="1">
      <c r="A1248" s="86"/>
      <c r="B1248" s="86"/>
      <c r="C1248" s="86"/>
      <c r="D1248" s="86"/>
      <c r="E1248" s="18"/>
      <c r="F1248" s="18"/>
      <c r="G1248" s="18"/>
      <c r="H1248" s="18"/>
      <c r="I1248" s="18"/>
      <c r="J1248" s="18"/>
      <c r="K1248" s="18"/>
      <c r="L1248" s="85"/>
      <c r="M1248" s="85"/>
      <c r="N1248" s="85"/>
      <c r="O1248" s="85"/>
      <c r="P1248" s="85"/>
      <c r="Q1248" s="85"/>
      <c r="R1248" s="85"/>
      <c r="S1248" s="85"/>
      <c r="T1248" s="85"/>
      <c r="U1248" s="85"/>
      <c r="V1248" s="85"/>
      <c r="W1248" s="85"/>
      <c r="X1248" s="85"/>
      <c r="Y1248" s="85"/>
      <c r="Z1248" s="85"/>
    </row>
    <row r="1249" spans="1:26" ht="15.75" customHeight="1">
      <c r="A1249" s="86"/>
      <c r="B1249" s="86"/>
      <c r="C1249" s="86"/>
      <c r="D1249" s="86"/>
      <c r="E1249" s="18"/>
      <c r="F1249" s="18"/>
      <c r="G1249" s="18"/>
      <c r="H1249" s="18"/>
      <c r="I1249" s="18"/>
      <c r="J1249" s="18"/>
      <c r="K1249" s="18"/>
      <c r="L1249" s="85"/>
      <c r="M1249" s="85"/>
      <c r="N1249" s="85"/>
      <c r="O1249" s="85"/>
      <c r="P1249" s="85"/>
      <c r="Q1249" s="85"/>
      <c r="R1249" s="85"/>
      <c r="S1249" s="85"/>
      <c r="T1249" s="85"/>
      <c r="U1249" s="85"/>
      <c r="V1249" s="85"/>
      <c r="W1249" s="85"/>
      <c r="X1249" s="85"/>
      <c r="Y1249" s="85"/>
      <c r="Z1249" s="85"/>
    </row>
    <row r="1250" spans="1:26" ht="15.75" customHeight="1">
      <c r="A1250" s="86"/>
      <c r="B1250" s="86"/>
      <c r="C1250" s="86"/>
      <c r="D1250" s="86"/>
      <c r="E1250" s="18"/>
      <c r="F1250" s="18"/>
      <c r="G1250" s="18"/>
      <c r="H1250" s="18"/>
      <c r="I1250" s="18"/>
      <c r="J1250" s="18"/>
      <c r="K1250" s="18"/>
      <c r="L1250" s="85"/>
      <c r="M1250" s="85"/>
      <c r="N1250" s="85"/>
      <c r="O1250" s="85"/>
      <c r="P1250" s="85"/>
      <c r="Q1250" s="85"/>
      <c r="R1250" s="85"/>
      <c r="S1250" s="85"/>
      <c r="T1250" s="85"/>
      <c r="U1250" s="85"/>
      <c r="V1250" s="85"/>
      <c r="W1250" s="85"/>
      <c r="X1250" s="85"/>
      <c r="Y1250" s="85"/>
      <c r="Z1250" s="85"/>
    </row>
    <row r="1251" spans="1:26" ht="15.75" customHeight="1">
      <c r="A1251" s="86"/>
      <c r="B1251" s="86"/>
      <c r="C1251" s="86"/>
      <c r="D1251" s="86"/>
      <c r="E1251" s="18"/>
      <c r="F1251" s="18"/>
      <c r="G1251" s="18"/>
      <c r="H1251" s="18"/>
      <c r="I1251" s="18"/>
      <c r="J1251" s="18"/>
      <c r="K1251" s="18"/>
      <c r="L1251" s="85"/>
      <c r="M1251" s="85"/>
      <c r="N1251" s="85"/>
      <c r="O1251" s="85"/>
      <c r="P1251" s="85"/>
      <c r="Q1251" s="85"/>
      <c r="R1251" s="85"/>
      <c r="S1251" s="85"/>
      <c r="T1251" s="85"/>
      <c r="U1251" s="85"/>
      <c r="V1251" s="85"/>
      <c r="W1251" s="85"/>
      <c r="X1251" s="85"/>
      <c r="Y1251" s="85"/>
      <c r="Z1251" s="85"/>
    </row>
    <row r="1252" spans="1:26" ht="15.75" customHeight="1">
      <c r="A1252" s="86"/>
      <c r="B1252" s="86"/>
      <c r="C1252" s="86"/>
      <c r="D1252" s="86"/>
      <c r="E1252" s="18"/>
      <c r="F1252" s="18"/>
      <c r="G1252" s="18"/>
      <c r="H1252" s="18"/>
      <c r="I1252" s="18"/>
      <c r="J1252" s="18"/>
      <c r="K1252" s="18"/>
      <c r="L1252" s="85"/>
      <c r="M1252" s="85"/>
      <c r="N1252" s="85"/>
      <c r="O1252" s="85"/>
      <c r="P1252" s="85"/>
      <c r="Q1252" s="85"/>
      <c r="R1252" s="85"/>
      <c r="S1252" s="85"/>
      <c r="T1252" s="85"/>
      <c r="U1252" s="85"/>
      <c r="V1252" s="85"/>
      <c r="W1252" s="85"/>
      <c r="X1252" s="85"/>
      <c r="Y1252" s="85"/>
      <c r="Z1252" s="85"/>
    </row>
    <row r="1253" spans="1:26" ht="15.75" customHeight="1">
      <c r="A1253" s="86"/>
      <c r="B1253" s="86"/>
      <c r="C1253" s="86"/>
      <c r="D1253" s="86"/>
      <c r="E1253" s="18"/>
      <c r="F1253" s="18"/>
      <c r="G1253" s="18"/>
      <c r="H1253" s="18"/>
      <c r="I1253" s="18"/>
      <c r="J1253" s="18"/>
      <c r="K1253" s="18"/>
      <c r="L1253" s="85"/>
      <c r="M1253" s="85"/>
      <c r="N1253" s="85"/>
      <c r="O1253" s="85"/>
      <c r="P1253" s="85"/>
      <c r="Q1253" s="85"/>
      <c r="R1253" s="85"/>
      <c r="S1253" s="85"/>
      <c r="T1253" s="85"/>
      <c r="U1253" s="85"/>
      <c r="V1253" s="85"/>
      <c r="W1253" s="85"/>
      <c r="X1253" s="85"/>
      <c r="Y1253" s="85"/>
      <c r="Z1253" s="85"/>
    </row>
    <row r="1254" spans="1:26" ht="15.75" customHeight="1">
      <c r="A1254" s="86"/>
      <c r="B1254" s="86"/>
      <c r="C1254" s="86"/>
      <c r="D1254" s="86"/>
      <c r="E1254" s="18"/>
      <c r="F1254" s="18"/>
      <c r="G1254" s="18"/>
      <c r="H1254" s="18"/>
      <c r="I1254" s="18"/>
      <c r="J1254" s="18"/>
      <c r="K1254" s="18"/>
      <c r="L1254" s="85"/>
      <c r="M1254" s="85"/>
      <c r="N1254" s="85"/>
      <c r="O1254" s="85"/>
      <c r="P1254" s="85"/>
      <c r="Q1254" s="85"/>
      <c r="R1254" s="85"/>
      <c r="S1254" s="85"/>
      <c r="T1254" s="85"/>
      <c r="U1254" s="85"/>
      <c r="V1254" s="85"/>
      <c r="W1254" s="85"/>
      <c r="X1254" s="85"/>
      <c r="Y1254" s="85"/>
      <c r="Z1254" s="85"/>
    </row>
    <row r="1255" spans="1:26" ht="15.75" customHeight="1">
      <c r="A1255" s="86"/>
      <c r="B1255" s="86"/>
      <c r="C1255" s="86"/>
      <c r="D1255" s="86"/>
      <c r="E1255" s="18"/>
      <c r="F1255" s="18"/>
      <c r="G1255" s="18"/>
      <c r="H1255" s="18"/>
      <c r="I1255" s="18"/>
      <c r="J1255" s="18"/>
      <c r="K1255" s="18"/>
      <c r="L1255" s="85"/>
      <c r="M1255" s="85"/>
      <c r="N1255" s="85"/>
      <c r="O1255" s="85"/>
      <c r="P1255" s="85"/>
      <c r="Q1255" s="85"/>
      <c r="R1255" s="85"/>
      <c r="S1255" s="85"/>
      <c r="T1255" s="85"/>
      <c r="U1255" s="85"/>
      <c r="V1255" s="85"/>
      <c r="W1255" s="85"/>
      <c r="X1255" s="85"/>
      <c r="Y1255" s="85"/>
      <c r="Z1255" s="85"/>
    </row>
    <row r="1256" spans="1:26" ht="15.75" customHeight="1">
      <c r="A1256" s="86"/>
      <c r="B1256" s="86"/>
      <c r="C1256" s="86"/>
      <c r="D1256" s="86"/>
      <c r="E1256" s="18"/>
      <c r="F1256" s="18"/>
      <c r="G1256" s="18"/>
      <c r="H1256" s="18"/>
      <c r="I1256" s="18"/>
      <c r="J1256" s="18"/>
      <c r="K1256" s="18"/>
      <c r="L1256" s="85"/>
      <c r="M1256" s="85"/>
      <c r="N1256" s="85"/>
      <c r="O1256" s="85"/>
      <c r="P1256" s="85"/>
      <c r="Q1256" s="85"/>
      <c r="R1256" s="85"/>
      <c r="S1256" s="85"/>
      <c r="T1256" s="85"/>
      <c r="U1256" s="85"/>
      <c r="V1256" s="85"/>
      <c r="W1256" s="85"/>
      <c r="X1256" s="85"/>
      <c r="Y1256" s="85"/>
      <c r="Z1256" s="85"/>
    </row>
    <row r="1257" spans="1:26" ht="15.75" customHeight="1">
      <c r="A1257" s="86"/>
      <c r="B1257" s="86"/>
      <c r="C1257" s="86"/>
      <c r="D1257" s="86"/>
      <c r="E1257" s="18"/>
      <c r="F1257" s="18"/>
      <c r="G1257" s="18"/>
      <c r="H1257" s="18"/>
      <c r="I1257" s="18"/>
      <c r="J1257" s="18"/>
      <c r="K1257" s="18"/>
      <c r="L1257" s="85"/>
      <c r="M1257" s="85"/>
      <c r="N1257" s="85"/>
      <c r="O1257" s="85"/>
      <c r="P1257" s="85"/>
      <c r="Q1257" s="85"/>
      <c r="R1257" s="85"/>
      <c r="S1257" s="85"/>
      <c r="T1257" s="85"/>
      <c r="U1257" s="85"/>
      <c r="V1257" s="85"/>
      <c r="W1257" s="85"/>
      <c r="X1257" s="85"/>
      <c r="Y1257" s="85"/>
      <c r="Z1257" s="85"/>
    </row>
    <row r="1258" spans="1:26" ht="15.75" customHeight="1">
      <c r="A1258" s="86"/>
      <c r="B1258" s="86"/>
      <c r="C1258" s="86"/>
      <c r="D1258" s="86"/>
      <c r="E1258" s="18"/>
      <c r="F1258" s="18"/>
      <c r="G1258" s="18"/>
      <c r="H1258" s="18"/>
      <c r="I1258" s="18"/>
      <c r="J1258" s="18"/>
      <c r="K1258" s="18"/>
      <c r="L1258" s="85"/>
      <c r="M1258" s="85"/>
      <c r="N1258" s="85"/>
      <c r="O1258" s="85"/>
      <c r="P1258" s="85"/>
      <c r="Q1258" s="85"/>
      <c r="R1258" s="85"/>
      <c r="S1258" s="85"/>
      <c r="T1258" s="85"/>
      <c r="U1258" s="85"/>
      <c r="V1258" s="85"/>
      <c r="W1258" s="85"/>
      <c r="X1258" s="85"/>
      <c r="Y1258" s="85"/>
      <c r="Z1258" s="85"/>
    </row>
    <row r="1259" spans="1:26" ht="15.75" customHeight="1">
      <c r="A1259" s="86"/>
      <c r="B1259" s="86"/>
      <c r="C1259" s="86"/>
      <c r="D1259" s="86"/>
      <c r="E1259" s="18"/>
      <c r="F1259" s="18"/>
      <c r="G1259" s="18"/>
      <c r="H1259" s="18"/>
      <c r="I1259" s="18"/>
      <c r="J1259" s="18"/>
      <c r="K1259" s="18"/>
      <c r="L1259" s="85"/>
      <c r="M1259" s="85"/>
      <c r="N1259" s="85"/>
      <c r="O1259" s="85"/>
      <c r="P1259" s="85"/>
      <c r="Q1259" s="85"/>
      <c r="R1259" s="85"/>
      <c r="S1259" s="85"/>
      <c r="T1259" s="85"/>
      <c r="U1259" s="85"/>
      <c r="V1259" s="85"/>
      <c r="W1259" s="85"/>
      <c r="X1259" s="85"/>
      <c r="Y1259" s="85"/>
      <c r="Z1259" s="85"/>
    </row>
    <row r="1260" spans="1:26" ht="15.75" customHeight="1">
      <c r="A1260" s="86"/>
      <c r="B1260" s="86"/>
      <c r="C1260" s="86"/>
      <c r="D1260" s="86"/>
      <c r="E1260" s="18"/>
      <c r="F1260" s="18"/>
      <c r="G1260" s="18"/>
      <c r="H1260" s="18"/>
      <c r="I1260" s="18"/>
      <c r="J1260" s="18"/>
      <c r="K1260" s="18"/>
      <c r="L1260" s="85"/>
      <c r="M1260" s="85"/>
      <c r="N1260" s="85"/>
      <c r="O1260" s="85"/>
      <c r="P1260" s="85"/>
      <c r="Q1260" s="85"/>
      <c r="R1260" s="85"/>
      <c r="S1260" s="85"/>
      <c r="T1260" s="85"/>
      <c r="U1260" s="85"/>
      <c r="V1260" s="85"/>
      <c r="W1260" s="85"/>
      <c r="X1260" s="85"/>
      <c r="Y1260" s="85"/>
      <c r="Z1260" s="85"/>
    </row>
    <row r="1261" spans="1:26" ht="15.75" customHeight="1">
      <c r="A1261" s="86"/>
      <c r="B1261" s="86"/>
      <c r="C1261" s="86"/>
      <c r="D1261" s="86"/>
      <c r="E1261" s="18"/>
      <c r="F1261" s="18"/>
      <c r="G1261" s="18"/>
      <c r="H1261" s="18"/>
      <c r="I1261" s="18"/>
      <c r="J1261" s="18"/>
      <c r="K1261" s="18"/>
      <c r="L1261" s="85"/>
      <c r="M1261" s="85"/>
      <c r="N1261" s="85"/>
      <c r="O1261" s="85"/>
      <c r="P1261" s="85"/>
      <c r="Q1261" s="85"/>
      <c r="R1261" s="85"/>
      <c r="S1261" s="85"/>
      <c r="T1261" s="85"/>
      <c r="U1261" s="85"/>
      <c r="V1261" s="85"/>
      <c r="W1261" s="85"/>
      <c r="X1261" s="85"/>
      <c r="Y1261" s="85"/>
      <c r="Z1261" s="85"/>
    </row>
    <row r="1262" spans="1:26" ht="15.75" customHeight="1">
      <c r="A1262" s="86"/>
      <c r="B1262" s="86"/>
      <c r="C1262" s="86"/>
      <c r="D1262" s="86"/>
      <c r="E1262" s="18"/>
      <c r="F1262" s="18"/>
      <c r="G1262" s="18"/>
      <c r="H1262" s="18"/>
      <c r="I1262" s="18"/>
      <c r="J1262" s="18"/>
      <c r="K1262" s="18"/>
      <c r="L1262" s="85"/>
      <c r="M1262" s="85"/>
      <c r="N1262" s="85"/>
      <c r="O1262" s="85"/>
      <c r="P1262" s="85"/>
      <c r="Q1262" s="85"/>
      <c r="R1262" s="85"/>
      <c r="S1262" s="85"/>
      <c r="T1262" s="85"/>
      <c r="U1262" s="85"/>
      <c r="V1262" s="85"/>
      <c r="W1262" s="85"/>
      <c r="X1262" s="85"/>
      <c r="Y1262" s="85"/>
      <c r="Z1262" s="85"/>
    </row>
    <row r="1263" spans="1:26" ht="15.75" customHeight="1">
      <c r="A1263" s="86"/>
      <c r="B1263" s="86"/>
      <c r="C1263" s="86"/>
      <c r="D1263" s="86"/>
      <c r="E1263" s="18"/>
      <c r="F1263" s="18"/>
      <c r="G1263" s="18"/>
      <c r="H1263" s="18"/>
      <c r="I1263" s="18"/>
      <c r="J1263" s="18"/>
      <c r="K1263" s="18"/>
      <c r="L1263" s="85"/>
      <c r="M1263" s="85"/>
      <c r="N1263" s="85"/>
      <c r="O1263" s="85"/>
      <c r="P1263" s="85"/>
      <c r="Q1263" s="85"/>
      <c r="R1263" s="85"/>
      <c r="S1263" s="85"/>
      <c r="T1263" s="85"/>
      <c r="U1263" s="85"/>
      <c r="V1263" s="85"/>
      <c r="W1263" s="85"/>
      <c r="X1263" s="85"/>
      <c r="Y1263" s="85"/>
      <c r="Z1263" s="85"/>
    </row>
    <row r="1264" spans="1:26" ht="15.75" customHeight="1">
      <c r="A1264" s="86"/>
      <c r="B1264" s="86"/>
      <c r="C1264" s="86"/>
      <c r="D1264" s="86"/>
      <c r="E1264" s="18"/>
      <c r="F1264" s="18"/>
      <c r="G1264" s="18"/>
      <c r="H1264" s="18"/>
      <c r="I1264" s="18"/>
      <c r="J1264" s="18"/>
      <c r="K1264" s="18"/>
      <c r="L1264" s="85"/>
      <c r="M1264" s="85"/>
      <c r="N1264" s="85"/>
      <c r="O1264" s="85"/>
      <c r="P1264" s="85"/>
      <c r="Q1264" s="85"/>
      <c r="R1264" s="85"/>
      <c r="S1264" s="85"/>
      <c r="T1264" s="85"/>
      <c r="U1264" s="85"/>
      <c r="V1264" s="85"/>
      <c r="W1264" s="85"/>
      <c r="X1264" s="85"/>
      <c r="Y1264" s="85"/>
      <c r="Z1264" s="85"/>
    </row>
    <row r="1265" spans="1:26" ht="15.75" customHeight="1">
      <c r="A1265" s="86"/>
      <c r="B1265" s="86"/>
      <c r="C1265" s="86"/>
      <c r="D1265" s="86"/>
      <c r="E1265" s="18"/>
      <c r="F1265" s="18"/>
      <c r="G1265" s="18"/>
      <c r="H1265" s="18"/>
      <c r="I1265" s="18"/>
      <c r="J1265" s="18"/>
      <c r="K1265" s="18"/>
      <c r="L1265" s="85"/>
      <c r="M1265" s="85"/>
      <c r="N1265" s="85"/>
      <c r="O1265" s="85"/>
      <c r="P1265" s="85"/>
      <c r="Q1265" s="85"/>
      <c r="R1265" s="85"/>
      <c r="S1265" s="85"/>
      <c r="T1265" s="85"/>
      <c r="U1265" s="85"/>
      <c r="V1265" s="85"/>
      <c r="W1265" s="85"/>
      <c r="X1265" s="85"/>
      <c r="Y1265" s="85"/>
      <c r="Z1265" s="85"/>
    </row>
    <row r="1266" spans="1:26" ht="15.75" customHeight="1">
      <c r="A1266" s="86"/>
      <c r="B1266" s="86"/>
      <c r="C1266" s="86"/>
      <c r="D1266" s="86"/>
      <c r="E1266" s="18"/>
      <c r="F1266" s="18"/>
      <c r="G1266" s="18"/>
      <c r="H1266" s="18"/>
      <c r="I1266" s="18"/>
      <c r="J1266" s="18"/>
      <c r="K1266" s="18"/>
      <c r="L1266" s="85"/>
      <c r="M1266" s="85"/>
      <c r="N1266" s="85"/>
      <c r="O1266" s="85"/>
      <c r="P1266" s="85"/>
      <c r="Q1266" s="85"/>
      <c r="R1266" s="85"/>
      <c r="S1266" s="85"/>
      <c r="T1266" s="85"/>
      <c r="U1266" s="85"/>
      <c r="V1266" s="85"/>
      <c r="W1266" s="85"/>
      <c r="X1266" s="85"/>
      <c r="Y1266" s="85"/>
      <c r="Z1266" s="85"/>
    </row>
    <row r="1267" spans="1:26" ht="15.75" customHeight="1">
      <c r="A1267" s="86"/>
      <c r="B1267" s="86"/>
      <c r="C1267" s="86"/>
      <c r="D1267" s="86"/>
      <c r="E1267" s="18"/>
      <c r="F1267" s="18"/>
      <c r="G1267" s="18"/>
      <c r="H1267" s="18"/>
      <c r="I1267" s="18"/>
      <c r="J1267" s="18"/>
      <c r="K1267" s="18"/>
      <c r="L1267" s="85"/>
      <c r="M1267" s="85"/>
      <c r="N1267" s="85"/>
      <c r="O1267" s="85"/>
      <c r="P1267" s="85"/>
      <c r="Q1267" s="85"/>
      <c r="R1267" s="85"/>
      <c r="S1267" s="85"/>
      <c r="T1267" s="85"/>
      <c r="U1267" s="85"/>
      <c r="V1267" s="85"/>
      <c r="W1267" s="85"/>
      <c r="X1267" s="85"/>
      <c r="Y1267" s="85"/>
      <c r="Z1267" s="85"/>
    </row>
    <row r="1268" spans="1:26" ht="15.75" customHeight="1">
      <c r="A1268" s="86"/>
      <c r="B1268" s="86"/>
      <c r="C1268" s="86"/>
      <c r="D1268" s="86"/>
      <c r="E1268" s="18"/>
      <c r="F1268" s="18"/>
      <c r="G1268" s="18"/>
      <c r="H1268" s="18"/>
      <c r="I1268" s="18"/>
      <c r="J1268" s="18"/>
      <c r="K1268" s="18"/>
      <c r="L1268" s="85"/>
      <c r="M1268" s="85"/>
      <c r="N1268" s="85"/>
      <c r="O1268" s="85"/>
      <c r="P1268" s="85"/>
      <c r="Q1268" s="85"/>
      <c r="R1268" s="85"/>
      <c r="S1268" s="85"/>
      <c r="T1268" s="85"/>
      <c r="U1268" s="85"/>
      <c r="V1268" s="85"/>
      <c r="W1268" s="85"/>
      <c r="X1268" s="85"/>
      <c r="Y1268" s="85"/>
      <c r="Z1268" s="85"/>
    </row>
    <row r="1269" spans="1:26" ht="15.75" customHeight="1">
      <c r="A1269" s="86"/>
      <c r="B1269" s="86"/>
      <c r="C1269" s="86"/>
      <c r="D1269" s="86"/>
      <c r="E1269" s="18"/>
      <c r="F1269" s="18"/>
      <c r="G1269" s="18"/>
      <c r="H1269" s="18"/>
      <c r="I1269" s="18"/>
      <c r="J1269" s="18"/>
      <c r="K1269" s="18"/>
      <c r="L1269" s="85"/>
      <c r="M1269" s="85"/>
      <c r="N1269" s="85"/>
      <c r="O1269" s="85"/>
      <c r="P1269" s="85"/>
      <c r="Q1269" s="85"/>
      <c r="R1269" s="85"/>
      <c r="S1269" s="85"/>
      <c r="T1269" s="85"/>
      <c r="U1269" s="85"/>
      <c r="V1269" s="85"/>
      <c r="W1269" s="85"/>
      <c r="X1269" s="85"/>
      <c r="Y1269" s="85"/>
      <c r="Z1269" s="85"/>
    </row>
    <row r="1270" spans="1:26" ht="15.75" customHeight="1">
      <c r="A1270" s="86"/>
      <c r="B1270" s="86"/>
      <c r="C1270" s="86"/>
      <c r="D1270" s="86"/>
      <c r="E1270" s="18"/>
      <c r="F1270" s="18"/>
      <c r="G1270" s="18"/>
      <c r="H1270" s="18"/>
      <c r="I1270" s="18"/>
      <c r="J1270" s="18"/>
      <c r="K1270" s="18"/>
      <c r="L1270" s="85"/>
      <c r="M1270" s="85"/>
      <c r="N1270" s="85"/>
      <c r="O1270" s="85"/>
      <c r="P1270" s="85"/>
      <c r="Q1270" s="85"/>
      <c r="R1270" s="85"/>
      <c r="S1270" s="85"/>
      <c r="T1270" s="85"/>
      <c r="U1270" s="85"/>
      <c r="V1270" s="85"/>
      <c r="W1270" s="85"/>
      <c r="X1270" s="85"/>
      <c r="Y1270" s="85"/>
      <c r="Z1270" s="85"/>
    </row>
    <row r="1271" spans="1:26" ht="15.75" customHeight="1">
      <c r="A1271" s="86"/>
      <c r="B1271" s="86"/>
      <c r="C1271" s="86"/>
      <c r="D1271" s="86"/>
      <c r="E1271" s="18"/>
      <c r="F1271" s="18"/>
      <c r="G1271" s="18"/>
      <c r="H1271" s="18"/>
      <c r="I1271" s="18"/>
      <c r="J1271" s="18"/>
      <c r="K1271" s="18"/>
      <c r="L1271" s="85"/>
      <c r="M1271" s="85"/>
      <c r="N1271" s="85"/>
      <c r="O1271" s="85"/>
      <c r="P1271" s="85"/>
      <c r="Q1271" s="85"/>
      <c r="R1271" s="85"/>
      <c r="S1271" s="85"/>
      <c r="T1271" s="85"/>
      <c r="U1271" s="85"/>
      <c r="V1271" s="85"/>
      <c r="W1271" s="85"/>
      <c r="X1271" s="85"/>
      <c r="Y1271" s="85"/>
      <c r="Z1271" s="85"/>
    </row>
    <row r="1272" spans="1:26" ht="15.75" customHeight="1">
      <c r="A1272" s="86"/>
      <c r="B1272" s="86"/>
      <c r="C1272" s="86"/>
      <c r="D1272" s="86"/>
      <c r="E1272" s="18"/>
      <c r="F1272" s="18"/>
      <c r="G1272" s="18"/>
      <c r="H1272" s="18"/>
      <c r="I1272" s="18"/>
      <c r="J1272" s="18"/>
      <c r="K1272" s="18"/>
      <c r="L1272" s="85"/>
      <c r="M1272" s="85"/>
      <c r="N1272" s="85"/>
      <c r="O1272" s="85"/>
      <c r="P1272" s="85"/>
      <c r="Q1272" s="85"/>
      <c r="R1272" s="85"/>
      <c r="S1272" s="85"/>
      <c r="T1272" s="85"/>
      <c r="U1272" s="85"/>
      <c r="V1272" s="85"/>
      <c r="W1272" s="85"/>
      <c r="X1272" s="85"/>
      <c r="Y1272" s="85"/>
      <c r="Z1272" s="85"/>
    </row>
    <row r="1273" spans="1:26" ht="15.75" customHeight="1">
      <c r="A1273" s="86"/>
      <c r="B1273" s="86"/>
      <c r="C1273" s="86"/>
      <c r="D1273" s="86"/>
      <c r="E1273" s="18"/>
      <c r="F1273" s="18"/>
      <c r="G1273" s="18"/>
      <c r="H1273" s="18"/>
      <c r="I1273" s="18"/>
      <c r="J1273" s="18"/>
      <c r="K1273" s="18"/>
      <c r="L1273" s="85"/>
      <c r="M1273" s="85"/>
      <c r="N1273" s="85"/>
      <c r="O1273" s="85"/>
      <c r="P1273" s="85"/>
      <c r="Q1273" s="85"/>
      <c r="R1273" s="85"/>
      <c r="S1273" s="85"/>
      <c r="T1273" s="85"/>
      <c r="U1273" s="85"/>
      <c r="V1273" s="85"/>
      <c r="W1273" s="85"/>
      <c r="X1273" s="85"/>
      <c r="Y1273" s="85"/>
      <c r="Z1273" s="85"/>
    </row>
    <row r="1274" spans="1:26" ht="15.75" customHeight="1">
      <c r="A1274" s="86"/>
      <c r="B1274" s="86"/>
      <c r="C1274" s="86"/>
      <c r="D1274" s="86"/>
      <c r="E1274" s="18"/>
      <c r="F1274" s="18"/>
      <c r="G1274" s="18"/>
      <c r="H1274" s="18"/>
      <c r="I1274" s="18"/>
      <c r="J1274" s="18"/>
      <c r="K1274" s="18"/>
      <c r="L1274" s="85"/>
      <c r="M1274" s="85"/>
      <c r="N1274" s="85"/>
      <c r="O1274" s="85"/>
      <c r="P1274" s="85"/>
      <c r="Q1274" s="85"/>
      <c r="R1274" s="85"/>
      <c r="S1274" s="85"/>
      <c r="T1274" s="85"/>
      <c r="U1274" s="85"/>
      <c r="V1274" s="85"/>
      <c r="W1274" s="85"/>
      <c r="X1274" s="85"/>
      <c r="Y1274" s="85"/>
      <c r="Z1274" s="85"/>
    </row>
    <row r="1275" spans="1:26" ht="15.75" customHeight="1">
      <c r="A1275" s="86"/>
      <c r="B1275" s="86"/>
      <c r="C1275" s="86"/>
      <c r="D1275" s="86"/>
      <c r="E1275" s="18"/>
      <c r="F1275" s="18"/>
      <c r="G1275" s="18"/>
      <c r="H1275" s="18"/>
      <c r="I1275" s="18"/>
      <c r="J1275" s="18"/>
      <c r="K1275" s="18"/>
      <c r="L1275" s="85"/>
      <c r="M1275" s="85"/>
      <c r="N1275" s="85"/>
      <c r="O1275" s="85"/>
      <c r="P1275" s="85"/>
      <c r="Q1275" s="85"/>
      <c r="R1275" s="85"/>
      <c r="S1275" s="85"/>
      <c r="T1275" s="85"/>
      <c r="U1275" s="85"/>
      <c r="V1275" s="85"/>
      <c r="W1275" s="85"/>
      <c r="X1275" s="85"/>
      <c r="Y1275" s="85"/>
      <c r="Z1275" s="85"/>
    </row>
    <row r="1276" spans="1:26" ht="15.75" customHeight="1">
      <c r="A1276" s="86"/>
      <c r="B1276" s="86"/>
      <c r="C1276" s="86"/>
      <c r="D1276" s="86"/>
      <c r="E1276" s="18"/>
      <c r="F1276" s="18"/>
      <c r="G1276" s="18"/>
      <c r="H1276" s="18"/>
      <c r="I1276" s="18"/>
      <c r="J1276" s="18"/>
      <c r="K1276" s="18"/>
      <c r="L1276" s="85"/>
      <c r="M1276" s="85"/>
      <c r="N1276" s="85"/>
      <c r="O1276" s="85"/>
      <c r="P1276" s="85"/>
      <c r="Q1276" s="85"/>
      <c r="R1276" s="85"/>
      <c r="S1276" s="85"/>
      <c r="T1276" s="85"/>
      <c r="U1276" s="85"/>
      <c r="V1276" s="85"/>
      <c r="W1276" s="85"/>
      <c r="X1276" s="85"/>
      <c r="Y1276" s="85"/>
      <c r="Z1276" s="85"/>
    </row>
    <row r="1277" spans="1:26" ht="15.75" customHeight="1">
      <c r="A1277" s="86"/>
      <c r="B1277" s="86"/>
      <c r="C1277" s="86"/>
      <c r="D1277" s="86"/>
      <c r="E1277" s="18"/>
      <c r="F1277" s="18"/>
      <c r="G1277" s="18"/>
      <c r="H1277" s="18"/>
      <c r="I1277" s="18"/>
      <c r="J1277" s="18"/>
      <c r="K1277" s="18"/>
      <c r="L1277" s="85"/>
      <c r="M1277" s="85"/>
      <c r="N1277" s="85"/>
      <c r="O1277" s="85"/>
      <c r="P1277" s="85"/>
      <c r="Q1277" s="85"/>
      <c r="R1277" s="85"/>
      <c r="S1277" s="85"/>
      <c r="T1277" s="85"/>
      <c r="U1277" s="85"/>
      <c r="V1277" s="85"/>
      <c r="W1277" s="85"/>
      <c r="X1277" s="85"/>
      <c r="Y1277" s="85"/>
      <c r="Z1277" s="85"/>
    </row>
    <row r="1278" spans="1:26" ht="15.75" customHeight="1">
      <c r="A1278" s="86"/>
      <c r="B1278" s="86"/>
      <c r="C1278" s="86"/>
      <c r="D1278" s="86"/>
      <c r="E1278" s="18"/>
      <c r="F1278" s="18"/>
      <c r="G1278" s="18"/>
      <c r="H1278" s="18"/>
      <c r="I1278" s="18"/>
      <c r="J1278" s="18"/>
      <c r="K1278" s="18"/>
      <c r="L1278" s="85"/>
      <c r="M1278" s="85"/>
      <c r="N1278" s="85"/>
      <c r="O1278" s="85"/>
      <c r="P1278" s="85"/>
      <c r="Q1278" s="85"/>
      <c r="R1278" s="85"/>
      <c r="S1278" s="85"/>
      <c r="T1278" s="85"/>
      <c r="U1278" s="85"/>
      <c r="V1278" s="85"/>
      <c r="W1278" s="85"/>
      <c r="X1278" s="85"/>
      <c r="Y1278" s="85"/>
      <c r="Z1278" s="85"/>
    </row>
    <row r="1279" spans="1:26" ht="15.75" customHeight="1">
      <c r="A1279" s="86"/>
      <c r="B1279" s="86"/>
      <c r="C1279" s="86"/>
      <c r="D1279" s="86"/>
      <c r="E1279" s="18"/>
      <c r="F1279" s="18"/>
      <c r="G1279" s="18"/>
      <c r="H1279" s="18"/>
      <c r="I1279" s="18"/>
      <c r="J1279" s="18"/>
      <c r="K1279" s="18"/>
      <c r="L1279" s="85"/>
      <c r="M1279" s="85"/>
      <c r="N1279" s="85"/>
      <c r="O1279" s="85"/>
      <c r="P1279" s="85"/>
      <c r="Q1279" s="85"/>
      <c r="R1279" s="85"/>
      <c r="S1279" s="85"/>
      <c r="T1279" s="85"/>
      <c r="U1279" s="85"/>
      <c r="V1279" s="85"/>
      <c r="W1279" s="85"/>
      <c r="X1279" s="85"/>
      <c r="Y1279" s="85"/>
      <c r="Z1279" s="85"/>
    </row>
    <row r="1280" spans="1:26" ht="15.75" customHeight="1">
      <c r="A1280" s="86"/>
      <c r="B1280" s="86"/>
      <c r="C1280" s="86"/>
      <c r="D1280" s="86"/>
      <c r="E1280" s="18"/>
      <c r="F1280" s="18"/>
      <c r="G1280" s="18"/>
      <c r="H1280" s="18"/>
      <c r="I1280" s="18"/>
      <c r="J1280" s="18"/>
      <c r="K1280" s="18"/>
      <c r="L1280" s="85"/>
      <c r="M1280" s="85"/>
      <c r="N1280" s="85"/>
      <c r="O1280" s="85"/>
      <c r="P1280" s="85"/>
      <c r="Q1280" s="85"/>
      <c r="R1280" s="85"/>
      <c r="S1280" s="85"/>
      <c r="T1280" s="85"/>
      <c r="U1280" s="85"/>
      <c r="V1280" s="85"/>
      <c r="W1280" s="85"/>
      <c r="X1280" s="85"/>
      <c r="Y1280" s="85"/>
      <c r="Z1280" s="85"/>
    </row>
    <row r="1281" spans="1:26" ht="15.75" customHeight="1">
      <c r="A1281" s="86"/>
      <c r="B1281" s="86"/>
      <c r="C1281" s="86"/>
      <c r="D1281" s="86"/>
      <c r="E1281" s="18"/>
      <c r="F1281" s="18"/>
      <c r="G1281" s="18"/>
      <c r="H1281" s="18"/>
      <c r="I1281" s="18"/>
      <c r="J1281" s="18"/>
      <c r="K1281" s="18"/>
      <c r="L1281" s="85"/>
      <c r="M1281" s="85"/>
      <c r="N1281" s="85"/>
      <c r="O1281" s="85"/>
      <c r="P1281" s="85"/>
      <c r="Q1281" s="85"/>
      <c r="R1281" s="85"/>
      <c r="S1281" s="85"/>
      <c r="T1281" s="85"/>
      <c r="U1281" s="85"/>
      <c r="V1281" s="85"/>
      <c r="W1281" s="85"/>
      <c r="X1281" s="85"/>
      <c r="Y1281" s="85"/>
      <c r="Z1281" s="85"/>
    </row>
    <row r="1282" spans="1:26" ht="15.75" customHeight="1">
      <c r="A1282" s="86"/>
      <c r="B1282" s="86"/>
      <c r="C1282" s="86"/>
      <c r="D1282" s="86"/>
      <c r="E1282" s="18"/>
      <c r="F1282" s="18"/>
      <c r="G1282" s="18"/>
      <c r="H1282" s="18"/>
      <c r="I1282" s="18"/>
      <c r="J1282" s="18"/>
      <c r="K1282" s="18"/>
      <c r="L1282" s="85"/>
      <c r="M1282" s="85"/>
      <c r="N1282" s="85"/>
      <c r="O1282" s="85"/>
      <c r="P1282" s="85"/>
      <c r="Q1282" s="85"/>
      <c r="R1282" s="85"/>
      <c r="S1282" s="85"/>
      <c r="T1282" s="85"/>
      <c r="U1282" s="85"/>
      <c r="V1282" s="85"/>
      <c r="W1282" s="85"/>
      <c r="X1282" s="85"/>
      <c r="Y1282" s="85"/>
      <c r="Z1282" s="85"/>
    </row>
    <row r="1283" spans="1:26" ht="15.75" customHeight="1">
      <c r="A1283" s="86"/>
      <c r="B1283" s="86"/>
      <c r="C1283" s="86"/>
      <c r="D1283" s="86"/>
      <c r="E1283" s="18"/>
      <c r="F1283" s="18"/>
      <c r="G1283" s="18"/>
      <c r="H1283" s="18"/>
      <c r="I1283" s="18"/>
      <c r="J1283" s="18"/>
      <c r="K1283" s="18"/>
      <c r="L1283" s="85"/>
      <c r="M1283" s="85"/>
      <c r="N1283" s="85"/>
      <c r="O1283" s="85"/>
      <c r="P1283" s="85"/>
      <c r="Q1283" s="85"/>
      <c r="R1283" s="85"/>
      <c r="S1283" s="85"/>
      <c r="T1283" s="85"/>
      <c r="U1283" s="85"/>
      <c r="V1283" s="85"/>
      <c r="W1283" s="85"/>
      <c r="X1283" s="85"/>
      <c r="Y1283" s="85"/>
      <c r="Z1283" s="85"/>
    </row>
    <row r="1284" spans="1:26" ht="15.75" customHeight="1">
      <c r="A1284" s="86"/>
      <c r="B1284" s="86"/>
      <c r="C1284" s="86"/>
      <c r="D1284" s="86"/>
      <c r="E1284" s="18"/>
      <c r="F1284" s="18"/>
      <c r="G1284" s="18"/>
      <c r="H1284" s="18"/>
      <c r="I1284" s="18"/>
      <c r="J1284" s="18"/>
      <c r="K1284" s="18"/>
      <c r="L1284" s="85"/>
      <c r="M1284" s="85"/>
      <c r="N1284" s="85"/>
      <c r="O1284" s="85"/>
      <c r="P1284" s="85"/>
      <c r="Q1284" s="85"/>
      <c r="R1284" s="85"/>
      <c r="S1284" s="85"/>
      <c r="T1284" s="85"/>
      <c r="U1284" s="85"/>
      <c r="V1284" s="85"/>
      <c r="W1284" s="85"/>
      <c r="X1284" s="85"/>
      <c r="Y1284" s="85"/>
      <c r="Z1284" s="85"/>
    </row>
    <row r="1285" spans="1:26" ht="15.75" customHeight="1">
      <c r="A1285" s="86"/>
      <c r="B1285" s="86"/>
      <c r="C1285" s="86"/>
      <c r="D1285" s="86"/>
      <c r="E1285" s="18"/>
      <c r="F1285" s="18"/>
      <c r="G1285" s="18"/>
      <c r="H1285" s="18"/>
      <c r="I1285" s="18"/>
      <c r="J1285" s="18"/>
      <c r="K1285" s="18"/>
      <c r="L1285" s="85"/>
      <c r="M1285" s="85"/>
      <c r="N1285" s="85"/>
      <c r="O1285" s="85"/>
      <c r="P1285" s="85"/>
      <c r="Q1285" s="85"/>
      <c r="R1285" s="85"/>
      <c r="S1285" s="85"/>
      <c r="T1285" s="85"/>
      <c r="U1285" s="85"/>
      <c r="V1285" s="85"/>
      <c r="W1285" s="85"/>
      <c r="X1285" s="85"/>
      <c r="Y1285" s="85"/>
      <c r="Z1285" s="85"/>
    </row>
    <row r="1286" spans="1:26" ht="15.75" customHeight="1">
      <c r="A1286" s="86"/>
      <c r="B1286" s="86"/>
      <c r="C1286" s="86"/>
      <c r="D1286" s="86"/>
      <c r="E1286" s="18"/>
      <c r="F1286" s="18"/>
      <c r="G1286" s="18"/>
      <c r="H1286" s="18"/>
      <c r="I1286" s="18"/>
      <c r="J1286" s="18"/>
      <c r="K1286" s="18"/>
      <c r="L1286" s="85"/>
      <c r="M1286" s="85"/>
      <c r="N1286" s="85"/>
      <c r="O1286" s="85"/>
      <c r="P1286" s="85"/>
      <c r="Q1286" s="85"/>
      <c r="R1286" s="85"/>
      <c r="S1286" s="85"/>
      <c r="T1286" s="85"/>
      <c r="U1286" s="85"/>
      <c r="V1286" s="85"/>
      <c r="W1286" s="85"/>
      <c r="X1286" s="85"/>
      <c r="Y1286" s="85"/>
      <c r="Z1286" s="85"/>
    </row>
    <row r="1287" spans="1:26" ht="15.75" customHeight="1">
      <c r="A1287" s="86"/>
      <c r="B1287" s="86"/>
      <c r="C1287" s="86"/>
      <c r="D1287" s="86"/>
      <c r="E1287" s="18"/>
      <c r="F1287" s="18"/>
      <c r="G1287" s="18"/>
      <c r="H1287" s="18"/>
      <c r="I1287" s="18"/>
      <c r="J1287" s="18"/>
      <c r="K1287" s="18"/>
      <c r="L1287" s="85"/>
      <c r="M1287" s="85"/>
      <c r="N1287" s="85"/>
      <c r="O1287" s="85"/>
      <c r="P1287" s="85"/>
      <c r="Q1287" s="85"/>
      <c r="R1287" s="85"/>
      <c r="S1287" s="85"/>
      <c r="T1287" s="85"/>
      <c r="U1287" s="85"/>
      <c r="V1287" s="85"/>
      <c r="W1287" s="85"/>
      <c r="X1287" s="85"/>
      <c r="Y1287" s="85"/>
      <c r="Z1287" s="85"/>
    </row>
    <row r="1288" spans="1:26" ht="15.75" customHeight="1">
      <c r="A1288" s="86"/>
      <c r="B1288" s="86"/>
      <c r="C1288" s="86"/>
      <c r="D1288" s="86"/>
      <c r="E1288" s="18"/>
      <c r="F1288" s="18"/>
      <c r="G1288" s="18"/>
      <c r="H1288" s="18"/>
      <c r="I1288" s="18"/>
      <c r="J1288" s="18"/>
      <c r="K1288" s="18"/>
      <c r="L1288" s="85"/>
      <c r="M1288" s="85"/>
      <c r="N1288" s="85"/>
      <c r="O1288" s="85"/>
      <c r="P1288" s="85"/>
      <c r="Q1288" s="85"/>
      <c r="R1288" s="85"/>
      <c r="S1288" s="85"/>
      <c r="T1288" s="85"/>
      <c r="U1288" s="85"/>
      <c r="V1288" s="85"/>
      <c r="W1288" s="85"/>
      <c r="X1288" s="85"/>
      <c r="Y1288" s="85"/>
      <c r="Z1288" s="85"/>
    </row>
    <row r="1289" spans="1:26" ht="15.75" customHeight="1">
      <c r="A1289" s="86"/>
      <c r="B1289" s="86"/>
      <c r="C1289" s="86"/>
      <c r="D1289" s="86"/>
      <c r="E1289" s="18"/>
      <c r="F1289" s="18"/>
      <c r="G1289" s="18"/>
      <c r="H1289" s="18"/>
      <c r="I1289" s="18"/>
      <c r="J1289" s="18"/>
      <c r="K1289" s="18"/>
      <c r="L1289" s="85"/>
      <c r="M1289" s="85"/>
      <c r="N1289" s="85"/>
      <c r="O1289" s="85"/>
      <c r="P1289" s="85"/>
      <c r="Q1289" s="85"/>
      <c r="R1289" s="85"/>
      <c r="S1289" s="85"/>
      <c r="T1289" s="85"/>
      <c r="U1289" s="85"/>
      <c r="V1289" s="85"/>
      <c r="W1289" s="85"/>
      <c r="X1289" s="85"/>
      <c r="Y1289" s="85"/>
      <c r="Z1289" s="85"/>
    </row>
    <row r="1290" spans="1:26" ht="15.75" customHeight="1">
      <c r="A1290" s="86"/>
      <c r="B1290" s="86"/>
      <c r="C1290" s="86"/>
      <c r="D1290" s="86"/>
      <c r="E1290" s="18"/>
      <c r="F1290" s="18"/>
      <c r="G1290" s="18"/>
      <c r="H1290" s="18"/>
      <c r="I1290" s="18"/>
      <c r="J1290" s="18"/>
      <c r="K1290" s="18"/>
      <c r="L1290" s="85"/>
      <c r="M1290" s="85"/>
      <c r="N1290" s="85"/>
      <c r="O1290" s="85"/>
      <c r="P1290" s="85"/>
      <c r="Q1290" s="85"/>
      <c r="R1290" s="85"/>
      <c r="S1290" s="85"/>
      <c r="T1290" s="85"/>
      <c r="U1290" s="85"/>
      <c r="V1290" s="85"/>
      <c r="W1290" s="85"/>
      <c r="X1290" s="85"/>
      <c r="Y1290" s="85"/>
      <c r="Z1290" s="85"/>
    </row>
    <row r="1291" spans="1:26" ht="15.75" customHeight="1">
      <c r="A1291" s="86"/>
      <c r="B1291" s="86"/>
      <c r="C1291" s="86"/>
      <c r="D1291" s="86"/>
      <c r="E1291" s="18"/>
      <c r="F1291" s="18"/>
      <c r="G1291" s="18"/>
      <c r="H1291" s="18"/>
      <c r="I1291" s="18"/>
      <c r="J1291" s="18"/>
      <c r="K1291" s="18"/>
      <c r="L1291" s="85"/>
      <c r="M1291" s="85"/>
      <c r="N1291" s="85"/>
      <c r="O1291" s="85"/>
      <c r="P1291" s="85"/>
      <c r="Q1291" s="85"/>
      <c r="R1291" s="85"/>
      <c r="S1291" s="85"/>
      <c r="T1291" s="85"/>
      <c r="U1291" s="85"/>
      <c r="V1291" s="85"/>
      <c r="W1291" s="85"/>
      <c r="X1291" s="85"/>
      <c r="Y1291" s="85"/>
      <c r="Z1291" s="85"/>
    </row>
    <row r="1292" spans="1:26" ht="15.75" customHeight="1">
      <c r="A1292" s="86"/>
      <c r="B1292" s="86"/>
      <c r="C1292" s="86"/>
      <c r="D1292" s="86"/>
      <c r="E1292" s="18"/>
      <c r="F1292" s="18"/>
      <c r="G1292" s="18"/>
      <c r="H1292" s="18"/>
      <c r="I1292" s="18"/>
      <c r="J1292" s="18"/>
      <c r="K1292" s="18"/>
      <c r="L1292" s="85"/>
      <c r="M1292" s="85"/>
      <c r="N1292" s="85"/>
      <c r="O1292" s="85"/>
      <c r="P1292" s="85"/>
      <c r="Q1292" s="85"/>
      <c r="R1292" s="85"/>
      <c r="S1292" s="85"/>
      <c r="T1292" s="85"/>
      <c r="U1292" s="85"/>
      <c r="V1292" s="85"/>
      <c r="W1292" s="85"/>
      <c r="X1292" s="85"/>
      <c r="Y1292" s="85"/>
      <c r="Z1292" s="85"/>
    </row>
    <row r="1293" spans="1:26" ht="15.75" customHeight="1">
      <c r="A1293" s="86"/>
      <c r="B1293" s="86"/>
      <c r="C1293" s="86"/>
      <c r="D1293" s="86"/>
      <c r="E1293" s="18"/>
      <c r="F1293" s="18"/>
      <c r="G1293" s="18"/>
      <c r="H1293" s="18"/>
      <c r="I1293" s="18"/>
      <c r="J1293" s="18"/>
      <c r="K1293" s="18"/>
      <c r="L1293" s="85"/>
      <c r="M1293" s="85"/>
      <c r="N1293" s="85"/>
      <c r="O1293" s="85"/>
      <c r="P1293" s="85"/>
      <c r="Q1293" s="85"/>
      <c r="R1293" s="85"/>
      <c r="S1293" s="85"/>
      <c r="T1293" s="85"/>
      <c r="U1293" s="85"/>
      <c r="V1293" s="85"/>
      <c r="W1293" s="85"/>
      <c r="X1293" s="85"/>
      <c r="Y1293" s="85"/>
      <c r="Z1293" s="85"/>
    </row>
    <row r="1294" spans="1:26" ht="15.75" customHeight="1">
      <c r="A1294" s="86"/>
      <c r="B1294" s="86"/>
      <c r="C1294" s="86"/>
      <c r="D1294" s="86"/>
      <c r="E1294" s="18"/>
      <c r="F1294" s="18"/>
      <c r="G1294" s="18"/>
      <c r="H1294" s="18"/>
      <c r="I1294" s="18"/>
      <c r="J1294" s="18"/>
      <c r="K1294" s="18"/>
      <c r="L1294" s="85"/>
      <c r="M1294" s="85"/>
      <c r="N1294" s="85"/>
      <c r="O1294" s="85"/>
      <c r="P1294" s="85"/>
      <c r="Q1294" s="85"/>
      <c r="R1294" s="85"/>
      <c r="S1294" s="85"/>
      <c r="T1294" s="85"/>
      <c r="U1294" s="85"/>
      <c r="V1294" s="85"/>
      <c r="W1294" s="85"/>
      <c r="X1294" s="85"/>
      <c r="Y1294" s="85"/>
      <c r="Z1294" s="85"/>
    </row>
    <row r="1295" spans="1:26" ht="15.75" customHeight="1">
      <c r="A1295" s="86"/>
      <c r="B1295" s="86"/>
      <c r="C1295" s="86"/>
      <c r="D1295" s="86"/>
      <c r="E1295" s="18"/>
      <c r="F1295" s="18"/>
      <c r="G1295" s="18"/>
      <c r="H1295" s="18"/>
      <c r="I1295" s="18"/>
      <c r="J1295" s="18"/>
      <c r="K1295" s="18"/>
      <c r="L1295" s="85"/>
      <c r="M1295" s="85"/>
      <c r="N1295" s="85"/>
      <c r="O1295" s="85"/>
      <c r="P1295" s="85"/>
      <c r="Q1295" s="85"/>
      <c r="R1295" s="85"/>
      <c r="S1295" s="85"/>
      <c r="T1295" s="85"/>
      <c r="U1295" s="85"/>
      <c r="V1295" s="85"/>
      <c r="W1295" s="85"/>
      <c r="X1295" s="85"/>
      <c r="Y1295" s="85"/>
      <c r="Z1295" s="85"/>
    </row>
    <row r="1296" spans="1:26" ht="15.75" customHeight="1">
      <c r="A1296" s="86"/>
      <c r="B1296" s="86"/>
      <c r="C1296" s="86"/>
      <c r="D1296" s="86"/>
      <c r="E1296" s="18"/>
      <c r="F1296" s="18"/>
      <c r="G1296" s="18"/>
      <c r="H1296" s="18"/>
      <c r="I1296" s="18"/>
      <c r="J1296" s="18"/>
      <c r="K1296" s="18"/>
      <c r="L1296" s="85"/>
      <c r="M1296" s="85"/>
      <c r="N1296" s="85"/>
      <c r="O1296" s="85"/>
      <c r="P1296" s="85"/>
      <c r="Q1296" s="85"/>
      <c r="R1296" s="85"/>
      <c r="S1296" s="85"/>
      <c r="T1296" s="85"/>
      <c r="U1296" s="85"/>
      <c r="V1296" s="85"/>
      <c r="W1296" s="85"/>
      <c r="X1296" s="85"/>
      <c r="Y1296" s="85"/>
      <c r="Z1296" s="85"/>
    </row>
    <row r="1297" spans="1:26" ht="15.75" customHeight="1">
      <c r="A1297" s="86"/>
      <c r="B1297" s="86"/>
      <c r="C1297" s="86"/>
      <c r="D1297" s="86"/>
      <c r="E1297" s="18"/>
      <c r="F1297" s="18"/>
      <c r="G1297" s="18"/>
      <c r="H1297" s="18"/>
      <c r="I1297" s="18"/>
      <c r="J1297" s="18"/>
      <c r="K1297" s="18"/>
      <c r="L1297" s="85"/>
      <c r="M1297" s="85"/>
      <c r="N1297" s="85"/>
      <c r="O1297" s="85"/>
      <c r="P1297" s="85"/>
      <c r="Q1297" s="85"/>
      <c r="R1297" s="85"/>
      <c r="S1297" s="85"/>
      <c r="T1297" s="85"/>
      <c r="U1297" s="85"/>
      <c r="V1297" s="85"/>
      <c r="W1297" s="85"/>
      <c r="X1297" s="85"/>
      <c r="Y1297" s="85"/>
      <c r="Z1297" s="85"/>
    </row>
    <row r="1298" spans="1:26" ht="15.75" customHeight="1">
      <c r="A1298" s="86"/>
      <c r="B1298" s="86"/>
      <c r="C1298" s="86"/>
      <c r="D1298" s="86"/>
      <c r="E1298" s="18"/>
      <c r="F1298" s="18"/>
      <c r="G1298" s="18"/>
      <c r="H1298" s="18"/>
      <c r="I1298" s="18"/>
      <c r="J1298" s="18"/>
      <c r="K1298" s="18"/>
      <c r="L1298" s="85"/>
      <c r="M1298" s="85"/>
      <c r="N1298" s="85"/>
      <c r="O1298" s="85"/>
      <c r="P1298" s="85"/>
      <c r="Q1298" s="85"/>
      <c r="R1298" s="85"/>
      <c r="S1298" s="85"/>
      <c r="T1298" s="85"/>
      <c r="U1298" s="85"/>
      <c r="V1298" s="85"/>
      <c r="W1298" s="85"/>
      <c r="X1298" s="85"/>
      <c r="Y1298" s="85"/>
      <c r="Z1298" s="85"/>
    </row>
    <row r="1299" spans="1:26" ht="15.75" customHeight="1">
      <c r="A1299" s="86"/>
      <c r="B1299" s="86"/>
      <c r="C1299" s="86"/>
      <c r="D1299" s="86"/>
      <c r="E1299" s="18"/>
      <c r="F1299" s="18"/>
      <c r="G1299" s="18"/>
      <c r="H1299" s="18"/>
      <c r="I1299" s="18"/>
      <c r="J1299" s="18"/>
      <c r="K1299" s="18"/>
      <c r="L1299" s="85"/>
      <c r="M1299" s="85"/>
      <c r="N1299" s="85"/>
      <c r="O1299" s="85"/>
      <c r="P1299" s="85"/>
      <c r="Q1299" s="85"/>
      <c r="R1299" s="85"/>
      <c r="S1299" s="85"/>
      <c r="T1299" s="85"/>
      <c r="U1299" s="85"/>
      <c r="V1299" s="85"/>
      <c r="W1299" s="85"/>
      <c r="X1299" s="85"/>
      <c r="Y1299" s="85"/>
      <c r="Z1299" s="85"/>
    </row>
    <row r="1300" spans="1:26" ht="15.75" customHeight="1">
      <c r="A1300" s="86"/>
      <c r="B1300" s="86"/>
      <c r="C1300" s="86"/>
      <c r="D1300" s="86"/>
      <c r="E1300" s="18"/>
      <c r="F1300" s="18"/>
      <c r="G1300" s="18"/>
      <c r="H1300" s="18"/>
      <c r="I1300" s="18"/>
      <c r="J1300" s="18"/>
      <c r="K1300" s="18"/>
      <c r="L1300" s="85"/>
      <c r="M1300" s="85"/>
      <c r="N1300" s="85"/>
      <c r="O1300" s="85"/>
      <c r="P1300" s="85"/>
      <c r="Q1300" s="85"/>
      <c r="R1300" s="85"/>
      <c r="S1300" s="85"/>
      <c r="T1300" s="85"/>
      <c r="U1300" s="85"/>
      <c r="V1300" s="85"/>
      <c r="W1300" s="85"/>
      <c r="X1300" s="85"/>
      <c r="Y1300" s="85"/>
      <c r="Z1300" s="85"/>
    </row>
    <row r="1301" spans="1:26" ht="15.75" customHeight="1">
      <c r="A1301" s="86"/>
      <c r="B1301" s="86"/>
      <c r="C1301" s="86"/>
      <c r="D1301" s="86"/>
      <c r="E1301" s="18"/>
      <c r="F1301" s="18"/>
      <c r="G1301" s="18"/>
      <c r="H1301" s="18"/>
      <c r="I1301" s="18"/>
      <c r="J1301" s="18"/>
      <c r="K1301" s="18"/>
      <c r="L1301" s="85"/>
      <c r="M1301" s="85"/>
      <c r="N1301" s="85"/>
      <c r="O1301" s="85"/>
      <c r="P1301" s="85"/>
      <c r="Q1301" s="85"/>
      <c r="R1301" s="85"/>
      <c r="S1301" s="85"/>
      <c r="T1301" s="85"/>
      <c r="U1301" s="85"/>
      <c r="V1301" s="85"/>
      <c r="W1301" s="85"/>
      <c r="X1301" s="85"/>
      <c r="Y1301" s="85"/>
      <c r="Z1301" s="85"/>
    </row>
    <row r="1302" spans="1:26" ht="15.75" customHeight="1">
      <c r="A1302" s="86"/>
      <c r="B1302" s="86"/>
      <c r="C1302" s="86"/>
      <c r="D1302" s="86"/>
      <c r="E1302" s="18"/>
      <c r="F1302" s="18"/>
      <c r="G1302" s="18"/>
      <c r="H1302" s="18"/>
      <c r="I1302" s="18"/>
      <c r="J1302" s="18"/>
      <c r="K1302" s="18"/>
      <c r="L1302" s="85"/>
      <c r="M1302" s="85"/>
      <c r="N1302" s="85"/>
      <c r="O1302" s="85"/>
      <c r="P1302" s="85"/>
      <c r="Q1302" s="85"/>
      <c r="R1302" s="85"/>
      <c r="S1302" s="85"/>
      <c r="T1302" s="85"/>
      <c r="U1302" s="85"/>
      <c r="V1302" s="85"/>
      <c r="W1302" s="85"/>
      <c r="X1302" s="85"/>
      <c r="Y1302" s="85"/>
      <c r="Z1302" s="85"/>
    </row>
    <row r="1303" spans="1:26" ht="15.75" customHeight="1">
      <c r="A1303" s="86"/>
      <c r="B1303" s="86"/>
      <c r="C1303" s="86"/>
      <c r="D1303" s="86"/>
      <c r="E1303" s="18"/>
      <c r="F1303" s="18"/>
      <c r="G1303" s="18"/>
      <c r="H1303" s="18"/>
      <c r="I1303" s="18"/>
      <c r="J1303" s="18"/>
      <c r="K1303" s="18"/>
      <c r="L1303" s="85"/>
      <c r="M1303" s="85"/>
      <c r="N1303" s="85"/>
      <c r="O1303" s="85"/>
      <c r="P1303" s="85"/>
      <c r="Q1303" s="85"/>
      <c r="R1303" s="85"/>
      <c r="S1303" s="85"/>
      <c r="T1303" s="85"/>
      <c r="U1303" s="85"/>
      <c r="V1303" s="85"/>
      <c r="W1303" s="85"/>
      <c r="X1303" s="85"/>
      <c r="Y1303" s="85"/>
      <c r="Z1303" s="85"/>
    </row>
    <row r="1304" spans="1:26" ht="15.75" customHeight="1">
      <c r="A1304" s="86"/>
      <c r="B1304" s="86"/>
      <c r="C1304" s="86"/>
      <c r="D1304" s="86"/>
      <c r="E1304" s="18"/>
      <c r="F1304" s="18"/>
      <c r="G1304" s="18"/>
      <c r="H1304" s="18"/>
      <c r="I1304" s="18"/>
      <c r="J1304" s="18"/>
      <c r="K1304" s="18"/>
      <c r="L1304" s="85"/>
      <c r="M1304" s="85"/>
      <c r="N1304" s="85"/>
      <c r="O1304" s="85"/>
      <c r="P1304" s="85"/>
      <c r="Q1304" s="85"/>
      <c r="R1304" s="85"/>
      <c r="S1304" s="85"/>
      <c r="T1304" s="85"/>
      <c r="U1304" s="85"/>
      <c r="V1304" s="85"/>
      <c r="W1304" s="85"/>
      <c r="X1304" s="85"/>
      <c r="Y1304" s="85"/>
      <c r="Z1304" s="85"/>
    </row>
    <row r="1305" spans="1:26" ht="15.75" customHeight="1">
      <c r="A1305" s="86"/>
      <c r="B1305" s="86"/>
      <c r="C1305" s="86"/>
      <c r="D1305" s="86"/>
      <c r="E1305" s="18"/>
      <c r="F1305" s="18"/>
      <c r="G1305" s="18"/>
      <c r="H1305" s="18"/>
      <c r="I1305" s="18"/>
      <c r="J1305" s="18"/>
      <c r="K1305" s="18"/>
      <c r="L1305" s="85"/>
      <c r="M1305" s="85"/>
      <c r="N1305" s="85"/>
      <c r="O1305" s="85"/>
      <c r="P1305" s="85"/>
      <c r="Q1305" s="85"/>
      <c r="R1305" s="85"/>
      <c r="S1305" s="85"/>
      <c r="T1305" s="85"/>
      <c r="U1305" s="85"/>
      <c r="V1305" s="85"/>
      <c r="W1305" s="85"/>
      <c r="X1305" s="85"/>
      <c r="Y1305" s="85"/>
      <c r="Z1305" s="85"/>
    </row>
    <row r="1306" spans="1:26" ht="15.75" customHeight="1">
      <c r="A1306" s="86"/>
      <c r="B1306" s="86"/>
      <c r="C1306" s="86"/>
      <c r="D1306" s="86"/>
      <c r="E1306" s="18"/>
      <c r="F1306" s="18"/>
      <c r="G1306" s="18"/>
      <c r="H1306" s="18"/>
      <c r="I1306" s="18"/>
      <c r="J1306" s="18"/>
      <c r="K1306" s="18"/>
      <c r="L1306" s="85"/>
      <c r="M1306" s="85"/>
      <c r="N1306" s="85"/>
      <c r="O1306" s="85"/>
      <c r="P1306" s="85"/>
      <c r="Q1306" s="85"/>
      <c r="R1306" s="85"/>
      <c r="S1306" s="85"/>
      <c r="T1306" s="85"/>
      <c r="U1306" s="85"/>
      <c r="V1306" s="85"/>
      <c r="W1306" s="85"/>
      <c r="X1306" s="85"/>
      <c r="Y1306" s="85"/>
      <c r="Z1306" s="85"/>
    </row>
    <row r="1307" spans="1:26" ht="15.75" customHeight="1">
      <c r="A1307" s="86"/>
      <c r="B1307" s="86"/>
      <c r="C1307" s="86"/>
      <c r="D1307" s="86"/>
      <c r="E1307" s="18"/>
      <c r="F1307" s="18"/>
      <c r="G1307" s="18"/>
      <c r="H1307" s="18"/>
      <c r="I1307" s="18"/>
      <c r="J1307" s="18"/>
      <c r="K1307" s="18"/>
      <c r="L1307" s="85"/>
      <c r="M1307" s="85"/>
      <c r="N1307" s="85"/>
      <c r="O1307" s="85"/>
      <c r="P1307" s="85"/>
      <c r="Q1307" s="85"/>
      <c r="R1307" s="85"/>
      <c r="S1307" s="85"/>
      <c r="T1307" s="85"/>
      <c r="U1307" s="85"/>
      <c r="V1307" s="85"/>
      <c r="W1307" s="85"/>
      <c r="X1307" s="85"/>
      <c r="Y1307" s="85"/>
      <c r="Z1307" s="85"/>
    </row>
    <row r="1308" spans="1:26" ht="15.75" customHeight="1">
      <c r="A1308" s="86"/>
      <c r="B1308" s="86"/>
      <c r="C1308" s="86"/>
      <c r="D1308" s="86"/>
      <c r="E1308" s="18"/>
      <c r="F1308" s="18"/>
      <c r="G1308" s="18"/>
      <c r="H1308" s="18"/>
      <c r="I1308" s="18"/>
      <c r="J1308" s="18"/>
      <c r="K1308" s="18"/>
      <c r="L1308" s="85"/>
      <c r="M1308" s="85"/>
      <c r="N1308" s="85"/>
      <c r="O1308" s="85"/>
      <c r="P1308" s="85"/>
      <c r="Q1308" s="85"/>
      <c r="R1308" s="85"/>
      <c r="S1308" s="85"/>
      <c r="T1308" s="85"/>
      <c r="U1308" s="85"/>
      <c r="V1308" s="85"/>
      <c r="W1308" s="85"/>
      <c r="X1308" s="85"/>
      <c r="Y1308" s="85"/>
      <c r="Z1308" s="85"/>
    </row>
    <row r="1309" spans="1:26" ht="15.75" customHeight="1">
      <c r="A1309" s="86"/>
      <c r="B1309" s="86"/>
      <c r="C1309" s="86"/>
      <c r="D1309" s="86"/>
      <c r="E1309" s="18"/>
      <c r="F1309" s="18"/>
      <c r="G1309" s="18"/>
      <c r="H1309" s="18"/>
      <c r="I1309" s="18"/>
      <c r="J1309" s="18"/>
      <c r="K1309" s="18"/>
      <c r="L1309" s="85"/>
      <c r="M1309" s="85"/>
      <c r="N1309" s="85"/>
      <c r="O1309" s="85"/>
      <c r="P1309" s="85"/>
      <c r="Q1309" s="85"/>
      <c r="R1309" s="85"/>
      <c r="S1309" s="85"/>
      <c r="T1309" s="85"/>
      <c r="U1309" s="85"/>
      <c r="V1309" s="85"/>
      <c r="W1309" s="85"/>
      <c r="X1309" s="85"/>
      <c r="Y1309" s="85"/>
      <c r="Z1309" s="85"/>
    </row>
    <row r="1310" spans="1:26" ht="15.75" customHeight="1">
      <c r="A1310" s="86"/>
      <c r="B1310" s="86"/>
      <c r="C1310" s="86"/>
      <c r="D1310" s="86"/>
      <c r="E1310" s="18"/>
      <c r="F1310" s="18"/>
      <c r="G1310" s="18"/>
      <c r="H1310" s="18"/>
      <c r="I1310" s="18"/>
      <c r="J1310" s="18"/>
      <c r="K1310" s="18"/>
      <c r="L1310" s="85"/>
      <c r="M1310" s="85"/>
      <c r="N1310" s="85"/>
      <c r="O1310" s="85"/>
      <c r="P1310" s="85"/>
      <c r="Q1310" s="85"/>
      <c r="R1310" s="85"/>
      <c r="S1310" s="85"/>
      <c r="T1310" s="85"/>
      <c r="U1310" s="85"/>
      <c r="V1310" s="85"/>
      <c r="W1310" s="85"/>
      <c r="X1310" s="85"/>
      <c r="Y1310" s="85"/>
      <c r="Z1310" s="85"/>
    </row>
    <row r="1311" spans="1:26" ht="15.75" customHeight="1">
      <c r="A1311" s="86"/>
      <c r="B1311" s="86"/>
      <c r="C1311" s="86"/>
      <c r="D1311" s="86"/>
      <c r="E1311" s="18"/>
      <c r="F1311" s="18"/>
      <c r="G1311" s="18"/>
      <c r="H1311" s="18"/>
      <c r="I1311" s="18"/>
      <c r="J1311" s="18"/>
      <c r="K1311" s="18"/>
      <c r="L1311" s="85"/>
      <c r="M1311" s="85"/>
      <c r="N1311" s="85"/>
      <c r="O1311" s="85"/>
      <c r="P1311" s="85"/>
      <c r="Q1311" s="85"/>
      <c r="R1311" s="85"/>
      <c r="S1311" s="85"/>
      <c r="T1311" s="85"/>
      <c r="U1311" s="85"/>
      <c r="V1311" s="85"/>
      <c r="W1311" s="85"/>
      <c r="X1311" s="85"/>
      <c r="Y1311" s="85"/>
      <c r="Z1311" s="85"/>
    </row>
    <row r="1312" spans="1:26" ht="15.75" customHeight="1">
      <c r="A1312" s="86"/>
      <c r="B1312" s="86"/>
      <c r="C1312" s="86"/>
      <c r="D1312" s="86"/>
      <c r="E1312" s="18"/>
      <c r="F1312" s="18"/>
      <c r="G1312" s="18"/>
      <c r="H1312" s="18"/>
      <c r="I1312" s="18"/>
      <c r="J1312" s="18"/>
      <c r="K1312" s="18"/>
      <c r="L1312" s="85"/>
      <c r="M1312" s="85"/>
      <c r="N1312" s="85"/>
      <c r="O1312" s="85"/>
      <c r="P1312" s="85"/>
      <c r="Q1312" s="85"/>
      <c r="R1312" s="85"/>
      <c r="S1312" s="85"/>
      <c r="T1312" s="85"/>
      <c r="U1312" s="85"/>
      <c r="V1312" s="85"/>
      <c r="W1312" s="85"/>
      <c r="X1312" s="85"/>
      <c r="Y1312" s="85"/>
      <c r="Z1312" s="85"/>
    </row>
    <row r="1313" spans="1:26" ht="15.75" customHeight="1">
      <c r="A1313" s="86"/>
      <c r="B1313" s="86"/>
      <c r="C1313" s="86"/>
      <c r="D1313" s="86"/>
      <c r="E1313" s="18"/>
      <c r="F1313" s="18"/>
      <c r="G1313" s="18"/>
      <c r="H1313" s="18"/>
      <c r="I1313" s="18"/>
      <c r="J1313" s="18"/>
      <c r="K1313" s="18"/>
      <c r="L1313" s="85"/>
      <c r="M1313" s="85"/>
      <c r="N1313" s="85"/>
      <c r="O1313" s="85"/>
      <c r="P1313" s="85"/>
      <c r="Q1313" s="85"/>
      <c r="R1313" s="85"/>
      <c r="S1313" s="85"/>
      <c r="T1313" s="85"/>
      <c r="U1313" s="85"/>
      <c r="V1313" s="85"/>
      <c r="W1313" s="85"/>
      <c r="X1313" s="85"/>
      <c r="Y1313" s="85"/>
      <c r="Z1313" s="85"/>
    </row>
    <row r="1314" spans="1:26" ht="15.75" customHeight="1">
      <c r="A1314" s="86"/>
      <c r="B1314" s="86"/>
      <c r="C1314" s="86"/>
      <c r="D1314" s="86"/>
      <c r="E1314" s="18"/>
      <c r="F1314" s="18"/>
      <c r="G1314" s="18"/>
      <c r="H1314" s="18"/>
      <c r="I1314" s="18"/>
      <c r="J1314" s="18"/>
      <c r="K1314" s="18"/>
      <c r="L1314" s="85"/>
      <c r="M1314" s="85"/>
      <c r="N1314" s="85"/>
      <c r="O1314" s="85"/>
      <c r="P1314" s="85"/>
      <c r="Q1314" s="85"/>
      <c r="R1314" s="85"/>
      <c r="S1314" s="85"/>
      <c r="T1314" s="85"/>
      <c r="U1314" s="85"/>
      <c r="V1314" s="85"/>
      <c r="W1314" s="85"/>
      <c r="X1314" s="85"/>
      <c r="Y1314" s="85"/>
      <c r="Z1314" s="85"/>
    </row>
    <row r="1315" spans="1:26" ht="15.75" customHeight="1">
      <c r="A1315" s="86"/>
      <c r="B1315" s="86"/>
      <c r="C1315" s="86"/>
      <c r="D1315" s="86"/>
      <c r="E1315" s="18"/>
      <c r="F1315" s="18"/>
      <c r="G1315" s="18"/>
      <c r="H1315" s="18"/>
      <c r="I1315" s="18"/>
      <c r="J1315" s="18"/>
      <c r="K1315" s="18"/>
      <c r="L1315" s="85"/>
      <c r="M1315" s="85"/>
      <c r="N1315" s="85"/>
      <c r="O1315" s="85"/>
      <c r="P1315" s="85"/>
      <c r="Q1315" s="85"/>
      <c r="R1315" s="85"/>
      <c r="S1315" s="85"/>
      <c r="T1315" s="85"/>
      <c r="U1315" s="85"/>
      <c r="V1315" s="85"/>
      <c r="W1315" s="85"/>
      <c r="X1315" s="85"/>
      <c r="Y1315" s="85"/>
      <c r="Z1315" s="85"/>
    </row>
    <row r="1316" spans="1:26" ht="15.75" customHeight="1">
      <c r="A1316" s="86"/>
      <c r="B1316" s="86"/>
      <c r="C1316" s="86"/>
      <c r="D1316" s="86"/>
      <c r="E1316" s="18"/>
      <c r="F1316" s="18"/>
      <c r="G1316" s="18"/>
      <c r="H1316" s="18"/>
      <c r="I1316" s="18"/>
      <c r="J1316" s="18"/>
      <c r="K1316" s="18"/>
      <c r="L1316" s="85"/>
      <c r="M1316" s="85"/>
      <c r="N1316" s="85"/>
      <c r="O1316" s="85"/>
      <c r="P1316" s="85"/>
      <c r="Q1316" s="85"/>
      <c r="R1316" s="85"/>
      <c r="S1316" s="85"/>
      <c r="T1316" s="85"/>
      <c r="U1316" s="85"/>
      <c r="V1316" s="85"/>
      <c r="W1316" s="85"/>
      <c r="X1316" s="85"/>
      <c r="Y1316" s="85"/>
      <c r="Z1316" s="85"/>
    </row>
    <row r="1317" spans="1:26" ht="15.75" customHeight="1">
      <c r="A1317" s="86"/>
      <c r="B1317" s="86"/>
      <c r="C1317" s="86"/>
      <c r="D1317" s="86"/>
      <c r="E1317" s="18"/>
      <c r="F1317" s="18"/>
      <c r="G1317" s="18"/>
      <c r="H1317" s="18"/>
      <c r="I1317" s="18"/>
      <c r="J1317" s="18"/>
      <c r="K1317" s="18"/>
      <c r="L1317" s="85"/>
      <c r="M1317" s="85"/>
      <c r="N1317" s="85"/>
      <c r="O1317" s="85"/>
      <c r="P1317" s="85"/>
      <c r="Q1317" s="85"/>
      <c r="R1317" s="85"/>
      <c r="S1317" s="85"/>
      <c r="T1317" s="85"/>
      <c r="U1317" s="85"/>
      <c r="V1317" s="85"/>
      <c r="W1317" s="85"/>
      <c r="X1317" s="85"/>
      <c r="Y1317" s="85"/>
      <c r="Z1317" s="85"/>
    </row>
    <row r="1318" spans="1:26" ht="15.75" customHeight="1">
      <c r="A1318" s="86"/>
      <c r="B1318" s="86"/>
      <c r="C1318" s="86"/>
      <c r="D1318" s="86"/>
      <c r="E1318" s="18"/>
      <c r="F1318" s="18"/>
      <c r="G1318" s="18"/>
      <c r="H1318" s="18"/>
      <c r="I1318" s="18"/>
      <c r="J1318" s="18"/>
      <c r="K1318" s="18"/>
      <c r="L1318" s="85"/>
      <c r="M1318" s="85"/>
      <c r="N1318" s="85"/>
      <c r="O1318" s="85"/>
      <c r="P1318" s="85"/>
      <c r="Q1318" s="85"/>
      <c r="R1318" s="85"/>
      <c r="S1318" s="85"/>
      <c r="T1318" s="85"/>
      <c r="U1318" s="85"/>
      <c r="V1318" s="85"/>
      <c r="W1318" s="85"/>
      <c r="X1318" s="85"/>
      <c r="Y1318" s="85"/>
      <c r="Z1318" s="85"/>
    </row>
    <row r="1319" spans="1:26" ht="15.75" customHeight="1">
      <c r="A1319" s="86"/>
      <c r="B1319" s="86"/>
      <c r="C1319" s="86"/>
      <c r="D1319" s="86"/>
      <c r="E1319" s="18"/>
      <c r="F1319" s="18"/>
      <c r="G1319" s="18"/>
      <c r="H1319" s="18"/>
      <c r="I1319" s="18"/>
      <c r="J1319" s="18"/>
      <c r="K1319" s="18"/>
      <c r="L1319" s="85"/>
      <c r="M1319" s="85"/>
      <c r="N1319" s="85"/>
      <c r="O1319" s="85"/>
      <c r="P1319" s="85"/>
      <c r="Q1319" s="85"/>
      <c r="R1319" s="85"/>
      <c r="S1319" s="85"/>
      <c r="T1319" s="85"/>
      <c r="U1319" s="85"/>
      <c r="V1319" s="85"/>
      <c r="W1319" s="85"/>
      <c r="X1319" s="85"/>
      <c r="Y1319" s="85"/>
      <c r="Z1319" s="85"/>
    </row>
    <row r="1320" spans="1:26" ht="15.75" customHeight="1">
      <c r="A1320" s="86"/>
      <c r="B1320" s="86"/>
      <c r="C1320" s="86"/>
      <c r="D1320" s="86"/>
      <c r="E1320" s="18"/>
      <c r="F1320" s="18"/>
      <c r="G1320" s="18"/>
      <c r="H1320" s="18"/>
      <c r="I1320" s="18"/>
      <c r="J1320" s="18"/>
      <c r="K1320" s="18"/>
      <c r="L1320" s="85"/>
      <c r="M1320" s="85"/>
      <c r="N1320" s="85"/>
      <c r="O1320" s="85"/>
      <c r="P1320" s="85"/>
      <c r="Q1320" s="85"/>
      <c r="R1320" s="85"/>
      <c r="S1320" s="85"/>
      <c r="T1320" s="85"/>
      <c r="U1320" s="85"/>
      <c r="V1320" s="85"/>
      <c r="W1320" s="85"/>
      <c r="X1320" s="85"/>
      <c r="Y1320" s="85"/>
      <c r="Z1320" s="85"/>
    </row>
    <row r="1321" spans="1:26" ht="15.75" customHeight="1">
      <c r="A1321" s="86"/>
      <c r="B1321" s="86"/>
      <c r="C1321" s="86"/>
      <c r="D1321" s="86"/>
      <c r="E1321" s="18"/>
      <c r="F1321" s="18"/>
      <c r="G1321" s="18"/>
      <c r="H1321" s="18"/>
      <c r="I1321" s="18"/>
      <c r="J1321" s="18"/>
      <c r="K1321" s="18"/>
      <c r="L1321" s="85"/>
      <c r="M1321" s="85"/>
      <c r="N1321" s="85"/>
      <c r="O1321" s="85"/>
      <c r="P1321" s="85"/>
      <c r="Q1321" s="85"/>
      <c r="R1321" s="85"/>
      <c r="S1321" s="85"/>
      <c r="T1321" s="85"/>
      <c r="U1321" s="85"/>
      <c r="V1321" s="85"/>
      <c r="W1321" s="85"/>
      <c r="X1321" s="85"/>
      <c r="Y1321" s="85"/>
      <c r="Z1321" s="85"/>
    </row>
    <row r="1322" spans="1:26" ht="15.75" customHeight="1">
      <c r="A1322" s="86"/>
      <c r="B1322" s="86"/>
      <c r="C1322" s="86"/>
      <c r="D1322" s="86"/>
      <c r="E1322" s="18"/>
      <c r="F1322" s="18"/>
      <c r="G1322" s="18"/>
      <c r="H1322" s="18"/>
      <c r="I1322" s="18"/>
      <c r="J1322" s="18"/>
      <c r="K1322" s="18"/>
      <c r="L1322" s="85"/>
      <c r="M1322" s="85"/>
      <c r="N1322" s="85"/>
      <c r="O1322" s="85"/>
      <c r="P1322" s="85"/>
      <c r="Q1322" s="85"/>
      <c r="R1322" s="85"/>
      <c r="S1322" s="85"/>
      <c r="T1322" s="85"/>
      <c r="U1322" s="85"/>
      <c r="V1322" s="85"/>
      <c r="W1322" s="85"/>
      <c r="X1322" s="85"/>
      <c r="Y1322" s="85"/>
      <c r="Z1322" s="85"/>
    </row>
    <row r="1323" spans="1:26" ht="15.75" customHeight="1">
      <c r="A1323" s="86"/>
      <c r="B1323" s="86"/>
      <c r="C1323" s="86"/>
      <c r="D1323" s="86"/>
      <c r="E1323" s="18"/>
      <c r="F1323" s="18"/>
      <c r="G1323" s="18"/>
      <c r="H1323" s="18"/>
      <c r="I1323" s="18"/>
      <c r="J1323" s="18"/>
      <c r="K1323" s="18"/>
      <c r="L1323" s="85"/>
      <c r="M1323" s="85"/>
      <c r="N1323" s="85"/>
      <c r="O1323" s="85"/>
      <c r="P1323" s="85"/>
      <c r="Q1323" s="85"/>
      <c r="R1323" s="85"/>
      <c r="S1323" s="85"/>
      <c r="T1323" s="85"/>
      <c r="U1323" s="85"/>
      <c r="V1323" s="85"/>
      <c r="W1323" s="85"/>
      <c r="X1323" s="85"/>
      <c r="Y1323" s="85"/>
      <c r="Z1323" s="85"/>
    </row>
    <row r="1324" spans="1:26" ht="15.75" customHeight="1">
      <c r="A1324" s="86"/>
      <c r="B1324" s="86"/>
      <c r="C1324" s="86"/>
      <c r="D1324" s="86"/>
      <c r="E1324" s="18"/>
      <c r="F1324" s="18"/>
      <c r="G1324" s="18"/>
      <c r="H1324" s="18"/>
      <c r="I1324" s="18"/>
      <c r="J1324" s="18"/>
      <c r="K1324" s="18"/>
      <c r="L1324" s="85"/>
      <c r="M1324" s="85"/>
      <c r="N1324" s="85"/>
      <c r="O1324" s="85"/>
      <c r="P1324" s="85"/>
      <c r="Q1324" s="85"/>
      <c r="R1324" s="85"/>
      <c r="S1324" s="85"/>
      <c r="T1324" s="85"/>
      <c r="U1324" s="85"/>
      <c r="V1324" s="85"/>
      <c r="W1324" s="85"/>
      <c r="X1324" s="85"/>
      <c r="Y1324" s="85"/>
      <c r="Z1324" s="85"/>
    </row>
    <row r="1325" spans="1:26" ht="15.75" customHeight="1">
      <c r="A1325" s="86"/>
      <c r="B1325" s="86"/>
      <c r="C1325" s="86"/>
      <c r="D1325" s="86"/>
      <c r="E1325" s="18"/>
      <c r="F1325" s="18"/>
      <c r="G1325" s="18"/>
      <c r="H1325" s="18"/>
      <c r="I1325" s="18"/>
      <c r="J1325" s="18"/>
      <c r="K1325" s="18"/>
      <c r="L1325" s="85"/>
      <c r="M1325" s="85"/>
      <c r="N1325" s="85"/>
      <c r="O1325" s="85"/>
      <c r="P1325" s="85"/>
      <c r="Q1325" s="85"/>
      <c r="R1325" s="85"/>
      <c r="S1325" s="85"/>
      <c r="T1325" s="85"/>
      <c r="U1325" s="85"/>
      <c r="V1325" s="85"/>
      <c r="W1325" s="85"/>
      <c r="X1325" s="85"/>
      <c r="Y1325" s="85"/>
      <c r="Z1325" s="85"/>
    </row>
    <row r="1326" spans="1:26" ht="15.75" customHeight="1">
      <c r="A1326" s="86"/>
      <c r="B1326" s="86"/>
      <c r="C1326" s="86"/>
      <c r="D1326" s="86"/>
      <c r="E1326" s="18"/>
      <c r="F1326" s="18"/>
      <c r="G1326" s="18"/>
      <c r="H1326" s="18"/>
      <c r="I1326" s="18"/>
      <c r="J1326" s="18"/>
      <c r="K1326" s="18"/>
      <c r="L1326" s="85"/>
      <c r="M1326" s="85"/>
      <c r="N1326" s="85"/>
      <c r="O1326" s="85"/>
      <c r="P1326" s="85"/>
      <c r="Q1326" s="85"/>
      <c r="R1326" s="85"/>
      <c r="S1326" s="85"/>
      <c r="T1326" s="85"/>
      <c r="U1326" s="85"/>
      <c r="V1326" s="85"/>
      <c r="W1326" s="85"/>
      <c r="X1326" s="85"/>
      <c r="Y1326" s="85"/>
      <c r="Z1326" s="85"/>
    </row>
    <row r="1327" spans="1:26" ht="15.75" customHeight="1">
      <c r="A1327" s="86"/>
      <c r="B1327" s="86"/>
      <c r="C1327" s="86"/>
      <c r="D1327" s="86"/>
      <c r="E1327" s="18"/>
      <c r="F1327" s="18"/>
      <c r="G1327" s="18"/>
      <c r="H1327" s="18"/>
      <c r="I1327" s="18"/>
      <c r="J1327" s="18"/>
      <c r="K1327" s="18"/>
      <c r="L1327" s="85"/>
      <c r="M1327" s="85"/>
      <c r="N1327" s="85"/>
      <c r="O1327" s="85"/>
      <c r="P1327" s="85"/>
      <c r="Q1327" s="85"/>
      <c r="R1327" s="85"/>
      <c r="S1327" s="85"/>
      <c r="T1327" s="85"/>
      <c r="U1327" s="85"/>
      <c r="V1327" s="85"/>
      <c r="W1327" s="85"/>
      <c r="X1327" s="85"/>
      <c r="Y1327" s="85"/>
      <c r="Z1327" s="85"/>
    </row>
    <row r="1328" spans="1:26" ht="15.75" customHeight="1">
      <c r="A1328" s="86"/>
      <c r="B1328" s="86"/>
      <c r="C1328" s="86"/>
      <c r="D1328" s="86"/>
      <c r="E1328" s="18"/>
      <c r="F1328" s="18"/>
      <c r="G1328" s="18"/>
      <c r="H1328" s="18"/>
      <c r="I1328" s="18"/>
      <c r="J1328" s="18"/>
      <c r="K1328" s="18"/>
      <c r="L1328" s="85"/>
      <c r="M1328" s="85"/>
      <c r="N1328" s="85"/>
      <c r="O1328" s="85"/>
      <c r="P1328" s="85"/>
      <c r="Q1328" s="85"/>
      <c r="R1328" s="85"/>
      <c r="S1328" s="85"/>
      <c r="T1328" s="85"/>
      <c r="U1328" s="85"/>
      <c r="V1328" s="85"/>
      <c r="W1328" s="85"/>
      <c r="X1328" s="85"/>
      <c r="Y1328" s="85"/>
      <c r="Z1328" s="85"/>
    </row>
    <row r="1329" spans="1:26" ht="15.75" customHeight="1">
      <c r="A1329" s="86"/>
      <c r="B1329" s="86"/>
      <c r="C1329" s="86"/>
      <c r="D1329" s="86"/>
      <c r="E1329" s="18"/>
      <c r="F1329" s="18"/>
      <c r="G1329" s="18"/>
      <c r="H1329" s="18"/>
      <c r="I1329" s="18"/>
      <c r="J1329" s="18"/>
      <c r="K1329" s="18"/>
      <c r="L1329" s="85"/>
      <c r="M1329" s="85"/>
      <c r="N1329" s="85"/>
      <c r="O1329" s="85"/>
      <c r="P1329" s="85"/>
      <c r="Q1329" s="85"/>
      <c r="R1329" s="85"/>
      <c r="S1329" s="85"/>
      <c r="T1329" s="85"/>
      <c r="U1329" s="85"/>
      <c r="V1329" s="85"/>
      <c r="W1329" s="85"/>
      <c r="X1329" s="85"/>
      <c r="Y1329" s="85"/>
      <c r="Z1329" s="85"/>
    </row>
    <row r="1330" spans="1:26" ht="15.75" customHeight="1">
      <c r="A1330" s="86"/>
      <c r="B1330" s="86"/>
      <c r="C1330" s="86"/>
      <c r="D1330" s="86"/>
      <c r="E1330" s="18"/>
      <c r="F1330" s="18"/>
      <c r="G1330" s="18"/>
      <c r="H1330" s="18"/>
      <c r="I1330" s="18"/>
      <c r="J1330" s="18"/>
      <c r="K1330" s="18"/>
      <c r="L1330" s="85"/>
      <c r="M1330" s="85"/>
      <c r="N1330" s="85"/>
      <c r="O1330" s="85"/>
      <c r="P1330" s="85"/>
      <c r="Q1330" s="85"/>
      <c r="R1330" s="85"/>
      <c r="S1330" s="85"/>
      <c r="T1330" s="85"/>
      <c r="U1330" s="85"/>
      <c r="V1330" s="85"/>
      <c r="W1330" s="85"/>
      <c r="X1330" s="85"/>
      <c r="Y1330" s="85"/>
      <c r="Z1330" s="85"/>
    </row>
    <row r="1331" spans="1:26" ht="15.75" customHeight="1">
      <c r="A1331" s="86"/>
      <c r="B1331" s="86"/>
      <c r="C1331" s="86"/>
      <c r="D1331" s="86"/>
      <c r="E1331" s="18"/>
      <c r="F1331" s="18"/>
      <c r="G1331" s="18"/>
      <c r="H1331" s="18"/>
      <c r="I1331" s="18"/>
      <c r="J1331" s="18"/>
      <c r="K1331" s="18"/>
      <c r="L1331" s="85"/>
      <c r="M1331" s="85"/>
      <c r="N1331" s="85"/>
      <c r="O1331" s="85"/>
      <c r="P1331" s="85"/>
      <c r="Q1331" s="85"/>
      <c r="R1331" s="85"/>
      <c r="S1331" s="85"/>
      <c r="T1331" s="85"/>
      <c r="U1331" s="85"/>
      <c r="V1331" s="85"/>
      <c r="W1331" s="85"/>
      <c r="X1331" s="85"/>
      <c r="Y1331" s="85"/>
      <c r="Z1331" s="85"/>
    </row>
    <row r="1332" spans="1:26" ht="15.75" customHeight="1">
      <c r="A1332" s="86"/>
      <c r="B1332" s="86"/>
      <c r="C1332" s="86"/>
      <c r="D1332" s="86"/>
      <c r="E1332" s="18"/>
      <c r="F1332" s="18"/>
      <c r="G1332" s="18"/>
      <c r="H1332" s="18"/>
      <c r="I1332" s="18"/>
      <c r="J1332" s="18"/>
      <c r="K1332" s="18"/>
      <c r="L1332" s="85"/>
      <c r="M1332" s="85"/>
      <c r="N1332" s="85"/>
      <c r="O1332" s="85"/>
      <c r="P1332" s="85"/>
      <c r="Q1332" s="85"/>
      <c r="R1332" s="85"/>
      <c r="S1332" s="85"/>
      <c r="T1332" s="85"/>
      <c r="U1332" s="85"/>
      <c r="V1332" s="85"/>
      <c r="W1332" s="85"/>
      <c r="X1332" s="85"/>
      <c r="Y1332" s="85"/>
      <c r="Z1332" s="85"/>
    </row>
    <row r="1333" spans="1:26" ht="15.75" customHeight="1">
      <c r="A1333" s="86"/>
      <c r="B1333" s="86"/>
      <c r="C1333" s="86"/>
      <c r="D1333" s="86"/>
      <c r="E1333" s="18"/>
      <c r="F1333" s="18"/>
      <c r="G1333" s="18"/>
      <c r="H1333" s="18"/>
      <c r="I1333" s="18"/>
      <c r="J1333" s="18"/>
      <c r="K1333" s="18"/>
      <c r="L1333" s="85"/>
      <c r="M1333" s="85"/>
      <c r="N1333" s="85"/>
      <c r="O1333" s="85"/>
      <c r="P1333" s="85"/>
      <c r="Q1333" s="85"/>
      <c r="R1333" s="85"/>
      <c r="S1333" s="85"/>
      <c r="T1333" s="85"/>
      <c r="U1333" s="85"/>
      <c r="V1333" s="85"/>
      <c r="W1333" s="85"/>
      <c r="X1333" s="85"/>
      <c r="Y1333" s="85"/>
      <c r="Z1333" s="85"/>
    </row>
    <row r="1334" spans="1:26" ht="15.75" customHeight="1">
      <c r="A1334" s="86"/>
      <c r="B1334" s="86"/>
      <c r="C1334" s="86"/>
      <c r="D1334" s="86"/>
      <c r="E1334" s="18"/>
      <c r="F1334" s="18"/>
      <c r="G1334" s="18"/>
      <c r="H1334" s="18"/>
      <c r="I1334" s="18"/>
      <c r="J1334" s="18"/>
      <c r="K1334" s="18"/>
      <c r="L1334" s="85"/>
      <c r="M1334" s="85"/>
      <c r="N1334" s="85"/>
      <c r="O1334" s="85"/>
      <c r="P1334" s="85"/>
      <c r="Q1334" s="85"/>
      <c r="R1334" s="85"/>
      <c r="S1334" s="85"/>
      <c r="T1334" s="85"/>
      <c r="U1334" s="85"/>
      <c r="V1334" s="85"/>
      <c r="W1334" s="85"/>
      <c r="X1334" s="85"/>
      <c r="Y1334" s="85"/>
      <c r="Z1334" s="85"/>
    </row>
    <row r="1335" spans="1:26" ht="15.75" customHeight="1">
      <c r="A1335" s="86"/>
      <c r="B1335" s="86"/>
      <c r="C1335" s="86"/>
      <c r="D1335" s="86"/>
      <c r="E1335" s="18"/>
      <c r="F1335" s="18"/>
      <c r="G1335" s="18"/>
      <c r="H1335" s="18"/>
      <c r="I1335" s="18"/>
      <c r="J1335" s="18"/>
      <c r="K1335" s="18"/>
      <c r="L1335" s="85"/>
      <c r="M1335" s="85"/>
      <c r="N1335" s="85"/>
      <c r="O1335" s="85"/>
      <c r="P1335" s="85"/>
      <c r="Q1335" s="85"/>
      <c r="R1335" s="85"/>
      <c r="S1335" s="85"/>
      <c r="T1335" s="85"/>
      <c r="U1335" s="85"/>
      <c r="V1335" s="85"/>
      <c r="W1335" s="85"/>
      <c r="X1335" s="85"/>
      <c r="Y1335" s="85"/>
      <c r="Z1335" s="85"/>
    </row>
    <row r="1336" spans="1:26" ht="15.75" customHeight="1">
      <c r="A1336" s="86"/>
      <c r="B1336" s="86"/>
      <c r="C1336" s="86"/>
      <c r="D1336" s="86"/>
      <c r="E1336" s="18"/>
      <c r="F1336" s="18"/>
      <c r="G1336" s="18"/>
      <c r="H1336" s="18"/>
      <c r="I1336" s="18"/>
      <c r="J1336" s="18"/>
      <c r="K1336" s="18"/>
      <c r="L1336" s="85"/>
      <c r="M1336" s="85"/>
      <c r="N1336" s="85"/>
      <c r="O1336" s="85"/>
      <c r="P1336" s="85"/>
      <c r="Q1336" s="85"/>
      <c r="R1336" s="85"/>
      <c r="S1336" s="85"/>
      <c r="T1336" s="85"/>
      <c r="U1336" s="85"/>
      <c r="V1336" s="85"/>
      <c r="W1336" s="85"/>
      <c r="X1336" s="85"/>
      <c r="Y1336" s="85"/>
      <c r="Z1336" s="85"/>
    </row>
    <row r="1337" spans="1:26" ht="15.75" customHeight="1">
      <c r="A1337" s="86"/>
      <c r="B1337" s="86"/>
      <c r="C1337" s="86"/>
      <c r="D1337" s="86"/>
      <c r="E1337" s="18"/>
      <c r="F1337" s="18"/>
      <c r="G1337" s="18"/>
      <c r="H1337" s="18"/>
      <c r="I1337" s="18"/>
      <c r="J1337" s="18"/>
      <c r="K1337" s="18"/>
      <c r="L1337" s="85"/>
      <c r="M1337" s="85"/>
      <c r="N1337" s="85"/>
      <c r="O1337" s="85"/>
      <c r="P1337" s="85"/>
      <c r="Q1337" s="85"/>
      <c r="R1337" s="85"/>
      <c r="S1337" s="85"/>
      <c r="T1337" s="85"/>
      <c r="U1337" s="85"/>
      <c r="V1337" s="85"/>
      <c r="W1337" s="85"/>
      <c r="X1337" s="85"/>
      <c r="Y1337" s="85"/>
      <c r="Z1337" s="85"/>
    </row>
    <row r="1338" spans="1:26" ht="15.75" customHeight="1">
      <c r="A1338" s="86"/>
      <c r="B1338" s="86"/>
      <c r="C1338" s="86"/>
      <c r="D1338" s="86"/>
      <c r="E1338" s="18"/>
      <c r="F1338" s="18"/>
      <c r="G1338" s="18"/>
      <c r="H1338" s="18"/>
      <c r="I1338" s="18"/>
      <c r="J1338" s="18"/>
      <c r="K1338" s="18"/>
      <c r="L1338" s="85"/>
      <c r="M1338" s="85"/>
      <c r="N1338" s="85"/>
      <c r="O1338" s="85"/>
      <c r="P1338" s="85"/>
      <c r="Q1338" s="85"/>
      <c r="R1338" s="85"/>
      <c r="S1338" s="85"/>
      <c r="T1338" s="85"/>
      <c r="U1338" s="85"/>
      <c r="V1338" s="85"/>
      <c r="W1338" s="85"/>
      <c r="X1338" s="85"/>
      <c r="Y1338" s="85"/>
      <c r="Z1338" s="85"/>
    </row>
    <row r="1339" spans="1:26" ht="15.75" customHeight="1">
      <c r="A1339" s="86"/>
      <c r="B1339" s="86"/>
      <c r="C1339" s="86"/>
      <c r="D1339" s="86"/>
      <c r="E1339" s="18"/>
      <c r="F1339" s="18"/>
      <c r="G1339" s="18"/>
      <c r="H1339" s="18"/>
      <c r="I1339" s="18"/>
      <c r="J1339" s="18"/>
      <c r="K1339" s="18"/>
      <c r="L1339" s="85"/>
      <c r="M1339" s="85"/>
      <c r="N1339" s="85"/>
      <c r="O1339" s="85"/>
      <c r="P1339" s="85"/>
      <c r="Q1339" s="85"/>
      <c r="R1339" s="85"/>
      <c r="S1339" s="85"/>
      <c r="T1339" s="85"/>
      <c r="U1339" s="85"/>
      <c r="V1339" s="85"/>
      <c r="W1339" s="85"/>
      <c r="X1339" s="85"/>
      <c r="Y1339" s="85"/>
      <c r="Z1339" s="85"/>
    </row>
    <row r="1340" spans="1:26" ht="15.75" customHeight="1">
      <c r="A1340" s="86"/>
      <c r="B1340" s="86"/>
      <c r="C1340" s="86"/>
      <c r="D1340" s="86"/>
      <c r="E1340" s="18"/>
      <c r="F1340" s="18"/>
      <c r="G1340" s="18"/>
      <c r="H1340" s="18"/>
      <c r="I1340" s="18"/>
      <c r="J1340" s="18"/>
      <c r="K1340" s="18"/>
      <c r="L1340" s="85"/>
      <c r="M1340" s="85"/>
      <c r="N1340" s="85"/>
      <c r="O1340" s="85"/>
      <c r="P1340" s="85"/>
      <c r="Q1340" s="85"/>
      <c r="R1340" s="85"/>
      <c r="S1340" s="85"/>
      <c r="T1340" s="85"/>
      <c r="U1340" s="85"/>
      <c r="V1340" s="85"/>
      <c r="W1340" s="85"/>
      <c r="X1340" s="85"/>
      <c r="Y1340" s="85"/>
      <c r="Z1340" s="85"/>
    </row>
    <row r="1341" spans="1:26" ht="15.75" customHeight="1">
      <c r="A1341" s="86"/>
      <c r="B1341" s="86"/>
      <c r="C1341" s="86"/>
      <c r="D1341" s="86"/>
      <c r="E1341" s="18"/>
      <c r="F1341" s="18"/>
      <c r="G1341" s="18"/>
      <c r="H1341" s="18"/>
      <c r="I1341" s="18"/>
      <c r="J1341" s="18"/>
      <c r="K1341" s="18"/>
      <c r="L1341" s="85"/>
      <c r="M1341" s="85"/>
      <c r="N1341" s="85"/>
      <c r="O1341" s="85"/>
      <c r="P1341" s="85"/>
      <c r="Q1341" s="85"/>
      <c r="R1341" s="85"/>
      <c r="S1341" s="85"/>
      <c r="T1341" s="85"/>
      <c r="U1341" s="85"/>
      <c r="V1341" s="85"/>
      <c r="W1341" s="85"/>
      <c r="X1341" s="85"/>
      <c r="Y1341" s="85"/>
      <c r="Z1341" s="85"/>
    </row>
    <row r="1342" spans="1:26" ht="15.75" customHeight="1">
      <c r="A1342" s="86"/>
      <c r="B1342" s="86"/>
      <c r="C1342" s="86"/>
      <c r="D1342" s="86"/>
      <c r="E1342" s="18"/>
      <c r="F1342" s="18"/>
      <c r="G1342" s="18"/>
      <c r="H1342" s="18"/>
      <c r="I1342" s="18"/>
      <c r="J1342" s="18"/>
      <c r="K1342" s="18"/>
      <c r="L1342" s="85"/>
      <c r="M1342" s="85"/>
      <c r="N1342" s="85"/>
      <c r="O1342" s="85"/>
      <c r="P1342" s="85"/>
      <c r="Q1342" s="85"/>
      <c r="R1342" s="85"/>
      <c r="S1342" s="85"/>
      <c r="T1342" s="85"/>
      <c r="U1342" s="85"/>
      <c r="V1342" s="85"/>
      <c r="W1342" s="85"/>
      <c r="X1342" s="85"/>
      <c r="Y1342" s="85"/>
      <c r="Z1342" s="85"/>
    </row>
    <row r="1343" spans="1:26" ht="15.75" customHeight="1">
      <c r="A1343" s="86"/>
      <c r="B1343" s="86"/>
      <c r="C1343" s="86"/>
      <c r="D1343" s="86"/>
      <c r="E1343" s="18"/>
      <c r="F1343" s="18"/>
      <c r="G1343" s="18"/>
      <c r="H1343" s="18"/>
      <c r="I1343" s="18"/>
      <c r="J1343" s="18"/>
      <c r="K1343" s="18"/>
      <c r="L1343" s="85"/>
      <c r="M1343" s="85"/>
      <c r="N1343" s="85"/>
      <c r="O1343" s="85"/>
      <c r="P1343" s="85"/>
      <c r="Q1343" s="85"/>
      <c r="R1343" s="85"/>
      <c r="S1343" s="85"/>
      <c r="T1343" s="85"/>
      <c r="U1343" s="85"/>
      <c r="V1343" s="85"/>
      <c r="W1343" s="85"/>
      <c r="X1343" s="85"/>
      <c r="Y1343" s="85"/>
      <c r="Z1343" s="85"/>
    </row>
    <row r="1344" spans="1:26" ht="15.75" customHeight="1">
      <c r="A1344" s="86"/>
      <c r="B1344" s="86"/>
      <c r="C1344" s="86"/>
      <c r="D1344" s="86"/>
      <c r="E1344" s="18"/>
      <c r="F1344" s="18"/>
      <c r="G1344" s="18"/>
      <c r="H1344" s="18"/>
      <c r="I1344" s="18"/>
      <c r="J1344" s="18"/>
      <c r="K1344" s="18"/>
      <c r="L1344" s="85"/>
      <c r="M1344" s="85"/>
      <c r="N1344" s="85"/>
      <c r="O1344" s="85"/>
      <c r="P1344" s="85"/>
      <c r="Q1344" s="85"/>
      <c r="R1344" s="85"/>
      <c r="S1344" s="85"/>
      <c r="T1344" s="85"/>
      <c r="U1344" s="85"/>
      <c r="V1344" s="85"/>
      <c r="W1344" s="85"/>
      <c r="X1344" s="85"/>
      <c r="Y1344" s="85"/>
      <c r="Z1344" s="85"/>
    </row>
    <row r="1345" spans="1:26" ht="15.75" customHeight="1">
      <c r="A1345" s="86"/>
      <c r="B1345" s="86"/>
      <c r="C1345" s="86"/>
      <c r="D1345" s="86"/>
      <c r="E1345" s="18"/>
      <c r="F1345" s="18"/>
      <c r="G1345" s="18"/>
      <c r="H1345" s="18"/>
      <c r="I1345" s="18"/>
      <c r="J1345" s="18"/>
      <c r="K1345" s="18"/>
      <c r="L1345" s="85"/>
      <c r="M1345" s="85"/>
      <c r="N1345" s="85"/>
      <c r="O1345" s="85"/>
      <c r="P1345" s="85"/>
      <c r="Q1345" s="85"/>
      <c r="R1345" s="85"/>
      <c r="S1345" s="85"/>
      <c r="T1345" s="85"/>
      <c r="U1345" s="85"/>
      <c r="V1345" s="85"/>
      <c r="W1345" s="85"/>
      <c r="X1345" s="85"/>
      <c r="Y1345" s="85"/>
      <c r="Z1345" s="85"/>
    </row>
    <row r="1346" spans="1:26" ht="15.75" customHeight="1">
      <c r="A1346" s="86"/>
      <c r="B1346" s="86"/>
      <c r="C1346" s="86"/>
      <c r="D1346" s="86"/>
      <c r="E1346" s="18"/>
      <c r="F1346" s="18"/>
      <c r="G1346" s="18"/>
      <c r="H1346" s="18"/>
      <c r="I1346" s="18"/>
      <c r="J1346" s="18"/>
      <c r="K1346" s="18"/>
      <c r="L1346" s="85"/>
      <c r="M1346" s="85"/>
      <c r="N1346" s="85"/>
      <c r="O1346" s="85"/>
      <c r="P1346" s="85"/>
      <c r="Q1346" s="85"/>
      <c r="R1346" s="85"/>
      <c r="S1346" s="85"/>
      <c r="T1346" s="85"/>
      <c r="U1346" s="85"/>
      <c r="V1346" s="85"/>
      <c r="W1346" s="85"/>
      <c r="X1346" s="85"/>
      <c r="Y1346" s="85"/>
      <c r="Z1346" s="85"/>
    </row>
    <row r="1347" spans="1:26" ht="15.75" customHeight="1">
      <c r="A1347" s="86"/>
      <c r="B1347" s="86"/>
      <c r="C1347" s="86"/>
      <c r="D1347" s="86"/>
      <c r="E1347" s="18"/>
      <c r="F1347" s="18"/>
      <c r="G1347" s="18"/>
      <c r="H1347" s="18"/>
      <c r="I1347" s="18"/>
      <c r="J1347" s="18"/>
      <c r="K1347" s="18"/>
      <c r="L1347" s="85"/>
      <c r="M1347" s="85"/>
      <c r="N1347" s="85"/>
      <c r="O1347" s="85"/>
      <c r="P1347" s="85"/>
      <c r="Q1347" s="85"/>
      <c r="R1347" s="85"/>
      <c r="S1347" s="85"/>
      <c r="T1347" s="85"/>
      <c r="U1347" s="85"/>
      <c r="V1347" s="85"/>
      <c r="W1347" s="85"/>
      <c r="X1347" s="85"/>
      <c r="Y1347" s="85"/>
      <c r="Z1347" s="85"/>
    </row>
    <row r="1348" spans="1:26" ht="15.75" customHeight="1">
      <c r="A1348" s="86"/>
      <c r="B1348" s="86"/>
      <c r="C1348" s="86"/>
      <c r="D1348" s="86"/>
      <c r="E1348" s="18"/>
      <c r="F1348" s="18"/>
      <c r="G1348" s="18"/>
      <c r="H1348" s="18"/>
      <c r="I1348" s="18"/>
      <c r="J1348" s="18"/>
      <c r="K1348" s="18"/>
      <c r="L1348" s="85"/>
      <c r="M1348" s="85"/>
      <c r="N1348" s="85"/>
      <c r="O1348" s="85"/>
      <c r="P1348" s="85"/>
      <c r="Q1348" s="85"/>
      <c r="R1348" s="85"/>
      <c r="S1348" s="85"/>
      <c r="T1348" s="85"/>
      <c r="U1348" s="85"/>
      <c r="V1348" s="85"/>
      <c r="W1348" s="85"/>
      <c r="X1348" s="85"/>
      <c r="Y1348" s="85"/>
      <c r="Z1348" s="85"/>
    </row>
    <row r="1349" spans="1:26" ht="15.75" customHeight="1">
      <c r="A1349" s="86"/>
      <c r="B1349" s="86"/>
      <c r="C1349" s="86"/>
      <c r="D1349" s="86"/>
      <c r="E1349" s="18"/>
      <c r="F1349" s="18"/>
      <c r="G1349" s="18"/>
      <c r="H1349" s="18"/>
      <c r="I1349" s="18"/>
      <c r="J1349" s="18"/>
      <c r="K1349" s="18"/>
      <c r="L1349" s="85"/>
      <c r="M1349" s="85"/>
      <c r="N1349" s="85"/>
      <c r="O1349" s="85"/>
      <c r="P1349" s="85"/>
      <c r="Q1349" s="85"/>
      <c r="R1349" s="85"/>
      <c r="S1349" s="85"/>
      <c r="T1349" s="85"/>
      <c r="U1349" s="85"/>
      <c r="V1349" s="85"/>
      <c r="W1349" s="85"/>
      <c r="X1349" s="85"/>
      <c r="Y1349" s="85"/>
      <c r="Z1349" s="85"/>
    </row>
    <row r="1350" spans="1:26" ht="15.75" customHeight="1">
      <c r="A1350" s="86"/>
      <c r="B1350" s="86"/>
      <c r="C1350" s="86"/>
      <c r="D1350" s="86"/>
      <c r="E1350" s="18"/>
      <c r="F1350" s="18"/>
      <c r="G1350" s="18"/>
      <c r="H1350" s="18"/>
      <c r="I1350" s="18"/>
      <c r="J1350" s="18"/>
      <c r="K1350" s="18"/>
      <c r="L1350" s="85"/>
      <c r="M1350" s="85"/>
      <c r="N1350" s="85"/>
      <c r="O1350" s="85"/>
      <c r="P1350" s="85"/>
      <c r="Q1350" s="85"/>
      <c r="R1350" s="85"/>
      <c r="S1350" s="85"/>
      <c r="T1350" s="85"/>
      <c r="U1350" s="85"/>
      <c r="V1350" s="85"/>
      <c r="W1350" s="85"/>
      <c r="X1350" s="85"/>
      <c r="Y1350" s="85"/>
      <c r="Z1350" s="85"/>
    </row>
    <row r="1351" spans="1:26" ht="15.75" customHeight="1">
      <c r="A1351" s="86"/>
      <c r="B1351" s="86"/>
      <c r="C1351" s="86"/>
      <c r="D1351" s="86"/>
      <c r="E1351" s="18"/>
      <c r="F1351" s="18"/>
      <c r="G1351" s="18"/>
      <c r="H1351" s="18"/>
      <c r="I1351" s="18"/>
      <c r="J1351" s="18"/>
      <c r="K1351" s="18"/>
      <c r="L1351" s="85"/>
      <c r="M1351" s="85"/>
      <c r="N1351" s="85"/>
      <c r="O1351" s="85"/>
      <c r="P1351" s="85"/>
      <c r="Q1351" s="85"/>
      <c r="R1351" s="85"/>
      <c r="S1351" s="85"/>
      <c r="T1351" s="85"/>
      <c r="U1351" s="85"/>
      <c r="V1351" s="85"/>
      <c r="W1351" s="85"/>
      <c r="X1351" s="85"/>
      <c r="Y1351" s="85"/>
      <c r="Z1351" s="85"/>
    </row>
    <row r="1352" spans="1:26" ht="15.75" customHeight="1">
      <c r="A1352" s="86"/>
      <c r="B1352" s="86"/>
      <c r="C1352" s="86"/>
      <c r="D1352" s="86"/>
      <c r="E1352" s="18"/>
      <c r="F1352" s="18"/>
      <c r="G1352" s="18"/>
      <c r="H1352" s="18"/>
      <c r="I1352" s="18"/>
      <c r="J1352" s="18"/>
      <c r="K1352" s="18"/>
      <c r="L1352" s="85"/>
      <c r="M1352" s="85"/>
      <c r="N1352" s="85"/>
      <c r="O1352" s="85"/>
      <c r="P1352" s="85"/>
      <c r="Q1352" s="85"/>
      <c r="R1352" s="85"/>
      <c r="S1352" s="85"/>
      <c r="T1352" s="85"/>
      <c r="U1352" s="85"/>
      <c r="V1352" s="85"/>
      <c r="W1352" s="85"/>
      <c r="X1352" s="85"/>
      <c r="Y1352" s="85"/>
      <c r="Z1352" s="85"/>
    </row>
    <row r="1353" spans="1:26" ht="15.75" customHeight="1">
      <c r="A1353" s="86"/>
      <c r="B1353" s="86"/>
      <c r="C1353" s="86"/>
      <c r="D1353" s="86"/>
      <c r="E1353" s="18"/>
      <c r="F1353" s="18"/>
      <c r="G1353" s="18"/>
      <c r="H1353" s="18"/>
      <c r="I1353" s="18"/>
      <c r="J1353" s="18"/>
      <c r="K1353" s="18"/>
      <c r="L1353" s="85"/>
      <c r="M1353" s="85"/>
      <c r="N1353" s="85"/>
      <c r="O1353" s="85"/>
      <c r="P1353" s="85"/>
      <c r="Q1353" s="85"/>
      <c r="R1353" s="85"/>
      <c r="S1353" s="85"/>
      <c r="T1353" s="85"/>
      <c r="U1353" s="85"/>
      <c r="V1353" s="85"/>
      <c r="W1353" s="85"/>
      <c r="X1353" s="85"/>
      <c r="Y1353" s="85"/>
      <c r="Z1353" s="85"/>
    </row>
    <row r="1354" spans="1:26" ht="15.75" customHeight="1">
      <c r="A1354" s="86"/>
      <c r="B1354" s="86"/>
      <c r="C1354" s="86"/>
      <c r="D1354" s="86"/>
      <c r="E1354" s="18"/>
      <c r="F1354" s="18"/>
      <c r="G1354" s="18"/>
      <c r="H1354" s="18"/>
      <c r="I1354" s="18"/>
      <c r="J1354" s="18"/>
      <c r="K1354" s="18"/>
      <c r="L1354" s="85"/>
      <c r="M1354" s="85"/>
      <c r="N1354" s="85"/>
      <c r="O1354" s="85"/>
      <c r="P1354" s="85"/>
      <c r="Q1354" s="85"/>
      <c r="R1354" s="85"/>
      <c r="S1354" s="85"/>
      <c r="T1354" s="85"/>
      <c r="U1354" s="85"/>
      <c r="V1354" s="85"/>
      <c r="W1354" s="85"/>
      <c r="X1354" s="85"/>
      <c r="Y1354" s="85"/>
      <c r="Z1354" s="85"/>
    </row>
    <row r="1355" spans="1:26" ht="15.75" customHeight="1">
      <c r="A1355" s="86"/>
      <c r="B1355" s="86"/>
      <c r="C1355" s="86"/>
      <c r="D1355" s="86"/>
      <c r="E1355" s="18"/>
      <c r="F1355" s="18"/>
      <c r="G1355" s="18"/>
      <c r="H1355" s="18"/>
      <c r="I1355" s="18"/>
      <c r="J1355" s="18"/>
      <c r="K1355" s="18"/>
      <c r="L1355" s="85"/>
      <c r="M1355" s="85"/>
      <c r="N1355" s="85"/>
      <c r="O1355" s="85"/>
      <c r="P1355" s="85"/>
      <c r="Q1355" s="85"/>
      <c r="R1355" s="85"/>
      <c r="S1355" s="85"/>
      <c r="T1355" s="85"/>
      <c r="U1355" s="85"/>
      <c r="V1355" s="85"/>
      <c r="W1355" s="85"/>
      <c r="X1355" s="85"/>
      <c r="Y1355" s="85"/>
      <c r="Z1355" s="85"/>
    </row>
    <row r="1356" spans="1:26" ht="15.75" customHeight="1">
      <c r="A1356" s="86"/>
      <c r="B1356" s="86"/>
      <c r="C1356" s="86"/>
      <c r="D1356" s="86"/>
      <c r="E1356" s="18"/>
      <c r="F1356" s="18"/>
      <c r="G1356" s="18"/>
      <c r="H1356" s="18"/>
      <c r="I1356" s="18"/>
      <c r="J1356" s="18"/>
      <c r="K1356" s="18"/>
      <c r="L1356" s="85"/>
      <c r="M1356" s="85"/>
      <c r="N1356" s="85"/>
      <c r="O1356" s="85"/>
      <c r="P1356" s="85"/>
      <c r="Q1356" s="85"/>
      <c r="R1356" s="85"/>
      <c r="S1356" s="85"/>
      <c r="T1356" s="85"/>
      <c r="U1356" s="85"/>
      <c r="V1356" s="85"/>
      <c r="W1356" s="85"/>
      <c r="X1356" s="85"/>
      <c r="Y1356" s="85"/>
      <c r="Z1356" s="85"/>
    </row>
    <row r="1357" spans="1:26" ht="15.75" customHeight="1">
      <c r="A1357" s="86"/>
      <c r="B1357" s="86"/>
      <c r="C1357" s="86"/>
      <c r="D1357" s="86"/>
      <c r="E1357" s="18"/>
      <c r="F1357" s="18"/>
      <c r="G1357" s="18"/>
      <c r="H1357" s="18"/>
      <c r="I1357" s="18"/>
      <c r="J1357" s="18"/>
      <c r="K1357" s="18"/>
      <c r="L1357" s="85"/>
      <c r="M1357" s="85"/>
      <c r="N1357" s="85"/>
      <c r="O1357" s="85"/>
      <c r="P1357" s="85"/>
      <c r="Q1357" s="85"/>
      <c r="R1357" s="85"/>
      <c r="S1357" s="85"/>
      <c r="T1357" s="85"/>
      <c r="U1357" s="85"/>
      <c r="V1357" s="85"/>
      <c r="W1357" s="85"/>
      <c r="X1357" s="85"/>
      <c r="Y1357" s="85"/>
      <c r="Z1357" s="85"/>
    </row>
    <row r="1358" spans="1:26" ht="15.75" customHeight="1">
      <c r="A1358" s="86"/>
      <c r="B1358" s="86"/>
      <c r="C1358" s="86"/>
      <c r="D1358" s="86"/>
      <c r="E1358" s="18"/>
      <c r="F1358" s="18"/>
      <c r="G1358" s="18"/>
      <c r="H1358" s="18"/>
      <c r="I1358" s="18"/>
      <c r="J1358" s="18"/>
      <c r="K1358" s="18"/>
      <c r="L1358" s="85"/>
      <c r="M1358" s="85"/>
      <c r="N1358" s="85"/>
      <c r="O1358" s="85"/>
      <c r="P1358" s="85"/>
      <c r="Q1358" s="85"/>
      <c r="R1358" s="85"/>
      <c r="S1358" s="85"/>
      <c r="T1358" s="85"/>
      <c r="U1358" s="85"/>
      <c r="V1358" s="85"/>
      <c r="W1358" s="85"/>
      <c r="X1358" s="85"/>
      <c r="Y1358" s="85"/>
      <c r="Z1358" s="85"/>
    </row>
    <row r="1359" spans="1:26" ht="15.75" customHeight="1">
      <c r="A1359" s="86"/>
      <c r="B1359" s="86"/>
      <c r="C1359" s="86"/>
      <c r="D1359" s="86"/>
      <c r="E1359" s="18"/>
      <c r="F1359" s="18"/>
      <c r="G1359" s="18"/>
      <c r="H1359" s="18"/>
      <c r="I1359" s="18"/>
      <c r="J1359" s="18"/>
      <c r="K1359" s="18"/>
      <c r="L1359" s="85"/>
      <c r="M1359" s="85"/>
      <c r="N1359" s="85"/>
      <c r="O1359" s="85"/>
      <c r="P1359" s="85"/>
      <c r="Q1359" s="85"/>
      <c r="R1359" s="85"/>
      <c r="S1359" s="85"/>
      <c r="T1359" s="85"/>
      <c r="U1359" s="85"/>
      <c r="V1359" s="85"/>
      <c r="W1359" s="85"/>
      <c r="X1359" s="85"/>
      <c r="Y1359" s="85"/>
      <c r="Z1359" s="85"/>
    </row>
    <row r="1360" spans="1:26" ht="15.75" customHeight="1">
      <c r="A1360" s="86"/>
      <c r="B1360" s="86"/>
      <c r="C1360" s="86"/>
      <c r="D1360" s="86"/>
      <c r="E1360" s="18"/>
      <c r="F1360" s="18"/>
      <c r="G1360" s="18"/>
      <c r="H1360" s="18"/>
      <c r="I1360" s="18"/>
      <c r="J1360" s="18"/>
      <c r="K1360" s="18"/>
      <c r="L1360" s="85"/>
      <c r="M1360" s="85"/>
      <c r="N1360" s="85"/>
      <c r="O1360" s="85"/>
      <c r="P1360" s="85"/>
      <c r="Q1360" s="85"/>
      <c r="R1360" s="85"/>
      <c r="S1360" s="85"/>
      <c r="T1360" s="85"/>
      <c r="U1360" s="85"/>
      <c r="V1360" s="85"/>
      <c r="W1360" s="85"/>
      <c r="X1360" s="85"/>
      <c r="Y1360" s="85"/>
      <c r="Z1360" s="85"/>
    </row>
    <row r="1361" spans="1:26" ht="15.75" customHeight="1">
      <c r="A1361" s="86"/>
      <c r="B1361" s="86"/>
      <c r="C1361" s="86"/>
      <c r="D1361" s="86"/>
      <c r="E1361" s="18"/>
      <c r="F1361" s="18"/>
      <c r="G1361" s="18"/>
      <c r="H1361" s="18"/>
      <c r="I1361" s="18"/>
      <c r="J1361" s="18"/>
      <c r="K1361" s="18"/>
      <c r="L1361" s="85"/>
      <c r="M1361" s="85"/>
      <c r="N1361" s="85"/>
      <c r="O1361" s="85"/>
      <c r="P1361" s="85"/>
      <c r="Q1361" s="85"/>
      <c r="R1361" s="85"/>
      <c r="S1361" s="85"/>
      <c r="T1361" s="85"/>
      <c r="U1361" s="85"/>
      <c r="V1361" s="85"/>
      <c r="W1361" s="85"/>
      <c r="X1361" s="85"/>
      <c r="Y1361" s="85"/>
      <c r="Z1361" s="85"/>
    </row>
    <row r="1362" spans="1:26" ht="15.75" customHeight="1">
      <c r="A1362" s="86"/>
      <c r="B1362" s="86"/>
      <c r="C1362" s="86"/>
      <c r="D1362" s="86"/>
      <c r="E1362" s="18"/>
      <c r="F1362" s="18"/>
      <c r="G1362" s="18"/>
      <c r="H1362" s="18"/>
      <c r="I1362" s="18"/>
      <c r="J1362" s="18"/>
      <c r="K1362" s="18"/>
      <c r="L1362" s="85"/>
      <c r="M1362" s="85"/>
      <c r="N1362" s="85"/>
      <c r="O1362" s="85"/>
      <c r="P1362" s="85"/>
      <c r="Q1362" s="85"/>
      <c r="R1362" s="85"/>
      <c r="S1362" s="85"/>
      <c r="T1362" s="85"/>
      <c r="U1362" s="85"/>
      <c r="V1362" s="85"/>
      <c r="W1362" s="85"/>
      <c r="X1362" s="85"/>
      <c r="Y1362" s="85"/>
      <c r="Z1362" s="85"/>
    </row>
    <row r="1363" spans="1:26" ht="15.75" customHeight="1">
      <c r="A1363" s="86"/>
      <c r="B1363" s="86"/>
      <c r="C1363" s="86"/>
      <c r="D1363" s="86"/>
      <c r="E1363" s="18"/>
      <c r="F1363" s="18"/>
      <c r="G1363" s="18"/>
      <c r="H1363" s="18"/>
      <c r="I1363" s="18"/>
      <c r="J1363" s="18"/>
      <c r="K1363" s="18"/>
      <c r="L1363" s="85"/>
      <c r="M1363" s="85"/>
      <c r="N1363" s="85"/>
      <c r="O1363" s="85"/>
      <c r="P1363" s="85"/>
      <c r="Q1363" s="85"/>
      <c r="R1363" s="85"/>
      <c r="S1363" s="85"/>
      <c r="T1363" s="85"/>
      <c r="U1363" s="85"/>
      <c r="V1363" s="85"/>
      <c r="W1363" s="85"/>
      <c r="X1363" s="85"/>
      <c r="Y1363" s="85"/>
      <c r="Z1363" s="85"/>
    </row>
    <row r="1364" spans="1:26" ht="15.75" customHeight="1">
      <c r="A1364" s="86"/>
      <c r="B1364" s="86"/>
      <c r="C1364" s="86"/>
      <c r="D1364" s="86"/>
      <c r="E1364" s="18"/>
      <c r="F1364" s="18"/>
      <c r="G1364" s="18"/>
      <c r="H1364" s="18"/>
      <c r="I1364" s="18"/>
      <c r="J1364" s="18"/>
      <c r="K1364" s="18"/>
      <c r="L1364" s="85"/>
      <c r="M1364" s="85"/>
      <c r="N1364" s="85"/>
      <c r="O1364" s="85"/>
      <c r="P1364" s="85"/>
      <c r="Q1364" s="85"/>
      <c r="R1364" s="85"/>
      <c r="S1364" s="85"/>
      <c r="T1364" s="85"/>
      <c r="U1364" s="85"/>
      <c r="V1364" s="85"/>
      <c r="W1364" s="85"/>
      <c r="X1364" s="85"/>
      <c r="Y1364" s="85"/>
      <c r="Z1364" s="85"/>
    </row>
    <row r="1365" spans="1:26" ht="15.75" customHeight="1">
      <c r="A1365" s="86"/>
      <c r="B1365" s="86"/>
      <c r="C1365" s="86"/>
      <c r="D1365" s="86"/>
      <c r="E1365" s="18"/>
      <c r="F1365" s="18"/>
      <c r="G1365" s="18"/>
      <c r="H1365" s="18"/>
      <c r="I1365" s="18"/>
      <c r="J1365" s="18"/>
      <c r="K1365" s="18"/>
      <c r="L1365" s="85"/>
      <c r="M1365" s="85"/>
      <c r="N1365" s="85"/>
      <c r="O1365" s="85"/>
      <c r="P1365" s="85"/>
      <c r="Q1365" s="85"/>
      <c r="R1365" s="85"/>
      <c r="S1365" s="85"/>
      <c r="T1365" s="85"/>
      <c r="U1365" s="85"/>
      <c r="V1365" s="85"/>
      <c r="W1365" s="85"/>
      <c r="X1365" s="85"/>
      <c r="Y1365" s="85"/>
      <c r="Z1365" s="85"/>
    </row>
    <row r="1366" spans="1:26" ht="15.75" customHeight="1">
      <c r="A1366" s="86"/>
      <c r="B1366" s="86"/>
      <c r="C1366" s="86"/>
      <c r="D1366" s="86"/>
      <c r="E1366" s="18"/>
      <c r="F1366" s="18"/>
      <c r="G1366" s="18"/>
      <c r="H1366" s="18"/>
      <c r="I1366" s="18"/>
      <c r="J1366" s="18"/>
      <c r="K1366" s="18"/>
      <c r="L1366" s="85"/>
      <c r="M1366" s="85"/>
      <c r="N1366" s="85"/>
      <c r="O1366" s="85"/>
      <c r="P1366" s="85"/>
      <c r="Q1366" s="85"/>
      <c r="R1366" s="85"/>
      <c r="S1366" s="85"/>
      <c r="T1366" s="85"/>
      <c r="U1366" s="85"/>
      <c r="V1366" s="85"/>
      <c r="W1366" s="85"/>
      <c r="X1366" s="85"/>
      <c r="Y1366" s="85"/>
      <c r="Z1366" s="85"/>
    </row>
    <row r="1367" spans="1:26" ht="15.75" customHeight="1">
      <c r="A1367" s="86"/>
      <c r="B1367" s="86"/>
      <c r="C1367" s="86"/>
      <c r="D1367" s="86"/>
      <c r="E1367" s="18"/>
      <c r="F1367" s="18"/>
      <c r="G1367" s="18"/>
      <c r="H1367" s="18"/>
      <c r="I1367" s="18"/>
      <c r="J1367" s="18"/>
      <c r="K1367" s="18"/>
      <c r="L1367" s="85"/>
      <c r="M1367" s="85"/>
      <c r="N1367" s="85"/>
      <c r="O1367" s="85"/>
      <c r="P1367" s="85"/>
      <c r="Q1367" s="85"/>
      <c r="R1367" s="85"/>
      <c r="S1367" s="85"/>
      <c r="T1367" s="85"/>
      <c r="U1367" s="85"/>
      <c r="V1367" s="85"/>
      <c r="W1367" s="85"/>
      <c r="X1367" s="85"/>
      <c r="Y1367" s="85"/>
      <c r="Z1367" s="85"/>
    </row>
    <row r="1368" spans="1:26" ht="15.75" customHeight="1">
      <c r="A1368" s="86"/>
      <c r="B1368" s="86"/>
      <c r="C1368" s="86"/>
      <c r="D1368" s="86"/>
      <c r="E1368" s="18"/>
      <c r="F1368" s="18"/>
      <c r="G1368" s="18"/>
      <c r="H1368" s="18"/>
      <c r="I1368" s="18"/>
      <c r="J1368" s="18"/>
      <c r="K1368" s="18"/>
      <c r="L1368" s="85"/>
      <c r="M1368" s="85"/>
      <c r="N1368" s="85"/>
      <c r="O1368" s="85"/>
      <c r="P1368" s="85"/>
      <c r="Q1368" s="85"/>
      <c r="R1368" s="85"/>
      <c r="S1368" s="85"/>
      <c r="T1368" s="85"/>
      <c r="U1368" s="85"/>
      <c r="V1368" s="85"/>
      <c r="W1368" s="85"/>
      <c r="X1368" s="85"/>
      <c r="Y1368" s="85"/>
      <c r="Z1368" s="85"/>
    </row>
    <row r="1369" spans="1:26" ht="15.75" customHeight="1">
      <c r="A1369" s="86"/>
      <c r="B1369" s="86"/>
      <c r="C1369" s="86"/>
      <c r="D1369" s="86"/>
      <c r="E1369" s="18"/>
      <c r="F1369" s="18"/>
      <c r="G1369" s="18"/>
      <c r="H1369" s="18"/>
      <c r="I1369" s="18"/>
      <c r="J1369" s="18"/>
      <c r="K1369" s="18"/>
      <c r="L1369" s="85"/>
      <c r="M1369" s="85"/>
      <c r="N1369" s="85"/>
      <c r="O1369" s="85"/>
      <c r="P1369" s="85"/>
      <c r="Q1369" s="85"/>
      <c r="R1369" s="85"/>
      <c r="S1369" s="85"/>
      <c r="T1369" s="85"/>
      <c r="U1369" s="85"/>
      <c r="V1369" s="85"/>
      <c r="W1369" s="85"/>
      <c r="X1369" s="85"/>
      <c r="Y1369" s="85"/>
      <c r="Z1369" s="85"/>
    </row>
    <row r="1370" spans="1:26" ht="15.75" customHeight="1">
      <c r="A1370" s="86"/>
      <c r="B1370" s="86"/>
      <c r="C1370" s="86"/>
      <c r="D1370" s="86"/>
      <c r="E1370" s="18"/>
      <c r="F1370" s="18"/>
      <c r="G1370" s="18"/>
      <c r="H1370" s="18"/>
      <c r="I1370" s="18"/>
      <c r="J1370" s="18"/>
      <c r="K1370" s="18"/>
      <c r="L1370" s="85"/>
      <c r="M1370" s="85"/>
      <c r="N1370" s="85"/>
      <c r="O1370" s="85"/>
      <c r="P1370" s="85"/>
      <c r="Q1370" s="85"/>
      <c r="R1370" s="85"/>
      <c r="S1370" s="85"/>
      <c r="T1370" s="85"/>
      <c r="U1370" s="85"/>
      <c r="V1370" s="85"/>
      <c r="W1370" s="85"/>
      <c r="X1370" s="85"/>
      <c r="Y1370" s="85"/>
      <c r="Z1370" s="85"/>
    </row>
    <row r="1371" spans="1:26" ht="15.75" customHeight="1">
      <c r="A1371" s="86"/>
      <c r="B1371" s="86"/>
      <c r="C1371" s="86"/>
      <c r="D1371" s="86"/>
      <c r="E1371" s="18"/>
      <c r="F1371" s="18"/>
      <c r="G1371" s="18"/>
      <c r="H1371" s="18"/>
      <c r="I1371" s="18"/>
      <c r="J1371" s="18"/>
      <c r="K1371" s="18"/>
      <c r="L1371" s="85"/>
      <c r="M1371" s="85"/>
      <c r="N1371" s="85"/>
      <c r="O1371" s="85"/>
      <c r="P1371" s="85"/>
      <c r="Q1371" s="85"/>
      <c r="R1371" s="85"/>
      <c r="S1371" s="85"/>
      <c r="T1371" s="85"/>
      <c r="U1371" s="85"/>
      <c r="V1371" s="85"/>
      <c r="W1371" s="85"/>
      <c r="X1371" s="85"/>
      <c r="Y1371" s="85"/>
      <c r="Z1371" s="85"/>
    </row>
    <row r="1372" spans="1:26" ht="15.75" customHeight="1">
      <c r="A1372" s="86"/>
      <c r="B1372" s="86"/>
      <c r="C1372" s="86"/>
      <c r="D1372" s="86"/>
      <c r="E1372" s="18"/>
      <c r="F1372" s="18"/>
      <c r="G1372" s="18"/>
      <c r="H1372" s="18"/>
      <c r="I1372" s="18"/>
      <c r="J1372" s="18"/>
      <c r="K1372" s="18"/>
      <c r="L1372" s="85"/>
      <c r="M1372" s="85"/>
      <c r="N1372" s="85"/>
      <c r="O1372" s="85"/>
      <c r="P1372" s="85"/>
      <c r="Q1372" s="85"/>
      <c r="R1372" s="85"/>
      <c r="S1372" s="85"/>
      <c r="T1372" s="85"/>
      <c r="U1372" s="85"/>
      <c r="V1372" s="85"/>
      <c r="W1372" s="85"/>
      <c r="X1372" s="85"/>
      <c r="Y1372" s="85"/>
      <c r="Z1372" s="85"/>
    </row>
    <row r="1373" spans="1:26" ht="15.75" customHeight="1">
      <c r="A1373" s="86"/>
      <c r="B1373" s="86"/>
      <c r="C1373" s="86"/>
      <c r="D1373" s="86"/>
      <c r="E1373" s="18"/>
      <c r="F1373" s="18"/>
      <c r="G1373" s="18"/>
      <c r="H1373" s="18"/>
      <c r="I1373" s="18"/>
      <c r="J1373" s="18"/>
      <c r="K1373" s="18"/>
      <c r="L1373" s="85"/>
      <c r="M1373" s="85"/>
      <c r="N1373" s="85"/>
      <c r="O1373" s="85"/>
      <c r="P1373" s="85"/>
      <c r="Q1373" s="85"/>
      <c r="R1373" s="85"/>
      <c r="S1373" s="85"/>
      <c r="T1373" s="85"/>
      <c r="U1373" s="85"/>
      <c r="V1373" s="85"/>
      <c r="W1373" s="85"/>
      <c r="X1373" s="85"/>
      <c r="Y1373" s="85"/>
      <c r="Z1373" s="85"/>
    </row>
    <row r="1374" spans="1:26" ht="15.75" customHeight="1">
      <c r="A1374" s="86"/>
      <c r="B1374" s="86"/>
      <c r="C1374" s="86"/>
      <c r="D1374" s="86"/>
      <c r="E1374" s="18"/>
      <c r="F1374" s="18"/>
      <c r="G1374" s="18"/>
      <c r="H1374" s="18"/>
      <c r="I1374" s="18"/>
      <c r="J1374" s="18"/>
      <c r="K1374" s="18"/>
      <c r="L1374" s="85"/>
      <c r="M1374" s="85"/>
      <c r="N1374" s="85"/>
      <c r="O1374" s="85"/>
      <c r="P1374" s="85"/>
      <c r="Q1374" s="85"/>
      <c r="R1374" s="85"/>
      <c r="S1374" s="85"/>
      <c r="T1374" s="85"/>
      <c r="U1374" s="85"/>
      <c r="V1374" s="85"/>
      <c r="W1374" s="85"/>
      <c r="X1374" s="85"/>
      <c r="Y1374" s="85"/>
      <c r="Z1374" s="85"/>
    </row>
    <row r="1375" spans="1:26" ht="15.75" customHeight="1">
      <c r="A1375" s="86"/>
      <c r="B1375" s="86"/>
      <c r="C1375" s="86"/>
      <c r="D1375" s="86"/>
      <c r="E1375" s="18"/>
      <c r="F1375" s="18"/>
      <c r="G1375" s="18"/>
      <c r="H1375" s="18"/>
      <c r="I1375" s="18"/>
      <c r="J1375" s="18"/>
      <c r="K1375" s="18"/>
      <c r="L1375" s="85"/>
      <c r="M1375" s="85"/>
      <c r="N1375" s="85"/>
      <c r="O1375" s="85"/>
      <c r="P1375" s="85"/>
      <c r="Q1375" s="85"/>
      <c r="R1375" s="85"/>
      <c r="S1375" s="85"/>
      <c r="T1375" s="85"/>
      <c r="U1375" s="85"/>
      <c r="V1375" s="85"/>
      <c r="W1375" s="85"/>
      <c r="X1375" s="85"/>
      <c r="Y1375" s="85"/>
      <c r="Z1375" s="85"/>
    </row>
    <row r="1376" spans="1:26" ht="15.75" customHeight="1">
      <c r="A1376" s="86"/>
      <c r="B1376" s="86"/>
      <c r="C1376" s="86"/>
      <c r="D1376" s="86"/>
      <c r="E1376" s="18"/>
      <c r="F1376" s="18"/>
      <c r="G1376" s="18"/>
      <c r="H1376" s="18"/>
      <c r="I1376" s="18"/>
      <c r="J1376" s="18"/>
      <c r="K1376" s="18"/>
      <c r="L1376" s="85"/>
      <c r="M1376" s="85"/>
      <c r="N1376" s="85"/>
      <c r="O1376" s="85"/>
      <c r="P1376" s="85"/>
      <c r="Q1376" s="85"/>
      <c r="R1376" s="85"/>
      <c r="S1376" s="85"/>
      <c r="T1376" s="85"/>
      <c r="U1376" s="85"/>
      <c r="V1376" s="85"/>
      <c r="W1376" s="85"/>
      <c r="X1376" s="85"/>
      <c r="Y1376" s="85"/>
      <c r="Z1376" s="85"/>
    </row>
    <row r="1377" spans="1:26" ht="15.75" customHeight="1">
      <c r="A1377" s="86"/>
      <c r="B1377" s="86"/>
      <c r="C1377" s="86"/>
      <c r="D1377" s="86"/>
      <c r="E1377" s="18"/>
      <c r="F1377" s="18"/>
      <c r="G1377" s="18"/>
      <c r="H1377" s="18"/>
      <c r="I1377" s="18"/>
      <c r="J1377" s="18"/>
      <c r="K1377" s="18"/>
      <c r="L1377" s="85"/>
      <c r="M1377" s="85"/>
      <c r="N1377" s="85"/>
      <c r="O1377" s="85"/>
      <c r="P1377" s="85"/>
      <c r="Q1377" s="85"/>
      <c r="R1377" s="85"/>
      <c r="S1377" s="85"/>
      <c r="T1377" s="85"/>
      <c r="U1377" s="85"/>
      <c r="V1377" s="85"/>
      <c r="W1377" s="85"/>
      <c r="X1377" s="85"/>
      <c r="Y1377" s="85"/>
      <c r="Z1377" s="85"/>
    </row>
    <row r="1378" spans="1:26" ht="15.75" customHeight="1">
      <c r="A1378" s="86"/>
      <c r="B1378" s="86"/>
      <c r="C1378" s="86"/>
      <c r="D1378" s="86"/>
      <c r="E1378" s="18"/>
      <c r="F1378" s="18"/>
      <c r="G1378" s="18"/>
      <c r="H1378" s="18"/>
      <c r="I1378" s="18"/>
      <c r="J1378" s="18"/>
      <c r="K1378" s="18"/>
      <c r="L1378" s="85"/>
      <c r="M1378" s="85"/>
      <c r="N1378" s="85"/>
      <c r="O1378" s="85"/>
      <c r="P1378" s="85"/>
      <c r="Q1378" s="85"/>
      <c r="R1378" s="85"/>
      <c r="S1378" s="85"/>
      <c r="T1378" s="85"/>
      <c r="U1378" s="85"/>
      <c r="V1378" s="85"/>
      <c r="W1378" s="85"/>
      <c r="X1378" s="85"/>
      <c r="Y1378" s="85"/>
      <c r="Z1378" s="85"/>
    </row>
    <row r="1379" spans="1:26" ht="15.75" customHeight="1">
      <c r="A1379" s="86"/>
      <c r="B1379" s="86"/>
      <c r="C1379" s="86"/>
      <c r="D1379" s="86"/>
      <c r="E1379" s="18"/>
      <c r="F1379" s="18"/>
      <c r="G1379" s="18"/>
      <c r="H1379" s="18"/>
      <c r="I1379" s="18"/>
      <c r="J1379" s="18"/>
      <c r="K1379" s="18"/>
      <c r="L1379" s="85"/>
      <c r="M1379" s="85"/>
      <c r="N1379" s="85"/>
      <c r="O1379" s="85"/>
      <c r="P1379" s="85"/>
      <c r="Q1379" s="85"/>
      <c r="R1379" s="85"/>
      <c r="S1379" s="85"/>
      <c r="T1379" s="85"/>
      <c r="U1379" s="85"/>
      <c r="V1379" s="85"/>
      <c r="W1379" s="85"/>
      <c r="X1379" s="85"/>
      <c r="Y1379" s="85"/>
      <c r="Z1379" s="85"/>
    </row>
    <row r="1380" spans="1:26" ht="15.75" customHeight="1">
      <c r="A1380" s="86"/>
      <c r="B1380" s="86"/>
      <c r="C1380" s="86"/>
      <c r="D1380" s="86"/>
      <c r="E1380" s="18"/>
      <c r="F1380" s="18"/>
      <c r="G1380" s="18"/>
      <c r="H1380" s="18"/>
      <c r="I1380" s="18"/>
      <c r="J1380" s="18"/>
      <c r="K1380" s="18"/>
      <c r="L1380" s="85"/>
      <c r="M1380" s="85"/>
      <c r="N1380" s="85"/>
      <c r="O1380" s="85"/>
      <c r="P1380" s="85"/>
      <c r="Q1380" s="85"/>
      <c r="R1380" s="85"/>
      <c r="S1380" s="85"/>
      <c r="T1380" s="85"/>
      <c r="U1380" s="85"/>
      <c r="V1380" s="85"/>
      <c r="W1380" s="85"/>
      <c r="X1380" s="85"/>
      <c r="Y1380" s="85"/>
      <c r="Z1380" s="85"/>
    </row>
    <row r="1381" spans="1:26" ht="15.75" customHeight="1">
      <c r="A1381" s="86"/>
      <c r="B1381" s="86"/>
      <c r="C1381" s="86"/>
      <c r="D1381" s="86"/>
      <c r="E1381" s="18"/>
      <c r="F1381" s="18"/>
      <c r="G1381" s="18"/>
      <c r="H1381" s="18"/>
      <c r="I1381" s="18"/>
      <c r="J1381" s="18"/>
      <c r="K1381" s="18"/>
      <c r="L1381" s="85"/>
      <c r="M1381" s="85"/>
      <c r="N1381" s="85"/>
      <c r="O1381" s="85"/>
      <c r="P1381" s="85"/>
      <c r="Q1381" s="85"/>
      <c r="R1381" s="85"/>
      <c r="S1381" s="85"/>
      <c r="T1381" s="85"/>
      <c r="U1381" s="85"/>
      <c r="V1381" s="85"/>
      <c r="W1381" s="85"/>
      <c r="X1381" s="85"/>
      <c r="Y1381" s="85"/>
      <c r="Z1381" s="85"/>
    </row>
    <row r="1382" spans="1:26" ht="15.75" customHeight="1">
      <c r="A1382" s="86"/>
      <c r="B1382" s="86"/>
      <c r="C1382" s="86"/>
      <c r="D1382" s="86"/>
      <c r="E1382" s="18"/>
      <c r="F1382" s="18"/>
      <c r="G1382" s="18"/>
      <c r="H1382" s="18"/>
      <c r="I1382" s="18"/>
      <c r="J1382" s="18"/>
      <c r="K1382" s="18"/>
      <c r="L1382" s="85"/>
      <c r="M1382" s="85"/>
      <c r="N1382" s="85"/>
      <c r="O1382" s="85"/>
      <c r="P1382" s="85"/>
      <c r="Q1382" s="85"/>
      <c r="R1382" s="85"/>
      <c r="S1382" s="85"/>
      <c r="T1382" s="85"/>
      <c r="U1382" s="85"/>
      <c r="V1382" s="85"/>
      <c r="W1382" s="85"/>
      <c r="X1382" s="85"/>
      <c r="Y1382" s="85"/>
      <c r="Z1382" s="85"/>
    </row>
    <row r="1383" spans="1:26" ht="15.75" customHeight="1">
      <c r="A1383" s="86"/>
      <c r="B1383" s="86"/>
      <c r="C1383" s="86"/>
      <c r="D1383" s="86"/>
      <c r="E1383" s="18"/>
      <c r="F1383" s="18"/>
      <c r="G1383" s="18"/>
      <c r="H1383" s="18"/>
      <c r="I1383" s="18"/>
      <c r="J1383" s="18"/>
      <c r="K1383" s="18"/>
      <c r="L1383" s="85"/>
      <c r="M1383" s="85"/>
      <c r="N1383" s="85"/>
      <c r="O1383" s="85"/>
      <c r="P1383" s="85"/>
      <c r="Q1383" s="85"/>
      <c r="R1383" s="85"/>
      <c r="S1383" s="85"/>
      <c r="T1383" s="85"/>
      <c r="U1383" s="85"/>
      <c r="V1383" s="85"/>
      <c r="W1383" s="85"/>
      <c r="X1383" s="85"/>
      <c r="Y1383" s="85"/>
      <c r="Z1383" s="85"/>
    </row>
    <row r="1384" spans="1:26" ht="15.75" customHeight="1">
      <c r="A1384" s="86"/>
      <c r="B1384" s="86"/>
      <c r="C1384" s="86"/>
      <c r="D1384" s="86"/>
      <c r="E1384" s="18"/>
      <c r="F1384" s="18"/>
      <c r="G1384" s="18"/>
      <c r="H1384" s="18"/>
      <c r="I1384" s="18"/>
      <c r="J1384" s="18"/>
      <c r="K1384" s="18"/>
      <c r="L1384" s="85"/>
      <c r="M1384" s="85"/>
      <c r="N1384" s="85"/>
      <c r="O1384" s="85"/>
      <c r="P1384" s="85"/>
      <c r="Q1384" s="85"/>
      <c r="R1384" s="85"/>
      <c r="S1384" s="85"/>
      <c r="T1384" s="85"/>
      <c r="U1384" s="85"/>
      <c r="V1384" s="85"/>
      <c r="W1384" s="85"/>
      <c r="X1384" s="85"/>
      <c r="Y1384" s="85"/>
      <c r="Z1384" s="85"/>
    </row>
    <row r="1385" spans="1:26" ht="15.75" customHeight="1">
      <c r="A1385" s="86"/>
      <c r="B1385" s="86"/>
      <c r="C1385" s="86"/>
      <c r="D1385" s="86"/>
      <c r="E1385" s="18"/>
      <c r="F1385" s="18"/>
      <c r="G1385" s="18"/>
      <c r="H1385" s="18"/>
      <c r="I1385" s="18"/>
      <c r="J1385" s="18"/>
      <c r="K1385" s="18"/>
      <c r="L1385" s="85"/>
      <c r="M1385" s="85"/>
      <c r="N1385" s="85"/>
      <c r="O1385" s="85"/>
      <c r="P1385" s="85"/>
      <c r="Q1385" s="85"/>
      <c r="R1385" s="85"/>
      <c r="S1385" s="85"/>
      <c r="T1385" s="85"/>
      <c r="U1385" s="85"/>
      <c r="V1385" s="85"/>
      <c r="W1385" s="85"/>
      <c r="X1385" s="85"/>
      <c r="Y1385" s="85"/>
      <c r="Z1385" s="85"/>
    </row>
    <row r="1386" spans="1:26" ht="15.75" customHeight="1">
      <c r="A1386" s="86"/>
      <c r="B1386" s="86"/>
      <c r="C1386" s="86"/>
      <c r="D1386" s="86"/>
      <c r="E1386" s="18"/>
      <c r="F1386" s="18"/>
      <c r="G1386" s="18"/>
      <c r="H1386" s="18"/>
      <c r="I1386" s="18"/>
      <c r="J1386" s="18"/>
      <c r="K1386" s="18"/>
      <c r="L1386" s="85"/>
      <c r="M1386" s="85"/>
      <c r="N1386" s="85"/>
      <c r="O1386" s="85"/>
      <c r="P1386" s="85"/>
      <c r="Q1386" s="85"/>
      <c r="R1386" s="85"/>
      <c r="S1386" s="85"/>
      <c r="T1386" s="85"/>
      <c r="U1386" s="85"/>
      <c r="V1386" s="85"/>
      <c r="W1386" s="85"/>
      <c r="X1386" s="85"/>
      <c r="Y1386" s="85"/>
      <c r="Z1386" s="85"/>
    </row>
    <row r="1387" spans="1:26" ht="15.75" customHeight="1">
      <c r="A1387" s="86"/>
      <c r="B1387" s="86"/>
      <c r="C1387" s="86"/>
      <c r="D1387" s="86"/>
      <c r="E1387" s="18"/>
      <c r="F1387" s="18"/>
      <c r="G1387" s="18"/>
      <c r="H1387" s="18"/>
      <c r="I1387" s="18"/>
      <c r="J1387" s="18"/>
      <c r="K1387" s="18"/>
      <c r="L1387" s="85"/>
      <c r="M1387" s="85"/>
      <c r="N1387" s="85"/>
      <c r="O1387" s="85"/>
      <c r="P1387" s="85"/>
      <c r="Q1387" s="85"/>
      <c r="R1387" s="85"/>
      <c r="S1387" s="85"/>
      <c r="T1387" s="85"/>
      <c r="U1387" s="85"/>
      <c r="V1387" s="85"/>
      <c r="W1387" s="85"/>
      <c r="X1387" s="85"/>
      <c r="Y1387" s="85"/>
      <c r="Z1387" s="85"/>
    </row>
    <row r="1388" spans="1:26" ht="15.75" customHeight="1">
      <c r="A1388" s="86"/>
      <c r="B1388" s="86"/>
      <c r="C1388" s="86"/>
      <c r="D1388" s="86"/>
      <c r="E1388" s="18"/>
      <c r="F1388" s="18"/>
      <c r="G1388" s="18"/>
      <c r="H1388" s="18"/>
      <c r="I1388" s="18"/>
      <c r="J1388" s="18"/>
      <c r="K1388" s="18"/>
      <c r="L1388" s="85"/>
      <c r="M1388" s="85"/>
      <c r="N1388" s="85"/>
      <c r="O1388" s="85"/>
      <c r="P1388" s="85"/>
      <c r="Q1388" s="85"/>
      <c r="R1388" s="85"/>
      <c r="S1388" s="85"/>
      <c r="T1388" s="85"/>
      <c r="U1388" s="85"/>
      <c r="V1388" s="85"/>
      <c r="W1388" s="85"/>
      <c r="X1388" s="85"/>
      <c r="Y1388" s="85"/>
      <c r="Z1388" s="85"/>
    </row>
    <row r="1389" spans="1:26" ht="15.75" customHeight="1">
      <c r="A1389" s="86"/>
      <c r="B1389" s="86"/>
      <c r="C1389" s="86"/>
      <c r="D1389" s="86"/>
      <c r="E1389" s="18"/>
      <c r="F1389" s="18"/>
      <c r="G1389" s="18"/>
      <c r="H1389" s="18"/>
      <c r="I1389" s="18"/>
      <c r="J1389" s="18"/>
      <c r="K1389" s="18"/>
      <c r="L1389" s="85"/>
      <c r="M1389" s="85"/>
      <c r="N1389" s="85"/>
      <c r="O1389" s="85"/>
      <c r="P1389" s="85"/>
      <c r="Q1389" s="85"/>
      <c r="R1389" s="85"/>
      <c r="S1389" s="85"/>
      <c r="T1389" s="85"/>
      <c r="U1389" s="85"/>
      <c r="V1389" s="85"/>
      <c r="W1389" s="85"/>
      <c r="X1389" s="85"/>
      <c r="Y1389" s="85"/>
      <c r="Z1389" s="85"/>
    </row>
    <row r="1390" spans="1:26" ht="15.75" customHeight="1">
      <c r="A1390" s="86"/>
      <c r="B1390" s="86"/>
      <c r="C1390" s="86"/>
      <c r="D1390" s="86"/>
      <c r="E1390" s="18"/>
      <c r="F1390" s="18"/>
      <c r="G1390" s="18"/>
      <c r="H1390" s="18"/>
      <c r="I1390" s="18"/>
      <c r="J1390" s="18"/>
      <c r="K1390" s="18"/>
      <c r="L1390" s="85"/>
      <c r="M1390" s="85"/>
      <c r="N1390" s="85"/>
      <c r="O1390" s="85"/>
      <c r="P1390" s="85"/>
      <c r="Q1390" s="85"/>
      <c r="R1390" s="85"/>
      <c r="S1390" s="85"/>
      <c r="T1390" s="85"/>
      <c r="U1390" s="85"/>
      <c r="V1390" s="85"/>
      <c r="W1390" s="85"/>
      <c r="X1390" s="85"/>
      <c r="Y1390" s="85"/>
      <c r="Z1390" s="85"/>
    </row>
    <row r="1391" spans="1:26" ht="15.75" customHeight="1">
      <c r="A1391" s="86"/>
      <c r="B1391" s="86"/>
      <c r="C1391" s="86"/>
      <c r="D1391" s="86"/>
      <c r="E1391" s="18"/>
      <c r="F1391" s="18"/>
      <c r="G1391" s="18"/>
      <c r="H1391" s="18"/>
      <c r="I1391" s="18"/>
      <c r="J1391" s="18"/>
      <c r="K1391" s="18"/>
      <c r="L1391" s="85"/>
      <c r="M1391" s="85"/>
      <c r="N1391" s="85"/>
      <c r="O1391" s="85"/>
      <c r="P1391" s="85"/>
      <c r="Q1391" s="85"/>
      <c r="R1391" s="85"/>
      <c r="S1391" s="85"/>
      <c r="T1391" s="85"/>
      <c r="U1391" s="85"/>
      <c r="V1391" s="85"/>
      <c r="W1391" s="85"/>
      <c r="X1391" s="85"/>
      <c r="Y1391" s="85"/>
      <c r="Z1391" s="85"/>
    </row>
    <row r="1392" spans="1:26" ht="15.75" customHeight="1">
      <c r="A1392" s="86"/>
      <c r="B1392" s="86"/>
      <c r="C1392" s="86"/>
      <c r="D1392" s="86"/>
      <c r="E1392" s="18"/>
      <c r="F1392" s="18"/>
      <c r="G1392" s="18"/>
      <c r="H1392" s="18"/>
      <c r="I1392" s="18"/>
      <c r="J1392" s="18"/>
      <c r="K1392" s="18"/>
      <c r="L1392" s="85"/>
      <c r="M1392" s="85"/>
      <c r="N1392" s="85"/>
      <c r="O1392" s="85"/>
      <c r="P1392" s="85"/>
      <c r="Q1392" s="85"/>
      <c r="R1392" s="85"/>
      <c r="S1392" s="85"/>
      <c r="T1392" s="85"/>
      <c r="U1392" s="85"/>
      <c r="V1392" s="85"/>
      <c r="W1392" s="85"/>
      <c r="X1392" s="85"/>
      <c r="Y1392" s="85"/>
      <c r="Z1392" s="85"/>
    </row>
    <row r="1393" spans="1:26" ht="15.75" customHeight="1">
      <c r="A1393" s="86"/>
      <c r="B1393" s="86"/>
      <c r="C1393" s="86"/>
      <c r="D1393" s="86"/>
      <c r="E1393" s="18"/>
      <c r="F1393" s="18"/>
      <c r="G1393" s="18"/>
      <c r="H1393" s="18"/>
      <c r="I1393" s="18"/>
      <c r="J1393" s="18"/>
      <c r="K1393" s="18"/>
      <c r="L1393" s="85"/>
      <c r="M1393" s="85"/>
      <c r="N1393" s="85"/>
      <c r="O1393" s="85"/>
      <c r="P1393" s="85"/>
      <c r="Q1393" s="85"/>
      <c r="R1393" s="85"/>
      <c r="S1393" s="85"/>
      <c r="T1393" s="85"/>
      <c r="U1393" s="85"/>
      <c r="V1393" s="85"/>
      <c r="W1393" s="85"/>
      <c r="X1393" s="85"/>
      <c r="Y1393" s="85"/>
      <c r="Z1393" s="85"/>
    </row>
    <row r="1394" spans="1:26" ht="15.75" customHeight="1">
      <c r="A1394" s="86"/>
      <c r="B1394" s="86"/>
      <c r="C1394" s="86"/>
      <c r="D1394" s="86"/>
      <c r="E1394" s="18"/>
      <c r="F1394" s="18"/>
      <c r="G1394" s="18"/>
      <c r="H1394" s="18"/>
      <c r="I1394" s="18"/>
      <c r="J1394" s="18"/>
      <c r="K1394" s="18"/>
      <c r="L1394" s="85"/>
      <c r="M1394" s="85"/>
      <c r="N1394" s="85"/>
      <c r="O1394" s="85"/>
      <c r="P1394" s="85"/>
      <c r="Q1394" s="85"/>
      <c r="R1394" s="85"/>
      <c r="S1394" s="85"/>
      <c r="T1394" s="85"/>
      <c r="U1394" s="85"/>
      <c r="V1394" s="85"/>
      <c r="W1394" s="85"/>
      <c r="X1394" s="85"/>
      <c r="Y1394" s="85"/>
      <c r="Z1394" s="85"/>
    </row>
    <row r="1395" spans="1:26" ht="15.75" customHeight="1">
      <c r="A1395" s="86"/>
      <c r="B1395" s="86"/>
      <c r="C1395" s="86"/>
      <c r="D1395" s="86"/>
      <c r="E1395" s="18"/>
      <c r="F1395" s="18"/>
      <c r="G1395" s="18"/>
      <c r="H1395" s="18"/>
      <c r="I1395" s="18"/>
      <c r="J1395" s="18"/>
      <c r="K1395" s="18"/>
      <c r="L1395" s="85"/>
      <c r="M1395" s="85"/>
      <c r="N1395" s="85"/>
      <c r="O1395" s="85"/>
      <c r="P1395" s="85"/>
      <c r="Q1395" s="85"/>
      <c r="R1395" s="85"/>
      <c r="S1395" s="85"/>
      <c r="T1395" s="85"/>
      <c r="U1395" s="85"/>
      <c r="V1395" s="85"/>
      <c r="W1395" s="85"/>
      <c r="X1395" s="85"/>
      <c r="Y1395" s="85"/>
      <c r="Z1395" s="85"/>
    </row>
    <row r="1396" spans="1:26" ht="15.75" customHeight="1">
      <c r="A1396" s="86"/>
      <c r="B1396" s="86"/>
      <c r="C1396" s="86"/>
      <c r="D1396" s="86"/>
      <c r="E1396" s="18"/>
      <c r="F1396" s="18"/>
      <c r="G1396" s="18"/>
      <c r="H1396" s="18"/>
      <c r="I1396" s="18"/>
      <c r="J1396" s="18"/>
      <c r="K1396" s="18"/>
      <c r="L1396" s="85"/>
      <c r="M1396" s="85"/>
      <c r="N1396" s="85"/>
      <c r="O1396" s="85"/>
      <c r="P1396" s="85"/>
      <c r="Q1396" s="85"/>
      <c r="R1396" s="85"/>
      <c r="S1396" s="85"/>
      <c r="T1396" s="85"/>
      <c r="U1396" s="85"/>
      <c r="V1396" s="85"/>
      <c r="W1396" s="85"/>
      <c r="X1396" s="85"/>
      <c r="Y1396" s="85"/>
      <c r="Z1396" s="85"/>
    </row>
    <row r="1397" spans="1:26" ht="15.75" customHeight="1">
      <c r="A1397" s="86"/>
      <c r="B1397" s="86"/>
      <c r="C1397" s="86"/>
      <c r="D1397" s="86"/>
      <c r="E1397" s="18"/>
      <c r="F1397" s="18"/>
      <c r="G1397" s="18"/>
      <c r="H1397" s="18"/>
      <c r="I1397" s="18"/>
      <c r="J1397" s="18"/>
      <c r="K1397" s="18"/>
      <c r="L1397" s="85"/>
      <c r="M1397" s="85"/>
      <c r="N1397" s="85"/>
      <c r="O1397" s="85"/>
      <c r="P1397" s="85"/>
      <c r="Q1397" s="85"/>
      <c r="R1397" s="85"/>
      <c r="S1397" s="85"/>
      <c r="T1397" s="85"/>
      <c r="U1397" s="85"/>
      <c r="V1397" s="85"/>
      <c r="W1397" s="85"/>
      <c r="X1397" s="85"/>
      <c r="Y1397" s="85"/>
      <c r="Z1397" s="85"/>
    </row>
    <row r="1398" spans="1:26" ht="15.75" customHeight="1">
      <c r="A1398" s="86"/>
      <c r="B1398" s="86"/>
      <c r="C1398" s="86"/>
      <c r="D1398" s="86"/>
      <c r="E1398" s="18"/>
      <c r="F1398" s="18"/>
      <c r="G1398" s="18"/>
      <c r="H1398" s="18"/>
      <c r="I1398" s="18"/>
      <c r="J1398" s="18"/>
      <c r="K1398" s="18"/>
      <c r="L1398" s="85"/>
      <c r="M1398" s="85"/>
      <c r="N1398" s="85"/>
      <c r="O1398" s="85"/>
      <c r="P1398" s="85"/>
      <c r="Q1398" s="85"/>
      <c r="R1398" s="85"/>
      <c r="S1398" s="85"/>
      <c r="T1398" s="85"/>
      <c r="U1398" s="85"/>
      <c r="V1398" s="85"/>
      <c r="W1398" s="85"/>
      <c r="X1398" s="85"/>
      <c r="Y1398" s="85"/>
      <c r="Z1398" s="85"/>
    </row>
    <row r="1399" spans="1:26" ht="15.75" customHeight="1">
      <c r="A1399" s="86"/>
      <c r="B1399" s="86"/>
      <c r="C1399" s="86"/>
      <c r="D1399" s="86"/>
      <c r="E1399" s="18"/>
      <c r="F1399" s="18"/>
      <c r="G1399" s="18"/>
      <c r="H1399" s="18"/>
      <c r="I1399" s="18"/>
      <c r="J1399" s="18"/>
      <c r="K1399" s="18"/>
      <c r="L1399" s="85"/>
      <c r="M1399" s="85"/>
      <c r="N1399" s="85"/>
      <c r="O1399" s="85"/>
      <c r="P1399" s="85"/>
      <c r="Q1399" s="85"/>
      <c r="R1399" s="85"/>
      <c r="S1399" s="85"/>
      <c r="T1399" s="85"/>
      <c r="U1399" s="85"/>
      <c r="V1399" s="85"/>
      <c r="W1399" s="85"/>
      <c r="X1399" s="85"/>
      <c r="Y1399" s="85"/>
      <c r="Z1399" s="85"/>
    </row>
    <row r="1400" spans="1:26" ht="15.75" customHeight="1">
      <c r="A1400" s="86"/>
      <c r="B1400" s="86"/>
      <c r="C1400" s="86"/>
      <c r="D1400" s="86"/>
      <c r="E1400" s="18"/>
      <c r="F1400" s="18"/>
      <c r="G1400" s="18"/>
      <c r="H1400" s="18"/>
      <c r="I1400" s="18"/>
      <c r="J1400" s="18"/>
      <c r="K1400" s="18"/>
      <c r="L1400" s="85"/>
      <c r="M1400" s="85"/>
      <c r="N1400" s="85"/>
      <c r="O1400" s="85"/>
      <c r="P1400" s="85"/>
      <c r="Q1400" s="85"/>
      <c r="R1400" s="85"/>
      <c r="S1400" s="85"/>
      <c r="T1400" s="85"/>
      <c r="U1400" s="85"/>
      <c r="V1400" s="85"/>
      <c r="W1400" s="85"/>
      <c r="X1400" s="85"/>
      <c r="Y1400" s="85"/>
      <c r="Z1400" s="85"/>
    </row>
    <row r="1401" spans="1:26" ht="15.75" customHeight="1">
      <c r="A1401" s="86"/>
      <c r="B1401" s="86"/>
      <c r="C1401" s="86"/>
      <c r="D1401" s="86"/>
      <c r="E1401" s="18"/>
      <c r="F1401" s="18"/>
      <c r="G1401" s="18"/>
      <c r="H1401" s="18"/>
      <c r="I1401" s="18"/>
      <c r="J1401" s="18"/>
      <c r="K1401" s="18"/>
      <c r="L1401" s="85"/>
      <c r="M1401" s="85"/>
      <c r="N1401" s="85"/>
      <c r="O1401" s="85"/>
      <c r="P1401" s="85"/>
      <c r="Q1401" s="85"/>
      <c r="R1401" s="85"/>
      <c r="S1401" s="85"/>
      <c r="T1401" s="85"/>
      <c r="U1401" s="85"/>
      <c r="V1401" s="85"/>
      <c r="W1401" s="85"/>
      <c r="X1401" s="85"/>
      <c r="Y1401" s="85"/>
      <c r="Z1401" s="85"/>
    </row>
    <row r="1402" spans="1:26" ht="15.75" customHeight="1">
      <c r="A1402" s="86"/>
      <c r="B1402" s="86"/>
      <c r="C1402" s="86"/>
      <c r="D1402" s="86"/>
      <c r="E1402" s="18"/>
      <c r="F1402" s="18"/>
      <c r="G1402" s="18"/>
      <c r="H1402" s="18"/>
      <c r="I1402" s="18"/>
      <c r="J1402" s="18"/>
      <c r="K1402" s="18"/>
      <c r="L1402" s="85"/>
      <c r="M1402" s="85"/>
      <c r="N1402" s="85"/>
      <c r="O1402" s="85"/>
      <c r="P1402" s="85"/>
      <c r="Q1402" s="85"/>
      <c r="R1402" s="85"/>
      <c r="S1402" s="85"/>
      <c r="T1402" s="85"/>
      <c r="U1402" s="85"/>
      <c r="V1402" s="85"/>
      <c r="W1402" s="85"/>
      <c r="X1402" s="85"/>
      <c r="Y1402" s="85"/>
      <c r="Z1402" s="85"/>
    </row>
    <row r="1403" spans="1:26" ht="15.75" customHeight="1">
      <c r="A1403" s="86"/>
      <c r="B1403" s="86"/>
      <c r="C1403" s="86"/>
      <c r="D1403" s="86"/>
      <c r="E1403" s="18"/>
      <c r="F1403" s="18"/>
      <c r="G1403" s="18"/>
      <c r="H1403" s="18"/>
      <c r="I1403" s="18"/>
      <c r="J1403" s="18"/>
      <c r="K1403" s="18"/>
      <c r="L1403" s="85"/>
      <c r="M1403" s="85"/>
      <c r="N1403" s="85"/>
      <c r="O1403" s="85"/>
      <c r="P1403" s="85"/>
      <c r="Q1403" s="85"/>
      <c r="R1403" s="85"/>
      <c r="S1403" s="85"/>
      <c r="T1403" s="85"/>
      <c r="U1403" s="85"/>
      <c r="V1403" s="85"/>
      <c r="W1403" s="85"/>
      <c r="X1403" s="85"/>
      <c r="Y1403" s="85"/>
      <c r="Z1403" s="85"/>
    </row>
    <row r="1404" spans="1:26" ht="15.75" customHeight="1">
      <c r="A1404" s="86"/>
      <c r="B1404" s="86"/>
      <c r="C1404" s="86"/>
      <c r="D1404" s="86"/>
      <c r="E1404" s="18"/>
      <c r="F1404" s="18"/>
      <c r="G1404" s="18"/>
      <c r="H1404" s="18"/>
      <c r="I1404" s="18"/>
      <c r="J1404" s="18"/>
      <c r="K1404" s="18"/>
      <c r="L1404" s="85"/>
      <c r="M1404" s="85"/>
      <c r="N1404" s="85"/>
      <c r="O1404" s="85"/>
      <c r="P1404" s="85"/>
      <c r="Q1404" s="85"/>
      <c r="R1404" s="85"/>
      <c r="S1404" s="85"/>
      <c r="T1404" s="85"/>
      <c r="U1404" s="85"/>
      <c r="V1404" s="85"/>
      <c r="W1404" s="85"/>
      <c r="X1404" s="85"/>
      <c r="Y1404" s="85"/>
      <c r="Z1404" s="85"/>
    </row>
    <row r="1405" spans="1:26" ht="15.75" customHeight="1">
      <c r="A1405" s="86"/>
      <c r="B1405" s="86"/>
      <c r="C1405" s="86"/>
      <c r="D1405" s="86"/>
      <c r="E1405" s="18"/>
      <c r="F1405" s="18"/>
      <c r="G1405" s="18"/>
      <c r="H1405" s="18"/>
      <c r="I1405" s="18"/>
      <c r="J1405" s="18"/>
      <c r="K1405" s="18"/>
      <c r="L1405" s="85"/>
      <c r="M1405" s="85"/>
      <c r="N1405" s="85"/>
      <c r="O1405" s="85"/>
      <c r="P1405" s="85"/>
      <c r="Q1405" s="85"/>
      <c r="R1405" s="85"/>
      <c r="S1405" s="85"/>
      <c r="T1405" s="85"/>
      <c r="U1405" s="85"/>
      <c r="V1405" s="85"/>
      <c r="W1405" s="85"/>
      <c r="X1405" s="85"/>
      <c r="Y1405" s="85"/>
      <c r="Z1405" s="85"/>
    </row>
    <row r="1406" spans="1:26" ht="15.75" customHeight="1">
      <c r="A1406" s="86"/>
      <c r="B1406" s="86"/>
      <c r="C1406" s="86"/>
      <c r="D1406" s="86"/>
      <c r="E1406" s="18"/>
      <c r="F1406" s="18"/>
      <c r="G1406" s="18"/>
      <c r="H1406" s="18"/>
      <c r="I1406" s="18"/>
      <c r="J1406" s="18"/>
      <c r="K1406" s="18"/>
      <c r="L1406" s="85"/>
      <c r="M1406" s="85"/>
      <c r="N1406" s="85"/>
      <c r="O1406" s="85"/>
      <c r="P1406" s="85"/>
      <c r="Q1406" s="85"/>
      <c r="R1406" s="85"/>
      <c r="S1406" s="85"/>
      <c r="T1406" s="85"/>
      <c r="U1406" s="85"/>
      <c r="V1406" s="85"/>
      <c r="W1406" s="85"/>
      <c r="X1406" s="85"/>
      <c r="Y1406" s="85"/>
      <c r="Z1406" s="85"/>
    </row>
    <row r="1407" spans="1:26" ht="15.75" customHeight="1">
      <c r="A1407" s="86"/>
      <c r="B1407" s="86"/>
      <c r="C1407" s="86"/>
      <c r="D1407" s="86"/>
      <c r="E1407" s="18"/>
      <c r="F1407" s="18"/>
      <c r="G1407" s="18"/>
      <c r="H1407" s="18"/>
      <c r="I1407" s="18"/>
      <c r="J1407" s="18"/>
      <c r="K1407" s="18"/>
      <c r="L1407" s="85"/>
      <c r="M1407" s="85"/>
      <c r="N1407" s="85"/>
      <c r="O1407" s="85"/>
      <c r="P1407" s="85"/>
      <c r="Q1407" s="85"/>
      <c r="R1407" s="85"/>
      <c r="S1407" s="85"/>
      <c r="T1407" s="85"/>
      <c r="U1407" s="85"/>
      <c r="V1407" s="85"/>
      <c r="W1407" s="85"/>
      <c r="X1407" s="85"/>
      <c r="Y1407" s="85"/>
      <c r="Z1407" s="85"/>
    </row>
    <row r="1408" spans="1:26" ht="15.75" customHeight="1">
      <c r="A1408" s="86"/>
      <c r="B1408" s="86"/>
      <c r="C1408" s="86"/>
      <c r="D1408" s="86"/>
      <c r="E1408" s="18"/>
      <c r="F1408" s="18"/>
      <c r="G1408" s="18"/>
      <c r="H1408" s="18"/>
      <c r="I1408" s="18"/>
      <c r="J1408" s="18"/>
      <c r="K1408" s="18"/>
      <c r="L1408" s="85"/>
      <c r="M1408" s="85"/>
      <c r="N1408" s="85"/>
      <c r="O1408" s="85"/>
      <c r="P1408" s="85"/>
      <c r="Q1408" s="85"/>
      <c r="R1408" s="85"/>
      <c r="S1408" s="85"/>
      <c r="T1408" s="85"/>
      <c r="U1408" s="85"/>
      <c r="V1408" s="85"/>
      <c r="W1408" s="85"/>
      <c r="X1408" s="85"/>
      <c r="Y1408" s="85"/>
      <c r="Z1408" s="85"/>
    </row>
    <row r="1409" spans="1:26" ht="15.75" customHeight="1">
      <c r="A1409" s="86"/>
      <c r="B1409" s="86"/>
      <c r="C1409" s="86"/>
      <c r="D1409" s="86"/>
      <c r="E1409" s="18"/>
      <c r="F1409" s="18"/>
      <c r="G1409" s="18"/>
      <c r="H1409" s="18"/>
      <c r="I1409" s="18"/>
      <c r="J1409" s="18"/>
      <c r="K1409" s="18"/>
      <c r="L1409" s="85"/>
      <c r="M1409" s="85"/>
      <c r="N1409" s="85"/>
      <c r="O1409" s="85"/>
      <c r="P1409" s="85"/>
      <c r="Q1409" s="85"/>
      <c r="R1409" s="85"/>
      <c r="S1409" s="85"/>
      <c r="T1409" s="85"/>
      <c r="U1409" s="85"/>
      <c r="V1409" s="85"/>
      <c r="W1409" s="85"/>
      <c r="X1409" s="85"/>
      <c r="Y1409" s="85"/>
      <c r="Z1409" s="85"/>
    </row>
    <row r="1410" spans="1:26" ht="15.75" customHeight="1">
      <c r="A1410" s="86"/>
      <c r="B1410" s="86"/>
      <c r="C1410" s="86"/>
      <c r="D1410" s="86"/>
      <c r="E1410" s="18"/>
      <c r="F1410" s="18"/>
      <c r="G1410" s="18"/>
      <c r="H1410" s="18"/>
      <c r="I1410" s="18"/>
      <c r="J1410" s="18"/>
      <c r="K1410" s="18"/>
      <c r="L1410" s="85"/>
      <c r="M1410" s="85"/>
      <c r="N1410" s="85"/>
      <c r="O1410" s="85"/>
      <c r="P1410" s="85"/>
      <c r="Q1410" s="85"/>
      <c r="R1410" s="85"/>
      <c r="S1410" s="85"/>
      <c r="T1410" s="85"/>
      <c r="U1410" s="85"/>
      <c r="V1410" s="85"/>
      <c r="W1410" s="85"/>
      <c r="X1410" s="85"/>
      <c r="Y1410" s="85"/>
      <c r="Z1410" s="85"/>
    </row>
    <row r="1411" spans="1:26" ht="15.75" customHeight="1">
      <c r="A1411" s="86"/>
      <c r="B1411" s="86"/>
      <c r="C1411" s="86"/>
      <c r="D1411" s="86"/>
      <c r="E1411" s="18"/>
      <c r="F1411" s="18"/>
      <c r="G1411" s="18"/>
      <c r="H1411" s="18"/>
      <c r="I1411" s="18"/>
      <c r="J1411" s="18"/>
      <c r="K1411" s="18"/>
      <c r="L1411" s="85"/>
      <c r="M1411" s="85"/>
      <c r="N1411" s="85"/>
      <c r="O1411" s="85"/>
      <c r="P1411" s="85"/>
      <c r="Q1411" s="85"/>
      <c r="R1411" s="85"/>
      <c r="S1411" s="85"/>
      <c r="T1411" s="85"/>
      <c r="U1411" s="85"/>
      <c r="V1411" s="85"/>
      <c r="W1411" s="85"/>
      <c r="X1411" s="85"/>
      <c r="Y1411" s="85"/>
      <c r="Z1411" s="85"/>
    </row>
  </sheetData>
  <hyperlinks>
    <hyperlink ref="H2" r:id="rId1" display="http://joscottcoe.com/blog/2016/04/30/charles-whitmans-wife-her-untold-story/" xr:uid="{00000000-0004-0000-0500-000000000000}"/>
    <hyperlink ref="H3" r:id="rId2" display="http://joscottcoe.com/blog/2016/04/30/charles-whitmans-wife-her-untold-story/" xr:uid="{00000000-0004-0000-0500-000001000000}"/>
    <hyperlink ref="F4" r:id="rId3" display="https://www.findagrave.com/memorial/14715352/mark-jerome-gabour" xr:uid="{00000000-0004-0000-0500-000002000000}"/>
    <hyperlink ref="F5" r:id="rId4" display="http://behindthetower.org/the-victims/" xr:uid="{00000000-0004-0000-0500-000003000000}"/>
    <hyperlink ref="F8" r:id="rId5" display="http://behindthetower.org/the-victims/" xr:uid="{00000000-0004-0000-0500-000004000000}"/>
    <hyperlink ref="F9" r:id="rId6" display="http://behindthetower.org/the-victims/" xr:uid="{00000000-0004-0000-0500-000005000000}"/>
    <hyperlink ref="F10" r:id="rId7" display="http://behindthetower.org/the-victims/" xr:uid="{00000000-0004-0000-0500-000006000000}"/>
    <hyperlink ref="F11" r:id="rId8" display="http://behindthetower.org/the-victims/" xr:uid="{00000000-0004-0000-0500-000007000000}"/>
    <hyperlink ref="F12" r:id="rId9" display="http://behindthetower.org/the-victims/" xr:uid="{00000000-0004-0000-0500-000008000000}"/>
    <hyperlink ref="H12" r:id="rId10" display="http://behindthetower.org/a-brief-history-of-mass-shootings" xr:uid="{00000000-0004-0000-0500-000009000000}"/>
    <hyperlink ref="F13" r:id="rId11" display="http://behindthetower.org/the-victims/" xr:uid="{00000000-0004-0000-0500-00000A000000}"/>
    <hyperlink ref="H14" r:id="rId12" display="http://behindthetower.org/a-brief-history-of-mass-shootings" xr:uid="{00000000-0004-0000-0500-00000B000000}"/>
    <hyperlink ref="F15" r:id="rId13" display="http://behindthetower.org/the-victims/" xr:uid="{00000000-0004-0000-0500-00000C000000}"/>
    <hyperlink ref="H15" r:id="rId14" display="http://behindthetower.org/a-brief-history-of-mass-shootings" xr:uid="{00000000-0004-0000-0500-00000D000000}"/>
    <hyperlink ref="F16" r:id="rId15" display="http://behindthetower.org/the-victims/" xr:uid="{00000000-0004-0000-0500-00000E000000}"/>
    <hyperlink ref="F17" r:id="rId16" display="https://www.nydailynews.com/news/crime/beauty-salon-massacre-article-1.273663" xr:uid="{00000000-0004-0000-0500-00000F000000}"/>
    <hyperlink ref="H17" r:id="rId17" display="https://www.newspapers.com/image/?clipping_id=3420707&amp;fcfToken=eyJhbGciOiJIUzI1NiIsInR5cCI6IkpXVCJ9.eyJmcmVlLXZpZXctaWQiOjE5NTc1MDI1LCJpYXQiOjE1ODIyMTQyMjIsImV4cCI6MTU4MjMwMDYyMn0.zDflTsX9-OOvCv1GkyBlfCYAJG_vqITVra0HZfGKX94" xr:uid="{00000000-0004-0000-0500-000010000000}"/>
    <hyperlink ref="F18" r:id="rId18" display="https://www.nydailynews.com/news/crime/beauty-salon-massacre-article-1.273663" xr:uid="{00000000-0004-0000-0500-000011000000}"/>
    <hyperlink ref="H18" r:id="rId19" display="https://www.newspapers.com/image/?clipping_id=3420707&amp;fcfToken=eyJhbGciOiJIUzI1NiIsInR5cCI6IkpXVCJ9.eyJmcmVlLXZpZXctaWQiOjE5NTc1MDI1LCJpYXQiOjE1ODIyMTQyMjIsImV4cCI6MTU4MjMwMDYyMn0.zDflTsX9-OOvCv1GkyBlfCYAJG_vqITVra0HZfGKX94" xr:uid="{00000000-0004-0000-0500-000012000000}"/>
    <hyperlink ref="F19" r:id="rId20" display="https://www.nydailynews.com/news/crime/beauty-salon-massacre-article-1.273663" xr:uid="{00000000-0004-0000-0500-000013000000}"/>
    <hyperlink ref="H19" r:id="rId21" display="https://www.newspapers.com/image/?clipping_id=3420707&amp;fcfToken=eyJhbGciOiJIUzI1NiIsInR5cCI6IkpXVCJ9.eyJmcmVlLXZpZXctaWQiOjE5NTc1MDI1LCJpYXQiOjE1ODIyMTQyMjIsImV4cCI6MTU4MjMwMDYyMn0.zDflTsX9-OOvCv1GkyBlfCYAJG_vqITVra0HZfGKX94" xr:uid="{00000000-0004-0000-0500-000014000000}"/>
    <hyperlink ref="F20" r:id="rId22" display="https://www.nydailynews.com/news/crime/beauty-salon-massacre-article-1.273663" xr:uid="{00000000-0004-0000-0500-000015000000}"/>
    <hyperlink ref="H20" r:id="rId23" display="https://www.newspapers.com/image/?clipping_id=3420707&amp;fcfToken=eyJhbGciOiJIUzI1NiIsInR5cCI6IkpXVCJ9.eyJmcmVlLXZpZXctaWQiOjE5NTc1MDI1LCJpYXQiOjE1ODIyMTQyMjIsImV4cCI6MTU4MjMwMDYyMn0.zDflTsX9-OOvCv1GkyBlfCYAJG_vqITVra0HZfGKX94" xr:uid="{00000000-0004-0000-0500-000016000000}"/>
    <hyperlink ref="F21" r:id="rId24" display="https://www.nydailynews.com/news/crime/beauty-salon-massacre-article-1.273663" xr:uid="{00000000-0004-0000-0500-000017000000}"/>
    <hyperlink ref="H21" r:id="rId25" display="https://www.newspapers.com/image/?clipping_id=3420707&amp;fcfToken=eyJhbGciOiJIUzI1NiIsInR5cCI6IkpXVCJ9.eyJmcmVlLXZpZXctaWQiOjE5NTc1MDI1LCJpYXQiOjE1ODIyMTQyMjIsImV4cCI6MTU4MjMwMDYyMn0.zDflTsX9-OOvCv1GkyBlfCYAJG_vqITVra0HZfGKX94" xr:uid="{00000000-0004-0000-0500-000018000000}"/>
    <hyperlink ref="F22" r:id="rId26" display="https://www.sungazette.com/news/top-news/2017/10/mass-slaying-shocked-community-50-years-ago/" xr:uid="{00000000-0004-0000-0500-000019000000}"/>
    <hyperlink ref="H22" r:id="rId27" display="https://newspaperarchive.com/lock-haven-express-oct-24-1967-p-1/" xr:uid="{00000000-0004-0000-0500-00001A000000}"/>
    <hyperlink ref="J22" r:id="rId28" xr:uid="{00000000-0004-0000-0500-00001B000000}"/>
    <hyperlink ref="F23" r:id="rId29" display="https://www.nydailynews.com/news/crime/experts-clueless-man-fatally-shot-50-years-article-1.3548519" xr:uid="{00000000-0004-0000-0500-00001C000000}"/>
    <hyperlink ref="H23" r:id="rId30" display="https://newspaperarchive.com/lock-haven-express-oct-24-1967-p-1/" xr:uid="{00000000-0004-0000-0500-00001D000000}"/>
    <hyperlink ref="J23" r:id="rId31" xr:uid="{00000000-0004-0000-0500-00001E000000}"/>
    <hyperlink ref="F24" r:id="rId32" display="https://www.nydailynews.com/news/crime/experts-clueless-man-fatally-shot-50-years-article-1.3548519" xr:uid="{00000000-0004-0000-0500-00001F000000}"/>
    <hyperlink ref="H24" r:id="rId33" display="https://newspaperarchive.com/lock-haven-express-oct-24-1967-p-1/" xr:uid="{00000000-0004-0000-0500-000020000000}"/>
    <hyperlink ref="J24" r:id="rId34" xr:uid="{00000000-0004-0000-0500-000021000000}"/>
    <hyperlink ref="F25" r:id="rId35" display="https://www.nydailynews.com/news/crime/experts-clueless-man-fatally-shot-50-years-article-1.3548519" xr:uid="{00000000-0004-0000-0500-000022000000}"/>
    <hyperlink ref="H25" r:id="rId36" display="https://newspaperarchive.com/lock-haven-express-oct-24-1967-p-1/" xr:uid="{00000000-0004-0000-0500-000023000000}"/>
    <hyperlink ref="J25" r:id="rId37" xr:uid="{00000000-0004-0000-0500-000024000000}"/>
    <hyperlink ref="F26" r:id="rId38" display="https://www.nydailynews.com/news/crime/experts-clueless-man-fatally-shot-50-years-article-1.3548519" xr:uid="{00000000-0004-0000-0500-000025000000}"/>
    <hyperlink ref="H26" r:id="rId39" display="https://newspaperarchive.com/lock-haven-express-oct-24-1967-p-1/" xr:uid="{00000000-0004-0000-0500-000026000000}"/>
    <hyperlink ref="J26" r:id="rId40" xr:uid="{00000000-0004-0000-0500-000027000000}"/>
    <hyperlink ref="F27" r:id="rId41" display="https://www.nydailynews.com/news/crime/experts-clueless-man-fatally-shot-50-years-article-1.3548519" xr:uid="{00000000-0004-0000-0500-000028000000}"/>
    <hyperlink ref="H27" r:id="rId42" display="https://newspaperarchive.com/lock-haven-express-oct-24-1967-p-1/" xr:uid="{00000000-0004-0000-0500-000029000000}"/>
    <hyperlink ref="J27" r:id="rId43" xr:uid="{00000000-0004-0000-0500-00002A000000}"/>
    <hyperlink ref="H28" r:id="rId44" display="https://newspaperarchive.com/ironwood-daily-globe-mar-18-1968-p-1/" xr:uid="{00000000-0004-0000-0500-00002B000000}"/>
    <hyperlink ref="H29" r:id="rId45" display="https://newspaperarchive.com/ironwood-daily-globe-mar-18-1968-p-1/" xr:uid="{00000000-0004-0000-0500-00002C000000}"/>
    <hyperlink ref="J29" r:id="rId46" xr:uid="{00000000-0004-0000-0500-00002D000000}"/>
    <hyperlink ref="H30" r:id="rId47" display="https://newspaperarchive.com/ironwood-daily-globe-mar-18-1968-p-1/" xr:uid="{00000000-0004-0000-0500-00002E000000}"/>
    <hyperlink ref="H31" r:id="rId48" display="https://www.findagrave.com/memorial/37204827/rudolph-john-maurin" xr:uid="{00000000-0004-0000-0500-00002F000000}"/>
    <hyperlink ref="E32" r:id="rId49" xr:uid="{00000000-0004-0000-0500-000030000000}"/>
    <hyperlink ref="H33" r:id="rId50" display="https://newspaperarchive.com/ironwood-daily-globe-mar-18-1968-p-1/" xr:uid="{00000000-0004-0000-0500-000031000000}"/>
    <hyperlink ref="H34" r:id="rId51" display="https://newspaperarchive.com/ironwood-daily-globe-mar-18-1968-p-1/" xr:uid="{00000000-0004-0000-0500-000032000000}"/>
    <hyperlink ref="H37" r:id="rId52" display="https://newspaperarchive.com/lebanon-daily-news-apr-07-1969-p-1/" xr:uid="{00000000-0004-0000-0500-000033000000}"/>
    <hyperlink ref="J37" r:id="rId53" location="v=onepage&amp;q=donald%20lambright%20%2B%20shooting&amp;f=false" xr:uid="{00000000-0004-0000-0500-000034000000}"/>
    <hyperlink ref="F54" r:id="rId54" display="https://murderpedia.org/male.E/e/essex-mark.htm" xr:uid="{00000000-0004-0000-0500-000035000000}"/>
    <hyperlink ref="H65" r:id="rId55" display="https://www.nydailynews.com/news/crime/fullerton-massacre-shooter-begs-freed-psych-hospital-article-1.2669940" xr:uid="{00000000-0004-0000-0500-000036000000}"/>
    <hyperlink ref="J65" r:id="rId56" xr:uid="{00000000-0004-0000-0500-000037000000}"/>
    <hyperlink ref="H66" r:id="rId57" display="https://www.nydailynews.com/news/crime/fullerton-massacre-shooter-begs-freed-psych-hospital-article-1.2669940" xr:uid="{00000000-0004-0000-0500-000038000000}"/>
    <hyperlink ref="J66" r:id="rId58" xr:uid="{00000000-0004-0000-0500-000039000000}"/>
    <hyperlink ref="H67" r:id="rId59" display="https://www.nydailynews.com/news/crime/fullerton-massacre-shooter-begs-freed-psych-hospital-article-1.2669940" xr:uid="{00000000-0004-0000-0500-00003A000000}"/>
    <hyperlink ref="J67" r:id="rId60" xr:uid="{00000000-0004-0000-0500-00003B000000}"/>
    <hyperlink ref="H68" r:id="rId61" display="https://www.nydailynews.com/news/crime/fullerton-massacre-shooter-begs-freed-psych-hospital-article-1.2669940" xr:uid="{00000000-0004-0000-0500-00003C000000}"/>
    <hyperlink ref="J68" r:id="rId62" xr:uid="{00000000-0004-0000-0500-00003D000000}"/>
    <hyperlink ref="H69" r:id="rId63" display="https://www.nydailynews.com/news/crime/fullerton-massacre-shooter-begs-freed-psych-hospital-article-1.2669940" xr:uid="{00000000-0004-0000-0500-00003E000000}"/>
    <hyperlink ref="J69" r:id="rId64" xr:uid="{00000000-0004-0000-0500-00003F000000}"/>
    <hyperlink ref="H70" r:id="rId65" display="https://www.nydailynews.com/news/crime/fullerton-massacre-shooter-begs-freed-psych-hospital-article-1.2669940" xr:uid="{00000000-0004-0000-0500-000040000000}"/>
    <hyperlink ref="J70" r:id="rId66" xr:uid="{00000000-0004-0000-0500-000041000000}"/>
    <hyperlink ref="H71" r:id="rId67" display="https://www.nydailynews.com/news/crime/fullerton-massacre-shooter-begs-freed-psych-hospital-article-1.2669940" xr:uid="{00000000-0004-0000-0500-000042000000}"/>
    <hyperlink ref="J71" r:id="rId68" xr:uid="{00000000-0004-0000-0500-000043000000}"/>
    <hyperlink ref="H75" r:id="rId69" display="https://www.nytimes.com/1977/02/15/archives/nazi-admirer-also-wounds-5-in-wild-attack-followed-by-a-siege-at.html" xr:uid="{00000000-0004-0000-0500-000044000000}"/>
    <hyperlink ref="J89" r:id="rId70" xr:uid="{00000000-0004-0000-0500-000045000000}"/>
    <hyperlink ref="J90" r:id="rId71" xr:uid="{00000000-0004-0000-0500-000046000000}"/>
    <hyperlink ref="J92" r:id="rId72" xr:uid="{00000000-0004-0000-0500-000047000000}"/>
    <hyperlink ref="K93" r:id="rId73" xr:uid="{00000000-0004-0000-0500-000048000000}"/>
    <hyperlink ref="H94" r:id="rId74" display="https://media.kxan.com/nxs-kxantv-media-us-east-1/catalyst/mass-violence/story.html" xr:uid="{00000000-0004-0000-0500-000049000000}"/>
    <hyperlink ref="F95" r:id="rId75" display="https://fultonhistory.com/Newspaper 11/Geneva NY Finger Lake Times/Geneva NY Finger Lake Times 1980 Feb 1980/Geneva NY Finger Lake Times 1980 Feb 1980 - 0064.pdf" xr:uid="{00000000-0004-0000-0500-00004A000000}"/>
    <hyperlink ref="G96" r:id="rId76" display="https://fultonhistory.com/Newspaper 11/Geneva NY Finger Lake Times/Geneva NY Finger Lake Times 1980 Feb 1980/Geneva NY Finger Lake Times 1980 Feb 1980 - 0064.pdf" xr:uid="{00000000-0004-0000-0500-00004B000000}"/>
    <hyperlink ref="G97" r:id="rId77" display="https://fultonhistory.com/Newspaper 11/Geneva NY Finger Lake Times/Geneva NY Finger Lake Times 1980 Feb 1980/Geneva NY Finger Lake Times 1980 Feb 1980 - 0064.pdf" xr:uid="{00000000-0004-0000-0500-00004C000000}"/>
    <hyperlink ref="G98" r:id="rId78" display="https://fultonhistory.com/Newspaper 11/Geneva NY Finger Lake Times/Geneva NY Finger Lake Times 1980 Feb 1980/Geneva NY Finger Lake Times 1980 Feb 1980 - 0064.pdf" xr:uid="{00000000-0004-0000-0500-00004D000000}"/>
    <hyperlink ref="F99" r:id="rId79" display="https://www.news-journal.com/news/local/daingerfield-knows-church-s-pain-after-shooting/article_bfa3ba00-2620-5b9f-8870-6a1e13e7f023.html" xr:uid="{00000000-0004-0000-0500-00004E000000}"/>
    <hyperlink ref="H99" r:id="rId80" location="v=onepage&amp;q=kenneth%20truitt%201980&amp;f=false" display="https://books.google.com/books?id=S2_sCTYDA8cC&amp;pg=PR11&amp;lpg=PR11&amp;dq=kenneth+truitt+1980&amp;source=bl&amp;ots=eDc7RrDzXE&amp;sig=ACfU3U3k4vtPtpQDucJ1OSi83JjNIYOang&amp;hl=en&amp;sa=X&amp;ved=2ahUKEwj33_3s067pAhWEKM0KHYvPCJ4Q6AEwEnoECAoQAQ - v=onepage&amp;q=kenneth%20truitt%201980&amp;f=false" xr:uid="{00000000-0004-0000-0500-00004F000000}"/>
    <hyperlink ref="F100" r:id="rId81" display="https://www.findagrave.com/memorial/73090177/mary-regina-linam" xr:uid="{00000000-0004-0000-0500-000050000000}"/>
    <hyperlink ref="H100" r:id="rId82" display="https://www.kltv.com/story/12679815/exclusive-east-texans-remember-church-shooting/" xr:uid="{00000000-0004-0000-0500-000051000000}"/>
    <hyperlink ref="E101" r:id="rId83" xr:uid="{00000000-0004-0000-0500-000052000000}"/>
    <hyperlink ref="F101" r:id="rId84" display="https://www.news-journal.com/news/local/daingerfield-knows-church-s-pain-after-shooting/article_bfa3ba00-2620-5b9f-8870-6a1e13e7f023.html" xr:uid="{00000000-0004-0000-0500-000053000000}"/>
    <hyperlink ref="H101" r:id="rId85" display="https://www.nytimes.com/2017/11/21/us/texas-church-shootings-daingerfield-sutherland-springs.html" xr:uid="{00000000-0004-0000-0500-000054000000}"/>
    <hyperlink ref="J101" r:id="rId86" xr:uid="{00000000-0004-0000-0500-000055000000}"/>
    <hyperlink ref="F102" r:id="rId87" display="https://news.google.com/newspapers?id=xtNWAAAAIBAJ&amp;sjid=O_kDAAAAIBAJ&amp;pg=5283%2C2408948" xr:uid="{00000000-0004-0000-0500-000056000000}"/>
    <hyperlink ref="F103" r:id="rId88" display="https://news.google.com/newspapers?id=xtNWAAAAIBAJ&amp;sjid=O_kDAAAAIBAJ&amp;pg=5283%2C2408948" xr:uid="{00000000-0004-0000-0500-000057000000}"/>
    <hyperlink ref="H103" r:id="rId89" location="v=onepage&amp;q=kenneth%20truitt%201980&amp;f=false" display="https://books.google.com/books?id=S2_sCTYDA8cC&amp;pg=PR11&amp;lpg=PR11&amp;dq=kenneth+truitt+1980&amp;source=bl&amp;ots=eDc7RrDzXE&amp;sig=ACfU3U3k4vtPtpQDucJ1OSi83JjNIYOang&amp;hl=en&amp;sa=X&amp;ved=2ahUKEwj33_3s067pAhWEKM0KHYvPCJ4Q6AEwEnoECAoQAQ - v=onepage&amp;q=kenneth%20truitt%201980&amp;f=false" xr:uid="{00000000-0004-0000-0500-000058000000}"/>
    <hyperlink ref="J103" r:id="rId90" xr:uid="{00000000-0004-0000-0500-000059000000}"/>
    <hyperlink ref="F104" r:id="rId91" display="https://www.upi.com/Archives/1981/08/20/The-closest-friend-in-the-Army-of-accused-sniper/1977367128000/" xr:uid="{00000000-0004-0000-0500-00005A000000}"/>
    <hyperlink ref="I104" r:id="rId92" display="https://www.leagle.com/decision/1985350349pasuper11350" xr:uid="{00000000-0004-0000-0500-00005B000000}"/>
    <hyperlink ref="F105" r:id="rId93" display="https://www.upi.com/Archives/1981/08/20/The-closest-friend-in-the-Army-of-accused-sniper/1977367128000/" xr:uid="{00000000-0004-0000-0500-00005C000000}"/>
    <hyperlink ref="I105" r:id="rId94" display="https://www.leagle.com/decision/1985350349pasuper11350" xr:uid="{00000000-0004-0000-0500-00005D000000}"/>
    <hyperlink ref="F106" r:id="rId95" display="https://www.upi.com/Archives/1981/08/20/The-closest-friend-in-the-Army-of-accused-sniper/1977367128000/" xr:uid="{00000000-0004-0000-0500-00005E000000}"/>
    <hyperlink ref="I106" r:id="rId96" display="https://www.leagle.com/decision/1985350349pasuper11350" xr:uid="{00000000-0004-0000-0500-00005F000000}"/>
    <hyperlink ref="F107" r:id="rId97" display="https://www.upi.com/Archives/1981/08/20/The-closest-friend-in-the-Army-of-accused-sniper/1977367128000/" xr:uid="{00000000-0004-0000-0500-000060000000}"/>
    <hyperlink ref="I107" r:id="rId98" display="https://news.google.com/newspapers?nid=2002&amp;dat=19870812&amp;id=P1QuAAAAIBAJ&amp;sjid=LdoFAAAAIBAJ&amp;pg=966,2114218" xr:uid="{00000000-0004-0000-0500-000061000000}"/>
    <hyperlink ref="F109" r:id="rId99" display="https://www.nytimes.com/1981/05/09/us/four-slain-and-20-wounded-in-bar-as-oregon-man-shoots-into-crowd.html" xr:uid="{00000000-0004-0000-0500-000062000000}"/>
    <hyperlink ref="F110" r:id="rId100" display="https://www.nytimes.com/1981/05/09/us/four-slain-and-20-wounded-in-bar-as-oregon-man-shoots-into-crowd.html" xr:uid="{00000000-0004-0000-0500-000063000000}"/>
    <hyperlink ref="F111" r:id="rId101" display="https://www.nytimes.com/1981/05/09/us/four-slain-and-20-wounded-in-bar-as-oregon-man-shoots-into-crowd.html" xr:uid="{00000000-0004-0000-0500-000064000000}"/>
    <hyperlink ref="J112" r:id="rId102" xr:uid="{00000000-0004-0000-0500-000065000000}"/>
    <hyperlink ref="J113" r:id="rId103" xr:uid="{00000000-0004-0000-0500-000066000000}"/>
    <hyperlink ref="F114" r:id="rId104" display="https://www.upi.com/Archives/1981/10/22/Suspect-in-mass-murder-convicted-in-1929-killing/7383372571200/" xr:uid="{00000000-0004-0000-0500-000067000000}"/>
    <hyperlink ref="F115" r:id="rId105" display="https://www.upi.com/Archives/1981/10/17/Killing-of-5-stuns-Kentucky-mountain-commmunity/9251372139200/" xr:uid="{00000000-0004-0000-0500-000068000000}"/>
    <hyperlink ref="F116" r:id="rId106" display="https://www.upi.com/Archives/1981/10/22/Suspect-in-mass-murder-convicted-in-1929-killing/7383372571200/" xr:uid="{00000000-0004-0000-0500-000069000000}"/>
    <hyperlink ref="E117" r:id="rId107" location="v=onepage&amp;q=charles%20meach&amp;f=false" xr:uid="{00000000-0004-0000-0500-00006A000000}"/>
    <hyperlink ref="F117" r:id="rId108" display="https://www.nytimes.com/1982/06/22/us/new-law-on-insanity-plea-stirs-dispute-in-alaska.html" xr:uid="{00000000-0004-0000-0500-00006B000000}"/>
    <hyperlink ref="E118" r:id="rId109" location="v=onepage&amp;q=charles%20meach&amp;f=false" xr:uid="{00000000-0004-0000-0500-00006C000000}"/>
    <hyperlink ref="F118" r:id="rId110" display="https://www.nytimes.com/1982/06/22/us/new-law-on-insanity-plea-stirs-dispute-in-alaska.html" xr:uid="{00000000-0004-0000-0500-00006D000000}"/>
    <hyperlink ref="F121" r:id="rId111" display="https://news.google.com/newspapers?id=JA4LAAAAIBAJ&amp;sjid=yVEDAAAAIBAJ&amp;pg=5061,3848480&amp;dq=john+parish" xr:uid="{00000000-0004-0000-0500-00006E000000}"/>
    <hyperlink ref="F122" r:id="rId112" display="https://news.google.com/newspapers?id=JA4LAAAAIBAJ&amp;sjid=yVEDAAAAIBAJ&amp;pg=5061,3848480&amp;dq=john+parish" xr:uid="{00000000-0004-0000-0500-00006F000000}"/>
    <hyperlink ref="F123" r:id="rId113" display="https://www.upi.com/Archives/1982/08/09/Yes-I-know-hes-killing-people/2899397713600/" xr:uid="{00000000-0004-0000-0500-000070000000}"/>
    <hyperlink ref="J123" r:id="rId114" xr:uid="{00000000-0004-0000-0500-000071000000}"/>
    <hyperlink ref="F124" r:id="rId115" display="https://www.upi.com/Archives/1982/08/09/Yes-I-know-hes-killing-people/2899397713600/" xr:uid="{00000000-0004-0000-0500-000072000000}"/>
    <hyperlink ref="J124" r:id="rId116" xr:uid="{00000000-0004-0000-0500-000073000000}"/>
    <hyperlink ref="F125" r:id="rId117" display="https://news.google.com/newspapers?id=JA4LAAAAIBAJ&amp;sjid=yVEDAAAAIBAJ&amp;pg=5061,3848480&amp;dq=john+parish" xr:uid="{00000000-0004-0000-0500-000074000000}"/>
    <hyperlink ref="F126" r:id="rId118" display="https://www.upi.com/Archives/1982/08/09/Yes-I-know-hes-killing-people/2899397713600/" xr:uid="{00000000-0004-0000-0500-000075000000}"/>
    <hyperlink ref="J126" r:id="rId119" xr:uid="{00000000-0004-0000-0500-000076000000}"/>
    <hyperlink ref="F127" r:id="rId120" display="https://www.nytimes.com/1982/08/21/us/gunman-in-miami-kills-8-in-rampage.html" xr:uid="{00000000-0004-0000-0500-000077000000}"/>
    <hyperlink ref="H127" r:id="rId121" display="https://www.newspapers.com/image/?clipping_id=36003733&amp;fcfToken=eyJhbGciOiJIUzI1NiIsInR5cCI6IkpXVCJ9.eyJmcmVlLXZpZXctaWQiOjMwMzAwNjg4NywiaWF0IjoxNTg5MzAwODg0LCJleHAiOjE1ODkzODcyODR9.j1-Dk-Px3745MeI8Xlv5fTWi4Ed_kN8LKxSsJtgnIbc" xr:uid="{00000000-0004-0000-0500-000078000000}"/>
    <hyperlink ref="F128" r:id="rId122" display="https://www.nytimes.com/1982/08/21/us/gunman-in-miami-kills-8-in-rampage.html" xr:uid="{00000000-0004-0000-0500-000079000000}"/>
    <hyperlink ref="F129" r:id="rId123" display="https://www.nytimes.com/1982/08/21/us/gunman-in-miami-kills-8-in-rampage.html" xr:uid="{00000000-0004-0000-0500-00007A000000}"/>
    <hyperlink ref="F130" r:id="rId124" display="https://www.nytimes.com/1982/08/21/us/gunman-in-miami-kills-8-in-rampage.html" xr:uid="{00000000-0004-0000-0500-00007B000000}"/>
    <hyperlink ref="F131" r:id="rId125" display="https://www.nytimes.com/1982/08/21/us/gunman-in-miami-kills-8-in-rampage.html" xr:uid="{00000000-0004-0000-0500-00007C000000}"/>
    <hyperlink ref="F132" r:id="rId126" display="https://www.nytimes.com/1982/08/21/us/gunman-in-miami-kills-8-in-rampage.html" xr:uid="{00000000-0004-0000-0500-00007D000000}"/>
    <hyperlink ref="H132" r:id="rId127" display="https://www.newspapers.com/clip/36003733/the-miami-news-miami-florida21-aug/" xr:uid="{00000000-0004-0000-0500-00007E000000}"/>
    <hyperlink ref="F133" r:id="rId128" display="https://www.nytimes.com/1982/08/21/us/gunman-in-miami-kills-8-in-rampage.html" xr:uid="{00000000-0004-0000-0500-00007F000000}"/>
    <hyperlink ref="H133" r:id="rId129" display="https://www.newspapers.com/image/?clipping_id=36003733&amp;fcfToken=eyJhbGciOiJIUzI1NiIsInR5cCI6IkpXVCJ9.eyJmcmVlLXZpZXctaWQiOjMwMzAwNjg4NywiaWF0IjoxNTg5MzAwODg0LCJleHAiOjE1ODkzODcyODR9.j1-Dk-Px3745MeI8Xlv5fTWi4Ed_kN8LKxSsJtgnIbc" xr:uid="{00000000-0004-0000-0500-000080000000}"/>
    <hyperlink ref="F134" r:id="rId130" display="https://www.nytimes.com/1982/08/21/us/gunman-in-miami-kills-8-in-rampage.html" xr:uid="{00000000-0004-0000-0500-000081000000}"/>
    <hyperlink ref="H134" r:id="rId131" display="https://www.newspapers.com/image/?clipping_id=36003733&amp;fcfToken=eyJhbGciOiJIUzI1NiIsInR5cCI6IkpXVCJ9.eyJmcmVlLXZpZXctaWQiOjMwMzAwNjg4NywiaWF0IjoxNTg5MzAwODg0LCJleHAiOjE1ODkzODcyODR9.j1-Dk-Px3745MeI8Xlv5fTWi4Ed_kN8LKxSsJtgnIbc" xr:uid="{00000000-0004-0000-0500-000082000000}"/>
    <hyperlink ref="F135" r:id="rId132" display="https://www.nytimes.com/1983/02/04/nyregion/gunman-kills-four-and-wounds-a-fifth-at-a-west-side-hotel.html" xr:uid="{00000000-0004-0000-0500-000083000000}"/>
    <hyperlink ref="F136" r:id="rId133" display="https://www.nytimes.com/1983/02/04/nyregion/gunman-kills-four-and-wounds-a-fifth-at-a-west-side-hotel.html" xr:uid="{00000000-0004-0000-0500-000084000000}"/>
    <hyperlink ref="F137" r:id="rId134" display="https://www.nytimes.com/1983/02/04/nyregion/gunman-kills-four-and-wounds-a-fifth-at-a-west-side-hotel.html" xr:uid="{00000000-0004-0000-0500-000085000000}"/>
    <hyperlink ref="I137" r:id="rId135" display="https://www.newspapers.com/newspage/144291821/" xr:uid="{00000000-0004-0000-0500-000086000000}"/>
    <hyperlink ref="F138" r:id="rId136" display="https://www.nytimes.com/1983/02/04/nyregion/gunman-kills-four-and-wounds-a-fifth-at-a-west-side-hotel.html" xr:uid="{00000000-0004-0000-0500-000087000000}"/>
    <hyperlink ref="I138" r:id="rId137" display="https://newspaperarchive.com/burlington-daily-times-news-feb-04-1983-p-3/" xr:uid="{00000000-0004-0000-0500-000088000000}"/>
    <hyperlink ref="J139" r:id="rId138" xr:uid="{00000000-0004-0000-0500-000089000000}"/>
    <hyperlink ref="J140" r:id="rId139" xr:uid="{00000000-0004-0000-0500-00008A000000}"/>
    <hyperlink ref="J141" r:id="rId140" xr:uid="{00000000-0004-0000-0500-00008B000000}"/>
    <hyperlink ref="J142" r:id="rId141" xr:uid="{00000000-0004-0000-0500-00008C000000}"/>
    <hyperlink ref="F143" r:id="rId142" display="https://www.findagrave.com/memorial/130487739/amy-lou-nash" xr:uid="{00000000-0004-0000-0500-00008D000000}"/>
    <hyperlink ref="J143" r:id="rId143" xr:uid="{00000000-0004-0000-0500-00008E000000}"/>
    <hyperlink ref="F144" r:id="rId144" display="https://www.findagrave.com/memorial/130487647/charles-timothy-nash" xr:uid="{00000000-0004-0000-0500-00008F000000}"/>
    <hyperlink ref="J144" r:id="rId145" xr:uid="{00000000-0004-0000-0500-000090000000}"/>
    <hyperlink ref="I145" r:id="rId146" display="https://www.upi.com/Archives/1983/10/12/Multiple-charges-filed-in-murder-kidnapping-spree/9012434779200/" xr:uid="{00000000-0004-0000-0500-000091000000}"/>
    <hyperlink ref="I146" r:id="rId147" display="https://www.upi.com/Archives/1983/10/12/Multiple-charges-filed-in-murder-kidnapping-spree/9012434779200/" xr:uid="{00000000-0004-0000-0500-000092000000}"/>
    <hyperlink ref="F147" r:id="rId148" display="https://www.upi.com/Archives/1983/10/12/Multiple-charges-filed-in-murder-kidnapping-spree/9012434779200/" xr:uid="{00000000-0004-0000-0500-000093000000}"/>
    <hyperlink ref="F148" r:id="rId149" display="https://www.newspapers.com/image/?clipping_id=2903989&amp;fcfToken=eyJhbGciOiJIUzI1NiIsInR5cCI6IkpXVCJ9.eyJmcmVlLXZpZXctaWQiOjE0MjU2MjI1LCJpYXQiOjE1ODg5NTU1OTUsImV4cCI6MTU4OTA0MTk5NX0.8c9JHj_PT6C_IuMQnVtqWD4qNYNw0WV3yr0UewHDEGg" xr:uid="{00000000-0004-0000-0500-000094000000}"/>
    <hyperlink ref="I148" r:id="rId150" display="https://www.upi.com/Archives/1983/10/12/Multiple-charges-filed-in-murder-kidnapping-spree/9012434779200/" xr:uid="{00000000-0004-0000-0500-000095000000}"/>
    <hyperlink ref="F149" r:id="rId151" display="https://www.newspapers.com/image/?clipping_id=2903989&amp;fcfToken=eyJhbGciOiJIUzI1NiIsInR5cCI6IkpXVCJ9.eyJmcmVlLXZpZXctaWQiOjE0MjU2MjI1LCJpYXQiOjE1ODg5NTU1OTUsImV4cCI6MTU4OTA0MTk5NX0.8c9JHj_PT6C_IuMQnVtqWD4qNYNw0WV3yr0UewHDEGg" xr:uid="{00000000-0004-0000-0500-000096000000}"/>
    <hyperlink ref="I149" r:id="rId152" display="https://www.upi.com/Archives/1983/10/12/Multiple-charges-filed-in-murder-kidnapping-spree/9012434779200/" xr:uid="{00000000-0004-0000-0500-000097000000}"/>
    <hyperlink ref="F150" r:id="rId153" display="https://www.upi.com/Archives/1983/10/12/Multiple-charges-filed-in-murder-kidnapping-spree/9012434779200/" xr:uid="{00000000-0004-0000-0500-000098000000}"/>
    <hyperlink ref="J151" r:id="rId154" location="v=onepage&amp;q=michael%20silka%20alaska&amp;f=false" xr:uid="{00000000-0004-0000-0500-000099000000}"/>
    <hyperlink ref="J152" r:id="rId155" location="v=onepage&amp;q=michael%20silka%20alaska&amp;f=false" xr:uid="{00000000-0004-0000-0500-00009A000000}"/>
    <hyperlink ref="J153" r:id="rId156" location="v=onepage&amp;q=michael%20silka%20alaska&amp;f=false" xr:uid="{00000000-0004-0000-0500-00009B000000}"/>
    <hyperlink ref="F154" r:id="rId157" display="https://www.nytimes.com/1984/05/21/us/bodies-of-seven-sought-after-shootout-in-alaska.html" xr:uid="{00000000-0004-0000-0500-00009C000000}"/>
    <hyperlink ref="J154" r:id="rId158" location="v=onepage&amp;q=michael%20silka%20alaska&amp;f=false" xr:uid="{00000000-0004-0000-0500-00009D000000}"/>
    <hyperlink ref="J155" r:id="rId159" location="v=onepage&amp;q=michael%20silka%20alaska&amp;f=false" xr:uid="{00000000-0004-0000-0500-00009E000000}"/>
    <hyperlink ref="F156" r:id="rId160" display="https://www.nytimes.com/1984/05/21/us/bodies-of-seven-sought-after-shootout-in-alaska.html" xr:uid="{00000000-0004-0000-0500-00009F000000}"/>
    <hyperlink ref="J157" r:id="rId161" location="v=onepage&amp;q=michael%20silka%20alaska&amp;f=false" xr:uid="{00000000-0004-0000-0500-0000A0000000}"/>
    <hyperlink ref="F158" r:id="rId162" display="https://www.nytimes.com/1984/05/21/us/bodies-of-seven-sought-after-shootout-in-alaska.html" xr:uid="{00000000-0004-0000-0500-0000A1000000}"/>
    <hyperlink ref="F159" r:id="rId163" display="https://www.nytimes.com/1984/06/30/us/6-die-in-dallas-club-as-enraged-man-fires-wildly.html" xr:uid="{00000000-0004-0000-0500-0000A2000000}"/>
    <hyperlink ref="G159" r:id="rId164" display="https://www.google.com/books/edition/Worse_Than_Death/Hr3OBwP-lbUC?hl=en&amp;gbpv=1&amp;dq=abdelkrim+belachheb+marcell+mae+ford&amp;pg=PA93&amp;printsec=frontcover" xr:uid="{00000000-0004-0000-0500-0000A3000000}"/>
    <hyperlink ref="I159" r:id="rId165" display="https://www.leagle.com/decision/19851408699sw2d70911316" xr:uid="{00000000-0004-0000-0500-0000A4000000}"/>
    <hyperlink ref="F160" r:id="rId166" display="https://www.nytimes.com/1984/06/30/us/6-die-in-dallas-club-as-enraged-man-fires-wildly.html" xr:uid="{00000000-0004-0000-0500-0000A5000000}"/>
    <hyperlink ref="F161" r:id="rId167" display="https://www.nytimes.com/1984/06/30/us/6-die-in-dallas-club-as-enraged-man-fires-wildly.html" xr:uid="{00000000-0004-0000-0500-0000A6000000}"/>
    <hyperlink ref="F162" r:id="rId168" display="https://www.nytimes.com/1984/06/30/us/6-die-in-dallas-club-as-enraged-man-fires-wildly.html" xr:uid="{00000000-0004-0000-0500-0000A7000000}"/>
    <hyperlink ref="F163" r:id="rId169" display="https://www.nytimes.com/1984/06/30/us/6-die-in-dallas-club-as-enraged-man-fires-wildly.html" xr:uid="{00000000-0004-0000-0500-0000A8000000}"/>
    <hyperlink ref="F164" r:id="rId170" display="https://www.nytimes.com/1984/06/30/us/6-die-in-dallas-club-as-enraged-man-fires-wildly.html" xr:uid="{00000000-0004-0000-0500-0000A9000000}"/>
    <hyperlink ref="F165" r:id="rId171" display="https://www.findagrave.com/memorial/39820884/elsa-herlinda-borboa_firro" xr:uid="{00000000-0004-0000-0500-0000AA000000}"/>
    <hyperlink ref="F166" r:id="rId172" display="https://www.findagrave.com/virtual-cemetery/459281" xr:uid="{00000000-0004-0000-0500-0000AB000000}"/>
    <hyperlink ref="F167" r:id="rId173" display="https://www.findagrave.com/virtual-cemetery/459281" xr:uid="{00000000-0004-0000-0500-0000AC000000}"/>
    <hyperlink ref="F168" r:id="rId174" display="https://www.findagrave.com/virtual-cemetery/459281" xr:uid="{00000000-0004-0000-0500-0000AD000000}"/>
    <hyperlink ref="F169" r:id="rId175" display="https://www.findagrave.com/memorial/39821287/david-flores-delgado" xr:uid="{00000000-0004-0000-0500-0000AE000000}"/>
    <hyperlink ref="F170" r:id="rId176" display="https://www.findagrave.com/memorial/39821343/gloria-lopez-gonzalez" xr:uid="{00000000-0004-0000-0500-0000AF000000}"/>
    <hyperlink ref="F171" r:id="rId177" display="https://archive.org/details/541408-james-oliver-huberty/page/n1/mode/2up" xr:uid="{00000000-0004-0000-0500-0000B0000000}"/>
    <hyperlink ref="F172" r:id="rId178" display="https://www.findagrave.com/memorial/39821485/blythe-regan-herrera" xr:uid="{00000000-0004-0000-0500-0000B1000000}"/>
    <hyperlink ref="H172" r:id="rId179" display="https://www.cbs8.com/article/news/locals-remember-san-ysidro-mcdonalds-massacre-35-years-later/509-92e6402f-4864-4259-8e85-3b42ecbedeb8" xr:uid="{00000000-0004-0000-0500-0000B2000000}"/>
    <hyperlink ref="F173" r:id="rId180" display="https://www.findagrave.com/memorial/39821562/matao-herrera" xr:uid="{00000000-0004-0000-0500-0000B3000000}"/>
    <hyperlink ref="H173" r:id="rId181" display="https://www.cbs8.com/article/news/locals-remember-san-ysidro-mcdonalds-massacre-35-years-later/509-92e6402f-4864-4259-8e85-3b42ecbedeb8" xr:uid="{00000000-0004-0000-0500-0000B4000000}"/>
    <hyperlink ref="F174" r:id="rId182" display="https://www.findagrave.com/memorial/39821703/paulina-aquino-lopez" xr:uid="{00000000-0004-0000-0500-0000B5000000}"/>
    <hyperlink ref="F175" r:id="rId183" display="https://www.findagrave.com/memorial/189118195/margarita-padilla" xr:uid="{00000000-0004-0000-0500-0000B6000000}"/>
    <hyperlink ref="H175" r:id="rId184" display="https://www.kpbs.org/news/2019/jul/18/san-ysidro-mcdonalds-massacre-35-years-later/" xr:uid="{00000000-0004-0000-0500-0000B7000000}"/>
    <hyperlink ref="F176" r:id="rId185" display="https://www.findagrave.com/memorial/39821801/claudia-perez_fuentes" xr:uid="{00000000-0004-0000-0500-0000B8000000}"/>
    <hyperlink ref="F177" r:id="rId186" display="https://www.findagrave.com/memorial/39821871/jose-ruben-lozano_perez" xr:uid="{00000000-0004-0000-0500-0000B9000000}"/>
    <hyperlink ref="F179" r:id="rId187" display="https://www.findagrave.com/memorial/39822035/jackie-lynn-reyes" xr:uid="{00000000-0004-0000-0500-0000BA000000}"/>
    <hyperlink ref="H179" r:id="rId188" display="https://www.findagrave.com/memorial/39822035/jackie-lynn-reyes" xr:uid="{00000000-0004-0000-0500-0000BB000000}"/>
    <hyperlink ref="F180" r:id="rId189" display="https://archive.org/details/541408-james-oliver-huberty/page/n1/mode/2up" xr:uid="{00000000-0004-0000-0500-0000BC000000}"/>
    <hyperlink ref="F181" r:id="rId190" display="https://archive.org/details/541408-james-oliver-huberty/page/n1/mode/2up" xr:uid="{00000000-0004-0000-0500-0000BD000000}"/>
    <hyperlink ref="F182" r:id="rId191" display="https://www.findagrave.com/memorial/39822417/arisdelsi-vuelvas_vargas" xr:uid="{00000000-0004-0000-0500-0000BE000000}"/>
    <hyperlink ref="F183" r:id="rId192" display="https://www.findagrave.com/memorial/39822536/hugo-luis-velazquez_vazquez" xr:uid="{00000000-0004-0000-0500-0000BF000000}"/>
    <hyperlink ref="F184" r:id="rId193" display="https://archive.org/details/541408-james-oliver-huberty/page/n1/mode/2up" xr:uid="{00000000-0004-0000-0500-0000C0000000}"/>
    <hyperlink ref="F185" r:id="rId194" display="https://www.findagrave.com/memorial/39822605/laurence-herman-versluis" xr:uid="{00000000-0004-0000-0500-0000C1000000}"/>
    <hyperlink ref="H185" r:id="rId195" display="https://www.findagrave.com/memorial/39822605/laurence-herman-versluis" xr:uid="{00000000-0004-0000-0500-0000C2000000}"/>
    <hyperlink ref="I186" r:id="rId196" display="https://newspaperarchive.com/fayetteville-northwest-arkansas-times-jul-25-1984-p-1/" xr:uid="{00000000-0004-0000-0500-0000C3000000}"/>
    <hyperlink ref="F187" r:id="rId197" display="https://www.nytimes.com/1984/07/26/us/officers-tracing-gunman-s-history.html" xr:uid="{00000000-0004-0000-0500-0000C4000000}"/>
    <hyperlink ref="I187" r:id="rId198" display="https://newspaperarchive.com/fayetteville-northwest-arkansas-times-jul-25-1984-p-1/" xr:uid="{00000000-0004-0000-0500-0000C5000000}"/>
    <hyperlink ref="I188" r:id="rId199" display="https://newspaperarchive.com/fayetteville-northwest-arkansas-times-jul-25-1984-p-1/" xr:uid="{00000000-0004-0000-0500-0000C6000000}"/>
    <hyperlink ref="E189" r:id="rId200" xr:uid="{00000000-0004-0000-0500-0000C7000000}"/>
    <hyperlink ref="I189" r:id="rId201" display="https://newspaperarchive.com/fayetteville-northwest-arkansas-times-jul-25-1984-p-1/" xr:uid="{00000000-0004-0000-0500-0000C8000000}"/>
    <hyperlink ref="F190" r:id="rId202" display="https://apnews.com/c5d8552f56a7d24ddb1d7e57738d8242" xr:uid="{00000000-0004-0000-0500-0000C9000000}"/>
    <hyperlink ref="F191" r:id="rId203" display="https://apnews.com/c5d8552f56a7d24ddb1d7e57738d8242" xr:uid="{00000000-0004-0000-0500-0000CA000000}"/>
    <hyperlink ref="E192" r:id="rId204" xr:uid="{00000000-0004-0000-0500-0000CB000000}"/>
    <hyperlink ref="F192" r:id="rId205" display="https://apnews.com/c5d8552f56a7d24ddb1d7e57738d8242" xr:uid="{00000000-0004-0000-0500-0000CC000000}"/>
    <hyperlink ref="F193" r:id="rId206" display="https://apnews.com/c5d8552f56a7d24ddb1d7e57738d8242" xr:uid="{00000000-0004-0000-0500-0000CD000000}"/>
    <hyperlink ref="E194" r:id="rId207" xr:uid="{00000000-0004-0000-0500-0000CE000000}"/>
    <hyperlink ref="F194" r:id="rId208" display="https://www.nytimes.com/1986/08/21/us/mail-carrier-kills-14-in-post-office-then-himself.html" xr:uid="{00000000-0004-0000-0500-0000CF000000}"/>
    <hyperlink ref="I194" r:id="rId209"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500-0000D0000000}"/>
    <hyperlink ref="E195" r:id="rId210" location="v=onepage&amp;q=%22patty%20jean%20husband%22%201986&amp;f=false" xr:uid="{00000000-0004-0000-0500-0000D1000000}"/>
    <hyperlink ref="F195" r:id="rId211" display="https://www.nytimes.com/1986/08/21/us/mail-carrier-kills-14-in-post-office-then-himself.html" xr:uid="{00000000-0004-0000-0500-0000D2000000}"/>
    <hyperlink ref="I195" r:id="rId212" display="https://www.findagrave.com/memorial/51401423/judy-s_-denney" xr:uid="{00000000-0004-0000-0500-0000D3000000}"/>
    <hyperlink ref="E196" r:id="rId213" xr:uid="{00000000-0004-0000-0500-0000D4000000}"/>
    <hyperlink ref="F196" r:id="rId214" display="https://www.nytimes.com/1986/08/21/us/mail-carrier-kills-14-in-post-office-then-himself.html" xr:uid="{00000000-0004-0000-0500-0000D5000000}"/>
    <hyperlink ref="I196" r:id="rId215" display="http://content.time.com/time/magazine/article/0,9171,144859,00.html" xr:uid="{00000000-0004-0000-0500-0000D6000000}"/>
    <hyperlink ref="F197" r:id="rId216" display="https://www.nytimes.com/1986/08/21/us/mail-carrier-kills-14-in-post-office-then-himself.html" xr:uid="{00000000-0004-0000-0500-0000D7000000}"/>
    <hyperlink ref="H197" r:id="rId217" display="https://web.archive.org/save/https:/oklahoman.com/article/5514879/survivors-and-friends-gather-for-edmond-post-office-massacre-anniversary" xr:uid="{00000000-0004-0000-0500-0000D8000000}"/>
    <hyperlink ref="I197" r:id="rId218" display="https://www.findagrave.com/memorial/51397556/patricia-ann-gabbard" xr:uid="{00000000-0004-0000-0500-0000D9000000}"/>
    <hyperlink ref="F198" r:id="rId219" display="https://www.nytimes.com/1986/08/21/us/mail-carrier-kills-14-in-post-office-then-himself.html" xr:uid="{00000000-0004-0000-0500-0000DA000000}"/>
    <hyperlink ref="I198" r:id="rId220"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500-0000DB000000}"/>
    <hyperlink ref="E199" r:id="rId221" location="v=onepage&amp;q=%22patty%20jean%20husband%22%201986&amp;f=false" xr:uid="{00000000-0004-0000-0500-0000DC000000}"/>
    <hyperlink ref="F199" r:id="rId222" display="https://www.nytimes.com/1986/08/21/us/mail-carrier-kills-14-in-post-office-then-himself.html" xr:uid="{00000000-0004-0000-0500-0000DD000000}"/>
    <hyperlink ref="H199" r:id="rId223" display="https://oklahoman.com/gallery/articleid/5514879" xr:uid="{00000000-0004-0000-0500-0000DE000000}"/>
    <hyperlink ref="I199" r:id="rId224"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500-0000DF000000}"/>
    <hyperlink ref="E200" r:id="rId225" location="v=onepage&amp;q=%22patty%20jean%20husband%22%201986&amp;f=false" xr:uid="{00000000-0004-0000-0500-0000E0000000}"/>
    <hyperlink ref="F200" r:id="rId226" display="https://www.nytimes.com/1986/08/21/us/mail-carrier-kills-14-in-post-office-then-himself.html" xr:uid="{00000000-0004-0000-0500-0000E1000000}"/>
    <hyperlink ref="I200" r:id="rId227"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500-0000E2000000}"/>
    <hyperlink ref="E201" r:id="rId228" location="v=onepage&amp;q=%22patty%20jean%20husband%22%201986&amp;f=false" xr:uid="{00000000-0004-0000-0500-0000E3000000}"/>
    <hyperlink ref="F201" r:id="rId229" display="https://www.nytimes.com/1986/08/21/us/mail-carrier-kills-14-in-post-office-then-himself.html" xr:uid="{00000000-0004-0000-0500-0000E4000000}"/>
    <hyperlink ref="I201" r:id="rId230"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500-0000E5000000}"/>
    <hyperlink ref="E202" r:id="rId231" location="v=onepage&amp;q=%22patty%20jean%20husband%22%201986&amp;f=false" xr:uid="{00000000-0004-0000-0500-0000E6000000}"/>
    <hyperlink ref="F202" r:id="rId232" display="https://www.nytimes.com/1986/08/21/us/mail-carrier-kills-14-in-post-office-then-himself.html" xr:uid="{00000000-0004-0000-0500-0000E7000000}"/>
    <hyperlink ref="I202" r:id="rId233"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500-0000E8000000}"/>
    <hyperlink ref="E203" r:id="rId234" location="v=onepage&amp;q=%22patty%20jean%20husband%22%201986&amp;f=false" xr:uid="{00000000-0004-0000-0500-0000E9000000}"/>
    <hyperlink ref="F203" r:id="rId235" display="https://www.nytimes.com/1986/08/21/us/mail-carrier-kills-14-in-post-office-then-himself.html" xr:uid="{00000000-0004-0000-0500-0000EA000000}"/>
    <hyperlink ref="I203" r:id="rId236"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500-0000EB000000}"/>
    <hyperlink ref="E204" r:id="rId237" xr:uid="{00000000-0004-0000-0500-0000EC000000}"/>
    <hyperlink ref="F204" r:id="rId238" display="https://www.nytimes.com/1986/08/21/us/mail-carrier-kills-14-in-post-office-then-himself.html" xr:uid="{00000000-0004-0000-0500-0000ED000000}"/>
    <hyperlink ref="I204" r:id="rId239"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500-0000EE000000}"/>
    <hyperlink ref="E205" r:id="rId240" location="v=onepage&amp;q=%22patty%20jean%20husband%22%201986&amp;f=false" xr:uid="{00000000-0004-0000-0500-0000EF000000}"/>
    <hyperlink ref="F205" r:id="rId241" display="https://www.nytimes.com/1986/08/21/us/mail-carrier-kills-14-in-post-office-then-himself.html" xr:uid="{00000000-0004-0000-0500-0000F0000000}"/>
    <hyperlink ref="I205" r:id="rId242"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500-0000F1000000}"/>
    <hyperlink ref="E206" r:id="rId243" location="v=onepage&amp;q=%22patty%20jean%20husband%22%201986&amp;f=false" xr:uid="{00000000-0004-0000-0500-0000F2000000}"/>
    <hyperlink ref="F206" r:id="rId244" display="https://www.nytimes.com/1986/08/21/us/mail-carrier-kills-14-in-post-office-then-himself.html" xr:uid="{00000000-0004-0000-0500-0000F3000000}"/>
    <hyperlink ref="I206" r:id="rId245"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500-0000F4000000}"/>
    <hyperlink ref="E207" r:id="rId246" location="v=onepage&amp;q=%22patty%20jean%20husband%22%201986&amp;f=false" xr:uid="{00000000-0004-0000-0500-0000F5000000}"/>
    <hyperlink ref="F207" r:id="rId247" display="https://www.nytimes.com/1986/08/21/us/mail-carrier-kills-14-in-post-office-then-himself.html" xr:uid="{00000000-0004-0000-0500-0000F6000000}"/>
    <hyperlink ref="I207" r:id="rId248"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500-0000F7000000}"/>
    <hyperlink ref="F210" r:id="rId249" display="https://www.latimes.com/archives/la-xpm-1987-04-25-mn-990-story.html" xr:uid="{00000000-0004-0000-0500-0000F8000000}"/>
    <hyperlink ref="H210" r:id="rId250" display="https://www.odmp.org/officer/7164-officer-gerald-douglas-johnson" xr:uid="{00000000-0004-0000-0500-0000F9000000}"/>
    <hyperlink ref="F211" r:id="rId251" display="https://www.latimes.com/archives/la-xpm-1987-04-25-mn-990-story.html" xr:uid="{00000000-0004-0000-0500-0000FA000000}"/>
    <hyperlink ref="H211" r:id="rId252" display="https://www.odmp.org/officer/5785-officer-ronald-midgley-grogan" xr:uid="{00000000-0004-0000-0500-0000FB000000}"/>
    <hyperlink ref="F212" r:id="rId253" display="https://www.theledger.com/article/LK/20070430/News/608097071/LL" xr:uid="{00000000-0004-0000-0500-0000FC000000}"/>
    <hyperlink ref="F213" r:id="rId254" display="https://www.theledger.com/article/LK/20070430/News/608097071/LL" xr:uid="{00000000-0004-0000-0500-0000FD000000}"/>
    <hyperlink ref="F214" r:id="rId255" display="https://www.washingtonpost.com/archive/politics/1988/02/18/sudden-death-in-sunnyvale/4f50e5d7-0804-4a56-a2af-ced693c3b577/" xr:uid="{00000000-0004-0000-0500-0000FE000000}"/>
    <hyperlink ref="I214" r:id="rId256" display="https://www.leagle.com/decision/incaco20090702055" xr:uid="{00000000-0004-0000-0500-0000FF000000}"/>
    <hyperlink ref="E215" r:id="rId257" location="v=onepage&amp;q=wayne%20buddy%20williams%20jr%201988&amp;f=false" xr:uid="{00000000-0004-0000-0500-000000010000}"/>
    <hyperlink ref="F215" r:id="rId258" display="https://www.washingtonpost.com/archive/politics/1988/02/18/sudden-death-in-sunnyvale/4f50e5d7-0804-4a56-a2af-ced693c3b577/" xr:uid="{00000000-0004-0000-0500-000001010000}"/>
    <hyperlink ref="I215" r:id="rId259" display="https://www.leagle.com/decision/incaco20090702055" xr:uid="{00000000-0004-0000-0500-000002010000}"/>
    <hyperlink ref="F216" r:id="rId260" display="https://www.washingtonpost.com/archive/politics/1988/02/18/sudden-death-in-sunnyvale/4f50e5d7-0804-4a56-a2af-ced693c3b577/" xr:uid="{00000000-0004-0000-0500-000003010000}"/>
    <hyperlink ref="I216" r:id="rId261" display="https://www.leagle.com/decision/incaco20090702055" xr:uid="{00000000-0004-0000-0500-000004010000}"/>
    <hyperlink ref="F217" r:id="rId262" display="https://www.washingtonpost.com/archive/politics/1988/02/18/sudden-death-in-sunnyvale/4f50e5d7-0804-4a56-a2af-ced693c3b577/" xr:uid="{00000000-0004-0000-0500-000005010000}"/>
    <hyperlink ref="I217" r:id="rId263" display="https://www.leagle.com/decision/incaco20090702055" xr:uid="{00000000-0004-0000-0500-000006010000}"/>
    <hyperlink ref="F218" r:id="rId264" display="https://www.washingtonpost.com/archive/politics/1988/02/18/sudden-death-in-sunnyvale/4f50e5d7-0804-4a56-a2af-ced693c3b577/" xr:uid="{00000000-0004-0000-0500-000007010000}"/>
    <hyperlink ref="H218" r:id="rId265" display="https://www.findagrave.com/memorial/155799847/ronald-steven-reed" xr:uid="{00000000-0004-0000-0500-000008010000}"/>
    <hyperlink ref="I218" r:id="rId266" display="https://www.leagle.com/decision/incaco20090702055" xr:uid="{00000000-0004-0000-0500-000009010000}"/>
    <hyperlink ref="E219" r:id="rId267" xr:uid="{00000000-0004-0000-0500-00000A010000}"/>
    <hyperlink ref="F219" r:id="rId268" display="https://www.washingtonpost.com/archive/politics/1988/02/18/sudden-death-in-sunnyvale/4f50e5d7-0804-4a56-a2af-ced693c3b577/" xr:uid="{00000000-0004-0000-0500-00000B010000}"/>
    <hyperlink ref="I219" r:id="rId269" display="https://www.leagle.com/decision/incaco20090702055" xr:uid="{00000000-0004-0000-0500-00000C010000}"/>
    <hyperlink ref="E220" r:id="rId270" location="v=onepage&amp;q=wayne%20buddy%20williams%20jr%201988&amp;f=false" xr:uid="{00000000-0004-0000-0500-00000D010000}"/>
    <hyperlink ref="F220" r:id="rId271" display="https://www.washingtonpost.com/archive/politics/1988/02/18/sudden-death-in-sunnyvale/4f50e5d7-0804-4a56-a2af-ced693c3b577/" xr:uid="{00000000-0004-0000-0500-00000E010000}"/>
    <hyperlink ref="I220" r:id="rId272" display="https://www.leagle.com/decision/incaco20090702055" xr:uid="{00000000-0004-0000-0500-00000F010000}"/>
    <hyperlink ref="F221" r:id="rId273" display="https://www.upi.com/Archives/1988/07/19/Hospital-denies-commitment-sought-for-gunman/1978585288000/" xr:uid="{00000000-0004-0000-0500-000010010000}"/>
    <hyperlink ref="H221" r:id="rId274" display="https://www.the-dispatch.com/article/NC/20130712/news/605035055/LD" xr:uid="{00000000-0004-0000-0500-000011010000}"/>
    <hyperlink ref="F222" r:id="rId275" display="https://www.upi.com/Archives/1988/07/19/Hospital-denies-commitment-sought-for-gunman/1978585288000/" xr:uid="{00000000-0004-0000-0500-000012010000}"/>
    <hyperlink ref="F223" r:id="rId276" display="https://www.upi.com/Archives/1988/07/19/Hospital-denies-commitment-sought-for-gunman/1978585288000/" xr:uid="{00000000-0004-0000-0500-000013010000}"/>
    <hyperlink ref="F224" r:id="rId277" display="https://www.upi.com/Archives/1988/07/19/Hospital-denies-commitment-sought-for-gunman/1978585288000/" xr:uid="{00000000-0004-0000-0500-000014010000}"/>
    <hyperlink ref="H224" r:id="rId278" display="https://www.the-dispatch.com/article/NC/20130712/news/605035055/LD" xr:uid="{00000000-0004-0000-0500-000015010000}"/>
    <hyperlink ref="F225" r:id="rId279" display="https://www.chicagotribune.com/news/ct-xpm-1988-09-23-8802010552-story.html" xr:uid="{00000000-0004-0000-0500-000016010000}"/>
    <hyperlink ref="F226" r:id="rId280" display="https://www.chicagotribune.com/news/ct-xpm-1988-09-23-8802010552-story.html" xr:uid="{00000000-0004-0000-0500-000017010000}"/>
    <hyperlink ref="F227" r:id="rId281" display="https://www.chicagotribune.com/news/ct-xpm-1988-09-23-8802010552-story.html" xr:uid="{00000000-0004-0000-0500-000018010000}"/>
    <hyperlink ref="E228" r:id="rId282" xr:uid="{00000000-0004-0000-0500-000019010000}"/>
    <hyperlink ref="F228" r:id="rId283" display="https://www.chicagotribune.com/news/ct-xpm-1988-09-23-8802010552-story.html" xr:uid="{00000000-0004-0000-0500-00001A010000}"/>
    <hyperlink ref="H228" r:id="rId284" display="https://www.odmp.org/officer/11612-police-officer-irma-c-ruiz" xr:uid="{00000000-0004-0000-0500-00001B010000}"/>
    <hyperlink ref="E229" r:id="rId285" xr:uid="{00000000-0004-0000-0500-00001C010000}"/>
    <hyperlink ref="F229" r:id="rId286" display="https://www.abc10.com/article/news/local/stockton/need-to-know-the-1989-cleveland-school-shooting/103-bf6463b2-ce78-4ba1-9216-fc2c79907f82" xr:uid="{00000000-0004-0000-0500-00001D010000}"/>
    <hyperlink ref="G229" r:id="rId287" display="http://clevelandschoolremembers.org/about/cleveland-school-incident/" xr:uid="{00000000-0004-0000-0500-00001E010000}"/>
    <hyperlink ref="F230" r:id="rId288" display="https://www.abc10.com/article/news/local/stockton/need-to-know-the-1989-cleveland-school-shooting/103-bf6463b2-ce78-4ba1-9216-fc2c79907f82" xr:uid="{00000000-0004-0000-0500-00001F010000}"/>
    <hyperlink ref="G230" r:id="rId289" display="http://clevelandschoolremembers.org/about/cleveland-school-incident/" xr:uid="{00000000-0004-0000-0500-000020010000}"/>
    <hyperlink ref="F231" r:id="rId290" display="https://www.abc10.com/article/news/local/stockton/need-to-know-the-1989-cleveland-school-shooting/103-bf6463b2-ce78-4ba1-9216-fc2c79907f82" xr:uid="{00000000-0004-0000-0500-000021010000}"/>
    <hyperlink ref="G231" r:id="rId291" display="http://clevelandschoolremembers.org/about/cleveland-school-incident/" xr:uid="{00000000-0004-0000-0500-000022010000}"/>
    <hyperlink ref="F232" r:id="rId292" display="https://www.abc10.com/article/news/local/stockton/need-to-know-the-1989-cleveland-school-shooting/103-bf6463b2-ce78-4ba1-9216-fc2c79907f82" xr:uid="{00000000-0004-0000-0500-000023010000}"/>
    <hyperlink ref="G232" r:id="rId293" display="http://clevelandschoolremembers.org/about/cleveland-school-incident/" xr:uid="{00000000-0004-0000-0500-000024010000}"/>
    <hyperlink ref="F233" r:id="rId294" display="https://www.abc10.com/article/news/local/stockton/need-to-know-the-1989-cleveland-school-shooting/103-bf6463b2-ce78-4ba1-9216-fc2c79907f82" xr:uid="{00000000-0004-0000-0500-000025010000}"/>
    <hyperlink ref="G233" r:id="rId295" display="http://clevelandschoolremembers.org/about/cleveland-school-incident/" xr:uid="{00000000-0004-0000-0500-000026010000}"/>
    <hyperlink ref="F234" r:id="rId296" display="https://www.courier-journal.com/in-depth/news/local/2019/09/12/louisvilles-standard-gravure-shooting-anniversary-all-victims/2284348001/" xr:uid="{00000000-0004-0000-0500-000027010000}"/>
    <hyperlink ref="I234" r:id="rId297" display="https://www.courier-journal.com/story/news/local/2016/01/19/standard-gravure-massacres-scars-remain/79018006/" xr:uid="{00000000-0004-0000-0500-000028010000}"/>
    <hyperlink ref="F235" r:id="rId298" display="https://www.courier-journal.com/in-depth/news/local/2019/09/12/louisvilles-standard-gravure-shooting-anniversary-all-victims/2284348001/" xr:uid="{00000000-0004-0000-0500-000029010000}"/>
    <hyperlink ref="I235" r:id="rId299" display="https://apnews.com/d8fdf15390c4d3e614ca83a0d49ab018" xr:uid="{00000000-0004-0000-0500-00002A010000}"/>
    <hyperlink ref="F236" r:id="rId300" display="https://www.courier-journal.com/in-depth/news/local/2019/09/12/louisvilles-standard-gravure-shooting-anniversary-all-victims/2284348001/" xr:uid="{00000000-0004-0000-0500-00002B010000}"/>
    <hyperlink ref="I236" r:id="rId301" display="https://apnews.com/d8fdf15390c4d3e614ca83a0d49ab018" xr:uid="{00000000-0004-0000-0500-00002C010000}"/>
    <hyperlink ref="F237" r:id="rId302" display="https://www.courier-journal.com/story/news/local/2016/01/19/standard-gravure-massacres-scars-remain/79018006/" xr:uid="{00000000-0004-0000-0500-00002D010000}"/>
    <hyperlink ref="I237" r:id="rId303" display="https://apnews.com/d8fdf15390c4d3e614ca83a0d49ab018" xr:uid="{00000000-0004-0000-0500-00002E010000}"/>
    <hyperlink ref="F238" r:id="rId304" display="https://www.courier-journal.com/in-depth/news/local/2019/09/12/louisvilles-standard-gravure-shooting-anniversary-all-victims/2284348001/" xr:uid="{00000000-0004-0000-0500-00002F010000}"/>
    <hyperlink ref="I238" r:id="rId305" display="https://apnews.com/d8fdf15390c4d3e614ca83a0d49ab018" xr:uid="{00000000-0004-0000-0500-000030010000}"/>
    <hyperlink ref="F239" r:id="rId306" display="https://www.courier-journal.com/in-depth/news/local/2019/09/12/louisvilles-standard-gravure-shooting-anniversary-all-victims/2284348001/" xr:uid="{00000000-0004-0000-0500-000031010000}"/>
    <hyperlink ref="I239" r:id="rId307" display="https://apnews.com/d8fdf15390c4d3e614ca83a0d49ab018" xr:uid="{00000000-0004-0000-0500-000032010000}"/>
    <hyperlink ref="F240" r:id="rId308" display="https://www.courier-journal.com/in-depth/news/local/2019/09/12/louisvilles-standard-gravure-shooting-anniversary-all-victims/2284348001/" xr:uid="{00000000-0004-0000-0500-000033010000}"/>
    <hyperlink ref="I240" r:id="rId309" display="https://apnews.com/d8fdf15390c4d3e614ca83a0d49ab018" xr:uid="{00000000-0004-0000-0500-000034010000}"/>
    <hyperlink ref="F241" r:id="rId310" display="https://www.courier-journal.com/in-depth/news/local/2019/09/12/louisvilles-standard-gravure-shooting-anniversary-all-victims/2284348001/" xr:uid="{00000000-0004-0000-0500-000035010000}"/>
    <hyperlink ref="I241" r:id="rId311" display="https://apnews.com/d8fdf15390c4d3e614ca83a0d49ab018" xr:uid="{00000000-0004-0000-0500-000036010000}"/>
    <hyperlink ref="I242" r:id="rId312" display="https://apnews.com/d8fdf15390c4d3e614ca83a0d49ab018" xr:uid="{00000000-0004-0000-0500-000037010000}"/>
    <hyperlink ref="K242" r:id="rId313" xr:uid="{00000000-0004-0000-0500-000038010000}"/>
    <hyperlink ref="F243" r:id="rId314" display="https://www.latimes.com/archives/la-xpm-1990-06-19-mn-52-story.html" xr:uid="{00000000-0004-0000-0500-000039010000}"/>
    <hyperlink ref="F244" r:id="rId315" display="https://www.latimes.com/archives/la-xpm-1990-06-19-mn-52-story.html" xr:uid="{00000000-0004-0000-0500-00003A010000}"/>
    <hyperlink ref="F245" r:id="rId316" display="https://www.upi.com/Archives/1990/06/27/Tenth-person-dies-in-GMAC-massacre/6157646459200/" xr:uid="{00000000-0004-0000-0500-00003B010000}"/>
    <hyperlink ref="F246" r:id="rId317" display="https://www.latimes.com/archives/la-xpm-1990-06-19-mn-52-story.html" xr:uid="{00000000-0004-0000-0500-00003C010000}"/>
    <hyperlink ref="F247" r:id="rId318" display="https://www.latimes.com/archives/la-xpm-1990-06-19-mn-52-story.html" xr:uid="{00000000-0004-0000-0500-00003D010000}"/>
    <hyperlink ref="F248" r:id="rId319" display="https://www.latimes.com/archives/la-xpm-1990-06-19-mn-52-story.html" xr:uid="{00000000-0004-0000-0500-00003E010000}"/>
    <hyperlink ref="E249" r:id="rId320" xr:uid="{00000000-0004-0000-0500-00003F010000}"/>
    <hyperlink ref="F249" r:id="rId321" display="https://www.latimes.com/archives/la-xpm-1990-06-19-mn-52-story.html" xr:uid="{00000000-0004-0000-0500-000040010000}"/>
    <hyperlink ref="F250" r:id="rId322" display="https://www.latimes.com/archives/la-xpm-1990-06-19-mn-52-story.html" xr:uid="{00000000-0004-0000-0500-000041010000}"/>
    <hyperlink ref="F251" r:id="rId323" display="https://www.latimes.com/archives/la-xpm-1990-06-19-mn-52-story.html" xr:uid="{00000000-0004-0000-0500-000042010000}"/>
    <hyperlink ref="F252" r:id="rId324" display="https://www.latimes.com/archives/la-xpm-1990-06-19-mn-52-story.html" xr:uid="{00000000-0004-0000-0500-000043010000}"/>
    <hyperlink ref="F253" r:id="rId325" display="https://www.latimes.com/archives/la-xpm-1990-06-19-mn-52-story.html" xr:uid="{00000000-0004-0000-0500-000044010000}"/>
    <hyperlink ref="E254" r:id="rId326" xr:uid="{00000000-0004-0000-0500-000045010000}"/>
    <hyperlink ref="F255" r:id="rId327" display="https://www.nytimes.com/1991/10/11/nyregion/4-slain-in-2-new-jersey-attacks-and-former-postal-clerk-is-held.html?auth=login-email&amp;login=email" xr:uid="{00000000-0004-0000-0500-000046010000}"/>
    <hyperlink ref="F256" r:id="rId328" display="https://www.nytimes.com/1991/10/11/nyregion/4-slain-in-2-new-jersey-attacks-and-former-postal-clerk-is-held.html?auth=login-email&amp;login=email" xr:uid="{00000000-0004-0000-0500-000047010000}"/>
    <hyperlink ref="F257" r:id="rId329" display="https://www.nytimes.com/1991/10/11/nyregion/4-slain-in-2-new-jersey-attacks-and-former-postal-clerk-is-held.html?auth=login-email&amp;login=email" xr:uid="{00000000-0004-0000-0500-000048010000}"/>
    <hyperlink ref="F258" r:id="rId330" display="https://kdhnews.com/news/survivors-reflect-on-oct-luby-s-shooting/article_e2660bfc-d24a-5566-a65f-a67a9fe6365b.html" xr:uid="{00000000-0004-0000-0500-000049010000}"/>
    <hyperlink ref="E259" r:id="rId331" xr:uid="{00000000-0004-0000-0500-00004A010000}"/>
    <hyperlink ref="F259" r:id="rId332" display="https://kdhnews.com/news/survivors-reflect-on-oct-luby-s-shooting/article_e2660bfc-d24a-5566-a65f-a67a9fe6365b.html" xr:uid="{00000000-0004-0000-0500-00004B010000}"/>
    <hyperlink ref="F260" r:id="rId333" display="https://kdhnews.com/news/survivors-reflect-on-oct-luby-s-shooting/article_e2660bfc-d24a-5566-a65f-a67a9fe6365b.html" xr:uid="{00000000-0004-0000-0500-00004C010000}"/>
    <hyperlink ref="F261" r:id="rId334" display="https://kdhnews.com/news/survivors-reflect-on-oct-luby-s-shooting/article_e2660bfc-d24a-5566-a65f-a67a9fe6365b.html" xr:uid="{00000000-0004-0000-0500-00004D010000}"/>
    <hyperlink ref="F262" r:id="rId335" display="https://kdhnews.com/news/survivors-reflect-on-oct-luby-s-shooting/article_e2660bfc-d24a-5566-a65f-a67a9fe6365b.html" xr:uid="{00000000-0004-0000-0500-00004E010000}"/>
    <hyperlink ref="H262" r:id="rId336" display="https://www.findagrave.com/memorial/716462/alphonse-gratia" xr:uid="{00000000-0004-0000-0500-00004F010000}"/>
    <hyperlink ref="F263" r:id="rId337" display="https://kdhnews.com/news/survivors-reflect-on-oct-luby-s-shooting/article_e2660bfc-d24a-5566-a65f-a67a9fe6365b.html" xr:uid="{00000000-0004-0000-0500-000050010000}"/>
    <hyperlink ref="F264" r:id="rId338" display="https://kdhnews.com/news/survivors-reflect-on-oct-luby-s-shooting/article_e2660bfc-d24a-5566-a65f-a67a9fe6365b.html" xr:uid="{00000000-0004-0000-0500-000051010000}"/>
    <hyperlink ref="F265" r:id="rId339" display="https://kdhnews.com/news/survivors-reflect-on-oct-luby-s-shooting/article_e2660bfc-d24a-5566-a65f-a67a9fe6365b.html" xr:uid="{00000000-0004-0000-0500-000052010000}"/>
    <hyperlink ref="E266" r:id="rId340" xr:uid="{00000000-0004-0000-0500-000053010000}"/>
    <hyperlink ref="F266" r:id="rId341" display="https://kdhnews.com/news/survivors-reflect-on-oct-luby-s-shooting/article_e2660bfc-d24a-5566-a65f-a67a9fe6365b.html" xr:uid="{00000000-0004-0000-0500-000054010000}"/>
    <hyperlink ref="E267" r:id="rId342" xr:uid="{00000000-0004-0000-0500-000055010000}"/>
    <hyperlink ref="F267" r:id="rId343" display="https://kdhnews.com/news/survivors-reflect-on-oct-luby-s-shooting/article_e2660bfc-d24a-5566-a65f-a67a9fe6365b.html" xr:uid="{00000000-0004-0000-0500-000056010000}"/>
    <hyperlink ref="E268" r:id="rId344" xr:uid="{00000000-0004-0000-0500-000057010000}"/>
    <hyperlink ref="F268" r:id="rId345" display="https://kdhnews.com/news/survivors-reflect-on-oct-luby-s-shooting/article_e2660bfc-d24a-5566-a65f-a67a9fe6365b.html" xr:uid="{00000000-0004-0000-0500-000058010000}"/>
    <hyperlink ref="E269" r:id="rId346" xr:uid="{00000000-0004-0000-0500-000059010000}"/>
    <hyperlink ref="F269" r:id="rId347" display="https://kdhnews.com/news/survivors-reflect-on-oct-luby-s-shooting/article_e2660bfc-d24a-5566-a65f-a67a9fe6365b.html" xr:uid="{00000000-0004-0000-0500-00005A010000}"/>
    <hyperlink ref="F271" r:id="rId348" display="https://apnews.com/178201fa52edf751489ca0bdf15ca772" xr:uid="{00000000-0004-0000-0500-00005B010000}"/>
    <hyperlink ref="H271" r:id="rId349" display="https://www.findagrave.com/memorial/87613980/ruth-marie-pujol" xr:uid="{00000000-0004-0000-0500-00005C010000}"/>
    <hyperlink ref="F272" r:id="rId350" display="https://apnews.com/178201fa52edf751489ca0bdf15ca772" xr:uid="{00000000-0004-0000-0500-00005D010000}"/>
    <hyperlink ref="F273" r:id="rId351" display="https://apnews.com/178201fa52edf751489ca0bdf15ca772" xr:uid="{00000000-0004-0000-0500-00005E010000}"/>
    <hyperlink ref="H273" r:id="rId352" display="https://www.findagrave.com/memorial/1134585/john-raymond-romero" xr:uid="{00000000-0004-0000-0500-00005F010000}"/>
    <hyperlink ref="G275" r:id="rId353" display="https://apnews.com/178201fa52edf751489ca0bdf15ca772" xr:uid="{00000000-0004-0000-0500-000060010000}"/>
    <hyperlink ref="F276" r:id="rId354" display="https://kdhnews.com/news/survivors-reflect-on-oct-luby-s-shooting/article_e2660bfc-d24a-5566-a65f-a67a9fe6365b.html" xr:uid="{00000000-0004-0000-0500-000061010000}"/>
    <hyperlink ref="F277" r:id="rId355" display="https://apnews.com/178201fa52edf751489ca0bdf15ca772" xr:uid="{00000000-0004-0000-0500-000062010000}"/>
    <hyperlink ref="E278" r:id="rId356" xr:uid="{00000000-0004-0000-0500-000063010000}"/>
    <hyperlink ref="F278" r:id="rId357" display="https://kdhnews.com/news/survivors-reflect-on-oct-luby-s-shooting/article_e2660bfc-d24a-5566-a65f-a67a9fe6365b.html" xr:uid="{00000000-0004-0000-0500-000064010000}"/>
    <hyperlink ref="F279" r:id="rId358" display="https://apnews.com/178201fa52edf751489ca0bdf15ca772" xr:uid="{00000000-0004-0000-0500-000065010000}"/>
    <hyperlink ref="F280" r:id="rId359" display="https://kdhnews.com/news/survivors-reflect-on-oct-luby-s-shooting/article_e2660bfc-d24a-5566-a65f-a67a9fe6365b.html" xr:uid="{00000000-0004-0000-0500-000066010000}"/>
    <hyperlink ref="F281" r:id="rId360" display="https://www.findagrave.com/memorial/75579964/theresa-anne-cleary" xr:uid="{00000000-0004-0000-0500-000067010000}"/>
    <hyperlink ref="H281" r:id="rId361" display="https://www.desmoinesregister.com/story/news/2018/11/01/gang-lu-shooting-university-iowa-campus-iowa-city-guns-handgun-jessup-hall-van-allen-jessup-hall/1847462002/" xr:uid="{00000000-0004-0000-0500-000068010000}"/>
    <hyperlink ref="F282" r:id="rId362" display="https://www.desmoinesregister.com/story/news/2018/11/01/gang-lu-shooting-university-iowa-campus-iowa-city-guns-handgun-jessup-hall-van-allen-jessup-hall/1847462002/" xr:uid="{00000000-0004-0000-0500-000069010000}"/>
    <hyperlink ref="F283" r:id="rId363" display="https://www.desmoinesregister.com/story/news/2018/11/01/gang-lu-shooting-university-iowa-campus-iowa-city-guns-handgun-jessup-hall-van-allen-jessup-hall/1847462002/" xr:uid="{00000000-0004-0000-0500-00006A010000}"/>
    <hyperlink ref="F284" r:id="rId364" display="https://www.desmoinesregister.com/story/news/2018/11/01/gang-lu-shooting-university-iowa-campus-iowa-city-guns-handgun-jessup-hall-van-allen-jessup-hall/1847462002/" xr:uid="{00000000-0004-0000-0500-00006B010000}"/>
    <hyperlink ref="F285" r:id="rId365" display="https://www.desmoinesregister.com/story/news/2018/11/01/gang-lu-shooting-university-iowa-campus-iowa-city-guns-handgun-jessup-hall-van-allen-jessup-hall/1847462002/" xr:uid="{00000000-0004-0000-0500-00006C010000}"/>
    <hyperlink ref="E286" r:id="rId366" xr:uid="{00000000-0004-0000-0500-00006D010000}"/>
    <hyperlink ref="F286" r:id="rId367" display="https://www.washingtonpost.com/archive/politics/1991/11/11/gunman-kills-four-and-self-in-kentucky/c3111990-c0ec-48f8-9200-4fa837a1dba4/" xr:uid="{00000000-0004-0000-0500-00006E010000}"/>
    <hyperlink ref="E287" r:id="rId368" xr:uid="{00000000-0004-0000-0500-00006F010000}"/>
    <hyperlink ref="F287" r:id="rId369" display="https://www.washingtonpost.com/archive/politics/1991/11/11/gunman-kills-four-and-self-in-kentucky/c3111990-c0ec-48f8-9200-4fa837a1dba4/" xr:uid="{00000000-0004-0000-0500-000070010000}"/>
    <hyperlink ref="F288" r:id="rId370" display="https://www.washingtonpost.com/archive/politics/1991/11/11/gunman-kills-four-and-self-in-kentucky/c3111990-c0ec-48f8-9200-4fa837a1dba4/" xr:uid="{00000000-0004-0000-0500-000071010000}"/>
    <hyperlink ref="E289" r:id="rId371" xr:uid="{00000000-0004-0000-0500-000072010000}"/>
    <hyperlink ref="F289" r:id="rId372" display="https://www.washingtonpost.com/archive/politics/1991/11/11/gunman-kills-four-and-self-in-kentucky/c3111990-c0ec-48f8-9200-4fa837a1dba4/" xr:uid="{00000000-0004-0000-0500-000073010000}"/>
    <hyperlink ref="E290" r:id="rId373" xr:uid="{00000000-0004-0000-0500-000074010000}"/>
    <hyperlink ref="F290" r:id="rId374" display="https://www.nytimes.com/1991/11/15/us/ex-postal-worker-kills-3-and-wounds-6-in-michigan.html" xr:uid="{00000000-0004-0000-0500-000075010000}"/>
    <hyperlink ref="I290" r:id="rId375" location="v=onepage&amp;q=thomas%20mcilvane&amp;f=false" display="https://books.google.com/books?id=FdtZf_Ns9QwC&amp;pg=PA104&amp;lpg=PA104&amp;dq=thomas+mcilvane&amp;source=bl&amp;ots=jqDpBPxU7N&amp;sig=ACfU3U3qhlxo37tCa8CehCmUlasU5Txe5A&amp;hl=en&amp;sa=X&amp;ved=2ahUKEwia9bD7xczkAhUOEqwKHbX8Dko4ChDoATACegQIBxAB - v=onepage&amp;q=thomas%20mcilvane&amp;f=false" xr:uid="{00000000-0004-0000-0500-000076010000}"/>
    <hyperlink ref="E291" r:id="rId376" xr:uid="{00000000-0004-0000-0500-000077010000}"/>
    <hyperlink ref="F291" r:id="rId377" display="https://www.nytimes.com/1991/11/15/us/ex-postal-worker-kills-3-and-wounds-6-in-michigan.html" xr:uid="{00000000-0004-0000-0500-000078010000}"/>
    <hyperlink ref="I291" r:id="rId378" location="v=onepage&amp;q=thomas%20mcilvane&amp;f=false" display="https://books.google.com/books?id=FdtZf_Ns9QwC&amp;pg=PA104&amp;lpg=PA104&amp;dq=thomas+mcilvane&amp;source=bl&amp;ots=jqDpBPxU7N&amp;sig=ACfU3U3qhlxo37tCa8CehCmUlasU5Txe5A&amp;hl=en&amp;sa=X&amp;ved=2ahUKEwia9bD7xczkAhUOEqwKHbX8Dko4ChDoATACegQIBxAB - v=onepage&amp;q=thomas%20mcilvane&amp;f=false" xr:uid="{00000000-0004-0000-0500-000079010000}"/>
    <hyperlink ref="F292" r:id="rId379" display="https://www.nytimes.com/1991/11/15/us/ex-postal-worker-kills-3-and-wounds-6-in-michigan.html" xr:uid="{00000000-0004-0000-0500-00007A010000}"/>
    <hyperlink ref="I292" r:id="rId380" location="v=onepage&amp;q=thomas%20mcilvane&amp;f=false" display="https://books.google.com/books?id=FdtZf_Ns9QwC&amp;pg=PA104&amp;lpg=PA104&amp;dq=thomas+mcilvane&amp;source=bl&amp;ots=jqDpBPxU7N&amp;sig=ACfU3U3qhlxo37tCa8CehCmUlasU5Txe5A&amp;hl=en&amp;sa=X&amp;ved=2ahUKEwia9bD7xczkAhUOEqwKHbX8Dko4ChDoATACegQIBxAB - v=onepage&amp;q=thomas%20mcilvane&amp;f=false" xr:uid="{00000000-0004-0000-0500-00007B010000}"/>
    <hyperlink ref="F293" r:id="rId381" display="https://www.pressreader.com/usa/the-detroit-news/20111114/281505043015872" xr:uid="{00000000-0004-0000-0500-00007C010000}"/>
    <hyperlink ref="I293" r:id="rId382" location="v=onepage&amp;q=thomas%20mcilvane&amp;f=false" display="https://books.google.com/books?id=FdtZf_Ns9QwC&amp;pg=PA104&amp;lpg=PA104&amp;dq=thomas+mcilvane&amp;source=bl&amp;ots=jqDpBPxU7N&amp;sig=ACfU3U3qhlxo37tCa8CehCmUlasU5Txe5A&amp;hl=en&amp;sa=X&amp;ved=2ahUKEwia9bD7xczkAhUOEqwKHbX8Dko4ChDoATACegQIBxAB - v=onepage&amp;q=thomas%20mcilvane&amp;f=false" xr:uid="{00000000-0004-0000-0500-00007D010000}"/>
    <hyperlink ref="F296" r:id="rId383" display="https://casetext.com/case/rogovich-v-schriro-2" xr:uid="{00000000-0004-0000-0500-00007E010000}"/>
    <hyperlink ref="H296" r:id="rId384" display="https://www.findagrave.com/memorial/115011449/tekleberhan-manna" xr:uid="{00000000-0004-0000-0500-00007F010000}"/>
    <hyperlink ref="F298" r:id="rId385" display="https://www.sacbee.com/news/local/crime/article203031444.html" xr:uid="{00000000-0004-0000-0500-000080010000}"/>
    <hyperlink ref="H298" r:id="rId386" display="https://www.findagrave.com/memorial/28472116/robert-brens" xr:uid="{00000000-0004-0000-0500-000081010000}"/>
    <hyperlink ref="I298" r:id="rId387" display="https://schoolshooters.info/sites/default/files/California-v-Houston-2007.pdf" xr:uid="{00000000-0004-0000-0500-000082010000}"/>
    <hyperlink ref="F299" r:id="rId388" display="https://www.sacbee.com/news/local/crime/article203031444.html" xr:uid="{00000000-0004-0000-0500-000083010000}"/>
    <hyperlink ref="H299" r:id="rId389" display="https://www.findagrave.com/memorial/27618286/judith-marion-davis" xr:uid="{00000000-0004-0000-0500-000084010000}"/>
    <hyperlink ref="I299" r:id="rId390" display="https://schoolshooters.info/sites/default/files/California-v-Houston-2007.pdf" xr:uid="{00000000-0004-0000-0500-000085010000}"/>
    <hyperlink ref="F300" r:id="rId391" display="https://www.sacbee.com/news/local/crime/article203031444.html" xr:uid="{00000000-0004-0000-0500-000086010000}"/>
    <hyperlink ref="H300" r:id="rId392" display="https://www.findagrave.com/memorial/20609707/beamon-aton-hill" xr:uid="{00000000-0004-0000-0500-000087010000}"/>
    <hyperlink ref="I300" r:id="rId393" display="https://schoolshooters.info/sites/default/files/California-v-Houston-2007.pdf" xr:uid="{00000000-0004-0000-0500-000088010000}"/>
    <hyperlink ref="F301" r:id="rId394" display="https://www.sacbee.com/news/local/crime/article203031444.html" xr:uid="{00000000-0004-0000-0500-000089010000}"/>
    <hyperlink ref="H301" r:id="rId395" display="https://www.findagrave.com/memorial/28472122/jason-edward-white" xr:uid="{00000000-0004-0000-0500-00008A010000}"/>
    <hyperlink ref="I301" r:id="rId396" display="https://schoolshooters.info/sites/default/files/California-v-Houston-2007.pdf" xr:uid="{00000000-0004-0000-0500-00008B010000}"/>
    <hyperlink ref="F302" r:id="rId397" location="v=onepage&amp;q=john%20miller%20mass%20shooting%201992%20victim%20denise&amp;f=false" display="https://books.google.com/books?id=loF2dHl2MJcC&amp;pg=PA199&amp;lpg=PA199&amp;dq=john+miller+mass+shooting+1992+victim+denise&amp;source=bl&amp;ots=bff_VddSUC&amp;sig=ACfU3U2IzdlkeiqFIqtYffObWz8y4Phz9Q&amp;hl=en&amp;ppis=_e&amp;sa=X&amp;ved=2ahUKEwj-8sGh86boAhXPXM0KHUFRBUIQ6AEwA3oECAwQAQ - v=onepage&amp;q=john%20miller%20mass%20shooting%201992%20victim%20denise&amp;f=false" xr:uid="{00000000-0004-0000-0500-00008C010000}"/>
    <hyperlink ref="G302" r:id="rId398" display="https://www.nytimes.com/1992/10/16/nyregion/gunman-kills-4-who-collected-child-payments.html" xr:uid="{00000000-0004-0000-0500-00008D010000}"/>
    <hyperlink ref="F303" r:id="rId399" location="v=onepage&amp;q=john%20miller%20mass%20shooting%201992%20victim%20denise&amp;f=false" display="https://books.google.com/books?id=loF2dHl2MJcC&amp;pg=PA199&amp;lpg=PA199&amp;dq=john+miller+mass+shooting+1992+victim+denise&amp;source=bl&amp;ots=bff_VddSUC&amp;sig=ACfU3U2IzdlkeiqFIqtYffObWz8y4Phz9Q&amp;hl=en&amp;ppis=_e&amp;sa=X&amp;ved=2ahUKEwj-8sGh86boAhXPXM0KHUFRBUIQ6AEwA3oECAwQAQ - v=onepage&amp;q=john%20miller%20mass%20shooting%201992%20victim%20denise&amp;f=false" xr:uid="{00000000-0004-0000-0500-00008E010000}"/>
    <hyperlink ref="F304" r:id="rId400" location="v=onepage&amp;q=john%20miller%20mass%20shooting%201992%20victim%20denise&amp;f=false" display="https://books.google.com/books?id=loF2dHl2MJcC&amp;pg=PA199&amp;lpg=PA199&amp;dq=john+miller+mass+shooting+1992+victim+denise&amp;source=bl&amp;ots=bff_VddSUC&amp;sig=ACfU3U2IzdlkeiqFIqtYffObWz8y4Phz9Q&amp;hl=en&amp;ppis=_e&amp;sa=X&amp;ved=2ahUKEwj-8sGh86boAhXPXM0KHUFRBUIQ6AEwA3oECAwQAQ - v=onepage&amp;q=john%20miller%20mass%20shooting%201992%20victim%20denise&amp;f=false" xr:uid="{00000000-0004-0000-0500-00008F010000}"/>
    <hyperlink ref="G304" r:id="rId401" display="https://www.nytimes.com/1992/10/16/nyregion/gunman-kills-4-who-collected-child-payments.html" xr:uid="{00000000-0004-0000-0500-000090010000}"/>
    <hyperlink ref="F305" r:id="rId402" location="v=onepage&amp;q=john%20miller%20mass%20shooting%201992%20victim%20denise&amp;f=false" display="https://books.google.com/books?id=loF2dHl2MJcC&amp;pg=PA199&amp;lpg=PA199&amp;dq=john+miller+mass+shooting+1992+victim+denise&amp;source=bl&amp;ots=bff_VddSUC&amp;sig=ACfU3U2IzdlkeiqFIqtYffObWz8y4Phz9Q&amp;hl=en&amp;ppis=_e&amp;sa=X&amp;ved=2ahUKEwj-8sGh86boAhXPXM0KHUFRBUIQ6AEwA3oECAwQAQ - v=onepage&amp;q=john%20miller%20mass%20shooting%201992%20victim%20denise&amp;f=false" xr:uid="{00000000-0004-0000-0500-000091010000}"/>
    <hyperlink ref="G305" r:id="rId403" display="https://www.nytimes.com/1992/10/16/nyregion/gunman-kills-4-who-collected-child-payments.html" xr:uid="{00000000-0004-0000-0500-000092010000}"/>
    <hyperlink ref="F306" r:id="rId404" display="https://www.nytimes.com/1992/11/09/us/gunman-kills-6-then-himself-in-california.html" xr:uid="{00000000-0004-0000-0500-000093010000}"/>
    <hyperlink ref="I306" r:id="rId405" display="https://www.latimes.com/archives/la-xpm-1992-11-09-mn-151-story.html" xr:uid="{00000000-0004-0000-0500-000094010000}"/>
    <hyperlink ref="F307" r:id="rId406" display="https://www.latimes.com/archives/la-xpm-1992-11-09-mn-151-story.html" xr:uid="{00000000-0004-0000-0500-000095010000}"/>
    <hyperlink ref="F308" r:id="rId407" display="https://www.latimes.com/archives/la-xpm-1992-11-09-mn-151-story.html" xr:uid="{00000000-0004-0000-0500-000096010000}"/>
    <hyperlink ref="F309" r:id="rId408" display="https://www.upi.com/Archives/1992/11/09/Man-kills-six-in-shooting-spree-takes-own-life/8024721285200/" xr:uid="{00000000-0004-0000-0500-000097010000}"/>
    <hyperlink ref="I309" r:id="rId409" display="https://www.latimes.com/archives/la-xpm-1992-11-09-mn-151-story.html" xr:uid="{00000000-0004-0000-0500-000098010000}"/>
    <hyperlink ref="F310" r:id="rId410" display="https://www.latimes.com/archives/la-xpm-1992-11-09-mn-151-story.html" xr:uid="{00000000-0004-0000-0500-000099010000}"/>
    <hyperlink ref="F311" r:id="rId411" display="https://www.nytimes.com/1992/11/09/us/gunman-kills-6-then-himself-in-california.html" xr:uid="{00000000-0004-0000-0500-00009A010000}"/>
    <hyperlink ref="F312" r:id="rId412" display="https://www.nytimes.com/1993/07/03/us/the-broker-who-killed-8-gunman-s-motives-a-puzzle.html" xr:uid="{00000000-0004-0000-0500-00009B010000}"/>
    <hyperlink ref="I312" r:id="rId413" display="https://www.nytimes.com/1993/07/07/us/victims-of-chance-in-deadly-rampage.html" xr:uid="{00000000-0004-0000-0500-00009C010000}"/>
    <hyperlink ref="F313" r:id="rId414" display="https://www.nytimes.com/1993/07/03/us/the-broker-who-killed-8-gunman-s-motives-a-puzzle.html" xr:uid="{00000000-0004-0000-0500-00009D010000}"/>
    <hyperlink ref="H313" r:id="rId415" location="photo-15801137" display="https://www.sfchronicle.com/politics/article/Woman-recalls-death-of-husband-on-25th-13040586.php - photo-15801137" xr:uid="{00000000-0004-0000-0500-00009E010000}"/>
    <hyperlink ref="F314" r:id="rId416" display="https://www.nytimes.com/1993/07/07/us/victims-of-chance-in-deadly-rampage.html" xr:uid="{00000000-0004-0000-0500-00009F010000}"/>
    <hyperlink ref="I314" r:id="rId417" display="https://www.nytimes.com/1993/07/07/us/victims-of-chance-in-deadly-rampage.html" xr:uid="{00000000-0004-0000-0500-0000A0010000}"/>
    <hyperlink ref="F315" r:id="rId418" display="https://www.nytimes.com/1993/07/03/us/the-broker-who-killed-8-gunman-s-motives-a-puzzle.html" xr:uid="{00000000-0004-0000-0500-0000A1010000}"/>
    <hyperlink ref="H315" r:id="rId419" display="http://www.zpub.com/sf/1993/ferrib.html" xr:uid="{00000000-0004-0000-0500-0000A2010000}"/>
    <hyperlink ref="I315" r:id="rId420" display="https://www.nytimes.com/1993/07/07/us/victims-of-chance-in-deadly-rampage.html" xr:uid="{00000000-0004-0000-0500-0000A3010000}"/>
    <hyperlink ref="F316" r:id="rId421" display="https://www.nytimes.com/1993/07/03/us/the-broker-who-killed-8-gunman-s-motives-a-puzzle.html" xr:uid="{00000000-0004-0000-0500-0000A4010000}"/>
    <hyperlink ref="H316" r:id="rId422" display="http://www.zpub.com/sf/1993/ferrib.html" xr:uid="{00000000-0004-0000-0500-0000A5010000}"/>
    <hyperlink ref="I316" r:id="rId423" display="https://www.nytimes.com/1993/07/07/us/victims-of-chance-in-deadly-rampage.html" xr:uid="{00000000-0004-0000-0500-0000A6010000}"/>
    <hyperlink ref="F317" r:id="rId424" display="https://www.nytimes.com/1993/07/03/us/the-broker-who-killed-8-gunman-s-motives-a-puzzle.html" xr:uid="{00000000-0004-0000-0500-0000A7010000}"/>
    <hyperlink ref="H317" r:id="rId425" display="https://www.sfchronicle.com/nation/article/legacy-of-93-SF-rampage-13038894.php" xr:uid="{00000000-0004-0000-0500-0000A8010000}"/>
    <hyperlink ref="I317" r:id="rId426" display="https://www.nytimes.com/1993/07/07/us/victims-of-chance-in-deadly-rampage.html" xr:uid="{00000000-0004-0000-0500-0000A9010000}"/>
    <hyperlink ref="F318" r:id="rId427" display="https://www.nytimes.com/1993/07/03/us/the-broker-who-killed-8-gunman-s-motives-a-puzzle.html" xr:uid="{00000000-0004-0000-0500-0000AA010000}"/>
    <hyperlink ref="H318" r:id="rId428" display="https://www.nbcbayarea.com/news/local/101-california-shooting-20-years-later/1948118/" xr:uid="{00000000-0004-0000-0500-0000AB010000}"/>
    <hyperlink ref="F319" r:id="rId429" display="https://www.nytimes.com/1993/07/03/us/the-broker-who-killed-8-gunman-s-motives-a-puzzle.html" xr:uid="{00000000-0004-0000-0500-0000AC010000}"/>
    <hyperlink ref="H319" r:id="rId430" display="http://www.zpub.com/sf/1993/ferrib.html" xr:uid="{00000000-0004-0000-0500-0000AD010000}"/>
    <hyperlink ref="I319" r:id="rId431" display="https://www.nytimes.com/1993/07/07/us/victims-of-chance-in-deadly-rampage.html" xr:uid="{00000000-0004-0000-0500-0000AE010000}"/>
    <hyperlink ref="F320" r:id="rId432" display="https://www.nytimes.com/1993/08/08/us/soldier-kills-4-people-and-hurts-6-in-a-restaurant-in-north-carolina.html" xr:uid="{00000000-0004-0000-0500-0000AF010000}"/>
    <hyperlink ref="H320" r:id="rId433" display="https://www.fayobserver.com/news/20190806/from-archives-26-years-ago-today-tragedy-at-luigis" xr:uid="{00000000-0004-0000-0500-0000B0010000}"/>
    <hyperlink ref="F321" r:id="rId434" display="https://www.nytimes.com/1993/08/08/us/soldier-kills-4-people-and-hurts-6-in-a-restaurant-in-north-carolina.html" xr:uid="{00000000-0004-0000-0500-0000B1010000}"/>
    <hyperlink ref="H321" r:id="rId435" display="https://www.fayobserver.com/news/20190806/from-archives-26-years-ago-today-tragedy-at-luigis" xr:uid="{00000000-0004-0000-0500-0000B2010000}"/>
    <hyperlink ref="F322" r:id="rId436" display="https://www.nytimes.com/1993/08/08/us/soldier-kills-4-people-and-hurts-6-in-a-restaurant-in-north-carolina.html" xr:uid="{00000000-0004-0000-0500-0000B3010000}"/>
    <hyperlink ref="F323" r:id="rId437" display="https://www.nytimes.com/1993/08/08/us/soldier-kills-4-people-and-hurts-6-in-a-restaurant-in-north-carolina.html" xr:uid="{00000000-0004-0000-0500-0000B4010000}"/>
    <hyperlink ref="F324" r:id="rId438" display="https://apnews.com/22aa69037e3f2cbe1c3331ac73299022" xr:uid="{00000000-0004-0000-0500-0000B5010000}"/>
    <hyperlink ref="F325" r:id="rId439" display="https://www.latimes.com/archives/la-xpm-1993-10-15-mn-45964-story.html" xr:uid="{00000000-0004-0000-0500-0000B6010000}"/>
    <hyperlink ref="F326" r:id="rId440" display="https://www.latimes.com/archives/la-xpm-1993-10-15-mn-45964-story.html" xr:uid="{00000000-0004-0000-0500-0000B7010000}"/>
    <hyperlink ref="F327" r:id="rId441" display="https://www.latimes.com/archives/la-xpm-1993-10-15-mn-45964-story.html" xr:uid="{00000000-0004-0000-0500-0000B8010000}"/>
    <hyperlink ref="E328" r:id="rId442" xr:uid="{00000000-0004-0000-0500-0000B9010000}"/>
    <hyperlink ref="F328" r:id="rId443" display="https://www.latimes.com/archives/la-xpm-1993-12-03-mn-63506-story.html" xr:uid="{00000000-0004-0000-0500-0000BA010000}"/>
    <hyperlink ref="F329" r:id="rId444" display="https://www.latimes.com/archives/la-xpm-1993-12-03-mn-63506-story.html" xr:uid="{00000000-0004-0000-0500-0000BB010000}"/>
    <hyperlink ref="F330" r:id="rId445" display="https://www.latimes.com/archives/la-xpm-1993-12-03-mn-63506-story.html" xr:uid="{00000000-0004-0000-0500-0000BC010000}"/>
    <hyperlink ref="H330" r:id="rId446" display="https://www.latimes.com/archives/la-xpm-1993-12-04-me-63798-story.html" xr:uid="{00000000-0004-0000-0500-0000BD010000}"/>
    <hyperlink ref="I330" r:id="rId447" display="http://archive.vcstar.com/news/shattered-lives-ep-371064179-352927291.html/" xr:uid="{00000000-0004-0000-0500-0000BE010000}"/>
    <hyperlink ref="F331" r:id="rId448" display="https://www.latimes.com/archives/la-xpm-1993-12-03-mn-63506-story.html" xr:uid="{00000000-0004-0000-0500-0000BF010000}"/>
    <hyperlink ref="H331" r:id="rId449" display="https://www.latimes.com/archives/la-xpm-1993-12-04-me-63798-story.html" xr:uid="{00000000-0004-0000-0500-0000C0010000}"/>
    <hyperlink ref="I331" r:id="rId450" display="http://archive.vcstar.com/news/shattered-lives-ep-371064179-352927291.html/" xr:uid="{00000000-0004-0000-0500-0000C1010000}"/>
    <hyperlink ref="F332" r:id="rId451" display="https://nypost.com/2013/11/24/victims-families-still-in-mouring-20-years-after-lirr-massacre/" xr:uid="{00000000-0004-0000-0500-0000C2010000}"/>
    <hyperlink ref="F333" r:id="rId452" display="https://www.nytimes.com/1993/12/09/nyregion/death-lirr-overview-portrait-suspect-emerges-shooting-li-train.html" xr:uid="{00000000-0004-0000-0500-0000C3010000}"/>
    <hyperlink ref="F334" r:id="rId453" display="https://nypost.com/2013/11/24/victims-families-still-in-mouring-20-years-after-lirr-massacre/" xr:uid="{00000000-0004-0000-0500-0000C4010000}"/>
    <hyperlink ref="G334" r:id="rId454" display="https://www.nytimes.com/1993/12/11/nyregion/death-on-lirr-gathering-to-mourn-lives-lost-on-train.html" xr:uid="{00000000-0004-0000-0500-0000C5010000}"/>
    <hyperlink ref="F335" r:id="rId455" display="https://www.nytimes.com/1993/12/09/nyregion/death-lirr-overview-portrait-suspect-emerges-shooting-li-train.html" xr:uid="{00000000-0004-0000-0500-0000C6010000}"/>
    <hyperlink ref="H335" r:id="rId456" display="https://apnews.com/3d7d387169b7a94f5e6d1ec3c7cc00af" xr:uid="{00000000-0004-0000-0500-0000C7010000}"/>
    <hyperlink ref="F336" r:id="rId457" display="https://www.findagrave.com/memorial/11890/dennis-f_-mccarthy" xr:uid="{00000000-0004-0000-0500-0000C8010000}"/>
    <hyperlink ref="E337" r:id="rId458" xr:uid="{00000000-0004-0000-0500-0000C9010000}"/>
    <hyperlink ref="F337" r:id="rId459" display="https://www.nytimes.com/1993/12/09/nyregion/death-lirr-overview-portrait-suspect-emerges-shooting-li-train.html" xr:uid="{00000000-0004-0000-0500-0000CA010000}"/>
    <hyperlink ref="F338" r:id="rId460" display="https://www.nytimes.com/1993/12/16/us/gunman-kills-4-workers-at-colorado-restaurant.html" xr:uid="{00000000-0004-0000-0500-0000CB010000}"/>
    <hyperlink ref="H338" r:id="rId461" display="https://www.denverpost.com/2013/02/21/slaughter-in-aurora-the-victims/" xr:uid="{00000000-0004-0000-0500-0000CC010000}"/>
    <hyperlink ref="F339" r:id="rId462" display="https://www.nytimes.com/1993/12/16/us/gunman-kills-4-workers-at-colorado-restaurant.html" xr:uid="{00000000-0004-0000-0500-0000CD010000}"/>
    <hyperlink ref="H339" r:id="rId463" display="https://www.findagrave.com/memorial/69092460/benjamin-j_-grant" xr:uid="{00000000-0004-0000-0500-0000CE010000}"/>
    <hyperlink ref="F340" r:id="rId464" display="https://abcnews.go.com/US/auroras-massacre-victims-20-year-wait-justice/story?id=16847013" xr:uid="{00000000-0004-0000-0500-0000CF010000}"/>
    <hyperlink ref="H340" r:id="rId465" display="https://www.denverpost.com/2013/06/13/victims-kin-hickenlooper-misused-his-office-in-dunlap-case/" xr:uid="{00000000-0004-0000-0500-0000D0010000}"/>
    <hyperlink ref="F341" r:id="rId466" display="https://www.nytimes.com/1993/12/16/us/gunman-kills-4-workers-at-colorado-restaurant.html" xr:uid="{00000000-0004-0000-0500-0000D1010000}"/>
    <hyperlink ref="H341" r:id="rId467" display="https://www.findagrave.com/memorial/99379107/colleen-rose-o_connor" xr:uid="{00000000-0004-0000-0500-0000D2010000}"/>
    <hyperlink ref="F342" r:id="rId468" display="https://www.nytimes.com/1994/06/22/us/an-airman-s-revenge-5-minutes-of-terror.html" xr:uid="{00000000-0004-0000-0500-0000D3010000}"/>
    <hyperlink ref="H342" r:id="rId469" display="https://www.spokesman.com/galleries/2010/jun/17/looking-back-fairchild-shootings/" xr:uid="{00000000-0004-0000-0500-0000D4010000}"/>
    <hyperlink ref="F343" r:id="rId470" display="https://www.nytimes.com/1994/06/22/us/an-airman-s-revenge-5-minutes-of-terror.html" xr:uid="{00000000-0004-0000-0500-0000D5010000}"/>
    <hyperlink ref="F344" r:id="rId471" display="https://www.nytimes.com/1994/06/22/us/an-airman-s-revenge-5-minutes-of-terror.html" xr:uid="{00000000-0004-0000-0500-0000D6010000}"/>
    <hyperlink ref="F345" r:id="rId472" display="https://www.nytimes.com/1994/06/22/us/an-airman-s-revenge-5-minutes-of-terror.html" xr:uid="{00000000-0004-0000-0500-0000D7010000}"/>
    <hyperlink ref="H345" r:id="rId473" display="https://www.spokesman.com/galleries/2010/jun/17/looking-back-fairchild-shootings/" xr:uid="{00000000-0004-0000-0500-0000D8010000}"/>
    <hyperlink ref="F346" r:id="rId474" display="https://apnews.com/d0126666cf574fca9f1e9c109cb4c923" xr:uid="{00000000-0004-0000-0500-0000D9010000}"/>
    <hyperlink ref="F347" r:id="rId475" display="https://apnews.com/d0126666cf574fca9f1e9c109cb4c923" xr:uid="{00000000-0004-0000-0500-0000DA010000}"/>
    <hyperlink ref="F348" r:id="rId476" display="https://apnews.com/d0126666cf574fca9f1e9c109cb4c923" xr:uid="{00000000-0004-0000-0500-0000DB010000}"/>
    <hyperlink ref="I348" r:id="rId477" display="https://caselaw.findlaw.com/nc-court-of-appeals/1359423.html" xr:uid="{00000000-0004-0000-0500-0000DC010000}"/>
    <hyperlink ref="F349" r:id="rId478" display="https://apnews.com/d0126666cf574fca9f1e9c109cb4c923" xr:uid="{00000000-0004-0000-0500-0000DD010000}"/>
    <hyperlink ref="F350" r:id="rId479" display="https://apnews.com/d0126666cf574fca9f1e9c109cb4c923" xr:uid="{00000000-0004-0000-0500-0000DE010000}"/>
    <hyperlink ref="I350" r:id="rId480" display="https://caselaw.findlaw.com/nc-court-of-appeals/1359423.html" xr:uid="{00000000-0004-0000-0500-0000DF010000}"/>
    <hyperlink ref="F351" r:id="rId481" display="https://www.nytimes.com/1995/04/04/us/6-die-in-texas-office-shooting.html" xr:uid="{00000000-0004-0000-0500-0000E0010000}"/>
    <hyperlink ref="H351" r:id="rId482" display="https://murderpedia.org/male.S/s/simpson-james-daniel.htm" xr:uid="{00000000-0004-0000-0500-0000E1010000}"/>
    <hyperlink ref="F352" r:id="rId483" display="https://www.nytimes.com/1995/04/04/us/6-die-in-texas-office-shooting.html" xr:uid="{00000000-0004-0000-0500-0000E2010000}"/>
    <hyperlink ref="H352" r:id="rId484" display="https://murderpedia.org/male.S/s/simpson-james-daniel.htm" xr:uid="{00000000-0004-0000-0500-0000E3010000}"/>
    <hyperlink ref="F353" r:id="rId485" display="https://www.nytimes.com/1995/04/04/us/6-die-in-texas-office-shooting.html" xr:uid="{00000000-0004-0000-0500-0000E4010000}"/>
    <hyperlink ref="H353" r:id="rId486" display="https://murderpedia.org/male.S/s/simpson-james-daniel.htm" xr:uid="{00000000-0004-0000-0500-0000E5010000}"/>
    <hyperlink ref="E354" r:id="rId487" xr:uid="{00000000-0004-0000-0500-0000E6010000}"/>
    <hyperlink ref="F354" r:id="rId488" display="https://www.nytimes.com/1995/04/04/us/6-die-in-texas-office-shooting.html" xr:uid="{00000000-0004-0000-0500-0000E7010000}"/>
    <hyperlink ref="H354" r:id="rId489" display="https://murderpedia.org/male.S/s/simpson-james-daniel.htm" xr:uid="{00000000-0004-0000-0500-0000E8010000}"/>
    <hyperlink ref="F355" r:id="rId490" display="https://www.nytimes.com/1995/04/04/us/6-die-in-texas-office-shooting.html" xr:uid="{00000000-0004-0000-0500-0000E9010000}"/>
    <hyperlink ref="H355" r:id="rId491" display="https://murderpedia.org/male.S/s/simpson-james-daniel.htm" xr:uid="{00000000-0004-0000-0500-0000EA010000}"/>
    <hyperlink ref="F356" r:id="rId492" display="https://www.latimes.com/archives/la-xpm-1995-07-20-mn-26055-story.html" xr:uid="{00000000-0004-0000-0500-0000EB010000}"/>
    <hyperlink ref="F357" r:id="rId493" display="https://www.latimes.com/archives/la-xpm-1995-07-20-mn-26055-story.html" xr:uid="{00000000-0004-0000-0500-0000EC010000}"/>
    <hyperlink ref="F358" r:id="rId494" display="https://www.latimes.com/archives/la-xpm-1995-07-20-mn-26055-story.html" xr:uid="{00000000-0004-0000-0500-0000ED010000}"/>
    <hyperlink ref="F359" r:id="rId495" display="https://www.latimes.com/archives/la-xpm-1995-07-20-mn-26055-story.html" xr:uid="{00000000-0004-0000-0500-0000EE010000}"/>
    <hyperlink ref="F360" r:id="rId496" display="https://www.nytimes.com/1995/12/20/us/5-are-killed-by-gunman-in-bronx-shoe-store.html" xr:uid="{00000000-0004-0000-0500-0000EF010000}"/>
    <hyperlink ref="F361" r:id="rId497" display="https://www.nytimes.com/1995/12/20/us/5-are-killed-by-gunman-in-bronx-shoe-store.html" xr:uid="{00000000-0004-0000-0500-0000F0010000}"/>
    <hyperlink ref="F362" r:id="rId498" display="https://www.nytimes.com/1995/12/20/us/5-are-killed-by-gunman-in-bronx-shoe-store.html" xr:uid="{00000000-0004-0000-0500-0000F1010000}"/>
    <hyperlink ref="F363" r:id="rId499" display="https://www.nytimes.com/1995/12/20/us/5-are-killed-by-gunman-in-bronx-shoe-store.html" xr:uid="{00000000-0004-0000-0500-0000F2010000}"/>
    <hyperlink ref="F364" r:id="rId500" display="https://www.nytimes.com/1995/12/21/nyregion/bronx-gunman-was-under-treatment-for-schizophrenia.html" xr:uid="{00000000-0004-0000-0500-0000F3010000}"/>
    <hyperlink ref="F365" r:id="rId501" display="https://apnews.com/cec11122f0b4c232725599b3ae3d7bcf" xr:uid="{00000000-0004-0000-0500-0000F4010000}"/>
    <hyperlink ref="H365" r:id="rId502" display="https://apnews.com/cec11122f0b4c232725599b3ae3d7bcf" xr:uid="{00000000-0004-0000-0500-0000F5010000}"/>
    <hyperlink ref="F366" r:id="rId503" display="https://apnews.com/cec11122f0b4c232725599b3ae3d7bcf" xr:uid="{00000000-0004-0000-0500-0000F6010000}"/>
    <hyperlink ref="H366" r:id="rId504" display="https://apnews.com/cec11122f0b4c232725599b3ae3d7bcf" xr:uid="{00000000-0004-0000-0500-0000F7010000}"/>
    <hyperlink ref="F367" r:id="rId505" display="https://apnews.com/cec11122f0b4c232725599b3ae3d7bcf" xr:uid="{00000000-0004-0000-0500-0000F8010000}"/>
    <hyperlink ref="H367" r:id="rId506" display="https://apnews.com/cec11122f0b4c232725599b3ae3d7bcf" xr:uid="{00000000-0004-0000-0500-0000F9010000}"/>
    <hyperlink ref="F368" r:id="rId507" display="https://apnews.com/cec11122f0b4c232725599b3ae3d7bcf" xr:uid="{00000000-0004-0000-0500-0000FA010000}"/>
    <hyperlink ref="H368" r:id="rId508" display="https://apnews.com/cec11122f0b4c232725599b3ae3d7bcf" xr:uid="{00000000-0004-0000-0500-0000FB010000}"/>
    <hyperlink ref="F369" r:id="rId509" display="https://apnews.com/cec11122f0b4c232725599b3ae3d7bcf" xr:uid="{00000000-0004-0000-0500-0000FC010000}"/>
    <hyperlink ref="H369" r:id="rId510" display="https://apnews.com/cec11122f0b4c232725599b3ae3d7bcf" xr:uid="{00000000-0004-0000-0500-0000FD010000}"/>
    <hyperlink ref="F370" r:id="rId511" display="https://www.latimes.com/archives/la-xpm-1996-04-25-mn-62698-story.html" xr:uid="{00000000-0004-0000-0500-0000FE010000}"/>
    <hyperlink ref="H370" r:id="rId512" display="https://www.wlbt.com/story/18995724/new-book-details-shooting-rampage-at-jackson-fire-station/" xr:uid="{00000000-0004-0000-0500-0000FF010000}"/>
    <hyperlink ref="F371" r:id="rId513" display="https://www.latimes.com/archives/la-xpm-1996-04-25-mn-62698-story.html" xr:uid="{00000000-0004-0000-0500-000000020000}"/>
    <hyperlink ref="H371" r:id="rId514" display="https://www.wlbt.com/story/18995724/new-book-details-shooting-rampage-at-jackson-fire-station/" xr:uid="{00000000-0004-0000-0500-000001020000}"/>
    <hyperlink ref="F372" r:id="rId515" display="https://www.latimes.com/archives/la-xpm-1996-04-25-mn-62698-story.html" xr:uid="{00000000-0004-0000-0500-000002020000}"/>
    <hyperlink ref="H372" r:id="rId516" display="https://www.wlbt.com/story/18995724/new-book-details-shooting-rampage-at-jackson-fire-station/" xr:uid="{00000000-0004-0000-0500-000003020000}"/>
    <hyperlink ref="F373" r:id="rId517" display="https://www.latimes.com/archives/la-xpm-1996-04-25-mn-62698-story.html" xr:uid="{00000000-0004-0000-0500-000004020000}"/>
    <hyperlink ref="H373" r:id="rId518" display="https://www.wlbt.com/story/18995724/new-book-details-shooting-rampage-at-jackson-fire-station/" xr:uid="{00000000-0004-0000-0500-000005020000}"/>
    <hyperlink ref="F374" r:id="rId519" display="https://www.latimes.com/archives/la-xpm-1996-04-25-mn-62698-story.html" xr:uid="{00000000-0004-0000-0500-000006020000}"/>
    <hyperlink ref="F375" r:id="rId520" display="https://www.caledonianrecord.com/news/colebrook-shootings-years-later-remembering-the-victims-and-the-resiliency/article_21ef7759-6d41-5f62-9453-bd94c76d3560.html" xr:uid="{00000000-0004-0000-0500-000007020000}"/>
    <hyperlink ref="I375" r:id="rId521" display="http://content.time.com/time/magazine/article/0,9171,138219,00.html" xr:uid="{00000000-0004-0000-0500-000008020000}"/>
    <hyperlink ref="F376" r:id="rId522" display="https://www.caledonianrecord.com/news/colebrook-shootings-years-later-remembering-the-victims-and-the-resiliency/article_21ef7759-6d41-5f62-9453-bd94c76d3560.html" xr:uid="{00000000-0004-0000-0500-000009020000}"/>
    <hyperlink ref="H376" r:id="rId523" display="https://www.unionleader.com/news/politics/town_meeting/library-named-for-victim-of-spree-killer-carl-drega-to/article_cbefe7c1-aff8-5106-8244-0880382bfa58.html" xr:uid="{00000000-0004-0000-0500-00000A020000}"/>
    <hyperlink ref="I376" r:id="rId524" display="http://content.time.com/time/magazine/article/0,9171,138219,00.html" xr:uid="{00000000-0004-0000-0500-00000B020000}"/>
    <hyperlink ref="F377" r:id="rId525" display="https://www.caledonianrecord.com/news/colebrook-shootings-years-later-remembering-the-victims-and-the-resiliency/article_21ef7759-6d41-5f62-9453-bd94c76d3560.html" xr:uid="{00000000-0004-0000-0500-00000C020000}"/>
    <hyperlink ref="I377" r:id="rId526" display="http://content.time.com/time/magazine/article/0,9171,138219,00.html" xr:uid="{00000000-0004-0000-0500-00000D020000}"/>
    <hyperlink ref="F378" r:id="rId527" display="https://www.caledonianrecord.com/news/colebrook-shootings-years-later-remembering-the-victims-and-the-resiliency/article_21ef7759-6d41-5f62-9453-bd94c76d3560.html" xr:uid="{00000000-0004-0000-0500-00000E020000}"/>
    <hyperlink ref="I378" r:id="rId528" display="http://content.time.com/time/magazine/article/0,9171,138219,00.html" xr:uid="{00000000-0004-0000-0500-00000F020000}"/>
    <hyperlink ref="F379" r:id="rId529" display="https://www.aikenstandard.com/news/twenty-years-later-remembering-the-shooting-at-phelon-plant-in/article_4b5b7132-9983-11e7-b425-9f5c8ce770f8.html" xr:uid="{00000000-0004-0000-0500-000010020000}"/>
    <hyperlink ref="F381" r:id="rId530" display="https://www.aikenstandard.com/news/twenty-years-later-remembering-the-shooting-at-phelon-plant-in/article_4b5b7132-9983-11e7-b425-9f5c8ce770f8.html" xr:uid="{00000000-0004-0000-0500-000011020000}"/>
    <hyperlink ref="H381" r:id="rId531" display="https://murderpedia.org/male.W/w1/wise-hastings-photos.htm" xr:uid="{00000000-0004-0000-0500-000012020000}"/>
    <hyperlink ref="F382" r:id="rId532" display="https://www.aikenstandard.com/news/twenty-years-later-remembering-the-shooting-at-phelon-plant-in/article_4b5b7132-9983-11e7-b425-9f5c8ce770f8.html" xr:uid="{00000000-0004-0000-0500-000013020000}"/>
    <hyperlink ref="F383" r:id="rId533" display="https://www.seattletimes.com/nation-world/families-still-mourning-from-bartow-mass-murder-20-years-ago/" xr:uid="{00000000-0004-0000-0500-000014020000}"/>
    <hyperlink ref="I383" r:id="rId534" display="https://www.theledger.com/news/20170512/fla-supreme-court-sets-aside-death-sentence-for-mass-murderer-nelson-serrano-in-bartow-slayings" xr:uid="{00000000-0004-0000-0500-000015020000}"/>
    <hyperlink ref="F384" r:id="rId535" display="https://www.seattletimes.com/nation-world/families-still-mourning-from-bartow-mass-murder-20-years-ago/" xr:uid="{00000000-0004-0000-0500-000016020000}"/>
    <hyperlink ref="I384" r:id="rId536" display="https://www.theledger.com/news/20170512/fla-supreme-court-sets-aside-death-sentence-for-mass-murderer-nelson-serrano-in-bartow-slayings" xr:uid="{00000000-0004-0000-0500-000017020000}"/>
    <hyperlink ref="F385" r:id="rId537" display="https://www.seattletimes.com/nation-world/families-still-mourning-from-bartow-mass-murder-20-years-ago/" xr:uid="{00000000-0004-0000-0500-000018020000}"/>
    <hyperlink ref="I385" r:id="rId538" display="https://www.theledger.com/news/20170512/fla-supreme-court-sets-aside-death-sentence-for-mass-murderer-nelson-serrano-in-bartow-slayings" xr:uid="{00000000-0004-0000-0500-000019020000}"/>
    <hyperlink ref="F386" r:id="rId539" display="https://www.seattletimes.com/nation-world/families-still-mourning-from-bartow-mass-murder-20-years-ago/" xr:uid="{00000000-0004-0000-0500-00001A020000}"/>
    <hyperlink ref="I386" r:id="rId540" display="https://www.theledger.com/news/20170512/fla-supreme-court-sets-aside-death-sentence-for-mass-murderer-nelson-serrano-in-bartow-slayings" xr:uid="{00000000-0004-0000-0500-00001B020000}"/>
    <hyperlink ref="H387" r:id="rId541" display="https://www.ocregister.com/2011/10/13/seal-beach-shooting-worst-in-oc-history-2/" xr:uid="{00000000-0004-0000-0500-00001C020000}"/>
    <hyperlink ref="I387" r:id="rId542" display="https://www.nytimes.com/1997/12/20/us/dismissed-worker-kills-4-and-then-is-slain.html?mcubz=3" xr:uid="{00000000-0004-0000-0500-00001D020000}"/>
    <hyperlink ref="H388" r:id="rId543" display="https://www.ocregister.com/2011/10/13/seal-beach-shooting-worst-in-oc-history-2/" xr:uid="{00000000-0004-0000-0500-00001E020000}"/>
    <hyperlink ref="I388" r:id="rId544" display="https://www.nytimes.com/1997/12/20/us/dismissed-worker-kills-4-and-then-is-slain.html?mcubz=3" xr:uid="{00000000-0004-0000-0500-00001F020000}"/>
    <hyperlink ref="I389" r:id="rId545" display="https://www.nytimes.com/1997/12/20/us/dismissed-worker-kills-4-and-then-is-slain.html?mcubz=3" xr:uid="{00000000-0004-0000-0500-000020020000}"/>
    <hyperlink ref="F390" r:id="rId546" display="https://www.nytimes.com/1997/12/20/us/dismissed-worker-kills-4-and-then-is-slain.html?mcubz=3" xr:uid="{00000000-0004-0000-0500-000021020000}"/>
    <hyperlink ref="H390" r:id="rId547" display="https://www.ocregister.com/2011/10/13/seal-beach-shooting-worst-in-oc-history-2/" xr:uid="{00000000-0004-0000-0500-000022020000}"/>
    <hyperlink ref="F391" r:id="rId548" display="https://www.latimes.com/archives/la-xpm-1998-mar-07-mn-26407-story.html" xr:uid="{00000000-0004-0000-0500-000023020000}"/>
    <hyperlink ref="F392" r:id="rId549" display="https://www.latimes.com/archives/la-xpm-1998-mar-07-mn-26407-story.html" xr:uid="{00000000-0004-0000-0500-000024020000}"/>
    <hyperlink ref="H392" r:id="rId550" location="photo-15185858" display="https://www.nhregister.com/news/article/Connecticut-Lottery-shootings-20-years-ago-12731552.php - photo-15185858" xr:uid="{00000000-0004-0000-0500-000025020000}"/>
    <hyperlink ref="F393" r:id="rId551" display="https://www.latimes.com/archives/la-xpm-1998-mar-07-mn-26407-story.html" xr:uid="{00000000-0004-0000-0500-000026020000}"/>
    <hyperlink ref="F394" r:id="rId552" display="https://www.latimes.com/archives/la-xpm-1998-mar-07-mn-26407-story.html" xr:uid="{00000000-0004-0000-0500-000027020000}"/>
    <hyperlink ref="F395" r:id="rId553" display="https://www.nytimes.com/1998/03/29/us/from-wild-talk-and-friendship-to-five-deaths-in-a-schoolyard.html?mcubz=0" xr:uid="{00000000-0004-0000-0500-000028020000}"/>
    <hyperlink ref="H395" r:id="rId554" display="https://metro.co.uk/2019/07/29/school-shooter-murdered-four-kids-teacher-11-dies-head-car-crash-10480495/" xr:uid="{00000000-0004-0000-0500-000029020000}"/>
    <hyperlink ref="F396" r:id="rId555" display="https://www.nytimes.com/1998/03/29/us/from-wild-talk-and-friendship-to-five-deaths-in-a-schoolyard.html?mcubz=0" xr:uid="{00000000-0004-0000-0500-00002A020000}"/>
    <hyperlink ref="H396" r:id="rId556" display="https://metro.co.uk/2019/07/29/school-shooter-murdered-four-kids-teacher-11-dies-head-car-crash-10480495/" xr:uid="{00000000-0004-0000-0500-00002B020000}"/>
    <hyperlink ref="F397" r:id="rId557" display="https://www.usatoday.com/story/news/nation/2019/07/30/1998-arkansas-school-shooter-dies-head-car-crash-police-say/1864734001/" xr:uid="{00000000-0004-0000-0500-00002C020000}"/>
    <hyperlink ref="H397" r:id="rId558" display="https://metro.co.uk/2019/07/29/school-shooter-murdered-four-kids-teacher-11-dies-head-car-crash-10480495/" xr:uid="{00000000-0004-0000-0500-00002D020000}"/>
    <hyperlink ref="F398" r:id="rId559" display="https://www.findagrave.com/memorial/6438590/britthney-ryen-varner_wilson" xr:uid="{00000000-0004-0000-0500-00002E020000}"/>
    <hyperlink ref="H398" r:id="rId560" display="https://metro.co.uk/2019/07/29/school-shooter-murdered-four-kids-teacher-11-dies-head-car-crash-10480495/" xr:uid="{00000000-0004-0000-0500-00002F020000}"/>
    <hyperlink ref="F399" r:id="rId561" display="https://abcnews.go.com/US/living-us-mass-school-shooters-incarcerated/story?id=36986507" xr:uid="{00000000-0004-0000-0500-000030020000}"/>
    <hyperlink ref="H399" r:id="rId562" display="https://metro.co.uk/2019/07/29/school-shooter-murdered-four-kids-teacher-11-dies-head-car-crash-10480495/" xr:uid="{00000000-0004-0000-0500-000031020000}"/>
    <hyperlink ref="F400" r:id="rId563" display="https://www.registerguard.com/news/20180519/remembering-victims-of-may-1998-thurston-shooting" xr:uid="{00000000-0004-0000-0500-000032020000}"/>
    <hyperlink ref="H400" r:id="rId564" display="https://www.klcc.org/post/klcc-special-documentary-thurston-high-school-shooting-20-years-later" xr:uid="{00000000-0004-0000-0500-000033020000}"/>
    <hyperlink ref="F401" r:id="rId565" display="https://www.registerguard.com/news/20180519/remembering-victims-of-may-1998-thurston-shooting" xr:uid="{00000000-0004-0000-0500-000034020000}"/>
    <hyperlink ref="H401" r:id="rId566" display="https://www.klcc.org/post/klcc-special-documentary-thurston-high-school-shooting-20-years-later" xr:uid="{00000000-0004-0000-0500-000035020000}"/>
    <hyperlink ref="F402" r:id="rId567" display="https://www.registerguard.com/news/20180519/remembering-victims-of-may-1998-thurston-shooting" xr:uid="{00000000-0004-0000-0500-000036020000}"/>
    <hyperlink ref="H402" r:id="rId568" display="https://www.klcc.org/post/klcc-special-documentary-thurston-high-school-shooting-20-years-later" xr:uid="{00000000-0004-0000-0500-000037020000}"/>
    <hyperlink ref="F403" r:id="rId569" display="https://www.registerguard.com/news/20180519/remembering-victims-of-may-1998-thurston-shooting" xr:uid="{00000000-0004-0000-0500-000038020000}"/>
    <hyperlink ref="H403" r:id="rId570" display="https://www.klcc.org/post/klcc-special-documentary-thurston-high-school-shooting-20-years-later" xr:uid="{00000000-0004-0000-0500-000039020000}"/>
    <hyperlink ref="F404" r:id="rId571" display="https://www.nytimes.com/1999/03/12/us/louisiana-shooting-kills-3-at-church-and-one-at-home.html" xr:uid="{00000000-0004-0000-0500-00003A020000}"/>
    <hyperlink ref="F405" r:id="rId572" display="https://www.nytimes.com/1999/03/12/us/louisiana-shooting-kills-3-at-church-and-one-at-home.html" xr:uid="{00000000-0004-0000-0500-00003B020000}"/>
    <hyperlink ref="H405" r:id="rId573" display="https://www.newspapers.com/image/1923485/" xr:uid="{00000000-0004-0000-0500-00003C020000}"/>
    <hyperlink ref="F406" r:id="rId574" display="https://www.nytimes.com/1999/03/12/us/louisiana-shooting-kills-3-at-church-and-one-at-home.html" xr:uid="{00000000-0004-0000-0500-00003D020000}"/>
    <hyperlink ref="H406" r:id="rId575" display="https://www.newspapers.com/image/1923485/" xr:uid="{00000000-0004-0000-0500-00003E020000}"/>
    <hyperlink ref="F407" r:id="rId576" display="https://www.nytimes.com/1999/03/12/us/louisiana-shooting-kills-3-at-church-and-one-at-home.html" xr:uid="{00000000-0004-0000-0500-00003F020000}"/>
    <hyperlink ref="H407" r:id="rId577" display="https://www.weeklycitizen.com/article/20080610/NEWS/306109986" xr:uid="{00000000-0004-0000-0500-000040020000}"/>
    <hyperlink ref="F408" r:id="rId578" display="https://kfor.com/news/15th-anniversary-of-tragic-columbine-high-school-shooting-heres-the-background/" xr:uid="{00000000-0004-0000-0500-000041020000}"/>
    <hyperlink ref="H408" r:id="rId579" display="https://www.dispatch.com/photogallery/oh/20180419/news/419009991/PH/1" xr:uid="{00000000-0004-0000-0500-000042020000}"/>
    <hyperlink ref="F409" r:id="rId580" display="https://kfor.com/news/15th-anniversary-of-tragic-columbine-high-school-shooting-heres-the-background/" xr:uid="{00000000-0004-0000-0500-000043020000}"/>
    <hyperlink ref="H409" r:id="rId581" display="https://www.dispatch.com/photogallery/oh/20180419/news/419009991/PH/1" xr:uid="{00000000-0004-0000-0500-000044020000}"/>
    <hyperlink ref="F410" r:id="rId582" display="https://kfor.com/news/15th-anniversary-of-tragic-columbine-high-school-shooting-heres-the-background/" xr:uid="{00000000-0004-0000-0500-000045020000}"/>
    <hyperlink ref="H410" r:id="rId583" display="https://www.dispatch.com/photogallery/oh/20180419/news/419009991/PH/1" xr:uid="{00000000-0004-0000-0500-000046020000}"/>
    <hyperlink ref="F411" r:id="rId584" display="https://kfor.com/news/15th-anniversary-of-tragic-columbine-high-school-shooting-heres-the-background/" xr:uid="{00000000-0004-0000-0500-000047020000}"/>
    <hyperlink ref="H411" r:id="rId585" display="https://www.dispatch.com/photogallery/oh/20180419/news/419009991/PH/1" xr:uid="{00000000-0004-0000-0500-000048020000}"/>
    <hyperlink ref="F412" r:id="rId586" display="https://kfor.com/news/15th-anniversary-of-tragic-columbine-high-school-shooting-heres-the-background/" xr:uid="{00000000-0004-0000-0500-000049020000}"/>
    <hyperlink ref="H412" r:id="rId587" display="https://www.dispatch.com/photogallery/oh/20180419/news/419009991/PH/1" xr:uid="{00000000-0004-0000-0500-00004A020000}"/>
    <hyperlink ref="F413" r:id="rId588" display="https://kfor.com/news/15th-anniversary-of-tragic-columbine-high-school-shooting-heres-the-background/" xr:uid="{00000000-0004-0000-0500-00004B020000}"/>
    <hyperlink ref="H413" r:id="rId589" display="https://www.dispatch.com/photogallery/oh/20180419/news/419009991/PH/1" xr:uid="{00000000-0004-0000-0500-00004C020000}"/>
    <hyperlink ref="F414" r:id="rId590" display="https://kfor.com/news/15th-anniversary-of-tragic-columbine-high-school-shooting-heres-the-background/" xr:uid="{00000000-0004-0000-0500-00004D020000}"/>
    <hyperlink ref="H414" r:id="rId591" display="https://www.dispatch.com/photogallery/oh/20180419/news/419009991/PH/1" xr:uid="{00000000-0004-0000-0500-00004E020000}"/>
    <hyperlink ref="I414" r:id="rId592" display="https://www.rollingstone.com/culture/culture-features/how-they-got-the-guns-175676/" xr:uid="{00000000-0004-0000-0500-00004F020000}"/>
    <hyperlink ref="F415" r:id="rId593" display="https://kfor.com/news/15th-anniversary-of-tragic-columbine-high-school-shooting-heres-the-background/" xr:uid="{00000000-0004-0000-0500-000050020000}"/>
    <hyperlink ref="H415" r:id="rId594" display="https://www.dispatch.com/photogallery/oh/20180419/news/419009991/PH/1" xr:uid="{00000000-0004-0000-0500-000051020000}"/>
    <hyperlink ref="F416" r:id="rId595" display="https://kfor.com/news/15th-anniversary-of-tragic-columbine-high-school-shooting-heres-the-background/" xr:uid="{00000000-0004-0000-0500-000052020000}"/>
    <hyperlink ref="H416" r:id="rId596" display="https://www.dispatch.com/photogallery/oh/20180419/news/419009991/PH/1" xr:uid="{00000000-0004-0000-0500-000053020000}"/>
    <hyperlink ref="I416" r:id="rId597" display="https://www.rollingstone.com/culture/culture-features/how-they-got-the-guns-175676/" xr:uid="{00000000-0004-0000-0500-000054020000}"/>
    <hyperlink ref="F417" r:id="rId598" display="https://kfor.com/news/15th-anniversary-of-tragic-columbine-high-school-shooting-heres-the-background/" xr:uid="{00000000-0004-0000-0500-000055020000}"/>
    <hyperlink ref="H417" r:id="rId599" display="https://www.dispatch.com/photogallery/oh/20180419/news/419009991/PH/1" xr:uid="{00000000-0004-0000-0500-000056020000}"/>
    <hyperlink ref="F418" r:id="rId600" display="https://kfor.com/news/15th-anniversary-of-tragic-columbine-high-school-shooting-heres-the-background/" xr:uid="{00000000-0004-0000-0500-000057020000}"/>
    <hyperlink ref="H418" r:id="rId601" display="https://www.dispatch.com/photogallery/oh/20180419/news/419009991/PH/1" xr:uid="{00000000-0004-0000-0500-000058020000}"/>
    <hyperlink ref="F419" r:id="rId602" display="https://kfor.com/news/15th-anniversary-of-tragic-columbine-high-school-shooting-heres-the-background/" xr:uid="{00000000-0004-0000-0500-000059020000}"/>
    <hyperlink ref="H419" r:id="rId603" display="https://www.dispatch.com/photogallery/oh/20180419/news/419009991/PH/1" xr:uid="{00000000-0004-0000-0500-00005A020000}"/>
    <hyperlink ref="F420" r:id="rId604" display="https://kfor.com/news/15th-anniversary-of-tragic-columbine-high-school-shooting-heres-the-background/" xr:uid="{00000000-0004-0000-0500-00005B020000}"/>
    <hyperlink ref="H420" r:id="rId605" display="http://www.acolumbinesite.com/victim/kyle.php" xr:uid="{00000000-0004-0000-0500-00005C020000}"/>
    <hyperlink ref="F421" r:id="rId606" display="https://www.latimes.com/archives/la-xpm-1999-jun-05-mn-44403-story.html" xr:uid="{00000000-0004-0000-0500-00005D020000}"/>
    <hyperlink ref="H421" r:id="rId607" display="https://www.findagrave.com/memorial/95013783/thomas-michael-darnell" xr:uid="{00000000-0004-0000-0500-00005E020000}"/>
    <hyperlink ref="E422" r:id="rId608" location="v=onepage&amp;q=carlos%20chuck%20leos%201999&amp;f=false" xr:uid="{00000000-0004-0000-0500-00005F020000}"/>
    <hyperlink ref="F422" r:id="rId609" display="https://www.latimes.com/archives/la-xpm-1999-jun-05-mn-44403-story.html" xr:uid="{00000000-0004-0000-0500-000060020000}"/>
    <hyperlink ref="H422" r:id="rId610" display="https://murderpedia.org/male.F/f/floyd-zane-photos.htm" xr:uid="{00000000-0004-0000-0500-000061020000}"/>
    <hyperlink ref="F423" r:id="rId611" display="https://www.latimes.com/archives/la-xpm-1999-jun-05-mn-44403-story.html" xr:uid="{00000000-0004-0000-0500-000062020000}"/>
    <hyperlink ref="H423" r:id="rId612" display="https://www.findagrave.com/memorial/35744518/dennis-troy-sargent" xr:uid="{00000000-0004-0000-0500-000063020000}"/>
    <hyperlink ref="F424" r:id="rId613" display="https://www.latimes.com/archives/la-xpm-1999-jun-05-mn-44403-story.html" xr:uid="{00000000-0004-0000-0500-000064020000}"/>
    <hyperlink ref="H424" r:id="rId614" display="https://murderpedia.org/male.F/f/floyd-zane-photos.htm" xr:uid="{00000000-0004-0000-0500-000065020000}"/>
    <hyperlink ref="F425" r:id="rId615" location="v=onepage&amp;q=mark%20barton%20mass%20shooting%201999%20victims%20vadewattee&amp;f=false" display="https://books.google.com/books?id=cmTxCQAAQBAJ&amp;pg=PA54&amp;lpg=PA54&amp;dq=mark+barton+mass+shooting+1999+victims+vadewattee&amp;source=bl&amp;ots=eXXCR-fOtz&amp;sig=ACfU3U0niaqr9dHu3TQf8KQPlGYI9Wqi7g&amp;hl=en&amp;ppis=_e&amp;sa=X&amp;ved=2ahUKEwiB0u6B8LDoAhXRU80KHSv0AoYQ6AEwA3oECAoQAQ - v=onepage&amp;q=mark%20barton%20mass%20shooting%201999%20victims%20vadewattee&amp;f=false" xr:uid="{00000000-0004-0000-0500-000066020000}"/>
    <hyperlink ref="H425" r:id="rId616" display="https://www.ajc.com/news/local/ajc-deja-news-mark-barton-buckhead-killing-spree-stuns-atlanta-1999/JWrqxO3csx8ifs1mC3GSNJ/" xr:uid="{00000000-0004-0000-0500-000067020000}"/>
    <hyperlink ref="F426" r:id="rId617" location="v=onepage&amp;q=mark%20barton%20mass%20shooting%201999%20victims%20vadewattee&amp;f=false" display="https://books.google.com/books?id=cmTxCQAAQBAJ&amp;pg=PA54&amp;lpg=PA54&amp;dq=mark+barton+mass+shooting+1999+victims+vadewattee&amp;source=bl&amp;ots=eXXCR-fOtz&amp;sig=ACfU3U0niaqr9dHu3TQf8KQPlGYI9Wqi7g&amp;hl=en&amp;ppis=_e&amp;sa=X&amp;ved=2ahUKEwiB0u6B8LDoAhXRU80KHSv0AoYQ6AEwA3oECAoQAQ - v=onepage&amp;q=mark%20barton%20mass%20shooting%201999%20victims%20vadewattee&amp;f=false" xr:uid="{00000000-0004-0000-0500-000068020000}"/>
    <hyperlink ref="H426" r:id="rId618" display="https://www.ajc.com/news/local/ajc-deja-news-mark-barton-buckhead-killing-spree-stuns-atlanta-1999/JWrqxO3csx8ifs1mC3GSNJ/" xr:uid="{00000000-0004-0000-0500-000069020000}"/>
    <hyperlink ref="F427" r:id="rId619" location="v=onepage&amp;q=mark%20barton%20mass%20shooting%201999%20victims%20vadewattee&amp;f=false" display="https://books.google.com/books?id=cmTxCQAAQBAJ&amp;pg=PA54&amp;lpg=PA54&amp;dq=mark+barton+mass+shooting+1999+victims+vadewattee&amp;source=bl&amp;ots=eXXCR-fOtz&amp;sig=ACfU3U0niaqr9dHu3TQf8KQPlGYI9Wqi7g&amp;hl=en&amp;ppis=_e&amp;sa=X&amp;ved=2ahUKEwiB0u6B8LDoAhXRU80KHSv0AoYQ6AEwA3oECAoQAQ - v=onepage&amp;q=mark%20barton%20mass%20shooting%201999%20victims%20vadewattee&amp;f=false" xr:uid="{00000000-0004-0000-0500-00006A020000}"/>
    <hyperlink ref="H427" r:id="rId620" display="https://www.ajc.com/news/local/ajc-deja-news-mark-barton-buckhead-killing-spree-stuns-atlanta-1999/JWrqxO3csx8ifs1mC3GSNJ/" xr:uid="{00000000-0004-0000-0500-00006B020000}"/>
    <hyperlink ref="F428" r:id="rId621" display="https://www.nytimes.com/1999/07/31/us/shootings-in-atlanta-the-victims-drawn-to-their-deaths-by-lives-in-day-trading.html" xr:uid="{00000000-0004-0000-0500-00006C020000}"/>
    <hyperlink ref="I428" r:id="rId622" display="https://www.nytimes.com/1999/07/31/us/shootings-in-atlanta-the-overview-killer-confessed-in-a-letter-spiked-with-rage.html" xr:uid="{00000000-0004-0000-0500-00006D020000}"/>
    <hyperlink ref="F429" r:id="rId623" display="https://www.nytimes.com/1999/07/31/us/shootings-in-atlanta-the-victims-drawn-to-their-deaths-by-lives-in-day-trading.html" xr:uid="{00000000-0004-0000-0500-00006E020000}"/>
    <hyperlink ref="H429" r:id="rId624" display="https://www.findagrave.com/memorial/193316109/dean-delawalla" xr:uid="{00000000-0004-0000-0500-00006F020000}"/>
    <hyperlink ref="I429" r:id="rId625" display="https://www.nytimes.com/1999/07/31/us/shootings-in-atlanta-the-overview-killer-confessed-in-a-letter-spiked-with-rage.html" xr:uid="{00000000-0004-0000-0500-000070020000}"/>
    <hyperlink ref="F430" r:id="rId626" display="https://www.nytimes.com/1999/07/31/us/shootings-in-atlanta-the-victims-drawn-to-their-deaths-by-lives-in-day-trading.html" xr:uid="{00000000-0004-0000-0500-000071020000}"/>
    <hyperlink ref="I430" r:id="rId627" display="https://www.nytimes.com/1999/07/31/us/shootings-in-atlanta-the-overview-killer-confessed-in-a-letter-spiked-with-rage.html" xr:uid="{00000000-0004-0000-0500-000072020000}"/>
    <hyperlink ref="F431" r:id="rId628" display="https://www.nytimes.com/1999/07/31/us/shootings-in-atlanta-the-victims-drawn-to-their-deaths-by-lives-in-day-trading.html" xr:uid="{00000000-0004-0000-0500-000073020000}"/>
    <hyperlink ref="H431" r:id="rId629" display="https://www.findagrave.com/memorial/51080997/kevin-middleton-dial" xr:uid="{00000000-0004-0000-0500-000074020000}"/>
    <hyperlink ref="I431" r:id="rId630" location="v=onepage&amp;q=mark%20barton%20mass%20shooting%201999%20victims%20vadewattee&amp;f=false" display="https://books.google.com/books?id=cmTxCQAAQBAJ&amp;pg=PA54&amp;lpg=PA54&amp;dq=mark+barton+mass+shooting+1999+victims+vadewattee&amp;source=bl&amp;ots=eXXCR-fOtz&amp;sig=ACfU3U0niaqr9dHu3TQf8KQPlGYI9Wqi7g&amp;hl=en&amp;ppis=_e&amp;sa=X&amp;ved=2ahUKEwiB0u6B8LDoAhXRU80KHSv0AoYQ6AEwA3oECAoQAQ - v=onepage&amp;q=mark%20barton%20mass%20shooting%201999%20victims%20vadewattee&amp;f=false" xr:uid="{00000000-0004-0000-0500-000075020000}"/>
    <hyperlink ref="F432" r:id="rId631" display="https://www.nytimes.com/1999/07/31/us/shootings-in-atlanta-the-victims-drawn-to-their-deaths-by-lives-in-day-trading.html" xr:uid="{00000000-0004-0000-0500-000076020000}"/>
    <hyperlink ref="H432" r:id="rId632" display="https://www.findagrave.com/memorial/45301827/jamshid-havash" xr:uid="{00000000-0004-0000-0500-000077020000}"/>
    <hyperlink ref="I432" r:id="rId633" display="https://www.nytimes.com/1999/07/31/us/shootings-in-atlanta-the-overview-killer-confessed-in-a-letter-spiked-with-rage.html" xr:uid="{00000000-0004-0000-0500-000078020000}"/>
    <hyperlink ref="F433" r:id="rId634" display="https://www.nytimes.com/1999/07/31/us/shootings-in-atlanta-the-victims-drawn-to-their-deaths-by-lives-in-day-trading.html" xr:uid="{00000000-0004-0000-0500-000079020000}"/>
    <hyperlink ref="H433" r:id="rId635" display="https://www.findagrave.com/memorial/94886850/vadewattee-muralidhara" xr:uid="{00000000-0004-0000-0500-00007A020000}"/>
    <hyperlink ref="I433" r:id="rId636" location="v=onepage&amp;q=mark%20barton%20mass%20shooting%201999%20victims%20vadewattee&amp;f=false" display="https://books.google.com/books?id=cmTxCQAAQBAJ&amp;pg=PA54&amp;lpg=PA54&amp;dq=mark+barton+mass+shooting+1999+victims+vadewattee&amp;source=bl&amp;ots=eXXCR-fOtz&amp;sig=ACfU3U0niaqr9dHu3TQf8KQPlGYI9Wqi7g&amp;hl=en&amp;ppis=_e&amp;sa=X&amp;ved=2ahUKEwiB0u6B8LDoAhXRU80KHSv0AoYQ6AEwA3oECAoQAQ - v=onepage&amp;q=mark%20barton%20mass%20shooting%201999%20victims%20vadewattee&amp;f=false" xr:uid="{00000000-0004-0000-0500-00007B020000}"/>
    <hyperlink ref="F434" r:id="rId637" location="v=onepage&amp;q=mark%20barton%20mass%20shooting%201999%20victims%20vadewattee&amp;f=false" display="https://books.google.com/books?id=cmTxCQAAQBAJ&amp;pg=PA54&amp;lpg=PA54&amp;dq=mark+barton+mass+shooting+1999+victims+vadewattee&amp;source=bl&amp;ots=eXXCR-fOtz&amp;sig=ACfU3U0niaqr9dHu3TQf8KQPlGYI9Wqi7g&amp;hl=en&amp;ppis=_e&amp;sa=X&amp;ved=2ahUKEwiB0u6B8LDoAhXRU80KHSv0AoYQ6AEwA3oECAoQAQ - v=onepage&amp;q=mark%20barton%20mass%20shooting%201999%20victims%20vadewattee&amp;f=false" xr:uid="{00000000-0004-0000-0500-00007C020000}"/>
    <hyperlink ref="I434" r:id="rId638" display="https://www.nytimes.com/1999/07/31/us/shootings-in-atlanta-the-overview-killer-confessed-in-a-letter-spiked-with-rage.html" xr:uid="{00000000-0004-0000-0500-00007D020000}"/>
    <hyperlink ref="F435" r:id="rId639" location="v=onepage&amp;q=mark%20barton%20mass%20shooting%201999%20victims%20vadewattee&amp;f=false" display="https://books.google.com/books?id=cmTxCQAAQBAJ&amp;pg=PA54&amp;lpg=PA54&amp;dq=mark+barton+mass+shooting+1999+victims+vadewattee&amp;source=bl&amp;ots=eXXCR-fOtz&amp;sig=ACfU3U0niaqr9dHu3TQf8KQPlGYI9Wqi7g&amp;hl=en&amp;ppis=_e&amp;sa=X&amp;ved=2ahUKEwiB0u6B8LDoAhXRU80KHSv0AoYQ6AEwA3oECAoQAQ - v=onepage&amp;q=mark%20barton%20mass%20shooting%201999%20victims%20vadewattee&amp;f=false" xr:uid="{00000000-0004-0000-0500-00007E020000}"/>
    <hyperlink ref="H435" r:id="rId640" display="https://www.gettyimages.com/detail/news-photo/30jul99-atlanta-georgia-atlanta-shooting-fatality-allen-news-photo/51066644" xr:uid="{00000000-0004-0000-0500-00007F020000}"/>
    <hyperlink ref="I435" r:id="rId641" display="https://www.nytimes.com/1999/07/31/us/shootings-in-atlanta-the-overview-killer-confessed-in-a-letter-spiked-with-rage.html" xr:uid="{00000000-0004-0000-0500-000080020000}"/>
    <hyperlink ref="F436" r:id="rId642" display="https://www.findagrave.com/memorial/57720220/scott-allyn-webb" xr:uid="{00000000-0004-0000-0500-000081020000}"/>
    <hyperlink ref="I436" r:id="rId643" display="https://www.nytimes.com/1999/07/31/us/shootings-in-atlanta-the-overview-killer-confessed-in-a-letter-spiked-with-rage.html" xr:uid="{00000000-0004-0000-0500-000082020000}"/>
    <hyperlink ref="F437" r:id="rId644" display="https://www.star-telegram.com/news/local/fort-worth/article234218492.html" xr:uid="{00000000-0004-0000-0500-000083020000}"/>
    <hyperlink ref="H437" r:id="rId645" display="https://www.findagrave.com/memorial/23861536/kristi-kathleen-beckel/photo" xr:uid="{00000000-0004-0000-0500-000084020000}"/>
    <hyperlink ref="F438" r:id="rId646" display="https://www.star-telegram.com/news/local/fort-worth/article234218492.html" xr:uid="{00000000-0004-0000-0500-000085020000}"/>
    <hyperlink ref="F439" r:id="rId647" display="https://www.abc10.com/article/news/local/those-who-were-at-wedgwood-baptist-church-attack-remember-but-arent-haunted/287-411382472" xr:uid="{00000000-0004-0000-0500-000086020000}"/>
    <hyperlink ref="F440" r:id="rId648" display="https://www.abc10.com/article/news/local/those-who-were-at-wedgwood-baptist-church-attack-remember-but-arent-haunted/287-411382472" xr:uid="{00000000-0004-0000-0500-000087020000}"/>
    <hyperlink ref="H440" r:id="rId649" display="http://www.sbclife.net/article/521/remembering-the-slain" xr:uid="{00000000-0004-0000-0500-000088020000}"/>
    <hyperlink ref="F441" r:id="rId650" display="https://www.abc10.com/article/news/local/those-who-were-at-wedgwood-baptist-church-attack-remember-but-arent-haunted/287-411382472" xr:uid="{00000000-0004-0000-0500-000089020000}"/>
    <hyperlink ref="H441" r:id="rId651" display="http://www.sbclife.net/article/521/remembering-the-slain" xr:uid="{00000000-0004-0000-0500-00008A020000}"/>
    <hyperlink ref="F442" r:id="rId652" display="https://www.abc10.com/article/news/local/those-who-were-at-wedgwood-baptist-church-attack-remember-but-arent-haunted/287-411382472" xr:uid="{00000000-0004-0000-0500-00008B020000}"/>
    <hyperlink ref="H442" r:id="rId653" display="http://www.sbclife.net/article/521/remembering-the-slain" xr:uid="{00000000-0004-0000-0500-00008C020000}"/>
    <hyperlink ref="F443" r:id="rId654" display="https://www.star-telegram.com/news/local/fort-worth/article234218492.html" xr:uid="{00000000-0004-0000-0500-00008D020000}"/>
    <hyperlink ref="H443" r:id="rId655" display="http://www.sbclife.net/article/521/remembering-the-slain" xr:uid="{00000000-0004-0000-0500-00008E020000}"/>
    <hyperlink ref="F444" r:id="rId656" display="https://www.latimes.com/archives/la-xpm-1999-nov-03-mn-29234-story.html" xr:uid="{00000000-0004-0000-0500-00008F020000}"/>
    <hyperlink ref="H444" r:id="rId657" display="https://www.khon2.com/xerox-murders/" xr:uid="{00000000-0004-0000-0500-000090020000}"/>
    <hyperlink ref="F445" r:id="rId658" display="https://www.latimes.com/archives/la-xpm-1999-nov-03-mn-29234-story.html" xr:uid="{00000000-0004-0000-0500-000091020000}"/>
    <hyperlink ref="H445" r:id="rId659" display="https://www.khon2.com/xerox-murders/" xr:uid="{00000000-0004-0000-0500-000092020000}"/>
    <hyperlink ref="F446" r:id="rId660" display="https://www.latimes.com/archives/la-xpm-1999-nov-03-mn-29234-story.html" xr:uid="{00000000-0004-0000-0500-000093020000}"/>
    <hyperlink ref="H446" r:id="rId661" display="https://www.khon2.com/xerox-murders/" xr:uid="{00000000-0004-0000-0500-000094020000}"/>
    <hyperlink ref="F447" r:id="rId662" display="https://www.latimes.com/archives/la-xpm-1999-nov-03-mn-29234-story.html" xr:uid="{00000000-0004-0000-0500-000095020000}"/>
    <hyperlink ref="H447" r:id="rId663" display="https://www.khon2.com/xerox-murders/" xr:uid="{00000000-0004-0000-0500-000096020000}"/>
    <hyperlink ref="F448" r:id="rId664" display="https://www.latimes.com/archives/la-xpm-1999-nov-03-mn-29234-story.html" xr:uid="{00000000-0004-0000-0500-000097020000}"/>
    <hyperlink ref="H448" r:id="rId665" display="https://www.khon2.com/xerox-murders/" xr:uid="{00000000-0004-0000-0500-000098020000}"/>
    <hyperlink ref="F449" r:id="rId666" display="https://www.latimes.com/archives/la-xpm-1999-nov-03-mn-29234-story.html" xr:uid="{00000000-0004-0000-0500-000099020000}"/>
    <hyperlink ref="H449" r:id="rId667" display="https://www.khon2.com/xerox-murders/" xr:uid="{00000000-0004-0000-0500-00009A020000}"/>
    <hyperlink ref="F450" r:id="rId668" display="https://www.latimes.com/archives/la-xpm-1999-nov-03-mn-29234-story.html" xr:uid="{00000000-0004-0000-0500-00009B020000}"/>
    <hyperlink ref="H450" r:id="rId669" display="https://www.khon2.com/xerox-murders/" xr:uid="{00000000-0004-0000-0500-00009C020000}"/>
    <hyperlink ref="F451" r:id="rId670" display="https://www.deseret.com/1999/12/31/19483268/5-killed-when-hotel-worker-goes-on-rampage-in-florida" xr:uid="{00000000-0004-0000-0500-00009D020000}"/>
    <hyperlink ref="F452" r:id="rId671" display="https://www.deseret.com/1999/12/31/19483268/5-killed-when-hotel-worker-goes-on-rampage-in-florida" xr:uid="{00000000-0004-0000-0500-00009E020000}"/>
    <hyperlink ref="F453" r:id="rId672" display="https://www.deseret.com/1999/12/31/19483268/5-killed-when-hotel-worker-goes-on-rampage-in-florida" xr:uid="{00000000-0004-0000-0500-00009F020000}"/>
    <hyperlink ref="F454" r:id="rId673" display="https://www.deseret.com/1999/12/31/19483268/5-killed-when-hotel-worker-goes-on-rampage-in-florida" xr:uid="{00000000-0004-0000-0500-0000A0020000}"/>
    <hyperlink ref="F455" r:id="rId674" display="https://www.deseret.com/1999/12/31/19483268/5-killed-when-hotel-worker-goes-on-rampage-in-florida" xr:uid="{00000000-0004-0000-0500-0000A1020000}"/>
    <hyperlink ref="F456" r:id="rId675" display="https://www.dallasnews.com/news/2012/09/20/texas-executes-man-who-murdered-5-at-irving-car-wash-12-years-ago/" xr:uid="{00000000-0004-0000-0500-0000A2020000}"/>
    <hyperlink ref="H456" r:id="rId676" display="https://murderpedia.org/male.H/h/harris-robert-wayne-photos.htm" xr:uid="{00000000-0004-0000-0500-0000A3020000}"/>
    <hyperlink ref="F457" r:id="rId677" display="https://www.dallasnews.com/news/2012/09/20/texas-executes-man-who-murdered-5-at-irving-car-wash-12-years-ago/" xr:uid="{00000000-0004-0000-0500-0000A4020000}"/>
    <hyperlink ref="H457" r:id="rId678" display="https://murderpedia.org/male.H/h/harris-robert-wayne-photos.htm" xr:uid="{00000000-0004-0000-0500-0000A5020000}"/>
    <hyperlink ref="F458" r:id="rId679" display="https://www.dallasnews.com/news/2012/09/20/texas-executes-man-who-murdered-5-at-irving-car-wash-12-years-ago/" xr:uid="{00000000-0004-0000-0500-0000A6020000}"/>
    <hyperlink ref="H458" r:id="rId680" display="https://murderpedia.org/male.H/h/harris-robert-wayne-photos.htm" xr:uid="{00000000-0004-0000-0500-0000A7020000}"/>
    <hyperlink ref="F459" r:id="rId681" display="https://www.dallasnews.com/news/2012/09/20/texas-executes-man-who-murdered-5-at-irving-car-wash-12-years-ago/" xr:uid="{00000000-0004-0000-0500-0000A8020000}"/>
    <hyperlink ref="H459" r:id="rId682" display="https://murderpedia.org/male.H/h/harris-robert-wayne-photos.htm" xr:uid="{00000000-0004-0000-0500-0000A9020000}"/>
    <hyperlink ref="F460" r:id="rId683" display="https://www.dallasnews.com/news/2012/09/20/texas-executes-man-who-murdered-5-at-irving-car-wash-12-years-ago/" xr:uid="{00000000-0004-0000-0500-0000AA020000}"/>
    <hyperlink ref="H460" r:id="rId684" display="https://murderpedia.org/male.H/h/harris-robert-wayne-photos.htm" xr:uid="{00000000-0004-0000-0500-0000AB020000}"/>
    <hyperlink ref="F461" r:id="rId685" display="https://old.post-gazette.com/obituaries/20000430gordon3.asp" xr:uid="{00000000-0004-0000-0500-0000AC020000}"/>
    <hyperlink ref="H461" r:id="rId686" display="http://old.post-gazette.com/regionstate/20000429shootings2.asp" xr:uid="{00000000-0004-0000-0500-0000AD020000}"/>
    <hyperlink ref="E462" r:id="rId687" xr:uid="{00000000-0004-0000-0500-0000AE020000}"/>
    <hyperlink ref="F462" r:id="rId688" display="http://old.post-gazette.com/regionstate/20000429shootings2.asp" xr:uid="{00000000-0004-0000-0500-0000AF020000}"/>
    <hyperlink ref="H462" r:id="rId689" display="http://old.post-gazette.com/regionstate/20000429shootings2.asp" xr:uid="{00000000-0004-0000-0500-0000B0020000}"/>
    <hyperlink ref="F463" r:id="rId690" display="http://old.post-gazette.com/regionstate/20000429shootings2.asp" xr:uid="{00000000-0004-0000-0500-0000B1020000}"/>
    <hyperlink ref="H463" r:id="rId691" display="http://old.post-gazette.com/regionstate/20000429shootings2.asp" xr:uid="{00000000-0004-0000-0500-0000B2020000}"/>
    <hyperlink ref="I463" r:id="rId692" display="http://old.post-gazette.com/obituaries/20000430pham4.asp" xr:uid="{00000000-0004-0000-0500-0000B3020000}"/>
    <hyperlink ref="F464" r:id="rId693" display="http://old.post-gazette.com/regionstate/20000429shootings2.asp" xr:uid="{00000000-0004-0000-0500-0000B4020000}"/>
    <hyperlink ref="H464" r:id="rId694" display="http://old.post-gazette.com/regionstate/20000429shootings2.asp" xr:uid="{00000000-0004-0000-0500-0000B5020000}"/>
    <hyperlink ref="I464" r:id="rId695" display="http://old.post-gazette.com/obituaries/20000430pham4.asp" xr:uid="{00000000-0004-0000-0500-0000B6020000}"/>
    <hyperlink ref="F465" r:id="rId696" display="http://old.post-gazette.com/regionstate/20000429shootings2.asp" xr:uid="{00000000-0004-0000-0500-0000B7020000}"/>
    <hyperlink ref="H465" r:id="rId697" display="http://old.post-gazette.com/regionstate/20000429shootings2.asp" xr:uid="{00000000-0004-0000-0500-0000B8020000}"/>
    <hyperlink ref="F466" r:id="rId698" display="https://www.nytimes.com/2000/12/28/us/a-deadly-turn-to-a-normal-work-day.html" xr:uid="{00000000-0004-0000-0500-0000B9020000}"/>
    <hyperlink ref="H466" r:id="rId699" display="https://www.gettyimages.com/detail/news-photo/brian-britney-walks-back-to-his-seat-after-placing-a-flower-news-photo/51972772?adppopup=true" xr:uid="{00000000-0004-0000-0500-0000BA020000}"/>
    <hyperlink ref="F467" r:id="rId700" display="https://www.nytimes.com/2000/12/28/us/a-deadly-turn-to-a-normal-work-day.html" xr:uid="{00000000-0004-0000-0500-0000BB020000}"/>
    <hyperlink ref="F468" r:id="rId701" display="https://www.nytimes.com/2000/12/28/us/a-deadly-turn-to-a-normal-work-day.html" xr:uid="{00000000-0004-0000-0500-0000BC020000}"/>
    <hyperlink ref="H468" r:id="rId702" display="https://www.gettyimages.com/detail/news-photo/brian-britney-walks-back-to-his-seat-after-placing-a-flower-news-photo/51972772?adppopup=true" xr:uid="{00000000-0004-0000-0500-0000BD020000}"/>
    <hyperlink ref="E469" r:id="rId703" xr:uid="{00000000-0004-0000-0500-0000BE020000}"/>
    <hyperlink ref="F469" r:id="rId704" display="https://www.nytimes.com/2000/12/28/us/a-deadly-turn-to-a-normal-work-day.html" xr:uid="{00000000-0004-0000-0500-0000BF020000}"/>
    <hyperlink ref="H469" r:id="rId705" display="https://www.gettyimages.com/detail/news-photo/brian-britney-walks-back-to-his-seat-after-placing-a-flower-news-photo/51972772?adppopup=true" xr:uid="{00000000-0004-0000-0500-0000C0020000}"/>
    <hyperlink ref="F470" r:id="rId706" display="https://www.nytimes.com/2000/12/28/us/a-deadly-turn-to-a-normal-work-day.html" xr:uid="{00000000-0004-0000-0500-0000C1020000}"/>
    <hyperlink ref="H470" r:id="rId707" display="https://www.gettyimages.com/detail/news-photo/brian-britney-walks-back-to-his-seat-after-placing-a-flower-news-photo/51972772?adppopup=true" xr:uid="{00000000-0004-0000-0500-0000C2020000}"/>
    <hyperlink ref="F471" r:id="rId708" display="https://www.nytimes.com/2000/12/28/us/a-deadly-turn-to-a-normal-work-day.html" xr:uid="{00000000-0004-0000-0500-0000C3020000}"/>
    <hyperlink ref="H471" r:id="rId709" display="https://www.gettyimages.com/detail/news-photo/brian-britney-walks-back-to-his-seat-after-placing-a-flower-news-photo/51972772?adppopup=true" xr:uid="{00000000-0004-0000-0500-0000C4020000}"/>
    <hyperlink ref="F472" r:id="rId710" display="https://www.nytimes.com/2000/12/28/us/a-deadly-turn-to-a-normal-work-day.html" xr:uid="{00000000-0004-0000-0500-0000C5020000}"/>
    <hyperlink ref="H472" r:id="rId711" display="https://www.gettyimages.com/detail/news-photo/brian-britney-walks-back-to-his-seat-after-placing-a-flower-news-photo/51972772?adppopup=true" xr:uid="{00000000-0004-0000-0500-0000C6020000}"/>
    <hyperlink ref="F473" r:id="rId712" location="v=onepage&amp;q=ki%20park%20mass%20shooting%202001%20victim%20kathy%20chang&amp;f=false" display="https://books.google.com/books?id=1Tc7DwAAQBAJ&amp;pg=PT211&amp;lpg=PT211&amp;dq=ki+park+mass+shooting+2001+victim+kathy+chang&amp;source=bl&amp;ots=onImqEHmd_&amp;sig=ACfU3U14yOQ6I_KDzTd9lQppGKXxkqpqEA&amp;hl=en&amp;ppis=_e&amp;sa=X&amp;ved=2ahUKEwipyYbdvLHoAhWWZM0KHZnCDoEQ6AEwAXoECAoQAQ - v=onepage&amp;q=ki%20park%20mass%20shooting%202001%20victim%20kathy%20chang&amp;f=false" xr:uid="{00000000-0004-0000-0500-0000C7020000}"/>
    <hyperlink ref="F474" r:id="rId713" display="https://www.chron.com/news/article/Gunman-s-wife-accused-him-of-assault-in-1998-1997336.php" xr:uid="{00000000-0004-0000-0500-0000C8020000}"/>
    <hyperlink ref="F475" r:id="rId714" location="v=onepage&amp;q=ki%20park%20mass%20shooting%202001%20victim%20kathy%20chang&amp;f=false" display="https://books.google.com/books?id=1Tc7DwAAQBAJ&amp;pg=PT211&amp;lpg=PT211&amp;dq=ki+park+mass+shooting+2001+victim+kathy+chang&amp;source=bl&amp;ots=onImqEHmd_&amp;sig=ACfU3U14yOQ6I_KDzTd9lQppGKXxkqpqEA&amp;hl=en&amp;ppis=_e&amp;sa=X&amp;ved=2ahUKEwipyYbdvLHoAhWWZM0KHZnCDoEQ6AEwAXoECAoQAQ - v=onepage&amp;q=ki%20park%20mass%20shooting%202001%20victim%20kathy%20chang&amp;f=false" xr:uid="{00000000-0004-0000-0500-0000C9020000}"/>
    <hyperlink ref="F476" r:id="rId715" display="https://www.latimes.com/archives/la-xpm-2001-jan-10-mn-10586-story.html" xr:uid="{00000000-0004-0000-0500-0000CA020000}"/>
    <hyperlink ref="F477" r:id="rId716" display="https://www.latimes.com/archives/la-xpm-2001-feb-06-mn-21695-story.html" xr:uid="{00000000-0004-0000-0500-0000CB020000}"/>
    <hyperlink ref="I477" r:id="rId717" display="https://www.cbsnews.com/news/workers-grieve-after-rampage/" xr:uid="{00000000-0004-0000-0500-0000CC020000}"/>
    <hyperlink ref="E478" r:id="rId718" xr:uid="{00000000-0004-0000-0500-0000CD020000}"/>
    <hyperlink ref="F478" r:id="rId719" display="https://www.latimes.com/archives/la-xpm-2001-feb-06-mn-21695-story.html" xr:uid="{00000000-0004-0000-0500-0000CE020000}"/>
    <hyperlink ref="I478" r:id="rId720" display="https://www.cbsnews.com/news/workers-grieve-after-rampage/" xr:uid="{00000000-0004-0000-0500-0000CF020000}"/>
    <hyperlink ref="E479" r:id="rId721" xr:uid="{00000000-0004-0000-0500-0000D0020000}"/>
    <hyperlink ref="F479" r:id="rId722" display="https://www.latimes.com/archives/la-xpm-2001-feb-06-mn-21695-story.html" xr:uid="{00000000-0004-0000-0500-0000D1020000}"/>
    <hyperlink ref="I479" r:id="rId723" display="https://www.cbsnews.com/news/workers-grieve-after-rampage/" xr:uid="{00000000-0004-0000-0500-0000D2020000}"/>
    <hyperlink ref="E480" r:id="rId724" xr:uid="{00000000-0004-0000-0500-0000D3020000}"/>
    <hyperlink ref="F480" r:id="rId725" display="https://www.latimes.com/archives/la-xpm-2001-feb-06-mn-21695-story.html" xr:uid="{00000000-0004-0000-0500-0000D4020000}"/>
    <hyperlink ref="I480" r:id="rId726" display="https://www.cbsnews.com/news/workers-grieve-after-rampage/" xr:uid="{00000000-0004-0000-0500-0000D5020000}"/>
    <hyperlink ref="F481" r:id="rId727" display="https://www.denverpost.com/2015/04/03/insanity-ruling-angers-families-of-rifile-shooting-victims/" xr:uid="{00000000-0004-0000-0500-0000D6020000}"/>
    <hyperlink ref="F482" r:id="rId728" display="https://www.denverpost.com/2015/04/03/insanity-ruling-angers-families-of-rifile-shooting-victims/" xr:uid="{00000000-0004-0000-0500-0000D7020000}"/>
    <hyperlink ref="F483" r:id="rId729" display="https://www.denverpost.com/2015/04/03/insanity-ruling-angers-families-of-rifile-shooting-victims/" xr:uid="{00000000-0004-0000-0500-0000D8020000}"/>
    <hyperlink ref="F484" r:id="rId730" display="https://www.denverpost.com/2015/04/03/insanity-ruling-angers-families-of-rifile-shooting-victims/" xr:uid="{00000000-0004-0000-0500-0000D9020000}"/>
    <hyperlink ref="F485" r:id="rId731" display="https://www.latimes.com/archives/la-xpm-2001-sep-10-mn-44103-story.html" xr:uid="{00000000-0004-0000-0500-0000DA020000}"/>
    <hyperlink ref="H485" r:id="rId732" location="item-85307-tbla-1" display="https://www.sfgate.com/news/article/Sacramento-rampage-5-shot-dead-Slayer-kills-2881164.php - item-85307-tbla-1" xr:uid="{00000000-0004-0000-0500-0000DB020000}"/>
    <hyperlink ref="F486" r:id="rId733" display="https://www.latimes.com/archives/la-xpm-2001-sep-10-mn-44103-story.html" xr:uid="{00000000-0004-0000-0500-0000DC020000}"/>
    <hyperlink ref="E487" r:id="rId734" xr:uid="{00000000-0004-0000-0500-0000DD020000}"/>
    <hyperlink ref="F487" r:id="rId735" display="https://www.nytimes.com/2001/09/11/national/slaying-suspect-commits-suicide.html" xr:uid="{00000000-0004-0000-0500-0000DE020000}"/>
    <hyperlink ref="H487" r:id="rId736" location="item-85307-tbla-1" display="https://www.sfgate.com/news/article/Sacramento-rampage-5-shot-dead-Slayer-kills-2881164.php - item-85307-tbla-1" xr:uid="{00000000-0004-0000-0500-0000DF020000}"/>
    <hyperlink ref="F488" r:id="rId737" display="https://www.theguardian.com/world/2001/sep/11/duncancampbell" xr:uid="{00000000-0004-0000-0500-0000E0020000}"/>
    <hyperlink ref="H488" r:id="rId738" display="https://murderpedia.org/male.F/f/ferguson-joseph.htm" xr:uid="{00000000-0004-0000-0500-0000E1020000}"/>
    <hyperlink ref="D489" r:id="rId739" display="https://www.sfgate.com/news/article/Sacramento-rampage-5-shot-dead-Slayer-kills-2881164.php" xr:uid="{00000000-0004-0000-0500-0000E2020000}"/>
    <hyperlink ref="F489" r:id="rId740" display="https://www.latimes.com/archives/la-xpm-2001-sep-11-mn-44550-story.html" xr:uid="{00000000-0004-0000-0500-0000E3020000}"/>
    <hyperlink ref="H489" r:id="rId741" display="https://murderpedia.org/male.F/f/ferguson-joseph.htm" xr:uid="{00000000-0004-0000-0500-0000E4020000}"/>
    <hyperlink ref="F490" r:id="rId742" display="https://www.chicagotribune.com/news/ct-xpm-2002-03-23-0203230127-story.html" xr:uid="{00000000-0004-0000-0500-0000E5020000}"/>
    <hyperlink ref="F491" r:id="rId743" display="https://www.chicagotribune.com/news/ct-xpm-2002-03-23-0203230127-story.html" xr:uid="{00000000-0004-0000-0500-0000E6020000}"/>
    <hyperlink ref="F492" r:id="rId744" display="https://www.chicagotribune.com/news/ct-xpm-2002-03-23-0203230127-story.html" xr:uid="{00000000-0004-0000-0500-0000E7020000}"/>
    <hyperlink ref="F493" r:id="rId745" display="https://www.chicagotribune.com/news/ct-xpm-2002-03-23-0203230127-story.html" xr:uid="{00000000-0004-0000-0500-0000E8020000}"/>
    <hyperlink ref="F494" r:id="rId746" display="https://www.nytimes.com/2003/02/26/us/gunman-kills-four-at-alabama-job-agency.html" xr:uid="{00000000-0004-0000-0500-0000E9020000}"/>
    <hyperlink ref="I494" r:id="rId747" display="https://www.gainesville.com/news/20030226/four-dead-in-ala-shooting-at-job-agency" xr:uid="{00000000-0004-0000-0500-0000EA020000}"/>
    <hyperlink ref="F495" r:id="rId748" display="https://www.nytimes.com/2003/02/26/us/gunman-kills-four-at-alabama-job-agency.html" xr:uid="{00000000-0004-0000-0500-0000EB020000}"/>
    <hyperlink ref="I495" r:id="rId749" display="https://www.gainesville.com/news/20030226/four-dead-in-ala-shooting-at-job-agency" xr:uid="{00000000-0004-0000-0500-0000EC020000}"/>
    <hyperlink ref="E496" r:id="rId750" xr:uid="{00000000-0004-0000-0500-0000ED020000}"/>
    <hyperlink ref="F496" r:id="rId751" display="https://www.nytimes.com/2003/02/26/us/gunman-kills-four-at-alabama-job-agency.html" xr:uid="{00000000-0004-0000-0500-0000EE020000}"/>
    <hyperlink ref="I496" r:id="rId752" display="https://www.gainesville.com/news/20030226/four-dead-in-ala-shooting-at-job-agency" xr:uid="{00000000-0004-0000-0500-0000EF020000}"/>
    <hyperlink ref="F497" r:id="rId753" display="https://www.nytimes.com/2003/02/26/us/gunman-kills-four-at-alabama-job-agency.html" xr:uid="{00000000-0004-0000-0500-0000F0020000}"/>
    <hyperlink ref="I497" r:id="rId754" display="https://www.gainesville.com/news/20030226/four-dead-in-ala-shooting-at-job-agency" xr:uid="{00000000-0004-0000-0500-0000F1020000}"/>
    <hyperlink ref="F498" r:id="rId755" display="https://www.meridianstar.com/news/local_news/family-of-shooting-victim-places-focus-on-reconciliation/article_37129706-3fc4-11e6-bfa8-9b50a9fcbbe0.html" xr:uid="{00000000-0004-0000-0500-0000F2020000}"/>
    <hyperlink ref="G498" r:id="rId756" display="https://franklincountytimes.com/2003/07/20/delois-bailey-rememberedbr-celebrated-and-missed/" xr:uid="{00000000-0004-0000-0500-0000F3020000}"/>
    <hyperlink ref="H498" r:id="rId757" display="https://abcnews.go.com/Primetime/story?id=749286&amp;page=1" xr:uid="{00000000-0004-0000-0500-0000F4020000}"/>
    <hyperlink ref="F499" r:id="rId758" display="https://www.nytimes.com/2003/07/09/us/man-kills-5-co-workers-at-plant-and-himself.html" xr:uid="{00000000-0004-0000-0500-0000F5020000}"/>
    <hyperlink ref="G499" r:id="rId759" display="https://www.meridianstar.com/news/local_news/street-to-be-renamed/article_76e15169-48e9-5445-977c-0298ceb67d73.html" xr:uid="{00000000-0004-0000-0500-0000F6020000}"/>
    <hyperlink ref="H499" r:id="rId760" display="https://abcnews.go.com/Primetime/story?id=749286&amp;page=1" xr:uid="{00000000-0004-0000-0500-0000F7020000}"/>
    <hyperlink ref="F500" r:id="rId761" display="https://www.nytimes.com/2003/07/09/us/man-kills-5-co-workers-at-plant-and-himself.html" xr:uid="{00000000-0004-0000-0500-0000F8020000}"/>
    <hyperlink ref="H500" r:id="rId762" display="https://abcnews.go.com/Primetime/story?id=749286&amp;page=1" xr:uid="{00000000-0004-0000-0500-0000F9020000}"/>
    <hyperlink ref="F501" r:id="rId763" display="https://www.nytimes.com/2003/07/09/us/man-kills-5-co-workers-at-plant-and-himself.html" xr:uid="{00000000-0004-0000-0500-0000FA020000}"/>
    <hyperlink ref="F502" r:id="rId764" display="https://www.nytimes.com/2003/07/09/us/man-kills-5-co-workers-at-plant-and-himself.html" xr:uid="{00000000-0004-0000-0500-0000FB020000}"/>
    <hyperlink ref="H502" r:id="rId765" display="https://www.meridianstar.com/news/local_news/family-of-shooting-victim-places-focus-on-reconciliation/article_37129706-3fc4-11e6-bfa8-9b50a9fcbbe0.html" xr:uid="{00000000-0004-0000-0500-0000FC020000}"/>
    <hyperlink ref="F503" r:id="rId766" display="https://www.nytimes.com/2003/07/09/us/man-kills-5-co-workers-at-plant-and-himself.html" xr:uid="{00000000-0004-0000-0500-0000FD020000}"/>
    <hyperlink ref="H503" r:id="rId767" display="https://abcnews.go.com/Primetime/story?id=749286&amp;page=1" xr:uid="{00000000-0004-0000-0500-0000FE020000}"/>
    <hyperlink ref="F504" r:id="rId768" display="https://www.latimes.com/archives/la-xpm-2003-aug-28-na-shoot28-story.html" xr:uid="{00000000-0004-0000-0500-0000FF020000}"/>
    <hyperlink ref="F505" r:id="rId769" display="https://www.latimes.com/archives/la-xpm-2003-aug-28-na-shoot28-story.html" xr:uid="{00000000-0004-0000-0500-000000030000}"/>
    <hyperlink ref="F506" r:id="rId770" display="https://www.latimes.com/archives/la-xpm-2003-aug-28-na-shoot28-story.html" xr:uid="{00000000-0004-0000-0500-000001030000}"/>
    <hyperlink ref="H506" r:id="rId771" display="https://www.nwitimes.com/news/local/victims-of-warehouse-shootings-remembered-by-relatives-friends/article_2f780ece-0162-5838-82ac-6ab889824d22.html" xr:uid="{00000000-0004-0000-0500-000002030000}"/>
    <hyperlink ref="E507" r:id="rId772" xr:uid="{00000000-0004-0000-0500-000003030000}"/>
    <hyperlink ref="F507" r:id="rId773" display="https://www.latimes.com/archives/la-xpm-2003-aug-28-na-shoot28-story.html" xr:uid="{00000000-0004-0000-0500-000004030000}"/>
    <hyperlink ref="F508" r:id="rId774" display="https://www.latimes.com/archives/la-xpm-2003-aug-28-na-shoot28-story.html" xr:uid="{00000000-0004-0000-0500-000005030000}"/>
    <hyperlink ref="F509" r:id="rId775" display="https://www.latimes.com/archives/la-xpm-2003-aug-28-na-shoot28-story.html" xr:uid="{00000000-0004-0000-0500-000006030000}"/>
    <hyperlink ref="F510" r:id="rId776" display="https://pendoreillerivervalley.com/four-killed-in-oldtown-shooting-p111-119.htm" xr:uid="{00000000-0004-0000-0500-000007030000}"/>
    <hyperlink ref="E511" r:id="rId777" xr:uid="{00000000-0004-0000-0500-000008030000}"/>
    <hyperlink ref="F511" r:id="rId778" display="https://pendoreillerivervalley.com/four-killed-in-oldtown-shooting-p111-119.htm" xr:uid="{00000000-0004-0000-0500-000009030000}"/>
    <hyperlink ref="F512" r:id="rId779" display="https://pendoreillerivervalley.com/four-killed-in-oldtown-shooting-p111-119.htm" xr:uid="{00000000-0004-0000-0500-00000A030000}"/>
    <hyperlink ref="E513" r:id="rId780" xr:uid="{00000000-0004-0000-0500-00000B030000}"/>
    <hyperlink ref="F513" r:id="rId781" display="https://pendoreillerivervalley.com/four-killed-in-oldtown-shooting-p111-119.htm" xr:uid="{00000000-0004-0000-0500-00000C030000}"/>
    <hyperlink ref="F514" r:id="rId782" display="http://www.nbcnews.com/id/5353964/ns/us_news-crime_and_courts/t/six-dead-kansas-workplace-shooting/" xr:uid="{00000000-0004-0000-0500-00000D030000}"/>
    <hyperlink ref="H514" r:id="rId783" display="https://www2.ljworld.com/news/2004/jul/04/chaos_reigned_at/" xr:uid="{00000000-0004-0000-0500-00000E030000}"/>
    <hyperlink ref="F515" r:id="rId784" display="http://www.nbcnews.com/id/5353964/ns/us_news-crime_and_courts/t/six-dead-kansas-workplace-shooting/" xr:uid="{00000000-0004-0000-0500-00000F030000}"/>
    <hyperlink ref="H515" r:id="rId785" display="https://www.spokesman.com/stories/2004/jul/04/packing-plant-killer-seemed-to-choose-victims/" xr:uid="{00000000-0004-0000-0500-000010030000}"/>
    <hyperlink ref="F516" r:id="rId786" display="https://journalstar.com/news/state-and-regional/nebraska/victims-of-deadly-plant-shooting-remembered/article_6ef75275-ad2b-558b-900c-63501f7ee029.html" xr:uid="{00000000-0004-0000-0500-000011030000}"/>
    <hyperlink ref="H516" r:id="rId787" display="https://www.cbsnews.com/news/sixth-death-in-kc-rampage/" xr:uid="{00000000-0004-0000-0500-000012030000}"/>
    <hyperlink ref="F517" r:id="rId788" display="http://www.nbcnews.com/id/5353964/ns/us_news-crime_and_courts/t/six-dead-kansas-workplace-shooting/" xr:uid="{00000000-0004-0000-0500-000013030000}"/>
    <hyperlink ref="F518" r:id="rId789" display="http://www.nbcnews.com/id/5353964/ns/us_news-crime_and_courts/t/six-dead-kansas-workplace-shooting/" xr:uid="{00000000-0004-0000-0500-000014030000}"/>
    <hyperlink ref="H518" r:id="rId790" display="http://www.workplaceviolence911.com/docs/20050702.htm" xr:uid="{00000000-0004-0000-0500-000015030000}"/>
    <hyperlink ref="E519" r:id="rId791" xr:uid="{00000000-0004-0000-0500-000016030000}"/>
    <hyperlink ref="F519" r:id="rId792" display="http://news.minnesota.publicradio.org/features/2004/11/22_kelleherb_huntershooting/" xr:uid="{00000000-0004-0000-0500-000017030000}"/>
    <hyperlink ref="H519" r:id="rId793" display="https://chippewa.com/news/sixth-hunter-dies-from-shooting/article_d22e4fca-621a-5bd1-a457-83d0af47bf18.html" xr:uid="{00000000-0004-0000-0500-000018030000}"/>
    <hyperlink ref="F520" r:id="rId794" display="http://news.minnesota.publicradio.org/features/2004/11/22_kelleherb_huntershooting/" xr:uid="{00000000-0004-0000-0500-000019030000}"/>
    <hyperlink ref="H520" r:id="rId795" display="https://chippewa.com/news/sixth-hunter-dies-from-shooting/article_d22e4fca-621a-5bd1-a457-83d0af47bf18.html" xr:uid="{00000000-0004-0000-0500-00001A030000}"/>
    <hyperlink ref="F521" r:id="rId796" display="http://news.minnesota.publicradio.org/features/2004/11/22_kelleherb_huntershooting/" xr:uid="{00000000-0004-0000-0500-00001B030000}"/>
    <hyperlink ref="H521" r:id="rId797" display="https://chippewa.com/news/sixth-hunter-dies-from-shooting/article_d22e4fca-621a-5bd1-a457-83d0af47bf18.html" xr:uid="{00000000-0004-0000-0500-00001C030000}"/>
    <hyperlink ref="E522" r:id="rId798" xr:uid="{00000000-0004-0000-0500-00001D030000}"/>
    <hyperlink ref="F522" r:id="rId799" display="http://news.minnesota.publicradio.org/features/2004/11/22_kelleherb_huntershooting/" xr:uid="{00000000-0004-0000-0500-00001E030000}"/>
    <hyperlink ref="H522" r:id="rId800" display="https://chippewa.com/news/sixth-hunter-dies-from-shooting/article_d22e4fca-621a-5bd1-a457-83d0af47bf18.html" xr:uid="{00000000-0004-0000-0500-00001F030000}"/>
    <hyperlink ref="F523" r:id="rId801" display="http://news.minnesota.publicradio.org/features/2004/11/22_kelleherb_huntershooting/" xr:uid="{00000000-0004-0000-0500-000020030000}"/>
    <hyperlink ref="H523" r:id="rId802" display="https://chippewa.com/news/sixth-hunter-dies-from-shooting/article_d22e4fca-621a-5bd1-a457-83d0af47bf18.html" xr:uid="{00000000-0004-0000-0500-000021030000}"/>
    <hyperlink ref="F524" r:id="rId803" display="http://news.minnesota.publicradio.org/features/2004/11/22_kelleherb_huntershooting/" xr:uid="{00000000-0004-0000-0500-000022030000}"/>
    <hyperlink ref="H524" r:id="rId804" display="https://alchetron.com/Chai-Vang" xr:uid="{00000000-0004-0000-0500-000023030000}"/>
    <hyperlink ref="F525" r:id="rId805" display="https://www.rollingstone.com/music/music-news/behind-the-murder-of-dimebag-darrell-233541/" xr:uid="{00000000-0004-0000-0500-000024030000}"/>
    <hyperlink ref="H525" r:id="rId806" display="https://www.rollingstone.com/music/music-news/behind-the-murder-of-dimebag-darrell-233541/" xr:uid="{00000000-0004-0000-0500-000025030000}"/>
    <hyperlink ref="F526" r:id="rId807" display="https://www.rollingstone.com/music/music-news/behind-the-murder-of-dimebag-darrell-233541/" xr:uid="{00000000-0004-0000-0500-000026030000}"/>
    <hyperlink ref="F527" r:id="rId808" display="https://www.rollingstone.com/music/music-news/behind-the-murder-of-dimebag-darrell-233541/" xr:uid="{00000000-0004-0000-0500-000027030000}"/>
    <hyperlink ref="F528" r:id="rId809" display="https://www.rollingstone.com/music/music-news/behind-the-murder-of-dimebag-darrell-233541/" xr:uid="{00000000-0004-0000-0500-000028030000}"/>
    <hyperlink ref="F529" r:id="rId810" display="https://www.cnn.com/2013/10/31/us/atlanta-courthouse-shootings-fast-facts/index.html" xr:uid="{00000000-0004-0000-0500-000029030000}"/>
    <hyperlink ref="I529" r:id="rId811" display="https://www.newyorker.com/magazine/2008/02/04/death-in-georgia" xr:uid="{00000000-0004-0000-0500-00002A030000}"/>
    <hyperlink ref="F530" r:id="rId812" display="https://www.cnn.com/2013/10/31/us/atlanta-courthouse-shootings-fast-facts/index.html" xr:uid="{00000000-0004-0000-0500-00002B030000}"/>
    <hyperlink ref="F531" r:id="rId813" display="https://www.cnn.com/2013/10/31/us/atlanta-courthouse-shootings-fast-facts/index.html" xr:uid="{00000000-0004-0000-0500-00002C030000}"/>
    <hyperlink ref="F532" r:id="rId814" display="https://www.cnn.com/2013/10/31/us/atlanta-courthouse-shootings-fast-facts/index.html" xr:uid="{00000000-0004-0000-0500-00002D030000}"/>
    <hyperlink ref="E533" r:id="rId815" xr:uid="{00000000-0004-0000-0500-00002E030000}"/>
    <hyperlink ref="F533" r:id="rId816" display="https://www.cbsnews.com/news/church-police-probe-7-murders/" xr:uid="{00000000-0004-0000-0500-00002F030000}"/>
    <hyperlink ref="F534" r:id="rId817" display="https://www.cbsnews.com/news/church-police-probe-7-murders/" xr:uid="{00000000-0004-0000-0500-000030030000}"/>
    <hyperlink ref="G534" r:id="rId818" display="https://apnews.com/21e763deab129b81690d84cdebd25c5b" xr:uid="{00000000-0004-0000-0500-000031030000}"/>
    <hyperlink ref="H534" r:id="rId819" display="https://www.google.com/books/edition/Martyrdom_in_Milwaukee/MzhVs1852I0C?hl=en&amp;gbpv=1&amp;bsq=picture" xr:uid="{00000000-0004-0000-0500-000032030000}"/>
    <hyperlink ref="E535" r:id="rId820" xr:uid="{00000000-0004-0000-0500-000033030000}"/>
    <hyperlink ref="F535" r:id="rId821" display="https://www.cbsnews.com/news/church-police-probe-7-murders/" xr:uid="{00000000-0004-0000-0500-000034030000}"/>
    <hyperlink ref="E536" r:id="rId822" xr:uid="{00000000-0004-0000-0500-000035030000}"/>
    <hyperlink ref="F536" r:id="rId823" display="https://www.cbsnews.com/news/church-police-probe-7-murders/" xr:uid="{00000000-0004-0000-0500-000036030000}"/>
    <hyperlink ref="E537" r:id="rId824" xr:uid="{00000000-0004-0000-0500-000037030000}"/>
    <hyperlink ref="F537" r:id="rId825" display="https://www.cbsnews.com/news/church-police-probe-7-murders/" xr:uid="{00000000-0004-0000-0500-000038030000}"/>
    <hyperlink ref="H537" r:id="rId826" display="http://www.nbcnews.com/id/7167861/ns/us_news-crime_and_courts/t/relatives-struggle-answers-after-shooting/" xr:uid="{00000000-0004-0000-0500-000039030000}"/>
    <hyperlink ref="F538" r:id="rId827" display="https://www.cbsnews.com/news/church-police-probe-7-murders/" xr:uid="{00000000-0004-0000-0500-00003A030000}"/>
    <hyperlink ref="H538" r:id="rId828" location="view-photo=17062560" display="https://www.findagrave.com/memorial/35558228/bart-j-oliver - view-photo=17062560" xr:uid="{00000000-0004-0000-0500-00003B030000}"/>
    <hyperlink ref="F539" r:id="rId829" display="https://www.cbsnews.com/news/church-police-probe-7-murders/" xr:uid="{00000000-0004-0000-0500-00003C030000}"/>
    <hyperlink ref="F540" r:id="rId830" display="https://www.mprnews.org/story/2015/03/18/red-lake-victims" xr:uid="{00000000-0004-0000-0500-00003D030000}"/>
    <hyperlink ref="F541" r:id="rId831" display="https://www.mprnews.org/story/2015/03/18/red-lake-victims" xr:uid="{00000000-0004-0000-0500-00003E030000}"/>
    <hyperlink ref="F543" r:id="rId832" display="https://www.mprnews.org/story/2015/03/18/red-lake-victims" xr:uid="{00000000-0004-0000-0500-00003F030000}"/>
    <hyperlink ref="F544" r:id="rId833" display="https://www.mprnews.org/story/2015/03/18/red-lake-victims" xr:uid="{00000000-0004-0000-0500-000040030000}"/>
    <hyperlink ref="F545" r:id="rId834" display="https://www.mprnews.org/story/2015/03/18/red-lake-victims" xr:uid="{00000000-0004-0000-0500-000041030000}"/>
    <hyperlink ref="F546" r:id="rId835" display="https://www.mprnews.org/story/2015/03/18/red-lake-victims" xr:uid="{00000000-0004-0000-0500-000042030000}"/>
    <hyperlink ref="H546" r:id="rId836" display="http://www.justicefornativewomen.com/2016/04/michelle-sigana-chanelle-rosebear-and.html" xr:uid="{00000000-0004-0000-0500-000043030000}"/>
    <hyperlink ref="F547" r:id="rId837" display="https://www.mprnews.org/story/2015/03/18/red-lake-victims" xr:uid="{00000000-0004-0000-0500-000044030000}"/>
    <hyperlink ref="F548" r:id="rId838" display="https://www.mprnews.org/story/2015/03/18/red-lake-victims" xr:uid="{00000000-0004-0000-0500-000045030000}"/>
    <hyperlink ref="F549" r:id="rId839" display="https://www.chron.com/news/houston-texas/article/Gunman-kills-himself-after-deadly-rampage-1916640.php" xr:uid="{00000000-0004-0000-0500-000046030000}"/>
    <hyperlink ref="I549" r:id="rId840" display="https://www.myplainview.com/news/article/Gunman-kills-self-after-shooting-four-at-rural-8725414.php" xr:uid="{00000000-0004-0000-0500-000047030000}"/>
    <hyperlink ref="F550" r:id="rId841" display="https://www.chron.com/news/houston-texas/article/Gunman-kills-himself-after-deadly-rampage-1916640.php" xr:uid="{00000000-0004-0000-0500-000048030000}"/>
    <hyperlink ref="I550" r:id="rId842" display="https://www.myplainview.com/news/article/Gunman-kills-self-after-shooting-four-at-rural-8725414.php" xr:uid="{00000000-0004-0000-0500-000049030000}"/>
    <hyperlink ref="F551" r:id="rId843" display="https://www.chron.com/news/houston-texas/article/Gunman-kills-himself-after-deadly-rampage-1916640.php" xr:uid="{00000000-0004-0000-0500-00004A030000}"/>
    <hyperlink ref="F552" r:id="rId844" display="https://www.chron.com/news/houston-texas/article/Gunman-kills-himself-after-deadly-rampage-1916640.php" xr:uid="{00000000-0004-0000-0500-00004B030000}"/>
    <hyperlink ref="F553" r:id="rId845" display="https://www.cbsnews.com/news/postal-shooters-bizarre-behavior/" xr:uid="{00000000-0004-0000-0500-00004C030000}"/>
    <hyperlink ref="F554" r:id="rId846" display="https://www.cbsnews.com/news/postal-shooters-bizarre-behavior/" xr:uid="{00000000-0004-0000-0500-00004D030000}"/>
    <hyperlink ref="F555" r:id="rId847" display="https://www.cbsnews.com/news/postal-shooters-bizarre-behavior/" xr:uid="{00000000-0004-0000-0500-00004E030000}"/>
    <hyperlink ref="H555" r:id="rId848" display="https://www.findagrave.com/memorial/51488189/nicola-michelle-grant" xr:uid="{00000000-0004-0000-0500-00004F030000}"/>
    <hyperlink ref="F556" r:id="rId849" display="https://www.cbsnews.com/news/postal-shooters-bizarre-behavior/" xr:uid="{00000000-0004-0000-0500-000050030000}"/>
    <hyperlink ref="H556" r:id="rId850" display="https://www.denverpost.com/2006/02/01/death-toll-at-8-in-rampage-by-former-postal-worker/" xr:uid="{00000000-0004-0000-0500-000051030000}"/>
    <hyperlink ref="F557" r:id="rId851" display="https://www.cbsnews.com/news/postal-shooters-bizarre-behavior/" xr:uid="{00000000-0004-0000-0500-000052030000}"/>
    <hyperlink ref="F558" r:id="rId852" display="https://www.cbsnews.com/news/postal-shooters-bizarre-behavior/" xr:uid="{00000000-0004-0000-0500-000053030000}"/>
    <hyperlink ref="F559" r:id="rId853" display="https://www.cbsnews.com/news/postal-shooters-bizarre-behavior/" xr:uid="{00000000-0004-0000-0500-000054030000}"/>
    <hyperlink ref="H559" r:id="rId854" display="https://lompocrecord.com/news/local/five-victims-of-goleta-killings-had-lompoc-connections/article_0908b84b-76d3-583e-ae72-b6bf2e891442.html" xr:uid="{00000000-0004-0000-0500-000055030000}"/>
    <hyperlink ref="E560" r:id="rId855" xr:uid="{00000000-0004-0000-0500-000056030000}"/>
    <hyperlink ref="F560" r:id="rId856" display="https://archive.seattletimes.com/archive/?date=20060718&amp;slug=huff18m" xr:uid="{00000000-0004-0000-0500-000057030000}"/>
    <hyperlink ref="H560" r:id="rId857" display="https://alchetron.com/Capitol-Hill-massacre" xr:uid="{00000000-0004-0000-0500-000058030000}"/>
    <hyperlink ref="F561" r:id="rId858" display="https://www.seattlepi.com/local/article/Melissa-Moore-14-Youngest-victim-loved-life-1199580.php" xr:uid="{00000000-0004-0000-0500-000059030000}"/>
    <hyperlink ref="H561" r:id="rId859" display="https://murderpedia.org/male.H/images/huff_kyle/panel_report.pdf" xr:uid="{00000000-0004-0000-0500-00005A030000}"/>
    <hyperlink ref="F562" r:id="rId860" display="https://archive.seattletimes.com/archive/?date=20060718&amp;slug=huff18m" xr:uid="{00000000-0004-0000-0500-00005B030000}"/>
    <hyperlink ref="H562" r:id="rId861" display="https://www.indianz.com/News/2006/03/28/alaska_native_m_1.asp" xr:uid="{00000000-0004-0000-0500-00005C030000}"/>
    <hyperlink ref="F563" r:id="rId862" display="https://archive.seattletimes.com/archive/?date=20060718&amp;slug=huff18m" xr:uid="{00000000-0004-0000-0500-00005D030000}"/>
    <hyperlink ref="H563" r:id="rId863" display="https://www.seattlepi.com/local/article/Suzanne-Thorne-15-A-gregarious-teen-who-liked-1199571.php" xr:uid="{00000000-0004-0000-0500-00005E030000}"/>
    <hyperlink ref="F564" r:id="rId864" display="https://archive.seattletimes.com/archive/?date=20060718&amp;slug=huff18m" xr:uid="{00000000-0004-0000-0500-00005F030000}"/>
    <hyperlink ref="H564" r:id="rId865" display="https://alchetron.com/Capitol-Hill-massacre" xr:uid="{00000000-0004-0000-0500-000060030000}"/>
    <hyperlink ref="F565" r:id="rId866" display="https://archive.seattletimes.com/archive/?date=20060718&amp;slug=huff18m" xr:uid="{00000000-0004-0000-0500-000061030000}"/>
    <hyperlink ref="H565" r:id="rId867" display="https://alchetron.com/Capitol-Hill-massacre" xr:uid="{00000000-0004-0000-0500-000062030000}"/>
    <hyperlink ref="F566" r:id="rId868" display="https://www.wafb.com/story/4931012/gunman-accused-of-church-shooting-makes-court-appearance/" xr:uid="{00000000-0004-0000-0500-000063030000}"/>
    <hyperlink ref="F567" r:id="rId869" display="https://www.wafb.com/story/4931012/gunman-accused-of-church-shooting-makes-court-appearance/" xr:uid="{00000000-0004-0000-0500-000064030000}"/>
    <hyperlink ref="F568" r:id="rId870" display="https://www.wafb.com/story/4931012/gunman-accused-of-church-shooting-makes-court-appearance/" xr:uid="{00000000-0004-0000-0500-000065030000}"/>
    <hyperlink ref="F569" r:id="rId871" display="https://www.wafb.com/story/4931012/gunman-accused-of-church-shooting-makes-court-appearance/" xr:uid="{00000000-0004-0000-0500-000066030000}"/>
    <hyperlink ref="H569" r:id="rId872" display="https://www.nytimes.com/2006/05/22/us/22church.html" xr:uid="{00000000-0004-0000-0500-000067030000}"/>
    <hyperlink ref="E570" r:id="rId873" xr:uid="{00000000-0004-0000-0500-000068030000}"/>
    <hyperlink ref="F570" r:id="rId874" display="https://www.wafb.com/story/4931012/gunman-accused-of-church-shooting-makes-court-appearance/" xr:uid="{00000000-0004-0000-0500-000069030000}"/>
    <hyperlink ref="H570" r:id="rId875" display="https://www.wafb.com/story/6546399/baton-rouge-deadly-church-shooting-anniversary/" xr:uid="{00000000-0004-0000-0500-00006A030000}"/>
    <hyperlink ref="F571" r:id="rId876" display="https://ashlandtidings.com/archive/amish-families-bury-shooting-victims" xr:uid="{00000000-0004-0000-0500-00006B030000}"/>
    <hyperlink ref="F572" r:id="rId877" display="https://www.pennlive.com/crime/2019/10/remembering-the-west-nickel-mines-amish-school-shooting-in-2006.html" xr:uid="{00000000-0004-0000-0500-00006C030000}"/>
    <hyperlink ref="F573" r:id="rId878" display="https://www.findagrave.com/memorial/15981699/lena-zook-miller" xr:uid="{00000000-0004-0000-0500-00006D030000}"/>
    <hyperlink ref="F574" r:id="rId879" display="https://ashlandtidings.com/archive/amish-families-bury-shooting-victims" xr:uid="{00000000-0004-0000-0500-00006E030000}"/>
    <hyperlink ref="F575" r:id="rId880" display="https://ashlandtidings.com/archive/amish-families-bury-shooting-victims" xr:uid="{00000000-0004-0000-0500-00006F030000}"/>
    <hyperlink ref="F576" r:id="rId881" display="https://www.sltrib.com/news/crime/2017/02/14/vigil-remembers-trolley-square-shooting-victims-10-years-after-attacks/" xr:uid="{00000000-0004-0000-0500-000070030000}"/>
    <hyperlink ref="H576" r:id="rId882" display="https://www.ksl.com/index.php?&amp;sid=891728" xr:uid="{00000000-0004-0000-0500-000071030000}"/>
    <hyperlink ref="F577" r:id="rId883" display="https://www.sltrib.com/news/crime/2017/02/14/vigil-remembers-trolley-square-shooting-victims-10-years-after-attacks/" xr:uid="{00000000-0004-0000-0500-000072030000}"/>
    <hyperlink ref="H577" r:id="rId884" display="https://www.ksl.com/index.php?&amp;sid=891728" xr:uid="{00000000-0004-0000-0500-000073030000}"/>
    <hyperlink ref="F578" r:id="rId885" display="https://www.sltrib.com/news/crime/2017/02/14/vigil-remembers-trolley-square-shooting-victims-10-years-after-attacks/" xr:uid="{00000000-0004-0000-0500-000074030000}"/>
    <hyperlink ref="H578" r:id="rId886" location="salt-lake-city-mayor-rocky-anderson-pauses-for-a-moment-while-speaking-at-a-press-conference-tuesday-in-salt-lake-city-just-hours-after-a-gunman-entered-the-trolley-square-mall-and-fatally-shot-5-patrons-monday-evening" display="https://www.deseret.com/2007/2/16/20001904/more-details-emerging-on-trolley-square-gunman-and-victims - salt-lake-city-mayor-rocky-anderson-pauses-for-a-moment-while-speaking-at-a-press-conference-tuesday-in-salt-lake-city-just-hours-after-a-gunman-entered-the-trolley-square-mall-and-fatally-shot-5-patrons-monday-evening" xr:uid="{00000000-0004-0000-0500-000075030000}"/>
    <hyperlink ref="F579" r:id="rId887" display="https://www.sltrib.com/news/crime/2017/02/14/vigil-remembers-trolley-square-shooting-victims-10-years-after-attacks/" xr:uid="{00000000-0004-0000-0500-000076030000}"/>
    <hyperlink ref="H579" r:id="rId888" display="https://www.sltrib.com/news/crime/2017/02/14/vigil-remembers-trolley-square-shooting-victims-10-years-after-attacks/" xr:uid="{00000000-0004-0000-0500-000077030000}"/>
    <hyperlink ref="F580" r:id="rId889" display="https://www.sltrib.com/news/crime/2017/02/14/vigil-remembers-trolley-square-shooting-victims-10-years-after-attacks/" xr:uid="{00000000-0004-0000-0500-000078030000}"/>
    <hyperlink ref="H580" r:id="rId890" display="https://www.goodhousekeeping.com/life/inspirational-stories/a25825/vickie-walker-circle-the-wagons/" xr:uid="{00000000-0004-0000-0500-000079030000}"/>
    <hyperlink ref="F581" r:id="rId891" location=".Xr6mNBNKhQJ" display="http://www.nbcnews.com/id/18143312/ns/us_news-crime_and_courts/t/profiles-victims-virginia-tech-massacre/ - .Xr6mNBNKhQJ" xr:uid="{00000000-0004-0000-0500-00007A030000}"/>
    <hyperlink ref="H581" r:id="rId892" location=".Xr6mNBNKhQJ" display="http://www.nbcnews.com/id/18143312/ns/us_news-crime_and_courts/t/profiles-victims-virginia-tech-massacre/ - .Xr6mNBNKhQJ" xr:uid="{00000000-0004-0000-0500-00007B030000}"/>
    <hyperlink ref="I581" r:id="rId893" display="https://www.nytimes.com/2007/04/20/us/20english.html" xr:uid="{00000000-0004-0000-0500-00007C030000}"/>
    <hyperlink ref="F582" r:id="rId894" display="https://www.npr.org/2007/04/18/9618673/remembering-virginia-techs-shooting-victims" xr:uid="{00000000-0004-0000-0500-00007D030000}"/>
    <hyperlink ref="H582" r:id="rId895" display="https://www.remembrance.vt.edu/biographies/bishop.html" xr:uid="{00000000-0004-0000-0500-00007E030000}"/>
    <hyperlink ref="F583" r:id="rId896" display="https://www.findagrave.com/memorial/18981440/brian-roy-bluhm" xr:uid="{00000000-0004-0000-0500-00007F030000}"/>
    <hyperlink ref="H583" r:id="rId897" display="https://www.remembrance.vt.edu/biographies/bishop.html" xr:uid="{00000000-0004-0000-0500-000080030000}"/>
    <hyperlink ref="F584" r:id="rId898" display="https://www.npr.org/2007/04/18/9618673/remembering-virginia-techs-shooting-victims" xr:uid="{00000000-0004-0000-0500-000081030000}"/>
    <hyperlink ref="H584" r:id="rId899" display="https://www.remembrance.vt.edu/biographies/clark.html" xr:uid="{00000000-0004-0000-0500-000082030000}"/>
    <hyperlink ref="F585" r:id="rId900" location=".XmemUS3Mz-Y" display="http://www.nbcnews.com/id/18143312/ns/us_news-crime_and_courts/t/profiles-victims-virginia-tech-massacre/ - .XmemUS3Mz-Y" xr:uid="{00000000-0004-0000-0500-000083030000}"/>
    <hyperlink ref="H585" r:id="rId901" display="https://www.remembrance.vt.edu/biographies/cloyd.html" xr:uid="{00000000-0004-0000-0500-000084030000}"/>
    <hyperlink ref="H586" r:id="rId902" display="https://www.remembrance.vt.edu/biographies/couture-nowak.html" xr:uid="{00000000-0004-0000-0500-000085030000}"/>
    <hyperlink ref="F587" r:id="rId903" display="https://www.npr.org/2007/04/18/9618673/remembering-virginia-techs-shooting-victims" xr:uid="{00000000-0004-0000-0500-000086030000}"/>
    <hyperlink ref="H587" r:id="rId904" display="https://www.remembrance.vt.edu/biographies/granata.html" xr:uid="{00000000-0004-0000-0500-000087030000}"/>
    <hyperlink ref="F588" r:id="rId905" display="https://www.npr.org/2007/04/18/9618673/remembering-virginia-techs-shooting-victims" xr:uid="{00000000-0004-0000-0500-000088030000}"/>
    <hyperlink ref="H588" r:id="rId906" display="https://www.remembrance.vt.edu/biographies/gwaltney.html" xr:uid="{00000000-0004-0000-0500-000089030000}"/>
    <hyperlink ref="F589" r:id="rId907" display="https://www.npr.org/2007/04/18/9618673/remembering-virginia-techs-shooting-victims" xr:uid="{00000000-0004-0000-0500-00008A030000}"/>
    <hyperlink ref="H589" r:id="rId908" display="https://www.remembrance.vt.edu/biographies/hammaren.html" xr:uid="{00000000-0004-0000-0500-00008B030000}"/>
    <hyperlink ref="F590" r:id="rId909" display="https://www.npr.org/2007/04/18/9618673/remembering-virginia-techs-shooting-victims" xr:uid="{00000000-0004-0000-0500-00008C030000}"/>
    <hyperlink ref="H590" r:id="rId910" display="https://www.remembrance.vt.edu/biographies/herbstritt.html" xr:uid="{00000000-0004-0000-0500-00008D030000}"/>
    <hyperlink ref="F591" r:id="rId911" display="https://www.npr.org/2007/04/18/9618673/remembering-virginia-techs-shooting-victims" xr:uid="{00000000-0004-0000-0500-00008E030000}"/>
    <hyperlink ref="H591" r:id="rId912" display="https://www.remembrance.vt.edu/biographies/hill.html" xr:uid="{00000000-0004-0000-0500-00008F030000}"/>
    <hyperlink ref="F592" r:id="rId913" display="https://www.npr.org/2007/04/18/9618673/remembering-virginia-techs-shooting-victims" xr:uid="{00000000-0004-0000-0500-000090030000}"/>
    <hyperlink ref="H592" r:id="rId914" display="https://www.remembrance.vt.edu/biographies/hilscher.html" xr:uid="{00000000-0004-0000-0500-000091030000}"/>
    <hyperlink ref="I592" r:id="rId915" display="https://www.standard.co.uk/news/massacre-gunmans-deadly-infatuation-with-emily-7238319.html" xr:uid="{00000000-0004-0000-0500-000092030000}"/>
    <hyperlink ref="F593" r:id="rId916" display="https://www.npr.org/2007/04/18/9618673/remembering-virginia-techs-shooting-victims" xr:uid="{00000000-0004-0000-0500-000093030000}"/>
    <hyperlink ref="H593" r:id="rId917" display="https://www.remembrance.vt.edu/biographies/lane.html" xr:uid="{00000000-0004-0000-0500-000094030000}"/>
    <hyperlink ref="F594" r:id="rId918" display="https://www.npr.org/2007/04/18/9618673/remembering-virginia-techs-shooting-victims" xr:uid="{00000000-0004-0000-0500-000095030000}"/>
    <hyperlink ref="H594" r:id="rId919" display="https://www.remembrance.vt.edu/biographies/la-porte.html" xr:uid="{00000000-0004-0000-0500-000096030000}"/>
    <hyperlink ref="F595" r:id="rId920" display="https://www.npr.org/2007/04/18/9618673/remembering-virginia-techs-shooting-victims" xr:uid="{00000000-0004-0000-0500-000097030000}"/>
    <hyperlink ref="H595" r:id="rId921" display="https://www.remembrance.vt.edu/biographies/lee.html" xr:uid="{00000000-0004-0000-0500-000098030000}"/>
    <hyperlink ref="F596" r:id="rId922" display="https://www.npr.org/2007/04/18/9618673/remembering-virginia-techs-shooting-victims" xr:uid="{00000000-0004-0000-0500-000099030000}"/>
    <hyperlink ref="H596" r:id="rId923" display="https://www.remembrance.vt.edu/biographies/librescu.html" xr:uid="{00000000-0004-0000-0500-00009A030000}"/>
    <hyperlink ref="F597" r:id="rId924" display="https://www.npr.org/2007/04/18/9618673/remembering-virginia-techs-shooting-victims" xr:uid="{00000000-0004-0000-0500-00009B030000}"/>
    <hyperlink ref="H597" r:id="rId925" display="https://www.remembrance.vt.edu/biographies/loganathan.html" xr:uid="{00000000-0004-0000-0500-00009C030000}"/>
    <hyperlink ref="F598" r:id="rId926" display="https://www.npr.org/2007/04/18/9618673/remembering-virginia-techs-shooting-victims" xr:uid="{00000000-0004-0000-0500-00009D030000}"/>
    <hyperlink ref="H598" r:id="rId927" display="https://www.remembrance.vt.edu/biographies/lumbantoruan.html" xr:uid="{00000000-0004-0000-0500-00009E030000}"/>
    <hyperlink ref="F599" r:id="rId928" display="https://www.npr.org/2007/04/18/9618673/remembering-virginia-techs-shooting-victims" xr:uid="{00000000-0004-0000-0500-00009F030000}"/>
    <hyperlink ref="H599" r:id="rId929" display="https://www.remembrance.vt.edu/biographies/mccain.html" xr:uid="{00000000-0004-0000-0500-0000A0030000}"/>
    <hyperlink ref="F600" r:id="rId930" display="https://www.npr.org/2007/04/18/9618673/remembering-virginia-techs-shooting-victims" xr:uid="{00000000-0004-0000-0500-0000A1030000}"/>
    <hyperlink ref="H600" r:id="rId931" display="https://www.remembrance.vt.edu/biographies/oneil.html" xr:uid="{00000000-0004-0000-0500-0000A2030000}"/>
    <hyperlink ref="F601" r:id="rId932" display="https://www.npr.org/2007/04/18/9618673/remembering-virginia-techs-shooting-victims" xr:uid="{00000000-0004-0000-0500-0000A3030000}"/>
    <hyperlink ref="H601" r:id="rId933" display="https://www.remembrance.vt.edu/biographies/ortiz.html" xr:uid="{00000000-0004-0000-0500-0000A4030000}"/>
    <hyperlink ref="F602" r:id="rId934" display="https://www.npr.org/2007/04/18/9618673/remembering-virginia-techs-shooting-victims" xr:uid="{00000000-0004-0000-0500-0000A5030000}"/>
    <hyperlink ref="H602" r:id="rId935" display="https://www.remembrance.vt.edu/biographies/panchal.html" xr:uid="{00000000-0004-0000-0500-0000A6030000}"/>
    <hyperlink ref="F603" r:id="rId936" display="https://www.npr.org/2007/04/18/9618673/remembering-virginia-techs-shooting-victims" xr:uid="{00000000-0004-0000-0500-0000A7030000}"/>
    <hyperlink ref="H603" r:id="rId937" display="https://www.remembrance.vt.edu/biographies/perez.html" xr:uid="{00000000-0004-0000-0500-0000A8030000}"/>
    <hyperlink ref="F604" r:id="rId938" location=".Xr6mNBNKhQJ" display="http://www.nbcnews.com/id/18143312/ns/us_news-crime_and_courts/t/profiles-victims-virginia-tech-massacre/ - .Xr6mNBNKhQJ" xr:uid="{00000000-0004-0000-0500-0000A9030000}"/>
    <hyperlink ref="H604" r:id="rId939" display="https://www.remembrance.vt.edu/biographies/peterson.html" xr:uid="{00000000-0004-0000-0500-0000AA030000}"/>
    <hyperlink ref="F605" r:id="rId940" display="https://www.npr.org/2007/04/18/9618673/remembering-virginia-techs-shooting-victims" xr:uid="{00000000-0004-0000-0500-0000AB030000}"/>
    <hyperlink ref="H605" r:id="rId941" display="https://www.remembrance.vt.edu/biographies/pohle.html" xr:uid="{00000000-0004-0000-0500-0000AC030000}"/>
    <hyperlink ref="F606" r:id="rId942" display="https://www.npr.org/2007/04/18/9618673/remembering-virginia-techs-shooting-victims" xr:uid="{00000000-0004-0000-0500-0000AD030000}"/>
    <hyperlink ref="H606" r:id="rId943" display="https://www.remembrance.vt.edu/biographies/pryde.html" xr:uid="{00000000-0004-0000-0500-0000AE030000}"/>
    <hyperlink ref="F607" r:id="rId944" display="https://www.npr.org/2007/04/18/9618673/remembering-virginia-techs-shooting-victims" xr:uid="{00000000-0004-0000-0500-0000AF030000}"/>
    <hyperlink ref="H607" r:id="rId945" display="https://www.remembrance.vt.edu/biographies/read.html" xr:uid="{00000000-0004-0000-0500-0000B0030000}"/>
    <hyperlink ref="F608" r:id="rId946" display="https://www.npr.org/2007/04/18/9618673/remembering-virginia-techs-shooting-victims" xr:uid="{00000000-0004-0000-0500-0000B1030000}"/>
    <hyperlink ref="H608" r:id="rId947" display="https://www.remembrance.vt.edu/biographies/samaha.html" xr:uid="{00000000-0004-0000-0500-0000B2030000}"/>
    <hyperlink ref="F609" r:id="rId948" location=".XmemUS3Mz-Y" display="http://www.nbcnews.com/id/18143312/ns/us_news-crime_and_courts/t/profiles-victims-virginia-tech-massacre/ - .XmemUS3Mz-Y" xr:uid="{00000000-0004-0000-0500-0000B3030000}"/>
    <hyperlink ref="H609" r:id="rId949" display="https://www.remembrance.vt.edu/biographies/shaalan.html" xr:uid="{00000000-0004-0000-0500-0000B4030000}"/>
    <hyperlink ref="F610" r:id="rId950" location=".XmemUS3Mz-Y" display="http://www.nbcnews.com/id/18143312/ns/us_news-crime_and_courts/t/profiles-victims-virginia-tech-massacre/ - .XmemUS3Mz-Y" xr:uid="{00000000-0004-0000-0500-0000B5030000}"/>
    <hyperlink ref="H610" r:id="rId951" display="https://www.remembrance.vt.edu/biographies/sherman.html" xr:uid="{00000000-0004-0000-0500-0000B6030000}"/>
    <hyperlink ref="F611" r:id="rId952" location=".XmemUS3Mz-Y" display="http://www.nbcnews.com/id/18143312/ns/us_news-crime_and_courts/t/profiles-victims-virginia-tech-massacre/ - .XmemUS3Mz-Y" xr:uid="{00000000-0004-0000-0500-0000B7030000}"/>
    <hyperlink ref="H611" r:id="rId953" display="https://www.remembrance.vt.edu/biographies/turner.html" xr:uid="{00000000-0004-0000-0500-0000B8030000}"/>
    <hyperlink ref="F612" r:id="rId954" display="https://www.npr.org/2007/04/18/9618673/remembering-virginia-techs-shooting-victims" xr:uid="{00000000-0004-0000-0500-0000B9030000}"/>
    <hyperlink ref="H612" r:id="rId955" display="https://www.remembrance.vt.edu/biographies/white.html" xr:uid="{00000000-0004-0000-0500-0000BA030000}"/>
    <hyperlink ref="F613" r:id="rId956" display="https://www.omaha.com/news/local/von-maur-victims-pictures-stories-of-beverly-flynn-reflect-a/article_fa2561d0-c347-11e7-8efc-7b8f00cbbaa9.html" xr:uid="{00000000-0004-0000-0500-0000BB030000}"/>
    <hyperlink ref="F614" r:id="rId957" display="https://www.omaha.com/news/local/von-maur-victims-gary-joy-knew-all-his-co-workers/article_17cbe40c-c348-11e7-b993-5f3d295d9d44.html" xr:uid="{00000000-0004-0000-0500-0000BC030000}"/>
    <hyperlink ref="F616" r:id="rId958" display="https://www.omaha.com/news/local/von-maur-victims-jesuits-honor-example-set-by-john-mcdonald/article_83860e84-c348-11e7-ab07-bb18ff0e5422.html" xr:uid="{00000000-0004-0000-0500-0000BD030000}"/>
    <hyperlink ref="F617" r:id="rId959" display="https://www.omaha.com/news/local/von-maur-victims-gary-scharf-was-a-grown-up-boy/article_b47bc34e-c348-11e7-a2ac-2f00563c97fa.html" xr:uid="{00000000-0004-0000-0500-0000BE030000}"/>
    <hyperlink ref="F618" r:id="rId960" display="https://www.omaha.com/news/local/von-maur-victims-angie-schuster-met-her-fiance-at-store/article_ec808982-c348-11e7-bdeb-5bca8c190a01.html" xr:uid="{00000000-0004-0000-0500-0000BF030000}"/>
    <hyperlink ref="F619" r:id="rId961" display="https://www.omaha.com/news/local/von-maur-victims-dianne-clavin-trent-s-siblings-recall-their/article_5f1b5698-c349-11e7-b8ba-d72f99db5164.html" xr:uid="{00000000-0004-0000-0500-0000C0030000}"/>
    <hyperlink ref="F620" r:id="rId962" display="https://www.omaha.com/news/local/von-maur-victims-friends-family-say-one-word-sums-up/article_c1c19c50-c347-11e7-b6d1-63b52c135267.html" xr:uid="{00000000-0004-0000-0500-0000C1030000}"/>
    <hyperlink ref="F621" r:id="rId963" display="https://abcnews.go.com/GMA/story?id=3982722&amp;page=1" xr:uid="{00000000-0004-0000-0500-0000C2030000}"/>
    <hyperlink ref="H621" r:id="rId964" display="http://bpnews.net/27000/wedgwood-prays-for-families-of-colorado-shooting-victims" xr:uid="{00000000-0004-0000-0500-0000C3030000}"/>
    <hyperlink ref="F622" r:id="rId965" display="https://abcnews.go.com/GMA/story?id=3982722&amp;page=1" xr:uid="{00000000-0004-0000-0500-0000C4030000}"/>
    <hyperlink ref="H622" r:id="rId966" display="http://bpnews.net/27000/wedgwood-prays-for-families-of-colorado-shooting-victims" xr:uid="{00000000-0004-0000-0500-0000C5030000}"/>
    <hyperlink ref="F623" r:id="rId967" display="https://abcnews.go.com/GMA/story?id=3982722&amp;page=1" xr:uid="{00000000-0004-0000-0500-0000C6030000}"/>
    <hyperlink ref="F624" r:id="rId968" display="https://abcnews.go.com/GMA/story?id=3982722&amp;page=1" xr:uid="{00000000-0004-0000-0500-0000C7030000}"/>
    <hyperlink ref="H625" r:id="rId969" display="https://www.stltoday.com/news/local/metro/kirkwood-city-hall-shooting-years-after-tragedy-a-community-reflects/article_895f3748-b575-59bb-b02a-719dc551a4d4.html" xr:uid="{00000000-0004-0000-0500-0000C8030000}"/>
    <hyperlink ref="I625" r:id="rId970" display="https://www.stltoday.com/news/local/crime-and-courts/assailant-had-history-of-disputes-with-city/article_fc73d090-77da-11df-be3c-0017a4a78c22.html" xr:uid="{00000000-0004-0000-0500-0000C9030000}"/>
    <hyperlink ref="H626" r:id="rId971" display="https://www.stltoday.com/news/local/metro/kirkwood-city-hall-shooting-years-after-tragedy-a-community-reflects/article_895f3748-b575-59bb-b02a-719dc551a4d4.html" xr:uid="{00000000-0004-0000-0500-0000CA030000}"/>
    <hyperlink ref="I626" r:id="rId972" display="https://www.stltoday.com/news/local/crime-and-courts/assailant-had-history-of-disputes-with-city/article_fc73d090-77da-11df-be3c-0017a4a78c22.html" xr:uid="{00000000-0004-0000-0500-0000CB030000}"/>
    <hyperlink ref="F627" r:id="rId973" display="https://www.chicagotribune.com/news/ct-xpm-2008-02-10-0802090484-story.html" xr:uid="{00000000-0004-0000-0500-0000CC030000}"/>
    <hyperlink ref="H627" r:id="rId974" display="https://www.findagrave.com/memorial/24482558/connie-karr" xr:uid="{00000000-0004-0000-0500-0000CD030000}"/>
    <hyperlink ref="I627" r:id="rId975" display="https://www.stltoday.com/news/local/crime-and-courts/assailant-had-history-of-disputes-with-city/article_fc73d090-77da-11df-be3c-0017a4a78c22.html" xr:uid="{00000000-0004-0000-0500-0000CE030000}"/>
    <hyperlink ref="H628" r:id="rId976" display="https://www.stltoday.com/news/local/metro/kirkwood-city-hall-shooting-years-after-tragedy-a-community-reflects/article_895f3748-b575-59bb-b02a-719dc551a4d4.html" xr:uid="{00000000-0004-0000-0500-0000CF030000}"/>
    <hyperlink ref="I628" r:id="rId977" display="https://www.stltoday.com/news/local/crime-and-courts/assailant-had-history-of-disputes-with-city/article_fc73d090-77da-11df-be3c-0017a4a78c22.html" xr:uid="{00000000-0004-0000-0500-0000D0030000}"/>
    <hyperlink ref="H629" r:id="rId978" display="https://www.stltoday.com/news/local/metro/kirkwood-city-hall-shooting-years-after-tragedy-a-community-reflects/article_895f3748-b575-59bb-b02a-719dc551a4d4.html" xr:uid="{00000000-0004-0000-0500-0000D1030000}"/>
    <hyperlink ref="I629" r:id="rId979" display="https://www.stltoday.com/news/local/crime-and-courts/assailant-had-history-of-disputes-with-city/article_fc73d090-77da-11df-be3c-0017a4a78c22.html" xr:uid="{00000000-0004-0000-0500-0000D2030000}"/>
    <hyperlink ref="H630" r:id="rId980" display="https://www.stltoday.com/news/local/metro/kirkwood-city-hall-shooting-years-after-tragedy-a-community-reflects/article_895f3748-b575-59bb-b02a-719dc551a4d4.html" xr:uid="{00000000-0004-0000-0500-0000D3030000}"/>
    <hyperlink ref="I630" r:id="rId981" display="https://www.stltoday.com/news/local/crime-and-courts/assailant-had-history-of-disputes-with-city/article_fc73d090-77da-11df-be3c-0017a4a78c22.html" xr:uid="{00000000-0004-0000-0500-0000D4030000}"/>
    <hyperlink ref="F631" r:id="rId982" display="https://www.nytimes.com/2008/02/15/us/15cnd-shoot.html" xr:uid="{00000000-0004-0000-0500-0000D5030000}"/>
    <hyperlink ref="H631" r:id="rId983" display="http://www.nbcnews.com/id/29199551/ns/us_news-crime_and_courts/t/niu-shooting-victims-mourn-lives-lost/" xr:uid="{00000000-0004-0000-0500-0000D6030000}"/>
    <hyperlink ref="F632" r:id="rId984" display="https://www.nytimes.com/2008/02/15/us/15cnd-shoot.html" xr:uid="{00000000-0004-0000-0500-0000D7030000}"/>
    <hyperlink ref="H632" r:id="rId985" display="http://www.nbcnews.com/id/29199551/ns/us_news-crime_and_courts/t/niu-shooting-victims-mourn-lives-lost/" xr:uid="{00000000-0004-0000-0500-0000D8030000}"/>
    <hyperlink ref="F633" r:id="rId986" display="https://www.nytimes.com/2008/02/15/us/15cnd-shoot.html" xr:uid="{00000000-0004-0000-0500-0000D9030000}"/>
    <hyperlink ref="H633" r:id="rId987" display="http://www.nbcnews.com/id/29199551/ns/us_news-crime_and_courts/t/niu-shooting-victims-mourn-lives-lost/" xr:uid="{00000000-0004-0000-0500-0000DA030000}"/>
    <hyperlink ref="F634" r:id="rId988" display="https://www.nytimes.com/2008/02/15/us/15cnd-shoot.html" xr:uid="{00000000-0004-0000-0500-0000DB030000}"/>
    <hyperlink ref="H634" r:id="rId989" display="http://www.nbcnews.com/id/29199551/ns/us_news-crime_and_courts/t/niu-shooting-victims-mourn-lives-lost/" xr:uid="{00000000-0004-0000-0500-0000DC030000}"/>
    <hyperlink ref="F635" r:id="rId990" display="https://www.nytimes.com/2008/02/15/us/15cnd-shoot.html" xr:uid="{00000000-0004-0000-0500-0000DD030000}"/>
    <hyperlink ref="H635" r:id="rId991" display="http://www.nbcnews.com/id/29199551/ns/us_news-crime_and_courts/t/niu-shooting-victims-mourn-lives-lost/" xr:uid="{00000000-0004-0000-0500-0000DE030000}"/>
    <hyperlink ref="F636" r:id="rId992" display="https://lompocrecord.com/news/local/murder-charges-filed-in-salvage-yard-killings/article_49b0ac19-ca6c-5723-aa70-60fd86d7f70b.html" xr:uid="{00000000-0004-0000-0500-0000DF030000}"/>
    <hyperlink ref="F637" r:id="rId993" display="https://lompocrecord.com/news/local/murder-charges-filed-in-salvage-yard-killings/article_49b0ac19-ca6c-5723-aa70-60fd86d7f70b.html" xr:uid="{00000000-0004-0000-0500-0000E0030000}"/>
    <hyperlink ref="F638" r:id="rId994" display="https://lompocrecord.com/news/local/murder-charges-filed-in-salvage-yard-killings/article_49b0ac19-ca6c-5723-aa70-60fd86d7f70b.html" xr:uid="{00000000-0004-0000-0500-0000E1030000}"/>
    <hyperlink ref="H638" r:id="rId995" display="https://www.newspapers.com/clip/27575578/santa-maria-times/" xr:uid="{00000000-0004-0000-0500-0000E2030000}"/>
    <hyperlink ref="H639" r:id="rId996" display="https://www.newspapers.com/clip/27575578/santa-maria-times/" xr:uid="{00000000-0004-0000-0500-0000E3030000}"/>
    <hyperlink ref="I639" r:id="rId997" display="https://lompocrecord.com/news/local/murder-charges-filed-in-salvage-yard-killings/article_49b0ac19-ca6c-5723-aa70-60fd86d7f70b.html" xr:uid="{00000000-0004-0000-0500-0000E4030000}"/>
    <hyperlink ref="F640" r:id="rId998" display="https://www.nytimes.com/2008/06/26/us/26factory.html" xr:uid="{00000000-0004-0000-0500-0000E5030000}"/>
    <hyperlink ref="H640" r:id="rId999" display="https://obits.courierpress.com/obituaries/courierpress/obituary.aspx?n=joshua-hinojosa&amp;pid=112322887" xr:uid="{00000000-0004-0000-0500-0000E6030000}"/>
    <hyperlink ref="F641" r:id="rId1000" display="https://www.nytimes.com/2008/06/26/us/26factory.html" xr:uid="{00000000-0004-0000-0500-0000E7030000}"/>
    <hyperlink ref="H641" r:id="rId1001" display="https://obits.courierpress.com/obituaries/courierpress/obituary.aspx?n=trisha-mirelez&amp;pid=112322885" xr:uid="{00000000-0004-0000-0500-0000E8030000}"/>
    <hyperlink ref="F642" r:id="rId1002" display="https://www.nytimes.com/2008/06/26/us/26factory.html" xr:uid="{00000000-0004-0000-0500-0000E9030000}"/>
    <hyperlink ref="F643" r:id="rId1003" display="https://www.14news.com/story/8551083/update-suspect-and-victims-names-released/" xr:uid="{00000000-0004-0000-0500-0000EA030000}"/>
    <hyperlink ref="F644" r:id="rId1004" display="https://www.nytimes.com/2008/06/26/us/26factory.html" xr:uid="{00000000-0004-0000-0500-0000EB030000}"/>
    <hyperlink ref="H644" r:id="rId1005" display="https://murderpedia.org/male.H/h/higdon-wesley-photos.htm" xr:uid="{00000000-0004-0000-0500-0000EC030000}"/>
    <hyperlink ref="F645" r:id="rId1006" display="https://www.seattlepi.com/seattlenews/article/Isaac-Zamora-10781621.php" xr:uid="{00000000-0004-0000-0500-0000ED030000}"/>
    <hyperlink ref="F646" r:id="rId1007" display="https://www.seattlepi.com/seattlenews/article/Isaac-Zamora-10781621.php" xr:uid="{00000000-0004-0000-0500-0000EE030000}"/>
    <hyperlink ref="F647" r:id="rId1008" display="https://www.nytimes.com/2008/09/04/us/04spree.html" xr:uid="{00000000-0004-0000-0500-0000EF030000}"/>
    <hyperlink ref="H647" r:id="rId1009" display="https://www.goskagit.com/news/specialreports/statement-from-deputy-anne-jackson-s-family/article_3d2c515a-aae2-5c1c-93d8-f62e0953036b.html" xr:uid="{00000000-0004-0000-0500-0000F0030000}"/>
    <hyperlink ref="I647" r:id="rId1010" display="https://www.seattlepi.com/seattlenews/article/Isaac-Zamora-10781621.php" xr:uid="{00000000-0004-0000-0500-0000F1030000}"/>
    <hyperlink ref="F648" r:id="rId1011" display="https://www.seattlepi.com/seattlenews/article/Isaac-Zamora-10781621.php" xr:uid="{00000000-0004-0000-0500-0000F2030000}"/>
    <hyperlink ref="F649" r:id="rId1012" display="https://www.seattlepi.com/seattlenews/article/Isaac-Zamora-10781621.php" xr:uid="{00000000-0004-0000-0500-0000F3030000}"/>
    <hyperlink ref="H649" r:id="rId1013" display="https://www.goskagit.com/all_access/zamora-victims-settle-with-state-for-9-million/article_f87d09d2-40ea-507a-8719-7ca44e05e861.html" xr:uid="{00000000-0004-0000-0500-0000F4030000}"/>
    <hyperlink ref="F650" r:id="rId1014" display="https://www.seattlepi.com/seattlenews/article/Isaac-Zamora-10781621.php" xr:uid="{00000000-0004-0000-0500-0000F5030000}"/>
    <hyperlink ref="F651" r:id="rId1015" display="https://www.nytimes.com/2009/03/30/us/30shooting.html" xr:uid="{00000000-0004-0000-0500-0000F6030000}"/>
    <hyperlink ref="H651" r:id="rId1016" display="https://www.findagrave.com/memorial/35344978/jerry-yi-avant" xr:uid="{00000000-0004-0000-0500-0000F7030000}"/>
    <hyperlink ref="F652" r:id="rId1017" display="https://www.nytimes.com/2009/03/30/us/30shooting.html" xr:uid="{00000000-0004-0000-0500-0000F8030000}"/>
    <hyperlink ref="H652" r:id="rId1018" display="https://www.fayobserver.com/photogallery/NC/20190329/NEWS/329009991/PH/1" xr:uid="{00000000-0004-0000-0500-0000F9030000}"/>
    <hyperlink ref="F653" r:id="rId1019" display="https://www.nytimes.com/2009/03/30/us/30shooting.html" xr:uid="{00000000-0004-0000-0500-0000FA030000}"/>
    <hyperlink ref="H653" r:id="rId1020" display="https://www.fayobserver.com/photogallery/NC/20190329/NEWS/329009991/PH/1" xr:uid="{00000000-0004-0000-0500-0000FB030000}"/>
    <hyperlink ref="F654" r:id="rId1021" display="https://www.nytimes.com/2009/03/30/us/30shooting.html" xr:uid="{00000000-0004-0000-0500-0000FC030000}"/>
    <hyperlink ref="F655" r:id="rId1022" display="https://www.nytimes.com/2009/03/30/us/30shooting.html" xr:uid="{00000000-0004-0000-0500-0000FD030000}"/>
    <hyperlink ref="F656" r:id="rId1023" display="https://www.nytimes.com/2009/03/30/us/30shooting.html" xr:uid="{00000000-0004-0000-0500-0000FE030000}"/>
    <hyperlink ref="H656" r:id="rId1024" display="https://www.thepilot.com/news/dispatches-from-the-deadliest-mass-shooting-in-n-c-history/article_590664de-33bd-11e8-ad8b-6b7c2c1fa20d.html" xr:uid="{00000000-0004-0000-0500-0000FF030000}"/>
    <hyperlink ref="F657" r:id="rId1025" display="https://www.nytimes.com/2009/03/30/us/30shooting.html" xr:uid="{00000000-0004-0000-0500-000000040000}"/>
    <hyperlink ref="F658" r:id="rId1026" display="https://www.nytimes.com/2009/03/30/us/30shooting.html" xr:uid="{00000000-0004-0000-0500-000001040000}"/>
    <hyperlink ref="H658" r:id="rId1027" display="https://www.thepilot.com/news/dispatches-from-the-deadliest-mass-shooting-in-n-c-history/article_590664de-33bd-11e8-ad8b-6b7c2c1fa20d.html" xr:uid="{00000000-0004-0000-0500-000002040000}"/>
    <hyperlink ref="F659" r:id="rId1028" display="https://www.nytimes.com/2009/04/06/nyregion/06victims.html" xr:uid="{00000000-0004-0000-0500-000003040000}"/>
    <hyperlink ref="H659" r:id="rId1029" display="https://www.pressconnects.com/story/news/local/2019/03/27/aca-american-civic-association-binghamton-shooting-victims-obituaries/3224600002/" xr:uid="{00000000-0004-0000-0500-000004040000}"/>
    <hyperlink ref="I659" r:id="rId1030" display="https://www.nytimes.com/2009/04/12/nyregion/12binghamton.html" xr:uid="{00000000-0004-0000-0500-000005040000}"/>
    <hyperlink ref="F660" r:id="rId1031" display="https://www.nytimes.com/2009/04/06/nyregion/06victims.html" xr:uid="{00000000-0004-0000-0500-000006040000}"/>
    <hyperlink ref="H660" r:id="rId1032" display="https://www.pressconnects.com/story/news/local/2019/03/27/aca-american-civic-association-binghamton-shooting-victims-obituaries/3224600002/" xr:uid="{00000000-0004-0000-0500-000007040000}"/>
    <hyperlink ref="I660" r:id="rId1033" display="https://www.nytimes.com/2009/04/12/nyregion/12binghamton.html" xr:uid="{00000000-0004-0000-0500-000008040000}"/>
    <hyperlink ref="F661" r:id="rId1034" display="https://www.nytimes.com/2009/04/06/nyregion/06victims.html" xr:uid="{00000000-0004-0000-0500-000009040000}"/>
    <hyperlink ref="H661" r:id="rId1035" display="https://www.pressconnects.com/story/news/local/2019/03/27/aca-american-civic-association-binghamton-shooting-victims-obituaries/3224600002/" xr:uid="{00000000-0004-0000-0500-00000A040000}"/>
    <hyperlink ref="I661" r:id="rId1036" display="https://www.nytimes.com/2009/04/12/nyregion/12binghamton.html" xr:uid="{00000000-0004-0000-0500-00000B040000}"/>
    <hyperlink ref="F662" r:id="rId1037" display="https://www.nytimes.com/2009/04/06/nyregion/06victims.html" xr:uid="{00000000-0004-0000-0500-00000C040000}"/>
    <hyperlink ref="H662" r:id="rId1038" display="https://www.pressconnects.com/story/news/local/2019/03/27/aca-american-civic-association-binghamton-shooting-victims-obituaries/3224600002/" xr:uid="{00000000-0004-0000-0500-00000D040000}"/>
    <hyperlink ref="I662" r:id="rId1039" display="https://www.nytimes.com/2009/04/12/nyregion/12binghamton.html" xr:uid="{00000000-0004-0000-0500-00000E040000}"/>
    <hyperlink ref="F663" r:id="rId1040" display="https://www.nytimes.com/2009/04/06/nyregion/06victims.html" xr:uid="{00000000-0004-0000-0500-00000F040000}"/>
    <hyperlink ref="H663" r:id="rId1041" display="https://www.pressconnects.com/story/news/local/2019/03/27/aca-american-civic-association-binghamton-shooting-victims-obituaries/3224600002/" xr:uid="{00000000-0004-0000-0500-000010040000}"/>
    <hyperlink ref="I663" r:id="rId1042" display="https://www.nytimes.com/2009/04/12/nyregion/12binghamton.html" xr:uid="{00000000-0004-0000-0500-000011040000}"/>
    <hyperlink ref="F664" r:id="rId1043" display="https://www.nytimes.com/2009/04/06/nyregion/06victims.html" xr:uid="{00000000-0004-0000-0500-000012040000}"/>
    <hyperlink ref="H664" r:id="rId1044" display="https://www.pressconnects.com/story/news/local/2019/03/27/aca-american-civic-association-binghamton-shooting-victims-obituaries/3224600002/" xr:uid="{00000000-0004-0000-0500-000013040000}"/>
    <hyperlink ref="I664" r:id="rId1045" display="https://www.nytimes.com/2009/04/12/nyregion/12binghamton.html" xr:uid="{00000000-0004-0000-0500-000014040000}"/>
    <hyperlink ref="F665" r:id="rId1046" display="https://www.nytimes.com/2009/04/06/nyregion/06victims.html" xr:uid="{00000000-0004-0000-0500-000015040000}"/>
    <hyperlink ref="H665" r:id="rId1047" display="https://www.pressconnects.com/story/news/local/2019/03/27/aca-american-civic-association-binghamton-shooting-victims-obituaries/3224600002/" xr:uid="{00000000-0004-0000-0500-000016040000}"/>
    <hyperlink ref="I665" r:id="rId1048" display="https://schoolshooters.info/sites/default/files/Al-Salihi_v_Gander_Mountain.pdf" xr:uid="{00000000-0004-0000-0500-000017040000}"/>
    <hyperlink ref="F666" r:id="rId1049" display="https://www.nytimes.com/2009/04/06/nyregion/06victims.html" xr:uid="{00000000-0004-0000-0500-000018040000}"/>
    <hyperlink ref="H666" r:id="rId1050" display="https://www.pressconnects.com/story/news/local/2019/03/27/aca-american-civic-association-binghamton-shooting-victims-obituaries/3224600002/" xr:uid="{00000000-0004-0000-0500-000019040000}"/>
    <hyperlink ref="I666" r:id="rId1051" display="https://www.nytimes.com/2009/04/12/nyregion/12binghamton.html" xr:uid="{00000000-0004-0000-0500-00001A040000}"/>
    <hyperlink ref="F667" r:id="rId1052" display="https://www.nytimes.com/2009/04/06/nyregion/06victims.html" xr:uid="{00000000-0004-0000-0500-00001B040000}"/>
    <hyperlink ref="H667" r:id="rId1053" display="https://www.pressconnects.com/story/news/local/2019/03/27/aca-american-civic-association-binghamton-shooting-victims-obituaries/3224600002/" xr:uid="{00000000-0004-0000-0500-00001C040000}"/>
    <hyperlink ref="I667" r:id="rId1054" display="https://www.nytimes.com/2009/04/12/nyregion/12binghamton.html" xr:uid="{00000000-0004-0000-0500-00001D040000}"/>
    <hyperlink ref="F668" r:id="rId1055" display="https://www.nytimes.com/2009/04/06/nyregion/06victims.html" xr:uid="{00000000-0004-0000-0500-00001E040000}"/>
    <hyperlink ref="H668" r:id="rId1056" display="https://www.pressconnects.com/story/news/local/2019/03/27/aca-american-civic-association-binghamton-shooting-victims-obituaries/3224600002/" xr:uid="{00000000-0004-0000-0500-00001F040000}"/>
    <hyperlink ref="I668" r:id="rId1057" display="https://www.nytimes.com/2009/04/12/nyregion/12binghamton.html" xr:uid="{00000000-0004-0000-0500-000020040000}"/>
    <hyperlink ref="F669" r:id="rId1058" display="https://www.nytimes.com/2009/04/06/nyregion/06victims.html" xr:uid="{00000000-0004-0000-0500-000021040000}"/>
    <hyperlink ref="H669" r:id="rId1059" display="https://www.pressconnects.com/story/news/local/2019/03/27/aca-american-civic-association-binghamton-shooting-victims-obituaries/3224600002/" xr:uid="{00000000-0004-0000-0500-000022040000}"/>
    <hyperlink ref="I669" r:id="rId1060" display="https://www.nytimes.com/2009/04/12/nyregion/12binghamton.html" xr:uid="{00000000-0004-0000-0500-000023040000}"/>
    <hyperlink ref="F670" r:id="rId1061" display="https://www.nytimes.com/2009/04/06/nyregion/06victims.html" xr:uid="{00000000-0004-0000-0500-000024040000}"/>
    <hyperlink ref="H670" r:id="rId1062" display="https://www.pressconnects.com/story/news/local/2019/03/27/aca-american-civic-association-binghamton-shooting-victims-obituaries/3224600002/" xr:uid="{00000000-0004-0000-0500-000025040000}"/>
    <hyperlink ref="I670" r:id="rId1063" display="https://www.nytimes.com/2009/04/12/nyregion/12binghamton.html" xr:uid="{00000000-0004-0000-0500-000026040000}"/>
    <hyperlink ref="F671" r:id="rId1064" display="https://www.nytimes.com/2009/04/06/nyregion/06victims.html" xr:uid="{00000000-0004-0000-0500-000027040000}"/>
    <hyperlink ref="H671" r:id="rId1065" display="https://www.pressconnects.com/story/news/local/2019/03/27/aca-american-civic-association-binghamton-shooting-victims-obituaries/3224600002/" xr:uid="{00000000-0004-0000-0500-000028040000}"/>
    <hyperlink ref="I671" r:id="rId1066" display="https://www.nytimes.com/2009/04/12/nyregion/12binghamton.html" xr:uid="{00000000-0004-0000-0500-000029040000}"/>
    <hyperlink ref="F672" r:id="rId1067" display="https://www.wxii12.com/article/4-victims-in-mount-airy-shooting-related-police-say/2036349" xr:uid="{00000000-0004-0000-0500-00002A040000}"/>
    <hyperlink ref="F673" r:id="rId1068" display="https://www.wxii12.com/article/4-victims-in-mount-airy-shooting-related-police-say/2036349" xr:uid="{00000000-0004-0000-0500-00002B040000}"/>
    <hyperlink ref="F674" r:id="rId1069" display="https://www.roanoke.com/archive/man-charged-with-killing-4-in-mayberry/article_88cc11b1-9f83-526c-99bf-ad15fc178a33.html" xr:uid="{00000000-0004-0000-0500-00002C040000}"/>
    <hyperlink ref="F675" r:id="rId1070" display="https://www.wxii12.com/article/4-victims-in-mount-airy-shooting-related-police-say/2036349" xr:uid="{00000000-0004-0000-0500-00002D040000}"/>
    <hyperlink ref="F676" r:id="rId1071" display="https://www.kwtx.com/content/news/10-minutes-of-gunfire-10-years-ago-left-13-dead-more-than-30-injured-564365711.html" xr:uid="{00000000-0004-0000-0500-00002E040000}"/>
    <hyperlink ref="F677" r:id="rId1072" display="https://www.kwtx.com/content/news/10-minutes-of-gunfire-10-years-ago-left-13-dead-more-than-30-injured-564365711.html" xr:uid="{00000000-0004-0000-0500-00002F040000}"/>
    <hyperlink ref="F678" r:id="rId1073" display="https://www.kwtx.com/content/news/10-minutes-of-gunfire-10-years-ago-left-13-dead-more-than-30-injured-564365711.html" xr:uid="{00000000-0004-0000-0500-000030040000}"/>
    <hyperlink ref="F679" r:id="rId1074" display="https://www.kwtx.com/content/news/10-minutes-of-gunfire-10-years-ago-left-13-dead-more-than-30-injured-564365711.html" xr:uid="{00000000-0004-0000-0500-000031040000}"/>
    <hyperlink ref="H679" r:id="rId1075" display="https://www.kwtx.com/content/news/10-minutes-of-gunfire-10-years-ago-left-13-dead-more-than-30-injured-564365711.html" xr:uid="{00000000-0004-0000-0500-000032040000}"/>
    <hyperlink ref="F680" r:id="rId1076" display="https://www.kwtx.com/content/news/10-minutes-of-gunfire-10-years-ago-left-13-dead-more-than-30-injured-564365711.html" xr:uid="{00000000-0004-0000-0500-000033040000}"/>
    <hyperlink ref="F681" r:id="rId1077" display="https://www.kwtx.com/content/news/10-minutes-of-gunfire-10-years-ago-left-13-dead-more-than-30-injured-564365711.html" xr:uid="{00000000-0004-0000-0500-000034040000}"/>
    <hyperlink ref="F682" r:id="rId1078" display="https://www.kwtx.com/content/news/10-minutes-of-gunfire-10-years-ago-left-13-dead-more-than-30-injured-564365711.html" xr:uid="{00000000-0004-0000-0500-000035040000}"/>
    <hyperlink ref="F683" r:id="rId1079" display="https://www.kwtx.com/content/news/10-minutes-of-gunfire-10-years-ago-left-13-dead-more-than-30-injured-564365711.html" xr:uid="{00000000-0004-0000-0500-000036040000}"/>
    <hyperlink ref="F684" r:id="rId1080" display="https://www.kwtx.com/content/news/10-minutes-of-gunfire-10-years-ago-left-13-dead-more-than-30-injured-564365711.html" xr:uid="{00000000-0004-0000-0500-000037040000}"/>
    <hyperlink ref="F685" r:id="rId1081" display="https://www.kwtx.com/content/news/10-minutes-of-gunfire-10-years-ago-left-13-dead-more-than-30-injured-564365711.html" xr:uid="{00000000-0004-0000-0500-000038040000}"/>
    <hyperlink ref="F686" r:id="rId1082" display="https://www.kwtx.com/content/news/10-minutes-of-gunfire-10-years-ago-left-13-dead-more-than-30-injured-564365711.html" xr:uid="{00000000-0004-0000-0500-000039040000}"/>
    <hyperlink ref="F687" r:id="rId1083" display="https://www.kwtx.com/content/news/10-minutes-of-gunfire-10-years-ago-left-13-dead-more-than-30-injured-564365711.html" xr:uid="{00000000-0004-0000-0500-00003A040000}"/>
    <hyperlink ref="F688" r:id="rId1084" display="https://www.kwtx.com/content/news/10-minutes-of-gunfire-10-years-ago-left-13-dead-more-than-30-injured-564365711.html" xr:uid="{00000000-0004-0000-0500-00003B040000}"/>
    <hyperlink ref="F689" r:id="rId1085" display="https://www.spokesman.com/blogs/sirens/2010/dec/07/mixed-verdicts-police-shooting-trial/" xr:uid="{00000000-0004-0000-0500-00003C040000}"/>
    <hyperlink ref="F690" r:id="rId1086" display="https://www.spokesman.com/blogs/sirens/2010/dec/07/mixed-verdicts-police-shooting-trial/" xr:uid="{00000000-0004-0000-0500-00003D040000}"/>
    <hyperlink ref="F691" r:id="rId1087" display="https://www.spokesman.com/blogs/sirens/2010/dec/07/mixed-verdicts-police-shooting-trial/" xr:uid="{00000000-0004-0000-0500-00003E040000}"/>
    <hyperlink ref="F692" r:id="rId1088" display="https://www.spokesman.com/blogs/sirens/2010/dec/07/mixed-verdicts-police-shooting-trial/" xr:uid="{00000000-0004-0000-0500-00003F040000}"/>
    <hyperlink ref="F693" r:id="rId1089" display="https://www.latimes.com/local/lanow/la-me-ln-man-convicted-of-killing-four--20160315-story.html" xr:uid="{00000000-0004-0000-0500-000040040000}"/>
    <hyperlink ref="H693" r:id="rId1090" display="https://hetq.am/en/article/74067" xr:uid="{00000000-0004-0000-0500-000041040000}"/>
    <hyperlink ref="F694" r:id="rId1091" display="https://www.latimes.com/local/lanow/la-me-ln-man-convicted-of-killing-four--20160315-story.html" xr:uid="{00000000-0004-0000-0500-000042040000}"/>
    <hyperlink ref="H694" r:id="rId1092" display="https://hetq.am/en/article/74067" xr:uid="{00000000-0004-0000-0500-000043040000}"/>
    <hyperlink ref="F695" r:id="rId1093" display="https://www.latimes.com/local/lanow/la-me-ln-man-convicted-of-killing-four--20160315-story.html" xr:uid="{00000000-0004-0000-0500-000044040000}"/>
    <hyperlink ref="H695" r:id="rId1094" display="https://hetq.am/en/article/74067" xr:uid="{00000000-0004-0000-0500-000045040000}"/>
    <hyperlink ref="F696" r:id="rId1095" display="https://www.latimes.com/local/lanow/la-me-ln-man-convicted-of-killing-four--20160315-story.html" xr:uid="{00000000-0004-0000-0500-000046040000}"/>
    <hyperlink ref="H696" r:id="rId1096" display="https://hetq.am/en/article/74067" xr:uid="{00000000-0004-0000-0500-000047040000}"/>
    <hyperlink ref="F697" r:id="rId1097" display="https://www.cbsnews.com/news/florida-man-kills-four-women-in-restaurant-shooting-police-say/" xr:uid="{00000000-0004-0000-0500-000048040000}"/>
    <hyperlink ref="F698" r:id="rId1098" display="https://www.cbsnews.com/news/florida-man-kills-four-women-in-restaurant-shooting-police-say/" xr:uid="{00000000-0004-0000-0500-000049040000}"/>
    <hyperlink ref="F699" r:id="rId1099" display="https://www.cbsnews.com/news/florida-man-kills-four-women-in-restaurant-shooting-police-say/" xr:uid="{00000000-0004-0000-0500-00004A040000}"/>
    <hyperlink ref="F700" r:id="rId1100" display="https://www.cbsnews.com/news/florida-man-kills-four-women-in-restaurant-shooting-police-say/" xr:uid="{00000000-0004-0000-0500-00004B040000}"/>
    <hyperlink ref="F701" r:id="rId1101" display="https://www.findagrave.com/memorial/55838231/william-carl-ackerman" xr:uid="{00000000-0004-0000-0500-00004C040000}"/>
    <hyperlink ref="H701" r:id="rId1102" display="https://www.fox61.com/article/news/local/outreach/awareness-months/vigil-marks-anniversary-of-deadly-workplace-shooting/520-9889e6ab-3d7a-43c1-862d-40160c55a573" xr:uid="{00000000-0004-0000-0500-00004D040000}"/>
    <hyperlink ref="F702" r:id="rId1103" display="https://www.nytimes.com/2010/08/04/nyregion/04shooting.html" xr:uid="{00000000-0004-0000-0500-00004E040000}"/>
    <hyperlink ref="H702" r:id="rId1104" display="https://www.fox61.com/article/news/local/outreach/awareness-months/vigil-marks-anniversary-of-deadly-workplace-shooting/520-9889e6ab-3d7a-43c1-862d-40160c55a573" xr:uid="{00000000-0004-0000-0500-00004F040000}"/>
    <hyperlink ref="F703" r:id="rId1105" display="https://www.cbsnews.com/news/connecticut-shooting-victims-stories-emerge-after-hartford-distributors-massacre/" xr:uid="{00000000-0004-0000-0500-000050040000}"/>
    <hyperlink ref="H703" r:id="rId1106" display="https://www.fox61.com/article/news/local/outreach/awareness-months/vigil-marks-anniversary-of-deadly-workplace-shooting/520-9889e6ab-3d7a-43c1-862d-40160c55a573" xr:uid="{00000000-0004-0000-0500-000051040000}"/>
    <hyperlink ref="F704" r:id="rId1107" display="https://www.findagrave.com/memorial/55852567/louis-j_-felder" xr:uid="{00000000-0004-0000-0500-000052040000}"/>
    <hyperlink ref="H704" r:id="rId1108" display="https://www.fox61.com/article/news/local/outreach/awareness-months/vigil-marks-anniversary-of-deadly-workplace-shooting/520-9889e6ab-3d7a-43c1-862d-40160c55a573" xr:uid="{00000000-0004-0000-0500-000053040000}"/>
    <hyperlink ref="I704" r:id="rId1109" display="https://www.nytimes.com/2010/08/04/nyregion/04shooting.html?mtrref=www.google.com" xr:uid="{00000000-0004-0000-0500-000054040000}"/>
    <hyperlink ref="F705" r:id="rId1110" display="https://www.cbsnews.com/news/connecticut-shooting-victims-stories-emerge-after-hartford-distributors-massacre/" xr:uid="{00000000-0004-0000-0500-000055040000}"/>
    <hyperlink ref="H705" r:id="rId1111" display="https://www.fox61.com/article/news/local/outreach/awareness-months/vigil-marks-anniversary-of-deadly-workplace-shooting/520-9889e6ab-3d7a-43c1-862d-40160c55a573" xr:uid="{00000000-0004-0000-0500-000056040000}"/>
    <hyperlink ref="F706" r:id="rId1112" display="https://www.cbsnews.com/news/connecticut-shooting-victims-stories-emerge-after-hartford-distributors-massacre/" xr:uid="{00000000-0004-0000-0500-000057040000}"/>
    <hyperlink ref="H706" r:id="rId1113" display="https://www.fox61.com/article/news/local/outreach/awareness-months/vigil-marks-anniversary-of-deadly-workplace-shooting/520-9889e6ab-3d7a-43c1-862d-40160c55a573" xr:uid="{00000000-0004-0000-0500-000058040000}"/>
    <hyperlink ref="F707" r:id="rId1114" display="https://www.nytimes.com/2010/08/04/nyregion/04shooting.html" xr:uid="{00000000-0004-0000-0500-000059040000}"/>
    <hyperlink ref="H707" r:id="rId1115" display="https://www.fox61.com/article/news/local/outreach/awareness-months/vigil-marks-anniversary-of-deadly-workplace-shooting/520-9889e6ab-3d7a-43c1-862d-40160c55a573" xr:uid="{00000000-0004-0000-0500-00005A040000}"/>
    <hyperlink ref="F708" r:id="rId1116" display="https://www.findagrave.com/memorial/55848006?search=true" xr:uid="{00000000-0004-0000-0500-00005B040000}"/>
    <hyperlink ref="H708" r:id="rId1117" display="https://www.fox61.com/article/news/local/outreach/awareness-months/vigil-marks-anniversary-of-deadly-workplace-shooting/520-9889e6ab-3d7a-43c1-862d-40160c55a573" xr:uid="{00000000-0004-0000-0500-00005C040000}"/>
    <hyperlink ref="F709" r:id="rId1118" display="https://buffalonews.com/2017/10/21/seven-years-city-grill-shootings-fifth-victim-dies/" xr:uid="{00000000-0004-0000-0500-00005D040000}"/>
    <hyperlink ref="H709" r:id="rId1119" display="https://lombardofuneralhome.com/tribute/details/3679/Shawn-Tia-McNeil/obituary.html" xr:uid="{00000000-0004-0000-0500-00005E040000}"/>
    <hyperlink ref="F710" r:id="rId1120" display="https://buffalonews.com/2017/10/21/seven-years-city-grill-shootings-fifth-victim-dies/" xr:uid="{00000000-0004-0000-0500-00005F040000}"/>
    <hyperlink ref="H710" r:id="rId1121" display="https://www.legacy.com/amp/obituaries/buffalonews/144815145" xr:uid="{00000000-0004-0000-0500-000060040000}"/>
    <hyperlink ref="F711" r:id="rId1122" display="https://buffalonews.com/2017/10/21/seven-years-city-grill-shootings-fifth-victim-dies/" xr:uid="{00000000-0004-0000-0500-000061040000}"/>
    <hyperlink ref="H711" r:id="rId1123" display="https://nypost.com/2010/08/15/death-do-they-part/" xr:uid="{00000000-0004-0000-0500-000062040000}"/>
    <hyperlink ref="F712" r:id="rId1124" display="https://buffalonews.com/2017/10/21/seven-years-city-grill-shootings-fifth-victim-dies/" xr:uid="{00000000-0004-0000-0500-000063040000}"/>
    <hyperlink ref="H712" r:id="rId1125" display="https://lombardofuneralhome.com/tribute/details/3678/Tiffany-Wilhite/obituary.html" xr:uid="{00000000-0004-0000-0500-000064040000}"/>
    <hyperlink ref="F713" r:id="rId1126" display="https://www.theguardian.com/world/2010/sep/12/man-shot-wife-cooked-eggs" xr:uid="{00000000-0004-0000-0500-000065040000}"/>
    <hyperlink ref="H713" r:id="rId1127" display="https://www.findagrave.com/memorial/58525004/teresa-gail-blanton/photo" xr:uid="{00000000-0004-0000-0500-000066040000}"/>
    <hyperlink ref="F714" r:id="rId1128" display="https://www.wave3.com/story/13137582/victims-relative-spat-began-fatal-ky-rampage/" xr:uid="{00000000-0004-0000-0500-000067040000}"/>
    <hyperlink ref="H714" r:id="rId1129" display="https://www.kentucky.com/news/state/kentucky/article44048943.html" xr:uid="{00000000-0004-0000-0500-000068040000}"/>
    <hyperlink ref="F715" r:id="rId1130" display="https://www.kentucky.com/news/state/kentucky/article44049051.html" xr:uid="{00000000-0004-0000-0500-000069040000}"/>
    <hyperlink ref="I715" r:id="rId1131" display="https://www.theguardian.com/world/2010/sep/12/man-shot-wife-cooked-eggs" xr:uid="{00000000-0004-0000-0500-00006A040000}"/>
    <hyperlink ref="F716" r:id="rId1132" display="https://www.kentucky.com/news/state/kentucky/article44049051.html" xr:uid="{00000000-0004-0000-0500-00006B040000}"/>
    <hyperlink ref="I716" r:id="rId1133" display="https://www.theguardian.com/world/2010/sep/12/man-shot-wife-cooked-eggs" xr:uid="{00000000-0004-0000-0500-00006C040000}"/>
    <hyperlink ref="F717" r:id="rId1134" display="https://www.kentucky.com/news/state/kentucky/article44049051.html" xr:uid="{00000000-0004-0000-0500-00006D040000}"/>
    <hyperlink ref="H717" r:id="rId1135" display="https://www.findagrave.com/memorial/58524877/dennis-joe-turner" xr:uid="{00000000-0004-0000-0500-00006E040000}"/>
    <hyperlink ref="I717" r:id="rId1136" display="https://www.wkyt.com/home/headlines/102783529.html" xr:uid="{00000000-0004-0000-0500-00006F040000}"/>
    <hyperlink ref="F718" r:id="rId1137" display="https://www.cnn.com/2013/06/10/us/arizona-safeway-shootings-fast-facts/index.html" xr:uid="{00000000-0004-0000-0500-000070040000}"/>
    <hyperlink ref="H718" r:id="rId1138" display="https://tucson.com/news/local/watch-moment-of-silence-tonight-on-house-floor-to-honor/article_0f7c3e24-136e-11e9-9289-93a495a6085b.html" xr:uid="{00000000-0004-0000-0500-000071040000}"/>
    <hyperlink ref="F719" r:id="rId1139" display="https://www.cnn.com/2013/06/10/us/arizona-safeway-shootings-fast-facts/index.html" xr:uid="{00000000-0004-0000-0500-000072040000}"/>
    <hyperlink ref="H719" r:id="rId1140" display="https://tucson.com/news/local/watch-moment-of-silence-tonight-on-house-floor-to-honor/article_0f7c3e24-136e-11e9-9289-93a495a6085b.html" xr:uid="{00000000-0004-0000-0500-000073040000}"/>
    <hyperlink ref="F720" r:id="rId1141" display="https://www.cnn.com/2013/06/10/us/arizona-safeway-shootings-fast-facts/index.html" xr:uid="{00000000-0004-0000-0500-000074040000}"/>
    <hyperlink ref="H720" r:id="rId1142" display="https://www.nytimes.com/2011/01/09/us/politics/09giffords.html" xr:uid="{00000000-0004-0000-0500-000075040000}"/>
    <hyperlink ref="F721" r:id="rId1143" display="https://www.nytimes.com/2011/01/09/us/politics/09giffords.html" xr:uid="{00000000-0004-0000-0500-000076040000}"/>
    <hyperlink ref="H721" r:id="rId1144" display="https://tucson.com/news/local/watch-moment-of-silence-tonight-on-house-floor-to-honor/article_0f7c3e24-136e-11e9-9289-93a495a6085b.html" xr:uid="{00000000-0004-0000-0500-000077040000}"/>
    <hyperlink ref="F722" r:id="rId1145" display="https://www.nytimes.com/2011/01/09/us/politics/09giffords.html" xr:uid="{00000000-0004-0000-0500-000078040000}"/>
    <hyperlink ref="H722" r:id="rId1146" display="https://tucson.com/news/local/watch-moment-of-silence-tonight-on-house-floor-to-honor/article_0f7c3e24-136e-11e9-9289-93a495a6085b.html" xr:uid="{00000000-0004-0000-0500-000079040000}"/>
    <hyperlink ref="F723" r:id="rId1147" display="https://www.cnn.com/2013/06/10/us/arizona-safeway-shootings-fast-facts/index.html" xr:uid="{00000000-0004-0000-0500-00007A040000}"/>
    <hyperlink ref="H723" r:id="rId1148" display="https://tucson.com/news/local/watch-moment-of-silence-tonight-on-house-floor-to-honor/article_0f7c3e24-136e-11e9-9289-93a495a6085b.html" xr:uid="{00000000-0004-0000-0500-00007B040000}"/>
    <hyperlink ref="F724" r:id="rId1149" display="https://abcnews.go.com/US/ohio-gunman-hunted-child-shooting-rampage-girlfriend-lone/story?id=14255204" xr:uid="{00000000-0004-0000-0500-00007C040000}"/>
    <hyperlink ref="H724" r:id="rId1150" display="https://www.beaconjournal.com/article/20120615/NEWS/306159412" xr:uid="{00000000-0004-0000-0500-00007D040000}"/>
    <hyperlink ref="F725" r:id="rId1151" display="https://abcnews.go.com/US/ohio-gunman-hunted-child-shooting-rampage-girlfriend-lone/story?id=14255204" xr:uid="{00000000-0004-0000-0500-00007E040000}"/>
    <hyperlink ref="H725" r:id="rId1152" display="https://www.beaconjournal.com/article/20120615/NEWS/306159412" xr:uid="{00000000-0004-0000-0500-00007F040000}"/>
    <hyperlink ref="F726" r:id="rId1153" display="https://abcnews.go.com/US/ohio-gunman-hunted-child-shooting-rampage-girlfriend-lone/story?id=14255204" xr:uid="{00000000-0004-0000-0500-000080040000}"/>
    <hyperlink ref="H726" r:id="rId1154" display="https://www.beaconjournal.com/article/20120615/NEWS/306159412" xr:uid="{00000000-0004-0000-0500-000081040000}"/>
    <hyperlink ref="I726" r:id="rId1155" display="https://patch.com/ohio/fairlawn-bath/funeral-arrangements-announced-for-copley-township-sh921d899398" xr:uid="{00000000-0004-0000-0500-000082040000}"/>
    <hyperlink ref="F727" r:id="rId1156" display="https://abcnews.go.com/US/ohio-gunman-hunted-child-shooting-rampage-girlfriend-lone/story?id=14255204" xr:uid="{00000000-0004-0000-0500-000083040000}"/>
    <hyperlink ref="H727" r:id="rId1157" display="https://www.beaconjournal.com/article/20120615/NEWS/306159412" xr:uid="{00000000-0004-0000-0500-000084040000}"/>
    <hyperlink ref="I727" r:id="rId1158" display="https://patch.com/ohio/fairlawn-bath/funeral-arrangements-announced-for-copley-township-sh921d899398" xr:uid="{00000000-0004-0000-0500-000085040000}"/>
    <hyperlink ref="F728" r:id="rId1159" display="https://www.cleveland.com/metro/2011/08/copley_police_release_details.html" xr:uid="{00000000-0004-0000-0500-000086040000}"/>
    <hyperlink ref="H728" r:id="rId1160" display="https://www.beaconjournal.com/article/20120615/NEWS/306159412" xr:uid="{00000000-0004-0000-0500-000087040000}"/>
    <hyperlink ref="F729" r:id="rId1161" display="https://www.cleveland.com/metro/2011/08/copley_police_release_details.html" xr:uid="{00000000-0004-0000-0500-000088040000}"/>
    <hyperlink ref="H729" r:id="rId1162" display="https://www.beaconjournal.com/article/20120615/NEWS/306159412" xr:uid="{00000000-0004-0000-0500-000089040000}"/>
    <hyperlink ref="F730" r:id="rId1163" display="https://www.news-herald.com/news/police-identify-th-victim-in-copley-shooting-spree/article_3622d646-2a2c-52db-825d-d6c21c163e61.html" xr:uid="{00000000-0004-0000-0500-00008A040000}"/>
    <hyperlink ref="H730" r:id="rId1164" display="https://patch.com/ohio/fairlawn-bath/second-teen-identified-in-copley-mass-shootings-autop2099f10772" xr:uid="{00000000-0004-0000-0500-00008B040000}"/>
    <hyperlink ref="F731" r:id="rId1165" display="https://www.latimes.com/world/la-xpm-2011-sep-08-la-na-carson-shooting-20110908-story.html" xr:uid="{00000000-0004-0000-0500-00008C040000}"/>
    <hyperlink ref="H731" r:id="rId1166" display="http://www.ktvn.com/story/19478467/one-year-anniversary-of-ihop-shooting" xr:uid="{00000000-0004-0000-0500-00008D040000}"/>
    <hyperlink ref="E732" r:id="rId1167" xr:uid="{00000000-0004-0000-0500-00008E040000}"/>
    <hyperlink ref="F732" r:id="rId1168" display="https://www.latimes.com/world/la-xpm-2011-sep-08-la-na-carson-shooting-20110908-story.html" xr:uid="{00000000-0004-0000-0500-00008F040000}"/>
    <hyperlink ref="H732" r:id="rId1169" display="http://www.ktvn.com/story/19478467/one-year-anniversary-of-ihop-shooting" xr:uid="{00000000-0004-0000-0500-000090040000}"/>
    <hyperlink ref="E733" r:id="rId1170" xr:uid="{00000000-0004-0000-0500-000091040000}"/>
    <hyperlink ref="F733" r:id="rId1171" display="https://www.latimes.com/world/la-xpm-2011-sep-08-la-na-carson-shooting-20110908-story.html" xr:uid="{00000000-0004-0000-0500-000092040000}"/>
    <hyperlink ref="H733" r:id="rId1172" display="http://www.ktvn.com/story/19478467/one-year-anniversary-of-ihop-shooting" xr:uid="{00000000-0004-0000-0500-000093040000}"/>
    <hyperlink ref="F734" r:id="rId1173" display="https://www.latimes.com/world/la-xpm-2011-sep-08-la-na-carson-shooting-20110908-story.html" xr:uid="{00000000-0004-0000-0500-000094040000}"/>
    <hyperlink ref="H734" r:id="rId1174" display="http://www.ktvn.com/story/19478467/one-year-anniversary-of-ihop-shooting" xr:uid="{00000000-0004-0000-0500-000095040000}"/>
    <hyperlink ref="F735" r:id="rId1175" display="https://www.latimes.com/local/lanow/la-me-ln-scott-dekraai-sentencing-20170922-story.html" xr:uid="{00000000-0004-0000-0500-000096040000}"/>
    <hyperlink ref="H735" r:id="rId1176" display="https://www.ocregister.com/2011/10/14/police-id-victims-in-seal-beach-shooting/" xr:uid="{00000000-0004-0000-0500-000097040000}"/>
    <hyperlink ref="F736" r:id="rId1177" display="https://www.latimes.com/local/lanow/la-me-ln-scott-dekraai-sentencing-20170922-story.html" xr:uid="{00000000-0004-0000-0500-000098040000}"/>
    <hyperlink ref="H736" r:id="rId1178" display="https://www.ocregister.com/2011/10/14/police-id-victims-in-seal-beach-shooting/" xr:uid="{00000000-0004-0000-0500-000099040000}"/>
    <hyperlink ref="E737" r:id="rId1179" xr:uid="{00000000-0004-0000-0500-00009A040000}"/>
    <hyperlink ref="F737" r:id="rId1180" display="https://www.latimes.com/local/lanow/la-me-ln-scott-dekraai-sentencing-20170922-story.html" xr:uid="{00000000-0004-0000-0500-00009B040000}"/>
    <hyperlink ref="H737" r:id="rId1181" display="https://www.ocregister.com/2011/10/14/police-id-victims-in-seal-beach-shooting/" xr:uid="{00000000-0004-0000-0500-00009C040000}"/>
    <hyperlink ref="F738" r:id="rId1182" display="https://www.latimes.com/local/lanow/la-me-ln-scott-dekraai-sentencing-20170922-story.html" xr:uid="{00000000-0004-0000-0500-00009D040000}"/>
    <hyperlink ref="H738" r:id="rId1183" display="https://www.ocregister.com/2011/10/14/police-id-victims-in-seal-beach-shooting/" xr:uid="{00000000-0004-0000-0500-00009E040000}"/>
    <hyperlink ref="E739" r:id="rId1184" xr:uid="{00000000-0004-0000-0500-00009F040000}"/>
    <hyperlink ref="F739" r:id="rId1185" display="https://www.latimes.com/local/lanow/la-me-ln-scott-dekraai-sentencing-20170922-story.html" xr:uid="{00000000-0004-0000-0500-0000A0040000}"/>
    <hyperlink ref="H739" r:id="rId1186" display="https://www.ocregister.com/2011/10/14/police-id-victims-in-seal-beach-shooting/" xr:uid="{00000000-0004-0000-0500-0000A1040000}"/>
    <hyperlink ref="E740" r:id="rId1187" xr:uid="{00000000-0004-0000-0500-0000A2040000}"/>
    <hyperlink ref="F740" r:id="rId1188" display="https://www.latimes.com/local/lanow/la-me-ln-scott-dekraai-sentencing-20170922-story.html" xr:uid="{00000000-0004-0000-0500-0000A3040000}"/>
    <hyperlink ref="H740" r:id="rId1189" display="https://www.ocregister.com/2011/10/14/police-id-victims-in-seal-beach-shooting/" xr:uid="{00000000-0004-0000-0500-0000A4040000}"/>
    <hyperlink ref="E741" r:id="rId1190" xr:uid="{00000000-0004-0000-0500-0000A5040000}"/>
    <hyperlink ref="F741" r:id="rId1191" display="https://www.latimes.com/local/lanow/la-me-ln-scott-dekraai-sentencing-20170922-story.html" xr:uid="{00000000-0004-0000-0500-0000A6040000}"/>
    <hyperlink ref="H741" r:id="rId1192" display="https://www.ocregister.com/2011/10/14/police-id-victims-in-seal-beach-shooting/" xr:uid="{00000000-0004-0000-0500-0000A7040000}"/>
    <hyperlink ref="E742" r:id="rId1193" xr:uid="{00000000-0004-0000-0500-0000A8040000}"/>
    <hyperlink ref="F742" r:id="rId1194" display="https://www.latimes.com/local/lanow/la-me-ln-scott-dekraai-sentencing-20170922-story.html" xr:uid="{00000000-0004-0000-0500-0000A9040000}"/>
    <hyperlink ref="H742" r:id="rId1195" display="https://www.ocregister.com/2011/10/14/police-id-victims-in-seal-beach-shooting/" xr:uid="{00000000-0004-0000-0500-0000AA040000}"/>
    <hyperlink ref="I742" r:id="rId1196" display="https://www.cbsnews.com/news/the-gates-of-hell-flew-open-hair-salon-mass-killer-scott-dekraai-sentenced-at-emotional-hearing/" xr:uid="{00000000-0004-0000-0500-0000AB040000}"/>
    <hyperlink ref="F743" r:id="rId1197" display="https://www.wibw.com/home/headlines/Authorities_Name_6_Of_7_Murder_Victims_In_Oakland_College_Shooting_146157145.html" xr:uid="{00000000-0004-0000-0500-0000AC040000}"/>
    <hyperlink ref="I743" r:id="rId1198" display="https://www.sfgate.com/crime/article/Oikos-shooting-victim-Tshering-Rinzing-Bhutia-3457013.php" xr:uid="{00000000-0004-0000-0500-0000AD040000}"/>
    <hyperlink ref="F744" r:id="rId1199" display="https://www.wibw.com/home/headlines/Authorities_Name_6_Of_7_Murder_Victims_In_Oakland_College_Shooting_146157145.html" xr:uid="{00000000-0004-0000-0500-0000AE040000}"/>
    <hyperlink ref="F745" r:id="rId1200" display="https://www.wibw.com/home/headlines/Authorities_Name_6_Of_7_Murder_Victims_In_Oakland_College_Shooting_146157145.html" xr:uid="{00000000-0004-0000-0500-0000AF040000}"/>
    <hyperlink ref="F746" r:id="rId1201" display="https://www.wibw.com/home/headlines/Authorities_Name_6_Of_7_Murder_Victims_In_Oakland_College_Shooting_146157145.html" xr:uid="{00000000-0004-0000-0500-0000B0040000}"/>
    <hyperlink ref="F748" r:id="rId1202" display="https://www.wibw.com/home/headlines/Authorities_Name_6_Of_7_Murder_Victims_In_Oakland_College_Shooting_146157145.html" xr:uid="{00000000-0004-0000-0500-0000B1040000}"/>
    <hyperlink ref="F749" r:id="rId1203" display="https://www.wibw.com/home/headlines/Authorities_Name_6_Of_7_Murder_Victims_In_Oakland_College_Shooting_146157145.html" xr:uid="{00000000-0004-0000-0500-0000B2040000}"/>
    <hyperlink ref="F750" r:id="rId1204" display="https://abcnews.go.com/US/ian-stawicki-seattle-cafe-racer-shooter-kills-shoots-citywide/story?id=16463885" xr:uid="{00000000-0004-0000-0500-0000B3040000}"/>
    <hyperlink ref="I750" r:id="rId1205" display="https://www.seattletimes.com/seattle-news/gunman-a-life-full-of-rage-a-shocking-final-act/" xr:uid="{00000000-0004-0000-0500-0000B4040000}"/>
    <hyperlink ref="F751" r:id="rId1206" display="https://abcnews.go.com/US/ian-stawicki-seattle-cafe-racer-shooter-kills-shoots-citywide/story?id=16463885" xr:uid="{00000000-0004-0000-0500-0000B5040000}"/>
    <hyperlink ref="I751" r:id="rId1207" display="https://www.seattletimes.com/seattle-news/gunman-a-life-full-of-rage-a-shocking-final-act/" xr:uid="{00000000-0004-0000-0500-0000B6040000}"/>
    <hyperlink ref="F752" r:id="rId1208" display="https://www.seattletimes.com/seattle-news/seattle-shootings-day-of-horror-grief-in-a-shaken-city/" xr:uid="{00000000-0004-0000-0500-0000B7040000}"/>
    <hyperlink ref="F753" r:id="rId1209" display="https://www.seattletimes.com/seattle-news/seattle-shootings-day-of-horror-grief-in-a-shaken-city/" xr:uid="{00000000-0004-0000-0500-0000B8040000}"/>
    <hyperlink ref="F754" r:id="rId1210" display="https://www.seattlepi.com/local/article/shooters-last-victim-remembered-as-loving-mother-wife-3620757.php" xr:uid="{00000000-0004-0000-0500-0000B9040000}"/>
    <hyperlink ref="F755" r:id="rId1211" display="https://www.cbsnews.com/pictures/the-aurora-shooting-victims/15/" xr:uid="{00000000-0004-0000-0500-0000BA040000}"/>
    <hyperlink ref="F756" r:id="rId1212" display="https://www.cbsnews.com/pictures/the-aurora-shooting-victims/6/" xr:uid="{00000000-0004-0000-0500-0000BB040000}"/>
    <hyperlink ref="F758" r:id="rId1213" display="https://www.cbsnews.com/pictures/the-aurora-shooting-victims/13/" xr:uid="{00000000-0004-0000-0500-0000BC040000}"/>
    <hyperlink ref="F759" r:id="rId1214" display="https://www.cbsnews.com/pictures/the-aurora-shooting-victims/10/" xr:uid="{00000000-0004-0000-0500-0000BD040000}"/>
    <hyperlink ref="F760" r:id="rId1215" display="https://www.cnn.com/2013/07/19/us/colorado-theater-shooting-fast-facts/index.html" xr:uid="{00000000-0004-0000-0500-0000BE040000}"/>
    <hyperlink ref="H760" r:id="rId1216" display="https://www.cbsnews.com/pictures/the-aurora-shooting-victims/" xr:uid="{00000000-0004-0000-0500-0000BF040000}"/>
    <hyperlink ref="F761" r:id="rId1217" display="https://www.cbsnews.com/pictures/the-aurora-shooting-victims/19/" xr:uid="{00000000-0004-0000-0500-0000C0040000}"/>
    <hyperlink ref="F762" r:id="rId1218" display="https://www.cbsnews.com/pictures/the-aurora-shooting-victims/14/" xr:uid="{00000000-0004-0000-0500-0000C1040000}"/>
    <hyperlink ref="F763" r:id="rId1219" display="https://www.cbsnews.com/pictures/the-aurora-shooting-victims/8/" xr:uid="{00000000-0004-0000-0500-0000C2040000}"/>
    <hyperlink ref="F764" r:id="rId1220" display="https://www.denverpost.com/2012/07/19/family-identifies-27-year-old-victim-of-aurora-theater-shooting/" xr:uid="{00000000-0004-0000-0500-0000C3040000}"/>
    <hyperlink ref="H764" r:id="rId1221" display="https://www.cbsnews.com/pictures/the-aurora-shooting-victims/3/" xr:uid="{00000000-0004-0000-0500-0000C4040000}"/>
    <hyperlink ref="F765" r:id="rId1222" display="https://www.cbsnews.com/pictures/the-aurora-shooting-victims/21/" xr:uid="{00000000-0004-0000-0500-0000C5040000}"/>
    <hyperlink ref="F766" r:id="rId1223" display="https://www.cbsnews.com/pictures/the-aurora-shooting-victims/2/" xr:uid="{00000000-0004-0000-0500-0000C6040000}"/>
    <hyperlink ref="F767" r:id="rId1224" display="https://www.cnn.com/2012/08/06/us/wisconsin-temple-shooting/index.html" xr:uid="{00000000-0004-0000-0500-0000C7040000}"/>
    <hyperlink ref="F768" r:id="rId1225" display="https://www.cnn.com/2012/08/06/us/wisconsin-temple-shooting/index.html" xr:uid="{00000000-0004-0000-0500-0000C8040000}"/>
    <hyperlink ref="F769" r:id="rId1226" display="https://www.cnn.com/2012/08/06/us/wisconsin-temple-shooting/index.html" xr:uid="{00000000-0004-0000-0500-0000C9040000}"/>
    <hyperlink ref="F770" r:id="rId1227" display="https://www.cnn.com/2012/08/06/us/wisconsin-temple-shooting/index.html" xr:uid="{00000000-0004-0000-0500-0000CA040000}"/>
    <hyperlink ref="F771" r:id="rId1228" display="https://www.cnn.com/2012/08/06/us/wisconsin-temple-shooting/index.html" xr:uid="{00000000-0004-0000-0500-0000CB040000}"/>
    <hyperlink ref="F772" r:id="rId1229" display="https://www.cnn.com/2012/08/06/us/wisconsin-temple-shooting/index.html" xr:uid="{00000000-0004-0000-0500-0000CC040000}"/>
    <hyperlink ref="F773" r:id="rId1230" display="http://www.startribune.com/andrew-engeldinger-lost-his-job-then-opened-fire-killing-5/171774461/" xr:uid="{00000000-0004-0000-0500-0000CD040000}"/>
    <hyperlink ref="H773" r:id="rId1231" display="https://www.mprnews.org/story/2012/10/04/outpouring-of-grief-for-ups-driver-killed-at-accent-signage" xr:uid="{00000000-0004-0000-0500-0000CE040000}"/>
    <hyperlink ref="F774" r:id="rId1232" display="http://www.startribune.com/andrew-engeldinger-lost-his-job-then-opened-fire-killing-5/171774461/" xr:uid="{00000000-0004-0000-0500-0000CF040000}"/>
    <hyperlink ref="H774" r:id="rId1233" display="https://www.mprnews.org/story/2012/10/03/friends-family-attend-service-for-shooting-victim" xr:uid="{00000000-0004-0000-0500-0000D0040000}"/>
    <hyperlink ref="F775" r:id="rId1234" display="http://www.startribune.com/andrew-engeldinger-lost-his-job-then-opened-fire-killing-5/171774461/" xr:uid="{00000000-0004-0000-0500-0000D1040000}"/>
    <hyperlink ref="I775" r:id="rId1235" display="https://www.mprnews.org/story/2013/09/27/a-year-after-accent-signage-shootings-debate-shifts-from-gun-control-to-mental-health" xr:uid="{00000000-0004-0000-0500-0000D2040000}"/>
    <hyperlink ref="F776" r:id="rId1236" display="http://www.startribune.com/andrew-engeldinger-lost-his-job-then-opened-fire-killing-5/171774461/" xr:uid="{00000000-0004-0000-0500-0000D3040000}"/>
    <hyperlink ref="H776" r:id="rId1237" display="https://www.legacy.com/obituaries/name/ronald-edberg-obituary?pid=160172974" xr:uid="{00000000-0004-0000-0500-0000D4040000}"/>
    <hyperlink ref="F777" r:id="rId1238" display="http://www.startribune.com/andrew-engeldinger-lost-his-job-then-opened-fire-killing-5/171774461/" xr:uid="{00000000-0004-0000-0500-0000D5040000}"/>
    <hyperlink ref="H777" r:id="rId1239" display="https://www.startribune.com/remembering-reuven-rahamim/172093501/" xr:uid="{00000000-0004-0000-0500-0000D6040000}"/>
    <hyperlink ref="F778" r:id="rId1240" display="https://www.mprnews.org/story/2012/10/11/sixth-victim-in-shooting-rampage-dies" xr:uid="{00000000-0004-0000-0500-0000D7040000}"/>
    <hyperlink ref="H778" r:id="rId1241" display="https://www.twincities.com/2012/10/11/minneapolis-accent-signage-victim-dies-after-being-removed-from-life-support/" xr:uid="{00000000-0004-0000-0500-0000D8040000}"/>
    <hyperlink ref="F779" r:id="rId1242" display="https://www.businessinsider.com/who-were-the-victims-of-the-sandy-hook-shooting-2017-12" xr:uid="{00000000-0004-0000-0500-0000D9040000}"/>
    <hyperlink ref="F780" r:id="rId1243" display="https://www.businessinsider.com/who-were-the-victims-of-the-sandy-hook-shooting-2017-12" xr:uid="{00000000-0004-0000-0500-0000DA040000}"/>
    <hyperlink ref="F781" r:id="rId1244" display="https://www.businessinsider.com/who-were-the-victims-of-the-sandy-hook-shooting-2017-12" xr:uid="{00000000-0004-0000-0500-0000DB040000}"/>
    <hyperlink ref="F782" r:id="rId1245" display="https://www.businessinsider.com/who-were-the-victims-of-the-sandy-hook-shooting-2017-12" xr:uid="{00000000-0004-0000-0500-0000DC040000}"/>
    <hyperlink ref="F783" r:id="rId1246" display="https://www.businessinsider.com/who-were-the-victims-of-the-sandy-hook-shooting-2017-12" xr:uid="{00000000-0004-0000-0500-0000DD040000}"/>
    <hyperlink ref="F785" r:id="rId1247" display="https://www.businessinsider.com/who-were-the-victims-of-the-sandy-hook-shooting-2017-12" xr:uid="{00000000-0004-0000-0500-0000DE040000}"/>
    <hyperlink ref="F786" r:id="rId1248" display="https://www.businessinsider.com/who-were-the-victims-of-the-sandy-hook-shooting-2017-12" xr:uid="{00000000-0004-0000-0500-0000DF040000}"/>
    <hyperlink ref="F787" r:id="rId1249" display="https://www.businessinsider.com/who-were-the-victims-of-the-sandy-hook-shooting-2017-12" xr:uid="{00000000-0004-0000-0500-0000E0040000}"/>
    <hyperlink ref="F788" r:id="rId1250" display="https://www.businessinsider.com/who-were-the-victims-of-the-sandy-hook-shooting-2017-12" xr:uid="{00000000-0004-0000-0500-0000E1040000}"/>
    <hyperlink ref="F789" r:id="rId1251" display="https://www.businessinsider.com/who-were-the-victims-of-the-sandy-hook-shooting-2017-12" xr:uid="{00000000-0004-0000-0500-0000E2040000}"/>
    <hyperlink ref="F790" r:id="rId1252" display="https://www.businessinsider.com/who-were-the-victims-of-the-sandy-hook-shooting-2017-12" xr:uid="{00000000-0004-0000-0500-0000E3040000}"/>
    <hyperlink ref="H790" r:id="rId1253" display="https://www.ctpost.com/news/article/Dylan-Hockley-died-in-Anne-Marie-Murphy-s-arms-4122828.php" xr:uid="{00000000-0004-0000-0500-0000E4040000}"/>
    <hyperlink ref="F791" r:id="rId1254" display="https://www.businessinsider.com/who-were-the-victims-of-the-sandy-hook-shooting-2017-12" xr:uid="{00000000-0004-0000-0500-0000E5040000}"/>
    <hyperlink ref="G791" r:id="rId1255" display="https://www.newsday.com/long-island/towns/islip-playground-honors-madeleine-hsu-sandy-hook-victim-1.8313226" xr:uid="{00000000-0004-0000-0500-0000E6040000}"/>
    <hyperlink ref="H791" r:id="rId1256" display="https://www.scmp.com/news/world/article/1106985/parents-pay-tribute-children-killed-connecticut-school-massacre" xr:uid="{00000000-0004-0000-0500-0000E7040000}"/>
    <hyperlink ref="F792" r:id="rId1257" display="https://www.businessinsider.com/who-were-the-victims-of-the-sandy-hook-shooting-2017-12" xr:uid="{00000000-0004-0000-0500-0000E8040000}"/>
    <hyperlink ref="F793" r:id="rId1258" display="https://www.businessinsider.com/who-were-the-victims-of-the-sandy-hook-shooting-2017-12" xr:uid="{00000000-0004-0000-0500-0000E9040000}"/>
    <hyperlink ref="H793" r:id="rId1259" display="https://www.ctpost.com/local/article/Chase-Kowalski-wanted-his-front-teeth-back-4122846.php" xr:uid="{00000000-0004-0000-0500-0000EA040000}"/>
    <hyperlink ref="F794" r:id="rId1260" display="https://www.businessinsider.com/who-were-the-victims-of-the-sandy-hook-shooting-2017-12" xr:uid="{00000000-0004-0000-0500-0000EB040000}"/>
    <hyperlink ref="F795" r:id="rId1261" display="https://www.businessinsider.com/who-were-the-victims-of-the-sandy-hook-shooting-2017-12" xr:uid="{00000000-0004-0000-0500-0000EC040000}"/>
    <hyperlink ref="F797" r:id="rId1262" display="https://www.businessinsider.com/who-were-the-victims-of-the-sandy-hook-shooting-2017-12" xr:uid="{00000000-0004-0000-0500-0000ED040000}"/>
    <hyperlink ref="F798" r:id="rId1263" display="https://www.businessinsider.com/who-were-the-victims-of-the-sandy-hook-shooting-2017-12" xr:uid="{00000000-0004-0000-0500-0000EE040000}"/>
    <hyperlink ref="F799" r:id="rId1264" display="https://www.businessinsider.com/who-were-the-victims-of-the-sandy-hook-shooting-2017-12" xr:uid="{00000000-0004-0000-0500-0000EF040000}"/>
    <hyperlink ref="H799" r:id="rId1265" display="https://www.ctpost.com/news/article/Jack-Pinto-loved-sports-4122887.php" xr:uid="{00000000-0004-0000-0500-0000F0040000}"/>
    <hyperlink ref="F800" r:id="rId1266" display="https://www.businessinsider.com/who-were-the-victims-of-the-sandy-hook-shooting-2017-12" xr:uid="{00000000-0004-0000-0500-0000F1040000}"/>
    <hyperlink ref="F801" r:id="rId1267" display="https://www.businessinsider.com/who-were-the-victims-of-the-sandy-hook-shooting-2017-12" xr:uid="{00000000-0004-0000-0500-0000F2040000}"/>
    <hyperlink ref="F802" r:id="rId1268" display="https://www.businessinsider.com/who-were-the-victims-of-the-sandy-hook-shooting-2017-12" xr:uid="{00000000-0004-0000-0500-0000F3040000}"/>
    <hyperlink ref="F803" r:id="rId1269" display="https://www.businessinsider.com/who-were-the-victims-of-the-sandy-hook-shooting-2017-12" xr:uid="{00000000-0004-0000-0500-0000F4040000}"/>
    <hyperlink ref="F804" r:id="rId1270" display="https://www.businessinsider.com/who-were-the-victims-of-the-sandy-hook-shooting-2017-12" xr:uid="{00000000-0004-0000-0500-0000F5040000}"/>
    <hyperlink ref="H804" r:id="rId1271" display="http://www.legacy.com/ns/benjamin-wheeler-obituary/161726386" xr:uid="{00000000-0004-0000-0500-0000F6040000}"/>
    <hyperlink ref="F805" r:id="rId1272" display="https://www.businessinsider.com/who-were-the-victims-of-the-sandy-hook-shooting-2017-12" xr:uid="{00000000-0004-0000-0500-0000F7040000}"/>
    <hyperlink ref="F806" r:id="rId1273" display="https://www.nytimes.com/2013/03/14/nyregion/four-killed-in-shootings-in-upstate-new-york.html" xr:uid="{00000000-0004-0000-0500-0000F8040000}"/>
    <hyperlink ref="H806" r:id="rId1274" display="https://www.wktv.com/content/news/Memorial-Walk-planned-to-honor-the-victims-of-the-Mohawk-and-Herkimer-shootings-in-2013-476605513.html" xr:uid="{00000000-0004-0000-0500-0000F9040000}"/>
    <hyperlink ref="F807" r:id="rId1275" display="https://www.wktv.com/content/news/Memorial-Walk-planned-to-honor-the-victims-of-the-Mohawk-and-Herkimer-shootings-in-2013-476605513.html" xr:uid="{00000000-0004-0000-0500-0000FA040000}"/>
    <hyperlink ref="H807" r:id="rId1276" display="https://www.wktv.com/content/news/Memorial-Walk-planned-to-honor-the-victims-of-the-Mohawk-and-Herkimer-shootings-in-2013-476605513.html" xr:uid="{00000000-0004-0000-0500-0000FB040000}"/>
    <hyperlink ref="F808" r:id="rId1277" display="https://www.timestelegram.com/news/20180313/its-time-to-heal-walk-remembers-shooting-victims-survivors" xr:uid="{00000000-0004-0000-0500-0000FC040000}"/>
    <hyperlink ref="H808" r:id="rId1278" display="https://www.wktv.com/content/news/Memorial-Walk-planned-to-honor-the-victims-of-the-Mohawk-and-Herkimer-shootings-in-2013-476605513.html" xr:uid="{00000000-0004-0000-0500-0000FD040000}"/>
    <hyperlink ref="F809" r:id="rId1279" display="https://www.timestelegram.com/news/20180313/its-time-to-heal-walk-remembers-shooting-victims-survivors" xr:uid="{00000000-0004-0000-0500-0000FE040000}"/>
    <hyperlink ref="H809" r:id="rId1280" display="https://www.wktv.com/content/news/Memorial-Walk-planned-to-honor-the-victims-of-the-Mohawk-and-Herkimer-shootings-in-2013-476605513.html" xr:uid="{00000000-0004-0000-0500-0000FF040000}"/>
    <hyperlink ref="F810" r:id="rId1281" display="https://www.federalwaymirror.com/news/mother-grieves-for-daughter-killed-in-apartment-shooting/" xr:uid="{00000000-0004-0000-0500-000000050000}"/>
    <hyperlink ref="F811" r:id="rId1282" display="https://www.federalwaymirror.com/news/mother-grieves-for-daughter-killed-in-apartment-shooting/" xr:uid="{00000000-0004-0000-0500-000001050000}"/>
    <hyperlink ref="F812" r:id="rId1283" display="https://www.federalwaymirror.com/news/mother-grieves-for-daughter-killed-in-apartment-shooting/" xr:uid="{00000000-0004-0000-0500-000002050000}"/>
    <hyperlink ref="F813" r:id="rId1284" display="https://www.seattletimes.com/seattle-news/witnesses-among-5-dead-in-federal-way/" xr:uid="{00000000-0004-0000-0500-000003050000}"/>
    <hyperlink ref="H813" r:id="rId1285" display="https://www.dignitymemorial.com/obituaries/sumner-wa/ceasar-valdovinos-5509073" xr:uid="{00000000-0004-0000-0500-000004050000}"/>
    <hyperlink ref="F814" r:id="rId1286" display="https://www.cnn.com/2013/06/09/justice/california-college-gunman/index.html" xr:uid="{00000000-0004-0000-0500-000005050000}"/>
    <hyperlink ref="H814" r:id="rId1287" display="https://www.dailymail.co.uk/news/article-2339359/John-Zawahri-Santa-Monica-College-gunmans-mother-Randa-Abdou-threatened-father.html" xr:uid="{00000000-0004-0000-0500-000006050000}"/>
    <hyperlink ref="F815" r:id="rId1288" display="https://www.cnn.com/2013/06/09/justice/california-college-gunman/index.html" xr:uid="{00000000-0004-0000-0500-000007050000}"/>
    <hyperlink ref="H815" r:id="rId1289" display="https://www.dailymail.co.uk/news/article-2339359/John-Zawahri-Santa-Monica-College-gunmans-mother-Randa-Abdou-threatened-father.html" xr:uid="{00000000-0004-0000-0500-000008050000}"/>
    <hyperlink ref="F816" r:id="rId1290" display="https://www.latimes.com/local/lanow/la-me-ln-santa-monica-shooting-20130613-story.html" xr:uid="{00000000-0004-0000-0500-000009050000}"/>
    <hyperlink ref="H816" r:id="rId1291" display="https://losangeles.cbslocal.com/2013/06/13/coroner-releases-report-in-santa-monica-shootings/" xr:uid="{00000000-0004-0000-0500-00000A050000}"/>
    <hyperlink ref="F817" r:id="rId1292" display="https://www.latimes.com/local/lanow/la-xpm-2013-jun-09-la-me-ln-santa-monica-shootings-death-toll-five-marcela-franco-20130609-story.html" xr:uid="{00000000-0004-0000-0500-00000B050000}"/>
    <hyperlink ref="H817" r:id="rId1293" display="https://www.nydailynews.com/news/national/short-article-1.1372515" xr:uid="{00000000-0004-0000-0500-00000C050000}"/>
    <hyperlink ref="F818" r:id="rId1294" display="https://www.latimes.com/local/lanow/la-xpm-2013-jun-09-la-me-ln-santa-monica-shootings-death-toll-five-marcela-franco-20130609-story.html" xr:uid="{00000000-0004-0000-0500-00000D050000}"/>
    <hyperlink ref="H818" r:id="rId1295" display="https://losangeles.cbslocal.com/2013/06/13/coroner-releases-report-in-santa-monica-shootings/" xr:uid="{00000000-0004-0000-0500-00000E050000}"/>
    <hyperlink ref="F819" r:id="rId1296" display="https://www.nytimes.com/2013/07/28/us/6-shot-dead-by-neighbor-at-building-near-miami.html" xr:uid="{00000000-0004-0000-0500-00000F050000}"/>
    <hyperlink ref="H819" r:id="rId1297" display="https://www.dignitymemorial.com/obituaries/hialeah-fl/carlos-gavilanes-5616698" xr:uid="{00000000-0004-0000-0500-000010050000}"/>
    <hyperlink ref="F820" r:id="rId1298" display="https://www.nytimes.com/2013/07/28/us/6-shot-dead-by-neighbor-at-building-near-miami.html" xr:uid="{00000000-0004-0000-0500-000011050000}"/>
    <hyperlink ref="H820" r:id="rId1299" display="https://www.dailymail.co.uk/news/article-2380010/Florida-gunman-Pedro-Vargas-kills-Florida-apartment-complex.html" xr:uid="{00000000-0004-0000-0500-000012050000}"/>
    <hyperlink ref="F821" r:id="rId1300" display="https://www.nytimes.com/2013/07/28/us/6-shot-dead-by-neighbor-at-building-near-miami.html" xr:uid="{00000000-0004-0000-0500-000013050000}"/>
    <hyperlink ref="H821" r:id="rId1301" display="https://www.dailymail.co.uk/news/article-2380010/Florida-gunman-Pedro-Vargas-kills-Florida-apartment-complex.html" xr:uid="{00000000-0004-0000-0500-000014050000}"/>
    <hyperlink ref="F822" r:id="rId1302" display="https://www.nytimes.com/2013/07/28/us/6-shot-dead-by-neighbor-at-building-near-miami.html" xr:uid="{00000000-0004-0000-0500-000015050000}"/>
    <hyperlink ref="H822" r:id="rId1303" display="https://www.dailymail.co.uk/news/article-2380010/Florida-gunman-Pedro-Vargas-kills-Florida-apartment-complex.html" xr:uid="{00000000-0004-0000-0500-000016050000}"/>
    <hyperlink ref="F823" r:id="rId1304" display="https://www.nytimes.com/2013/07/28/us/6-shot-dead-by-neighbor-at-building-near-miami.html" xr:uid="{00000000-0004-0000-0500-000017050000}"/>
    <hyperlink ref="H823" r:id="rId1305" display="https://wsvn.com/news/last-hialeah-victims-laid-to-rest/" xr:uid="{00000000-0004-0000-0500-000018050000}"/>
    <hyperlink ref="F824" r:id="rId1306" display="https://www.nytimes.com/2013/07/28/us/6-shot-dead-by-neighbor-at-building-near-miami.html" xr:uid="{00000000-0004-0000-0500-000019050000}"/>
    <hyperlink ref="H824" r:id="rId1307" display="https://www.dailymail.co.uk/news/article-2380010/Florida-gunman-Pedro-Vargas-kills-Florida-apartment-complex.html" xr:uid="{00000000-0004-0000-0500-00001A050000}"/>
    <hyperlink ref="F825" r:id="rId1308" display="https://www.cnn.com/2013/09/17/us/dc-navy-yard-victims/index.html" xr:uid="{00000000-0004-0000-0500-00001B050000}"/>
    <hyperlink ref="F826" r:id="rId1309" display="https://www.cnn.com/2013/09/17/us/dc-navy-yard-victims/index.html" xr:uid="{00000000-0004-0000-0500-00001C050000}"/>
    <hyperlink ref="F827" r:id="rId1310" display="https://www.cnn.com/2013/09/17/us/dc-navy-yard-victims/index.html" xr:uid="{00000000-0004-0000-0500-00001D050000}"/>
    <hyperlink ref="F828" r:id="rId1311" display="https://www.cnn.com/2013/09/17/us/dc-navy-yard-victims/index.html" xr:uid="{00000000-0004-0000-0500-00001E050000}"/>
    <hyperlink ref="F830" r:id="rId1312" display="https://www.cnn.com/2013/09/17/us/dc-navy-yard-victims/index.html" xr:uid="{00000000-0004-0000-0500-00001F050000}"/>
    <hyperlink ref="F831" r:id="rId1313" display="https://www.cnn.com/2013/09/17/us/dc-navy-yard-victims/index.html" xr:uid="{00000000-0004-0000-0500-000020050000}"/>
    <hyperlink ref="F832" r:id="rId1314" display="https://www.cnn.com/2013/09/17/us/dc-navy-yard-victims/index.html" xr:uid="{00000000-0004-0000-0500-000021050000}"/>
    <hyperlink ref="F833" r:id="rId1315" display="https://www.cnn.com/2013/09/17/us/dc-navy-yard-victims/index.html" xr:uid="{00000000-0004-0000-0500-000022050000}"/>
    <hyperlink ref="H833" r:id="rId1316" display="https://www.findagrave.com/memorial/117210420/vishnu-shalchendia-pandit" xr:uid="{00000000-0004-0000-0500-000023050000}"/>
    <hyperlink ref="F835" r:id="rId1317" display="https://www.cnn.com/2013/09/17/us/dc-navy-yard-victims/index.html" xr:uid="{00000000-0004-0000-0500-000024050000}"/>
    <hyperlink ref="H835" r:id="rId1318" display="https://www.fallenheroesproject.org/united-states/gerald-l-read/" xr:uid="{00000000-0004-0000-0500-000025050000}"/>
    <hyperlink ref="F836" r:id="rId1319" display="https://www.cnn.com/2013/09/17/us/dc-navy-yard-victims/index.html" xr:uid="{00000000-0004-0000-0500-000026050000}"/>
    <hyperlink ref="F837" r:id="rId1320" display="https://www.nbcnews.com/news/us-news/ex-tribe-leader-accused-kill-spree-has-first-court-appearance-n38751" xr:uid="{00000000-0004-0000-0500-000027050000}"/>
    <hyperlink ref="F838" r:id="rId1321" display="https://www.nbcnews.com/news/us-news/ex-tribe-leader-accused-kill-spree-has-first-court-appearance-n38751" xr:uid="{00000000-0004-0000-0500-000028050000}"/>
    <hyperlink ref="F839" r:id="rId1322" display="https://www.nbcnews.com/news/us-news/ex-tribe-leader-accused-kill-spree-has-first-court-appearance-n38751" xr:uid="{00000000-0004-0000-0500-000029050000}"/>
    <hyperlink ref="F840" r:id="rId1323" display="https://www.nbcnews.com/news/us-news/ex-tribe-leader-accused-kill-spree-has-first-court-appearance-n38751" xr:uid="{00000000-0004-0000-0500-00002A050000}"/>
    <hyperlink ref="F841" r:id="rId1324" display="https://www.latimes.com/local/lanow/la-me-isle-vista-massacre-alt-right-20180206-story.html" xr:uid="{00000000-0004-0000-0500-00002B050000}"/>
    <hyperlink ref="H841" r:id="rId1325" display="https://abc7.com/76775/" xr:uid="{00000000-0004-0000-0500-00002C050000}"/>
    <hyperlink ref="F842" r:id="rId1326" display="https://graphics.latimes.com/towergraphic-santa-barbara-shooting/" xr:uid="{00000000-0004-0000-0500-00002D050000}"/>
    <hyperlink ref="F843" r:id="rId1327" display="https://www.latimes.com/local/lanow/la-me-isle-vista-massacre-alt-right-20180206-story.html" xr:uid="{00000000-0004-0000-0500-00002E050000}"/>
    <hyperlink ref="H843" r:id="rId1328" display="https://abc7.com/76775/" xr:uid="{00000000-0004-0000-0500-00002F050000}"/>
    <hyperlink ref="F844" r:id="rId1329" display="https://abc7.com/76775/" xr:uid="{00000000-0004-0000-0500-000030050000}"/>
    <hyperlink ref="F845" r:id="rId1330" display="https://www.latimes.com/local/lanow/la-me-isle-vista-massacre-alt-right-20180206-story.html" xr:uid="{00000000-0004-0000-0500-000031050000}"/>
    <hyperlink ref="H845" r:id="rId1331" display="https://abc7.com/76775/" xr:uid="{00000000-0004-0000-0500-000032050000}"/>
    <hyperlink ref="F846" r:id="rId1332" display="https://abc7.com/76775/" xr:uid="{00000000-0004-0000-0500-000033050000}"/>
    <hyperlink ref="F847" r:id="rId1333" display="https://www.nbcnews.com/storyline/marysville-school-shooting/third-marysville-high-school-shooting-victim-dies-n238911" xr:uid="{00000000-0004-0000-0500-000034050000}"/>
    <hyperlink ref="H847" r:id="rId1334" display="https://www.seattletimes.com/seattle-news/they-survived-a-school-shooting-as-freshmen-four-years-later-a-diploma-doesnt-erase-the-pain/" xr:uid="{00000000-0004-0000-0500-000035050000}"/>
    <hyperlink ref="I847" r:id="rId1335" display="https://www.kiro7.com/news/survivor-marysville-school-shooting-told-police-gi/27079664/" xr:uid="{00000000-0004-0000-0500-000036050000}"/>
    <hyperlink ref="F848" r:id="rId1336" display="https://www.seattletimes.com/seattle-news/they-survived-a-school-shooting-as-freshmen-four-years-later-a-diploma-doesnt-erase-the-pain/" xr:uid="{00000000-0004-0000-0500-000037050000}"/>
    <hyperlink ref="F849" r:id="rId1337" display="https://www.nbcnews.com/storyline/marysville-school-shooting/third-marysville-high-school-shooting-victim-dies-n238911" xr:uid="{00000000-0004-0000-0500-000038050000}"/>
    <hyperlink ref="I849" r:id="rId1338" display="https://www.kiro7.com/news/survivor-marysville-school-shooting-told-police-gi/27079664/" xr:uid="{00000000-0004-0000-0500-000039050000}"/>
    <hyperlink ref="F850" r:id="rId1339" display="https://www.nbcnews.com/storyline/marysville-school-shooting/third-marysville-high-school-shooting-victim-dies-n238911" xr:uid="{00000000-0004-0000-0500-00003A050000}"/>
    <hyperlink ref="I850" r:id="rId1340" display="https://www.kiro7.com/news/survivor-marysville-school-shooting-told-police-gi/27079664/" xr:uid="{00000000-0004-0000-0500-00003B050000}"/>
    <hyperlink ref="F851" r:id="rId1341" display="https://www.nj.com/essex/2015/06/mother_killed_in_charleston_church_massacre_identi.html" xr:uid="{00000000-0004-0000-0500-00003C050000}"/>
    <hyperlink ref="H851" r:id="rId1342" display="https://www.nytimes.com/2015/06/20/us/charleston-shooting-dylann-storm-roof.html" xr:uid="{00000000-0004-0000-0500-00003D050000}"/>
    <hyperlink ref="F852" r:id="rId1343" display="https://www.cbsnews.com/news/charleston-church-shooting-victims-remembered-dylann-roof-trial/" xr:uid="{00000000-0004-0000-0500-00003E050000}"/>
    <hyperlink ref="H852" r:id="rId1344" display="https://www.nytimes.com/2015/06/20/us/charleston-shooting-dylann-storm-roof.html" xr:uid="{00000000-0004-0000-0500-00003F050000}"/>
    <hyperlink ref="F853" r:id="rId1345" display="https://www.cbsnews.com/news/charleston-church-shooting-victims-remembered-dylann-roof-trial/" xr:uid="{00000000-0004-0000-0500-000040050000}"/>
    <hyperlink ref="H853" r:id="rId1346" display="https://www.nytimes.com/2015/06/20/us/charleston-shooting-dylann-storm-roof.html" xr:uid="{00000000-0004-0000-0500-000041050000}"/>
    <hyperlink ref="F854" r:id="rId1347" display="https://www.cbsnews.com/news/charleston-church-shooting-victims-remembered-dylann-roof-trial/" xr:uid="{00000000-0004-0000-0500-000042050000}"/>
    <hyperlink ref="H854" r:id="rId1348" display="https://www.nytimes.com/2015/06/20/us/charleston-shooting-dylann-storm-roof.html" xr:uid="{00000000-0004-0000-0500-000043050000}"/>
    <hyperlink ref="F855" r:id="rId1349" display="https://www.cbsnews.com/news/charleston-church-shooting-victims-remembered-dylann-roof-trial/" xr:uid="{00000000-0004-0000-0500-000044050000}"/>
    <hyperlink ref="H855" r:id="rId1350" display="https://www.nytimes.com/2015/06/20/us/charleston-shooting-dylann-storm-roof.html" xr:uid="{00000000-0004-0000-0500-000045050000}"/>
    <hyperlink ref="F856" r:id="rId1351" display="https://www.nytimes.com/2015/06/26/us/clementa-pinckney-felt-called-to-spiritual-and-political-service.html" xr:uid="{00000000-0004-0000-0500-000046050000}"/>
    <hyperlink ref="H856" r:id="rId1352" display="https://www.nytimes.com/2015/06/20/us/charleston-shooting-dylann-storm-roof.html" xr:uid="{00000000-0004-0000-0500-000047050000}"/>
    <hyperlink ref="F857" r:id="rId1353" display="https://www.cbsnews.com/news/charleston-church-shooting-victims-remembered-dylann-roof-trial/" xr:uid="{00000000-0004-0000-0500-000048050000}"/>
    <hyperlink ref="H857" r:id="rId1354" display="https://www.nytimes.com/2015/06/20/us/charleston-shooting-dylann-storm-roof.html" xr:uid="{00000000-0004-0000-0500-000049050000}"/>
    <hyperlink ref="F858" r:id="rId1355" display="https://www.findagrave.com/memorial/148008072/daniel-lee-simmons" xr:uid="{00000000-0004-0000-0500-00004A050000}"/>
    <hyperlink ref="H858" r:id="rId1356" display="https://www.nytimes.com/2015/06/20/us/charleston-shooting-dylann-storm-roof.html" xr:uid="{00000000-0004-0000-0500-00004B050000}"/>
    <hyperlink ref="F859" r:id="rId1357" display="https://www.nytimes.com/2015/06/30/us/emanuel-ame-church-mourns-myra-thompson.html" xr:uid="{00000000-0004-0000-0500-00004C050000}"/>
    <hyperlink ref="H859" r:id="rId1358" display="https://www.charlestoncitypaper.com/TheBattery/archives/2017/01/05/prosecutors-call-on-family-friends-to-recount-the-lives-lost-at-mother-emanuel" xr:uid="{00000000-0004-0000-0500-00004D050000}"/>
    <hyperlink ref="F860" r:id="rId1359" display="https://www.washingtonpost.com/graphics/national/chattanooga-tennessee-shooting-victims/" xr:uid="{00000000-0004-0000-0500-00004E050000}"/>
    <hyperlink ref="F861" r:id="rId1360" display="https://www.washingtonpost.com/graphics/national/chattanooga-tennessee-shooting-victims/" xr:uid="{00000000-0004-0000-0500-00004F050000}"/>
    <hyperlink ref="H861" r:id="rId1361" display="https://www.nbcnews.com/storyline/chattanooga-shooting/chattanooga-shooting-wounded-navy-petty-officer-dies-n394356" xr:uid="{00000000-0004-0000-0500-000050050000}"/>
    <hyperlink ref="F862" r:id="rId1362" display="https://www.washingtonpost.com/graphics/national/chattanooga-tennessee-shooting-victims/" xr:uid="{00000000-0004-0000-0500-000051050000}"/>
    <hyperlink ref="F863" r:id="rId1363" display="https://www.washingtonpost.com/graphics/national/chattanooga-tennessee-shooting-victims/" xr:uid="{00000000-0004-0000-0500-000052050000}"/>
    <hyperlink ref="F864" r:id="rId1364" display="https://www.washingtonpost.com/graphics/national/chattanooga-tennessee-shooting-victims/" xr:uid="{00000000-0004-0000-0500-000053050000}"/>
    <hyperlink ref="H864" r:id="rId1365" display="https://abcnews.go.com/US/chattanooga-shooting-victims-include-iraq-afghanistan-veterans/story?id=32514237" xr:uid="{00000000-0004-0000-0500-000054050000}"/>
    <hyperlink ref="F865" r:id="rId1366" display="https://www.theguardian.com/us-news/2015/oct/02/oregon-shooting-victims-identified-lucero-alcaraz-rebecka-carnes" xr:uid="{00000000-0004-0000-0500-000055050000}"/>
    <hyperlink ref="H865" r:id="rId1367" display="https://www.nbcnews.com/news/latino/oregon-victim-lucero-alcaraz-19-would-have-been-great-pediatric-n438721" xr:uid="{00000000-0004-0000-0500-000056050000}"/>
    <hyperlink ref="I865" r:id="rId1368" display="https://www.nytimes.com/2015/10/10/us/roseburg-oregon-shooting-christopher-harper-mercer.html" xr:uid="{00000000-0004-0000-0500-000057050000}"/>
    <hyperlink ref="F866" r:id="rId1369" display="https://www.theguardian.com/us-news/2015/oct/02/oregon-shooting-victims-identified-lucero-alcaraz-rebecka-carnes" xr:uid="{00000000-0004-0000-0500-000058050000}"/>
    <hyperlink ref="H866" r:id="rId1370" display="https://www.theguardian.com/us-news/2015/oct/04/oregon-shooting-one-of-victims-was-british-mother-attending-college" xr:uid="{00000000-0004-0000-0500-000059050000}"/>
    <hyperlink ref="I866" r:id="rId1371" display="https://www.nytimes.com/2015/10/10/us/roseburg-oregon-shooting-christopher-harper-mercer.html" xr:uid="{00000000-0004-0000-0500-00005A050000}"/>
    <hyperlink ref="F867" r:id="rId1372" display="https://www.theguardian.com/us-news/2015/oct/02/oregon-shooting-victims-identified-lucero-alcaraz-rebecka-carnes" xr:uid="{00000000-0004-0000-0500-00005B050000}"/>
    <hyperlink ref="I867" r:id="rId1373" display="https://www.nytimes.com/2015/10/10/us/roseburg-oregon-shooting-christopher-harper-mercer.html" xr:uid="{00000000-0004-0000-0500-00005C050000}"/>
    <hyperlink ref="F868" r:id="rId1374" display="https://www.theguardian.com/us-news/2015/oct/04/oregon-shooting-one-of-victims-was-british-mother-attending-college" xr:uid="{00000000-0004-0000-0500-00005D050000}"/>
    <hyperlink ref="H868" r:id="rId1375" display="https://www.theguardian.com/us-news/2015/oct/02/oregon-shooting-victims-identified-lucero-alcaraz-rebecka-carnes" xr:uid="{00000000-0004-0000-0500-00005E050000}"/>
    <hyperlink ref="I868" r:id="rId1376" display="https://www.nytimes.com/2015/10/10/us/roseburg-oregon-shooting-christopher-harper-mercer.html" xr:uid="{00000000-0004-0000-0500-00005F050000}"/>
    <hyperlink ref="F869" r:id="rId1377" display="https://www.theguardian.com/us-news/2015/oct/02/oregon-shooting-victims-identified-lucero-alcaraz-rebecka-carnes" xr:uid="{00000000-0004-0000-0500-000060050000}"/>
    <hyperlink ref="H869" r:id="rId1378" display="https://www.theguardian.com/us-news/2015/oct/04/oregon-shooting-one-of-victims-was-british-mother-attending-college" xr:uid="{00000000-0004-0000-0500-000061050000}"/>
    <hyperlink ref="I869" r:id="rId1379" display="https://www.nytimes.com/2015/10/10/us/roseburg-oregon-shooting-christopher-harper-mercer.html" xr:uid="{00000000-0004-0000-0500-000062050000}"/>
    <hyperlink ref="F870" r:id="rId1380" display="https://www.theguardian.com/us-news/2015/oct/02/oregon-shooting-victims-identified-lucero-alcaraz-rebecka-carnes" xr:uid="{00000000-0004-0000-0500-000063050000}"/>
    <hyperlink ref="I870" r:id="rId1381" display="https://www.nytimes.com/2015/10/10/us/roseburg-oregon-shooting-christopher-harper-mercer.html" xr:uid="{00000000-0004-0000-0500-000064050000}"/>
    <hyperlink ref="F871" r:id="rId1382" display="https://www.theguardian.com/us-news/2015/oct/04/oregon-shooting-one-of-victims-was-british-mother-attending-college" xr:uid="{00000000-0004-0000-0500-000065050000}"/>
    <hyperlink ref="H871" r:id="rId1383" display="https://www.findagrave.com/memorial/153150294/jason-dale-johnson" xr:uid="{00000000-0004-0000-0500-000066050000}"/>
    <hyperlink ref="I871" r:id="rId1384" display="https://www.nytimes.com/2015/10/10/us/roseburg-oregon-shooting-christopher-harper-mercer.html" xr:uid="{00000000-0004-0000-0500-000067050000}"/>
    <hyperlink ref="F872" r:id="rId1385" display="https://www.theguardian.com/us-news/2015/oct/04/oregon-shooting-one-of-victims-was-british-mother-attending-college" xr:uid="{00000000-0004-0000-0500-000068050000}"/>
    <hyperlink ref="H872" r:id="rId1386" display="https://www.theguardian.com/us-news/2015/oct/02/oregon-shooting-victims-identified-lucero-alcaraz-rebecka-carnes" xr:uid="{00000000-0004-0000-0500-000069050000}"/>
    <hyperlink ref="I872" r:id="rId1387" display="https://www.nytimes.com/2015/10/10/us/roseburg-oregon-shooting-christopher-harper-mercer.html" xr:uid="{00000000-0004-0000-0500-00006A050000}"/>
    <hyperlink ref="F873" r:id="rId1388" display="https://www.theguardian.com/us-news/2015/oct/04/oregon-shooting-one-of-victims-was-british-mother-attending-college" xr:uid="{00000000-0004-0000-0500-00006B050000}"/>
    <hyperlink ref="H873" r:id="rId1389" display="https://www.oregonlive.com/pacific-northwest-news/2015/10/oregon_school_shooting_sarena.html" xr:uid="{00000000-0004-0000-0500-00006C050000}"/>
    <hyperlink ref="I873" r:id="rId1390" display="https://www.nytimes.com/2015/10/10/us/roseburg-oregon-shooting-christopher-harper-mercer.html" xr:uid="{00000000-0004-0000-0500-00006D050000}"/>
    <hyperlink ref="F874" r:id="rId1391" display="https://www.washingtonpost.com/news/morning-mix/wp/2015/11/18/texas-campsite-massacre-that-claimed-6-caused-by-land-dispute-victims-ex-wife-says/" xr:uid="{00000000-0004-0000-0500-00006E050000}"/>
    <hyperlink ref="H874" r:id="rId1392" display="https://www.dallasnews.com/news/crime/2017/11/08/killer-quickly-convicted-for-slaughtering-6-at-east-texas-campsite/" xr:uid="{00000000-0004-0000-0500-00006F050000}"/>
    <hyperlink ref="F875" r:id="rId1393" display="https://www.dallasnews.com/news/crime/2017/11/08/killer-quickly-convicted-for-slaughtering-6-at-east-texas-campsite/" xr:uid="{00000000-0004-0000-0500-000070050000}"/>
    <hyperlink ref="H875" r:id="rId1394" display="https://www.washingtonpost.com/news/morning-mix/wp/2015/11/18/texas-campsite-massacre-that-claimed-6-caused-by-land-dispute-victims-ex-wife-says/" xr:uid="{00000000-0004-0000-0500-000071050000}"/>
    <hyperlink ref="F876" r:id="rId1395" display="https://www.washingtonpost.com/news/morning-mix/wp/2015/11/18/texas-campsite-massacre-that-claimed-6-caused-by-land-dispute-victims-ex-wife-says/" xr:uid="{00000000-0004-0000-0500-000072050000}"/>
    <hyperlink ref="H876" r:id="rId1396" display="https://www.dallasnews.com/news/crime/2017/11/08/killer-quickly-convicted-for-slaughtering-6-at-east-texas-campsite/" xr:uid="{00000000-0004-0000-0500-000073050000}"/>
    <hyperlink ref="F877" r:id="rId1397" display="https://www.washingtonpost.com/news/morning-mix/wp/2015/11/18/texas-campsite-massacre-that-claimed-6-caused-by-land-dispute-victims-ex-wife-says/" xr:uid="{00000000-0004-0000-0500-000074050000}"/>
    <hyperlink ref="H877" r:id="rId1398" display="https://www.dallasnews.com/news/crime/2017/11/08/killer-quickly-convicted-for-slaughtering-6-at-east-texas-campsite/" xr:uid="{00000000-0004-0000-0500-000075050000}"/>
    <hyperlink ref="F878" r:id="rId1399" display="https://www.washingtonpost.com/news/morning-mix/wp/2015/11/18/texas-campsite-massacre-that-claimed-6-caused-by-land-dispute-victims-ex-wife-says/" xr:uid="{00000000-0004-0000-0500-000076050000}"/>
    <hyperlink ref="H878" r:id="rId1400" display="https://www.palestineherald.com/news/victim-s-ex-wife-gives-background-on-hudson-s-anger/article_c7c962f2-8d5e-11e5-8b81-9b85a3d0c742.html" xr:uid="{00000000-0004-0000-0500-000077050000}"/>
    <hyperlink ref="F879" r:id="rId1401" display="https://www.washingtonpost.com/news/morning-mix/wp/2015/11/18/texas-campsite-massacre-that-claimed-6-caused-by-land-dispute-victims-ex-wife-says/" xr:uid="{00000000-0004-0000-0500-000078050000}"/>
    <hyperlink ref="H879" r:id="rId1402" display="https://www.palestineherald.com/news/victim-s-ex-wife-gives-background-on-hudson-s-anger/article_c7c962f2-8d5e-11e5-8b81-9b85a3d0c742.html" xr:uid="{00000000-0004-0000-0500-000079050000}"/>
    <hyperlink ref="F880" r:id="rId1403" display="https://www.latimes.com/local/lanow/la-me-ln-san-bernardino-shooting-victims-htmlstory.html" xr:uid="{00000000-0004-0000-0500-00007A050000}"/>
    <hyperlink ref="I880" r:id="rId1404" display="https://www.washingtonpost.com/news/post-nation/wp/2016/12/02/one-year-after-san-bernardino-police-offer-a-possible-motive-as-questions-still-linger/" xr:uid="{00000000-0004-0000-0500-00007B050000}"/>
    <hyperlink ref="F881" r:id="rId1405" display="https://www.latimes.com/local/lanow/la-me-ln-san-bernardino-shooting-victims-htmlstory.html" xr:uid="{00000000-0004-0000-0500-00007C050000}"/>
    <hyperlink ref="I881" r:id="rId1406" display="https://www.washingtonpost.com/news/post-nation/wp/2016/12/02/one-year-after-san-bernardino-police-offer-a-possible-motive-as-questions-still-linger/" xr:uid="{00000000-0004-0000-0500-00007D050000}"/>
    <hyperlink ref="F882" r:id="rId1407" display="https://www.latimes.com/local/lanow/la-me-ln-san-bernardino-shooting-victims-htmlstory.html" xr:uid="{00000000-0004-0000-0500-00007E050000}"/>
    <hyperlink ref="I882" r:id="rId1408" display="https://www.washingtonpost.com/news/post-nation/wp/2016/12/02/one-year-after-san-bernardino-police-offer-a-possible-motive-as-questions-still-linger/" xr:uid="{00000000-0004-0000-0500-00007F050000}"/>
    <hyperlink ref="F883" r:id="rId1409" display="https://www.latimes.com/local/lanow/la-me-ln-san-bernardino-shooting-victims-htmlstory.html" xr:uid="{00000000-0004-0000-0500-000080050000}"/>
    <hyperlink ref="H883" r:id="rId1410" display="https://www.pe.com/2015/12/05/san-bernardino-shooting-victim-harry-bowman-had-a-new-love-a-new-job-update-2/" xr:uid="{00000000-0004-0000-0500-000081050000}"/>
    <hyperlink ref="I883" r:id="rId1411" display="https://www.washingtonpost.com/news/post-nation/wp/2016/12/02/one-year-after-san-bernardino-police-offer-a-possible-motive-as-questions-still-linger/" xr:uid="{00000000-0004-0000-0500-000082050000}"/>
    <hyperlink ref="F884" r:id="rId1412" display="https://www.latimes.com/local/lanow/la-me-ln-san-bernardino-shooting-victims-htmlstory.html" xr:uid="{00000000-0004-0000-0500-000083050000}"/>
    <hyperlink ref="I884" r:id="rId1413" display="https://www.washingtonpost.com/news/post-nation/wp/2016/12/02/one-year-after-san-bernardino-police-offer-a-possible-motive-as-questions-still-linger/" xr:uid="{00000000-0004-0000-0500-000084050000}"/>
    <hyperlink ref="F885" r:id="rId1414" display="https://www.latimes.com/local/lanow/la-me-ln-san-bernardino-shooting-victims-htmlstory.html" xr:uid="{00000000-0004-0000-0500-000085050000}"/>
    <hyperlink ref="I885" r:id="rId1415" display="https://www.washingtonpost.com/news/post-nation/wp/2016/12/02/one-year-after-san-bernardino-police-offer-a-possible-motive-as-questions-still-linger/" xr:uid="{00000000-0004-0000-0500-000086050000}"/>
    <hyperlink ref="F886" r:id="rId1416" display="https://www.latimes.com/local/lanow/la-me-ln-san-bernardino-shooting-victims-htmlstory.html" xr:uid="{00000000-0004-0000-0500-000087050000}"/>
    <hyperlink ref="H886" r:id="rId1417" display="https://www.sbsun.com/2015/12/16/aurora-godoy-san-bernardino-terror-attack-victim-remembered-at-memorial-services/" xr:uid="{00000000-0004-0000-0500-000088050000}"/>
    <hyperlink ref="I886" r:id="rId1418" display="https://www.washingtonpost.com/news/post-nation/wp/2016/12/02/one-year-after-san-bernardino-police-offer-a-possible-motive-as-questions-still-linger/" xr:uid="{00000000-0004-0000-0500-000089050000}"/>
    <hyperlink ref="F887" r:id="rId1419" display="https://www.latimes.com/local/lanow/la-me-ln-san-bernardino-shooting-victims-htmlstory.html" xr:uid="{00000000-0004-0000-0500-00008A050000}"/>
    <hyperlink ref="I887" r:id="rId1420" display="https://www.washingtonpost.com/news/post-nation/wp/2016/12/02/one-year-after-san-bernardino-police-offer-a-possible-motive-as-questions-still-linger/" xr:uid="{00000000-0004-0000-0500-00008B050000}"/>
    <hyperlink ref="F888" r:id="rId1421" display="https://www.latimes.com/local/lanow/la-me-ln-san-bernardino-shooting-victims-htmlstory.html" xr:uid="{00000000-0004-0000-0500-00008C050000}"/>
    <hyperlink ref="I888" r:id="rId1422" display="https://www.washingtonpost.com/graphics/national/san-bernardino-calif-shooting-victims/?itid=lk_inline_manual_20" xr:uid="{00000000-0004-0000-0500-00008D050000}"/>
    <hyperlink ref="F889" r:id="rId1423" display="https://www.latimes.com/local/lanow/la-me-ln-san-bernardino-shooting-victims-htmlstory.html" xr:uid="{00000000-0004-0000-0500-00008E050000}"/>
    <hyperlink ref="I889" r:id="rId1424" display="https://www.washingtonpost.com/news/post-nation/wp/2016/12/02/one-year-after-san-bernardino-police-offer-a-possible-motive-as-questions-still-linger/" xr:uid="{00000000-0004-0000-0500-00008F050000}"/>
    <hyperlink ref="F890" r:id="rId1425" display="https://www.latimes.com/local/lanow/la-me-ln-san-bernardino-shooting-victims-htmlstory.html" xr:uid="{00000000-0004-0000-0500-000090050000}"/>
    <hyperlink ref="I890" r:id="rId1426" display="https://www.washingtonpost.com/news/post-nation/wp/2016/12/02/one-year-after-san-bernardino-police-offer-a-possible-motive-as-questions-still-linger/" xr:uid="{00000000-0004-0000-0500-000091050000}"/>
    <hyperlink ref="F891" r:id="rId1427" display="https://www.latimes.com/local/lanow/la-me-ln-san-bernardino-shooting-victims-htmlstory.html" xr:uid="{00000000-0004-0000-0500-000092050000}"/>
    <hyperlink ref="H891" r:id="rId1428" display="https://usa.greekreporter.com/2015/12/03/greek-american-nicholas-thalasinos-among-the-dead-at-san-bernardino-shooting/" xr:uid="{00000000-0004-0000-0500-000093050000}"/>
    <hyperlink ref="I891" r:id="rId1429" display="https://www.washingtonpost.com/news/post-nation/wp/2016/12/02/one-year-after-san-bernardino-police-offer-a-possible-motive-as-questions-still-linger/" xr:uid="{00000000-0004-0000-0500-000094050000}"/>
    <hyperlink ref="F892" r:id="rId1430" display="https://www.latimes.com/local/lanow/la-me-ln-san-bernardino-shooting-victims-htmlstory.html" xr:uid="{00000000-0004-0000-0500-000095050000}"/>
    <hyperlink ref="H892" r:id="rId1431" display="https://www.foxnews.com/world/hundreds-gather-to-honor-san-bernardino-victim-yvette-velasco" xr:uid="{00000000-0004-0000-0500-000096050000}"/>
    <hyperlink ref="I892" r:id="rId1432" display="https://www.washingtonpost.com/news/post-nation/wp/2016/12/02/one-year-after-san-bernardino-police-offer-a-possible-motive-as-questions-still-linger/" xr:uid="{00000000-0004-0000-0500-000097050000}"/>
    <hyperlink ref="F893" r:id="rId1433" display="https://www.latimes.com/local/lanow/la-me-ln-san-bernardino-shooting-victims-htmlstory.html" xr:uid="{00000000-0004-0000-0500-000098050000}"/>
    <hyperlink ref="I893" r:id="rId1434" display="https://www.washingtonpost.com/news/post-nation/wp/2016/12/02/one-year-after-san-bernardino-police-offer-a-possible-motive-as-questions-still-linger/" xr:uid="{00000000-0004-0000-0500-000099050000}"/>
    <hyperlink ref="F894" r:id="rId1435" display="https://www.battlecreekenquirer.com/story/news/local/2016/02/22/shooting-victim-judy-brown-compassionate-gentle-soul/80765152/" xr:uid="{00000000-0004-0000-0500-00009A050000}"/>
    <hyperlink ref="H894" r:id="rId1436" display="https://www.mlive.com/news/kalamazoo/2019/01/families-of-kalamazoo-uber-shooting-victims-prepare-for-trial.html" xr:uid="{00000000-0004-0000-0500-00009B050000}"/>
    <hyperlink ref="F895" r:id="rId1437" display="https://www.battlecreekenquirer.com/story/news/local/2016/02/22/shooting-victim-judy-brown-compassionate-gentle-soul/80765152/" xr:uid="{00000000-0004-0000-0500-00009C050000}"/>
    <hyperlink ref="H895" r:id="rId1438" display="https://www.mlive.com/news/kalamazoo/2019/01/families-of-kalamazoo-uber-shooting-victims-prepare-for-trial.html" xr:uid="{00000000-0004-0000-0500-00009D050000}"/>
    <hyperlink ref="F896" r:id="rId1439" display="https://www.battlecreekenquirer.com/story/news/local/2016/02/22/shooting-victim-judy-brown-compassionate-gentle-soul/80765152/" xr:uid="{00000000-0004-0000-0500-00009E050000}"/>
    <hyperlink ref="H896" r:id="rId1440" display="https://www.mlive.com/news/kalamazoo/2019/01/families-of-kalamazoo-uber-shooting-victims-prepare-for-trial.html" xr:uid="{00000000-0004-0000-0500-00009F050000}"/>
    <hyperlink ref="F897" r:id="rId1441" display="https://www.battlecreekenquirer.com/story/news/local/2016/02/22/shooting-victim-judy-brown-compassionate-gentle-soul/80765152/" xr:uid="{00000000-0004-0000-0500-0000A0050000}"/>
    <hyperlink ref="H897" r:id="rId1442" display="https://www.mlive.com/news/kalamazoo/2019/01/families-of-kalamazoo-uber-shooting-victims-prepare-for-trial.html" xr:uid="{00000000-0004-0000-0500-0000A1050000}"/>
    <hyperlink ref="F898" r:id="rId1443" display="https://www.nbcnews.com/news/us-news/michigan-uber-driver-jason-dalton-pleads-guilty-kalamazoo-shooting-spree-n955716" xr:uid="{00000000-0004-0000-0500-0000A2050000}"/>
    <hyperlink ref="H898" r:id="rId1444" display="https://www.mlive.com/news/kalamazoo/2019/01/families-of-kalamazoo-uber-shooting-victims-prepare-for-trial.html" xr:uid="{00000000-0004-0000-0500-0000A3050000}"/>
    <hyperlink ref="F899" r:id="rId1445" display="https://www.nbcnews.com/news/us-news/michigan-uber-driver-jason-dalton-pleads-guilty-kalamazoo-shooting-spree-n955716" xr:uid="{00000000-0004-0000-0500-0000A4050000}"/>
    <hyperlink ref="H899" r:id="rId1446" display="https://www.mlive.com/news/kalamazoo/2019/01/families-of-kalamazoo-uber-shooting-victims-prepare-for-trial.html" xr:uid="{00000000-0004-0000-0500-0000A5050000}"/>
    <hyperlink ref="F900" r:id="rId1447" display="https://triblive.com/local/pittsburgh-allegheny/cheron-shelton-acquitted-of-murder-in-wilkinsburg-6-mass-shooting-faces-new-gun-charge/" xr:uid="{00000000-0004-0000-0500-0000A6050000}"/>
    <hyperlink ref="H900" r:id="rId1448" display="https://pittsburgh.cbslocal.com/2020/02/14/families-of-wilkinsburg-mass-shooting-justice/" xr:uid="{00000000-0004-0000-0500-0000A7050000}"/>
    <hyperlink ref="F901" r:id="rId1449" display="https://triblive.com/local/pittsburgh-allegheny/cheron-shelton-acquitted-of-murder-in-wilkinsburg-6-mass-shooting-faces-new-gun-charge/" xr:uid="{00000000-0004-0000-0500-0000A8050000}"/>
    <hyperlink ref="H901" r:id="rId1450" display="https://pittsburgh.cbslocal.com/2020/02/14/families-of-wilkinsburg-mass-shooting-justice/" xr:uid="{00000000-0004-0000-0500-0000A9050000}"/>
    <hyperlink ref="F902" r:id="rId1451" display="https://triblive.com/local/pittsburgh-allegheny/cheron-shelton-acquitted-of-murder-in-wilkinsburg-6-mass-shooting-faces-new-gun-charge/" xr:uid="{00000000-0004-0000-0500-0000AA050000}"/>
    <hyperlink ref="H902" r:id="rId1452" display="https://pittsburgh.cbslocal.com/2020/02/14/families-of-wilkinsburg-mass-shooting-justice/" xr:uid="{00000000-0004-0000-0500-0000AB050000}"/>
    <hyperlink ref="F903" r:id="rId1453" display="https://triblive.com/local/pittsburgh-allegheny/cheron-shelton-acquitted-of-murder-in-wilkinsburg-6-mass-shooting-faces-new-gun-charge/" xr:uid="{00000000-0004-0000-0500-0000AC050000}"/>
    <hyperlink ref="H903" r:id="rId1454" display="https://pittsburgh.cbslocal.com/2020/02/14/families-of-wilkinsburg-mass-shooting-justice/" xr:uid="{00000000-0004-0000-0500-0000AD050000}"/>
    <hyperlink ref="F904" r:id="rId1455" display="https://triblive.com/local/pittsburgh-allegheny/cheron-shelton-acquitted-of-murder-in-wilkinsburg-6-mass-shooting-faces-new-gun-charge/" xr:uid="{00000000-0004-0000-0500-0000AE050000}"/>
    <hyperlink ref="H904" r:id="rId1456" display="https://pittsburgh.cbslocal.com/2020/02/14/families-of-wilkinsburg-mass-shooting-justice/" xr:uid="{00000000-0004-0000-0500-0000AF050000}"/>
    <hyperlink ref="F905" r:id="rId1457" display="https://www.npr.org/sections/thetwo-way/2016/06/12/481785763/heres-what-we-know-about-the-orlando-shooting-victims" xr:uid="{00000000-0004-0000-0500-0000B0050000}"/>
    <hyperlink ref="H905" r:id="rId1458" display="https://www.nytimes.com/interactive/projects/cp/us/orlando-shooting-victims/stanley-almodovar-iii" xr:uid="{00000000-0004-0000-0500-0000B1050000}"/>
    <hyperlink ref="F906" r:id="rId1459" display="https://www.npr.org/sections/thetwo-way/2016/06/12/481785763/heres-what-we-know-about-the-orlando-shooting-victims" xr:uid="{00000000-0004-0000-0500-0000B2050000}"/>
    <hyperlink ref="F907" r:id="rId1460" display="https://www.npr.org/sections/thetwo-way/2016/06/12/481785763/heres-what-we-know-about-the-orlando-shooting-victims" xr:uid="{00000000-0004-0000-0500-0000B3050000}"/>
    <hyperlink ref="H907" r:id="rId1461" display="https://www.nytimes.com/interactive/projects/cp/us/orlando-shooting-victims/oscara-aracena-montero" xr:uid="{00000000-0004-0000-0500-0000B4050000}"/>
    <hyperlink ref="F908" r:id="rId1462" display="https://www.npr.org/sections/thetwo-way/2016/06/12/481785763/heres-what-we-know-about-the-orlando-shooting-victims" xr:uid="{00000000-0004-0000-0500-0000B5050000}"/>
    <hyperlink ref="H908" r:id="rId1463" display="https://www.nytimes.com/interactive/projects/cp/us/orlando-shooting-victims/rodolfo-ayala-ayala" xr:uid="{00000000-0004-0000-0500-0000B6050000}"/>
    <hyperlink ref="F909" r:id="rId1464" display="https://www.npr.org/sections/thetwo-way/2016/06/12/481785763/heres-what-we-know-about-the-orlando-shooting-victims" xr:uid="{00000000-0004-0000-0500-0000B7050000}"/>
    <hyperlink ref="H909" r:id="rId1465" display="https://www.nytimes.com/interactive/projects/cp/us/orlando-shooting-victims/alejandro-barrios-martinez" xr:uid="{00000000-0004-0000-0500-0000B8050000}"/>
    <hyperlink ref="F910" r:id="rId1466" display="https://www.npr.org/sections/thetwo-way/2016/06/12/481785763/heres-what-we-know-about-the-orlando-shooting-victims" xr:uid="{00000000-0004-0000-0500-0000B9050000}"/>
    <hyperlink ref="H910" r:id="rId1467" display="https://www.nytimes.com/interactive/projects/cp/us/orlando-shooting-victims/martin-benitez-torres" xr:uid="{00000000-0004-0000-0500-0000BA050000}"/>
    <hyperlink ref="F911" r:id="rId1468" display="https://www.npr.org/sections/thetwo-way/2016/06/12/481785763/heres-what-we-know-about-the-orlando-shooting-victims" xr:uid="{00000000-0004-0000-0500-0000BB050000}"/>
    <hyperlink ref="F912" r:id="rId1469" display="https://www.npr.org/sections/thetwo-way/2016/06/12/481785763/heres-what-we-know-about-the-orlando-shooting-victims" xr:uid="{00000000-0004-0000-0500-0000BC050000}"/>
    <hyperlink ref="F913" r:id="rId1470" display="https://www.npr.org/sections/thetwo-way/2016/06/12/481785763/heres-what-we-know-about-the-orlando-shooting-victims" xr:uid="{00000000-0004-0000-0500-0000BD050000}"/>
    <hyperlink ref="H913" r:id="rId1471" display="https://www.nytimes.com/interactive/projects/cp/us/orlando-shooting-victims/jonathan-antonio-camuy-vega" xr:uid="{00000000-0004-0000-0500-0000BE050000}"/>
    <hyperlink ref="F914" r:id="rId1472" display="https://www.npr.org/sections/thetwo-way/2016/06/12/481785763/heres-what-we-know-about-the-orlando-shooting-victims" xr:uid="{00000000-0004-0000-0500-0000BF050000}"/>
    <hyperlink ref="H914" r:id="rId1473" display="https://www.nytimes.com/interactive/projects/cp/us/orlando-shooting-victims/angell-candelario-padro" xr:uid="{00000000-0004-0000-0500-0000C0050000}"/>
    <hyperlink ref="F915" r:id="rId1474" display="https://www.npr.org/sections/thetwo-way/2016/06/12/481785763/heres-what-we-know-about-the-orlando-shooting-victims" xr:uid="{00000000-0004-0000-0500-0000C1050000}"/>
    <hyperlink ref="H915" r:id="rId1475" display="https://www.nytimes.com/interactive/projects/cp/us/orlando-shooting-victims/simon-adrian-carrillo-fernandez" xr:uid="{00000000-0004-0000-0500-0000C2050000}"/>
    <hyperlink ref="F916" r:id="rId1476" display="https://www.npr.org/sections/thetwo-way/2016/06/12/481785763/heres-what-we-know-about-the-orlando-shooting-victims" xr:uid="{00000000-0004-0000-0500-0000C3050000}"/>
    <hyperlink ref="H916" r:id="rId1477" display="https://www.nytimes.com/interactive/projects/cp/us/orlando-shooting-victims/juan-chavez-martinez" xr:uid="{00000000-0004-0000-0500-0000C4050000}"/>
    <hyperlink ref="F917" r:id="rId1478" display="https://www.npr.org/sections/thetwo-way/2016/06/12/481785763/heres-what-we-know-about-the-orlando-shooting-victims" xr:uid="{00000000-0004-0000-0500-0000C5050000}"/>
    <hyperlink ref="H917" r:id="rId1479" display="https://www.nytimes.com/interactive/projects/cp/us/orlando-shooting-victims/luis-daniel-conde" xr:uid="{00000000-0004-0000-0500-0000C6050000}"/>
    <hyperlink ref="F918" r:id="rId1480" display="https://www.npr.org/sections/thetwo-way/2016/06/12/481785763/heres-what-we-know-about-the-orlando-shooting-victims" xr:uid="{00000000-0004-0000-0500-0000C7050000}"/>
    <hyperlink ref="H918" r:id="rId1481" display="https://www.findagrave.com/memorial/165153802/cory-james-connell" xr:uid="{00000000-0004-0000-0500-0000C8050000}"/>
    <hyperlink ref="F919" r:id="rId1482" display="https://www.npr.org/sections/thetwo-way/2016/06/12/481785763/heres-what-we-know-about-the-orlando-shooting-victims" xr:uid="{00000000-0004-0000-0500-0000C9050000}"/>
    <hyperlink ref="H919" r:id="rId1483" display="https://www.nytimes.com/interactive/projects/cp/us/orlando-shooting-victims/tevin-eugene-crosby" xr:uid="{00000000-0004-0000-0500-0000CA050000}"/>
    <hyperlink ref="F920" r:id="rId1484" display="https://www.npr.org/sections/thetwo-way/2016/06/12/481785763/heres-what-we-know-about-the-orlando-shooting-victims" xr:uid="{00000000-0004-0000-0500-0000CB050000}"/>
    <hyperlink ref="F921" r:id="rId1485" display="https://www.npr.org/sections/thetwo-way/2016/06/12/481785763/heres-what-we-know-about-the-orlando-shooting-victims" xr:uid="{00000000-0004-0000-0500-0000CC050000}"/>
    <hyperlink ref="H921" r:id="rId1486" display="https://www.findagrave.com/memorial/164755021/deonka-deidra-drayton" xr:uid="{00000000-0004-0000-0500-0000CD050000}"/>
    <hyperlink ref="F922" r:id="rId1487" display="https://www.npr.org/sections/thetwo-way/2016/06/12/481785763/heres-what-we-know-about-the-orlando-shooting-victims" xr:uid="{00000000-0004-0000-0500-0000CE050000}"/>
    <hyperlink ref="H922" r:id="rId1488" display="https://www.nytimes.com/interactive/projects/cp/us/orlando-shooting-victims/mercedez-marisol-flores" xr:uid="{00000000-0004-0000-0500-0000CF050000}"/>
    <hyperlink ref="F923" r:id="rId1489" display="https://www.npr.org/sections/thetwo-way/2016/06/12/481785763/heres-what-we-know-about-the-orlando-shooting-victims" xr:uid="{00000000-0004-0000-0500-0000D0050000}"/>
    <hyperlink ref="F924" r:id="rId1490" display="https://www.npr.org/sections/thetwo-way/2016/06/12/481785763/heres-what-we-know-about-the-orlando-shooting-victims" xr:uid="{00000000-0004-0000-0500-0000D1050000}"/>
    <hyperlink ref="F925" r:id="rId1491" display="https://www.npr.org/sections/thetwo-way/2016/06/12/481785763/heres-what-we-know-about-the-orlando-shooting-victims" xr:uid="{00000000-0004-0000-0500-0000D2050000}"/>
    <hyperlink ref="H925" r:id="rId1492" display="https://www.nytimes.com/interactive/projects/cp/us/orlando-shooting-victims/paul-terrell-henry" xr:uid="{00000000-0004-0000-0500-0000D3050000}"/>
    <hyperlink ref="F926" r:id="rId1493" display="https://www.npr.org/sections/thetwo-way/2016/06/12/481785763/heres-what-we-know-about-the-orlando-shooting-victims" xr:uid="{00000000-0004-0000-0500-0000D4050000}"/>
    <hyperlink ref="H926" r:id="rId1494" display="https://www.nytimes.com/interactive/projects/cp/us/orlando-shooting-victims/frank-hernandez" xr:uid="{00000000-0004-0000-0500-0000D5050000}"/>
    <hyperlink ref="F927" r:id="rId1495" display="https://www.npr.org/sections/thetwo-way/2016/06/12/481785763/heres-what-we-know-about-the-orlando-shooting-victims" xr:uid="{00000000-0004-0000-0500-0000D6050000}"/>
    <hyperlink ref="H927" r:id="rId1496" display="https://www.nytimes.com/interactive/projects/cp/us/orlando-shooting-victims/miguel-angel-honorato" xr:uid="{00000000-0004-0000-0500-0000D7050000}"/>
    <hyperlink ref="F928" r:id="rId1497" display="https://www.npr.org/sections/thetwo-way/2016/06/12/481785763/heres-what-we-know-about-the-orlando-shooting-victims" xr:uid="{00000000-0004-0000-0500-0000D8050000}"/>
    <hyperlink ref="H928" r:id="rId1498" display="https://www.nytimes.com/interactive/projects/cp/us/orlando-shooting-victims/javier-jorge-reyes" xr:uid="{00000000-0004-0000-0500-0000D9050000}"/>
    <hyperlink ref="F929" r:id="rId1499" display="https://www.npr.org/sections/thetwo-way/2016/06/12/481785763/heres-what-we-know-about-the-orlando-shooting-victims" xr:uid="{00000000-0004-0000-0500-0000DA050000}"/>
    <hyperlink ref="F930" r:id="rId1500" display="https://www.npr.org/sections/thetwo-way/2016/06/12/481785763/heres-what-we-know-about-the-orlando-shooting-victims" xr:uid="{00000000-0004-0000-0500-0000DB050000}"/>
    <hyperlink ref="H930" r:id="rId1501" display="https://www.nytimes.com/interactive/projects/cp/us/orlando-shooting-victims/eddie-jamoldroy-justice" xr:uid="{00000000-0004-0000-0500-0000DC050000}"/>
    <hyperlink ref="F931" r:id="rId1502" display="https://www.npr.org/sections/thetwo-way/2016/06/12/481785763/heres-what-we-know-about-the-orlando-shooting-victims" xr:uid="{00000000-0004-0000-0500-0000DD050000}"/>
    <hyperlink ref="F932" r:id="rId1503" display="https://www.npr.org/sections/thetwo-way/2016/06/12/481785763/heres-what-we-know-about-the-orlando-shooting-victims" xr:uid="{00000000-0004-0000-0500-0000DE050000}"/>
    <hyperlink ref="F933" r:id="rId1504" display="https://www.npr.org/sections/thetwo-way/2016/06/12/481785763/heres-what-we-know-about-the-orlando-shooting-victims" xr:uid="{00000000-0004-0000-0500-0000DF050000}"/>
    <hyperlink ref="H933" r:id="rId1505" display="https://www.nbcnews.com/storyline/orlando-nightclub-massacre/mom-everybody-wanted-son-emotionally-celebrates-life-brenda-mccool-n596016" xr:uid="{00000000-0004-0000-0500-0000E0050000}"/>
    <hyperlink ref="F934" r:id="rId1506" display="https://www.npr.org/sections/thetwo-way/2016/06/12/481785763/heres-what-we-know-about-the-orlando-shooting-victims" xr:uid="{00000000-0004-0000-0500-0000E1050000}"/>
    <hyperlink ref="H934" r:id="rId1507" display="https://www.nytimes.com/interactive/projects/cp/us/orlando-shooting-victims/jean-carlos-mendez-perez" xr:uid="{00000000-0004-0000-0500-0000E2050000}"/>
    <hyperlink ref="F935" r:id="rId1508" display="https://www.npr.org/sections/thetwo-way/2016/06/12/481785763/heres-what-we-know-about-the-orlando-shooting-victims" xr:uid="{00000000-0004-0000-0500-0000E3050000}"/>
    <hyperlink ref="H935" r:id="rId1509" display="https://www.nytimes.com/interactive/projects/cp/us/orlando-shooting-victims/akyra-monet-murray" xr:uid="{00000000-0004-0000-0500-0000E4050000}"/>
    <hyperlink ref="F936" r:id="rId1510" display="https://www.npr.org/sections/thetwo-way/2016/06/12/481785763/heres-what-we-know-about-the-orlando-shooting-victims" xr:uid="{00000000-0004-0000-0500-0000E5050000}"/>
    <hyperlink ref="H936" r:id="rId1511" display="https://www.orlandoweekly.com/orlando/remembering-the-orlando-49-kimberly-kj-morris/Content?oid=3327337" xr:uid="{00000000-0004-0000-0500-0000E6050000}"/>
    <hyperlink ref="F937" r:id="rId1512" display="https://www.npr.org/sections/thetwo-way/2016/06/12/481785763/heres-what-we-know-about-the-orlando-shooting-victims" xr:uid="{00000000-0004-0000-0500-0000E7050000}"/>
    <hyperlink ref="H937" r:id="rId1513" display="https://www.nytimes.com/interactive/projects/cp/us/orlando-shooting-victims/jean-carlos-nieves-rodriguez" xr:uid="{00000000-0004-0000-0500-0000E8050000}"/>
    <hyperlink ref="F938" r:id="rId1514" display="https://www.npr.org/sections/thetwo-way/2016/06/12/481785763/heres-what-we-know-about-the-orlando-shooting-victims" xr:uid="{00000000-0004-0000-0500-0000E9050000}"/>
    <hyperlink ref="F939" r:id="rId1515" display="https://www.npr.org/sections/thetwo-way/2016/06/12/481785763/heres-what-we-know-about-the-orlando-shooting-victims" xr:uid="{00000000-0004-0000-0500-0000EA050000}"/>
    <hyperlink ref="H939" r:id="rId1516" display="https://www.nytimes.com/interactive/projects/cp/us/orlando-shooting-victims/geraldoa-ortiz-jimenez" xr:uid="{00000000-0004-0000-0500-0000EB050000}"/>
    <hyperlink ref="F940" r:id="rId1517" display="https://www.npr.org/sections/thetwo-way/2016/06/12/481785763/heres-what-we-know-about-the-orlando-shooting-victims" xr:uid="{00000000-0004-0000-0500-0000EC050000}"/>
    <hyperlink ref="F941" r:id="rId1518" display="https://www.npr.org/sections/thetwo-way/2016/06/12/481785763/heres-what-we-know-about-the-orlando-shooting-victims" xr:uid="{00000000-0004-0000-0500-0000ED050000}"/>
    <hyperlink ref="H941" r:id="rId1519" display="https://www.nytimes.com/interactive/projects/cp/us/orlando-shooting-victims/joel-rayon-paniagua" xr:uid="{00000000-0004-0000-0500-0000EE050000}"/>
    <hyperlink ref="F942" r:id="rId1520" display="https://www.npr.org/sections/thetwo-way/2016/06/12/481785763/heres-what-we-know-about-the-orlando-shooting-victims" xr:uid="{00000000-0004-0000-0500-0000EF050000}"/>
    <hyperlink ref="H942" r:id="rId1521" display="https://www.nytimes.com/interactive/projects/cp/us/orlando-shooting-victims/enriquel-rios-jr" xr:uid="{00000000-0004-0000-0500-0000F0050000}"/>
    <hyperlink ref="F943" r:id="rId1522" display="https://www.npr.org/sections/thetwo-way/2016/06/12/481785763/heres-what-we-know-about-the-orlando-shooting-victims" xr:uid="{00000000-0004-0000-0500-0000F1050000}"/>
    <hyperlink ref="H943" r:id="rId1523" display="https://www.nytimes.com/interactive/projects/cp/us/orlando-shooting-victims/juanp-rivera-velazquez" xr:uid="{00000000-0004-0000-0500-0000F2050000}"/>
    <hyperlink ref="F944" r:id="rId1524" display="https://www.npr.org/sections/thetwo-way/2016/06/12/481785763/heres-what-we-know-about-the-orlando-shooting-victims" xr:uid="{00000000-0004-0000-0500-0000F3050000}"/>
    <hyperlink ref="H944" r:id="rId1525" display="https://www.nytimes.com/interactive/projects/cp/us/orlando-shooting-victims/yilmary-rodriguez-solivan" xr:uid="{00000000-0004-0000-0500-0000F4050000}"/>
    <hyperlink ref="F945" r:id="rId1526" display="https://www.npr.org/sections/thetwo-way/2016/06/12/481785763/heres-what-we-know-about-the-orlando-shooting-victims" xr:uid="{00000000-0004-0000-0500-0000F5050000}"/>
    <hyperlink ref="H945" r:id="rId1527" display="https://www.nytimes.com/interactive/projects/cp/us/orlando-shooting-victims/christopher-joseph-sanfeliz" xr:uid="{00000000-0004-0000-0500-0000F6050000}"/>
    <hyperlink ref="F946" r:id="rId1528" display="https://www.npr.org/sections/thetwo-way/2016/06/12/481785763/heres-what-we-know-about-the-orlando-shooting-victims" xr:uid="{00000000-0004-0000-0500-0000F7050000}"/>
    <hyperlink ref="H946" r:id="rId1529" display="https://www.nytimes.com/interactive/projects/cp/us/orlando-shooting-victims/xavier-emmanuel-serrano-rosado" xr:uid="{00000000-0004-0000-0500-0000F8050000}"/>
    <hyperlink ref="F947" r:id="rId1530" display="https://www.npr.org/sections/thetwo-way/2016/06/12/481785763/heres-what-we-know-about-the-orlando-shooting-victims" xr:uid="{00000000-0004-0000-0500-0000F9050000}"/>
    <hyperlink ref="F948" r:id="rId1531" display="https://www.npr.org/sections/thetwo-way/2016/06/12/481785763/heres-what-we-know-about-the-orlando-shooting-victims" xr:uid="{00000000-0004-0000-0500-0000FA050000}"/>
    <hyperlink ref="F949" r:id="rId1532" display="https://www.npr.org/sections/thetwo-way/2016/06/12/481785763/heres-what-we-know-about-the-orlando-shooting-victims" xr:uid="{00000000-0004-0000-0500-0000FB050000}"/>
    <hyperlink ref="H949" r:id="rId1533" display="https://www.nytimes.com/interactive/projects/cp/us/orlando-shooting-victims/shane-evan-tomlinson" xr:uid="{00000000-0004-0000-0500-0000FC050000}"/>
    <hyperlink ref="F950" r:id="rId1534" display="https://www.npr.org/sections/thetwo-way/2016/06/12/481785763/heres-what-we-know-about-the-orlando-shooting-victims" xr:uid="{00000000-0004-0000-0500-0000FD050000}"/>
    <hyperlink ref="H950" r:id="rId1535" display="https://www.nytimes.com/interactive/projects/cp/us/orlando-shooting-victims/leroy-valentin-fernandez" xr:uid="{00000000-0004-0000-0500-0000FE050000}"/>
    <hyperlink ref="F951" r:id="rId1536" display="https://www.npr.org/sections/thetwo-way/2016/06/12/481785763/heres-what-we-know-about-the-orlando-shooting-victims" xr:uid="{00000000-0004-0000-0500-0000FF050000}"/>
    <hyperlink ref="F952" r:id="rId1537" display="https://www.npr.org/sections/thetwo-way/2016/06/12/481785763/heres-what-we-know-about-the-orlando-shooting-victims" xr:uid="{00000000-0004-0000-0500-000000060000}"/>
    <hyperlink ref="H952" r:id="rId1538" display="https://www.nytimes.com/interactive/projects/cp/us/orlando-shooting-victims/luis-daniel-wilson-leon" xr:uid="{00000000-0004-0000-0500-000001060000}"/>
    <hyperlink ref="F953" r:id="rId1539" display="https://www.npr.org/sections/thetwo-way/2016/06/12/481785763/heres-what-we-know-about-the-orlando-shooting-victims" xr:uid="{00000000-0004-0000-0500-000002060000}"/>
    <hyperlink ref="H953" r:id="rId1540" display="https://www.nytimes.com/interactive/projects/cp/us/orlando-shooting-victims/jerald-arthur-wright" xr:uid="{00000000-0004-0000-0500-000003060000}"/>
    <hyperlink ref="F954" r:id="rId1541" display="https://www.latimes.com/nation/la-na-dallas-police-shooting-20160708-snap-story.html" xr:uid="{00000000-0004-0000-0500-000004060000}"/>
    <hyperlink ref="H954" r:id="rId1542" display="https://www.nytimes.com/2016/07/09/us/dallas-police-shooting.html" xr:uid="{00000000-0004-0000-0500-000005060000}"/>
    <hyperlink ref="F955" r:id="rId1543" display="https://www.latimes.com/nation/la-na-dallas-police-shooting-20160708-snap-story.html" xr:uid="{00000000-0004-0000-0500-000006060000}"/>
    <hyperlink ref="H955" r:id="rId1544" display="https://www.nytimes.com/2016/07/09/us/dallas-police-shooting.html" xr:uid="{00000000-0004-0000-0500-000007060000}"/>
    <hyperlink ref="F956" r:id="rId1545" display="https://www.latimes.com/nation/la-na-dallas-police-shooting-20160708-snap-story.html" xr:uid="{00000000-0004-0000-0500-000008060000}"/>
    <hyperlink ref="H956" r:id="rId1546" display="https://www.nytimes.com/2016/07/09/us/dallas-police-shooting.html" xr:uid="{00000000-0004-0000-0500-000009060000}"/>
    <hyperlink ref="F957" r:id="rId1547" display="https://www.washingtonpost.com/news/post-nation/wp/2016/07/08/newly-married-transit-officer-brent-thompson-mourned-after-shooting-in-dallas/" xr:uid="{00000000-0004-0000-0500-00000A060000}"/>
    <hyperlink ref="H957" r:id="rId1548" display="https://www.nytimes.com/2016/07/09/us/dallas-police-shooting.html" xr:uid="{00000000-0004-0000-0500-00000B060000}"/>
    <hyperlink ref="F958" r:id="rId1549" display="https://www.washingtonpost.com/news/post-nation/wp/2016/07/08/in-shock-officer-patrick-zamarripa-survived-tours-in-iraq-before-being-killed-in-dallas/" xr:uid="{00000000-0004-0000-0500-00000C060000}"/>
    <hyperlink ref="H958" r:id="rId1550" display="https://www.nytimes.com/2016/07/09/us/dallas-police-shooting.html" xr:uid="{00000000-0004-0000-0500-00000D060000}"/>
    <hyperlink ref="F959" r:id="rId1551" display="https://www.seattletimes.com/seattle-news/crime/accused-cascade-mall-shooter-dies-in-snohomish-county-jail/" xr:uid="{00000000-0004-0000-0500-00000E060000}"/>
    <hyperlink ref="H959" r:id="rId1552" display="https://www.nydailynews.com/news/national/washington-mall-shooting-suspect-captured-24-hour-manhunt-article-1.2804917" xr:uid="{00000000-0004-0000-0500-00000F060000}"/>
    <hyperlink ref="F960" r:id="rId1553" display="https://www.seattletimes.com/seattle-news/crime/accused-cascade-mall-shooter-dies-in-snohomish-county-jail/" xr:uid="{00000000-0004-0000-0500-000010060000}"/>
    <hyperlink ref="H960" r:id="rId1554" display="https://mynorthwest.com/401336/cascade-mall-shooting-victims/" xr:uid="{00000000-0004-0000-0500-000011060000}"/>
    <hyperlink ref="F961" r:id="rId1555" display="https://krcgtv.com/news/nation-world/4-women-shot-killed-at-washington-state-mall-identified" xr:uid="{00000000-0004-0000-0500-000012060000}"/>
    <hyperlink ref="H961" r:id="rId1556" display="https://www.nydailynews.com/news/national/washington-mall-shooting-suspect-captured-24-hour-manhunt-article-1.2804917" xr:uid="{00000000-0004-0000-0500-000013060000}"/>
    <hyperlink ref="F962" r:id="rId1557" display="https://www.seattletimes.com/seattle-news/crime/accused-cascade-mall-shooter-dies-in-snohomish-county-jail/" xr:uid="{00000000-0004-0000-0500-000014060000}"/>
    <hyperlink ref="H962" r:id="rId1558" display="https://www.seattletimes.com/seattle-news/crime/burlington-mall-shooting-victims-officially-identified/" xr:uid="{00000000-0004-0000-0500-000015060000}"/>
    <hyperlink ref="F963" r:id="rId1559" display="https://krcgtv.com/news/nation-world/4-women-shot-killed-at-washington-state-mall-identified" xr:uid="{00000000-0004-0000-0500-000016060000}"/>
    <hyperlink ref="H963" r:id="rId1560" display="https://www.seattletimes.com/seattle-news/crime/burlington-mall-shooting-victims-officially-identified/" xr:uid="{00000000-0004-0000-0500-000017060000}"/>
    <hyperlink ref="F964" r:id="rId1561" display="https://www.latimes.com/nation/la-na-florida-airport-shooting-20180523-story.html" xr:uid="{00000000-0004-0000-0500-000018060000}"/>
    <hyperlink ref="H964" r:id="rId1562" display="https://obituaries.starbeacon.com/obituary/mary-amzibel-867307132" xr:uid="{00000000-0004-0000-0500-000019060000}"/>
    <hyperlink ref="F965" r:id="rId1563" display="https://www.latimes.com/nation/la-na-florida-airport-shooting-20180523-story.html" xr:uid="{00000000-0004-0000-0500-00001A060000}"/>
    <hyperlink ref="H965" r:id="rId1564" display="https://www.sun-sentinel.com/local/broward/fl-reg-esteban-santiago-pleads-guilty-airport-shooting-20180523-story.html" xr:uid="{00000000-0004-0000-0500-00001B060000}"/>
    <hyperlink ref="F966" r:id="rId1565" display="https://www.latimes.com/nation/la-na-florida-airport-shooting-20180523-story.html" xr:uid="{00000000-0004-0000-0500-00001C060000}"/>
    <hyperlink ref="H966" r:id="rId1566" display="https://www.sun-sentinel.com/local/broward/fl-reg-esteban-santiago-pleads-guilty-airport-shooting-20180523-story.html" xr:uid="{00000000-0004-0000-0500-00001D060000}"/>
    <hyperlink ref="F967" r:id="rId1567" display="https://www.latimes.com/nation/la-na-florida-airport-shooting-20180523-story.html" xr:uid="{00000000-0004-0000-0500-00001E060000}"/>
    <hyperlink ref="H967" r:id="rId1568" display="https://www.sun-sentinel.com/local/broward/fl-reg-esteban-santiago-pleads-guilty-airport-shooting-20180523-story.html" xr:uid="{00000000-0004-0000-0500-00001F060000}"/>
    <hyperlink ref="F968" r:id="rId1569" display="https://www.latimes.com/nation/la-na-florida-airport-shooting-20180523-story.html" xr:uid="{00000000-0004-0000-0500-000020060000}"/>
    <hyperlink ref="H968" r:id="rId1570" display="https://www.sun-sentinel.com/local/broward/fl-reg-esteban-santiago-pleads-guilty-airport-shooting-20180523-story.html" xr:uid="{00000000-0004-0000-0500-000021060000}"/>
    <hyperlink ref="F969" r:id="rId1571" display="https://www.wjtv.com/news/jpd-u-s-marshals-arrest-man-wanted-in-connection-with-yazoo-city-murders/" xr:uid="{00000000-0004-0000-0500-000022060000}"/>
    <hyperlink ref="H969" r:id="rId1572" display="https://www.wlbt.com/story/34450224/family-believes-yazoo-city-quadruple-shooting-is-not-a-coincidence/" xr:uid="{00000000-0004-0000-0500-000023060000}"/>
    <hyperlink ref="I969" r:id="rId1573" display="https://www.clarionledger.com/story/news/local/2017/02/06/4-killed-yazoo-city-nightclub-shooting/97541814/" xr:uid="{00000000-0004-0000-0500-000024060000}"/>
    <hyperlink ref="F970" r:id="rId1574" display="https://www.wjtv.com/news/jpd-u-s-marshals-arrest-man-wanted-in-connection-with-yazoo-city-murders/" xr:uid="{00000000-0004-0000-0500-000025060000}"/>
    <hyperlink ref="H970" r:id="rId1575" display="https://www.wlbt.com/story/34450224/family-believes-yazoo-city-quadruple-shooting-is-not-a-coincidence/" xr:uid="{00000000-0004-0000-0500-000026060000}"/>
    <hyperlink ref="I970" r:id="rId1576" display="https://www.clarionledger.com/story/news/local/2017/02/06/4-killed-yazoo-city-nightclub-shooting/97541814/" xr:uid="{00000000-0004-0000-0500-000027060000}"/>
    <hyperlink ref="F971" r:id="rId1577" display="https://www.wjtv.com/news/jpd-u-s-marshals-arrest-man-wanted-in-connection-with-yazoo-city-murders/" xr:uid="{00000000-0004-0000-0500-000028060000}"/>
    <hyperlink ref="H971" r:id="rId1578" display="https://www.wlbt.com/story/34450224/family-believes-yazoo-city-quadruple-shooting-is-not-a-coincidence/" xr:uid="{00000000-0004-0000-0500-000029060000}"/>
    <hyperlink ref="I971" r:id="rId1579" display="https://www.clarionledger.com/story/news/local/2017/02/06/4-killed-yazoo-city-nightclub-shooting/97541814/" xr:uid="{00000000-0004-0000-0500-00002A060000}"/>
    <hyperlink ref="F972" r:id="rId1580" display="https://www.wjtv.com/news/jpd-u-s-marshals-arrest-man-wanted-in-connection-with-yazoo-city-murders/" xr:uid="{00000000-0004-0000-0500-00002B060000}"/>
    <hyperlink ref="H972" r:id="rId1581" display="https://www.wlbt.com/story/34450224/family-believes-yazoo-city-quadruple-shooting-is-not-a-coincidence/" xr:uid="{00000000-0004-0000-0500-00002C060000}"/>
    <hyperlink ref="I972" r:id="rId1582" display="https://www.clarionledger.com/story/news/local/2017/02/06/4-killed-yazoo-city-nightclub-shooting/97541814/" xr:uid="{00000000-0004-0000-0500-00002D060000}"/>
    <hyperlink ref="F973" r:id="rId1583" display="https://www.wausaudailyherald.com/story/news/2018/03/21/wausau-shooting-victims-barclay-look-quirt-sann-weiland-remembered-how-they-lived/421375002/" xr:uid="{00000000-0004-0000-0500-00002E060000}"/>
    <hyperlink ref="F974" r:id="rId1584" display="https://www.usatoday.com/story/news/2018/10/12/wisconsin-rapids-remember-my-name-includes-shooting-victims-husband/1615739002/" xr:uid="{00000000-0004-0000-0500-00002F060000}"/>
    <hyperlink ref="H974" r:id="rId1585" display="https://www.wausaudailyherald.com/story/news/2018/03/21/wausau-shooting-victims-barclay-look-quirt-sann-weiland-remembered-how-they-lived/421375002/" xr:uid="{00000000-0004-0000-0500-000030060000}"/>
    <hyperlink ref="F975" r:id="rId1586" display="https://www.wausaudailyherald.com/story/news/2017/05/08/wife-details-troubles-before-her-husband-gunned-down-4-people/100164526/" xr:uid="{00000000-0004-0000-0500-000031060000}"/>
    <hyperlink ref="F976" r:id="rId1587" display="https://www.wausaudailyherald.com/story/news/2017/03/29/hundreds-gather-mourn-fallen-everest-officer/99723792/" xr:uid="{00000000-0004-0000-0500-000032060000}"/>
    <hyperlink ref="F977" r:id="rId1588" display="https://www.washingtonpost.com/news/post-nation/wp/2017/06/05/multiple-people-killed-in-shooting-at-florida-business/" xr:uid="{00000000-0004-0000-0500-000033060000}"/>
    <hyperlink ref="H977" r:id="rId1589" display="https://www.clickorlando.com/news/2018/03/15/5-takeaways-from-the-final-report-for-the-fiamma-workplace-shooting/" xr:uid="{00000000-0004-0000-0500-000034060000}"/>
    <hyperlink ref="F978" r:id="rId1590" display="https://www.washingtonpost.com/news/post-nation/wp/2017/06/05/multiple-people-killed-in-shooting-at-florida-business/" xr:uid="{00000000-0004-0000-0500-000035060000}"/>
    <hyperlink ref="H978" r:id="rId1591" display="https://www.clickorlando.com/news/2018/03/15/5-takeaways-from-the-final-report-for-the-fiamma-workplace-shooting/" xr:uid="{00000000-0004-0000-0500-000036060000}"/>
    <hyperlink ref="F979" r:id="rId1592" display="https://www.washingtonpost.com/news/post-nation/wp/2017/06/05/multiple-people-killed-in-shooting-at-florida-business/" xr:uid="{00000000-0004-0000-0500-000037060000}"/>
    <hyperlink ref="H979" r:id="rId1593" display="https://www.clickorlando.com/news/2018/03/15/5-takeaways-from-the-final-report-for-the-fiamma-workplace-shooting/" xr:uid="{00000000-0004-0000-0500-000038060000}"/>
    <hyperlink ref="F980" r:id="rId1594" display="https://www.washingtonpost.com/news/post-nation/wp/2017/06/05/multiple-people-killed-in-shooting-at-florida-business/" xr:uid="{00000000-0004-0000-0500-000039060000}"/>
    <hyperlink ref="H980" r:id="rId1595" display="https://www.clickorlando.com/news/2018/03/15/5-takeaways-from-the-final-report-for-the-fiamma-workplace-shooting/" xr:uid="{00000000-0004-0000-0500-00003A060000}"/>
    <hyperlink ref="F981" r:id="rId1596" display="https://www.washingtonpost.com/news/post-nation/wp/2017/06/05/multiple-people-killed-in-shooting-at-florida-business/" xr:uid="{00000000-0004-0000-0500-00003B060000}"/>
    <hyperlink ref="H981" r:id="rId1597" display="https://www.clickorlando.com/news/2018/03/15/5-takeaways-from-the-final-report-for-the-fiamma-workplace-shooting/" xr:uid="{00000000-0004-0000-0500-00003C060000}"/>
    <hyperlink ref="I981" r:id="rId1598" display="https://www.cbsnews.com/news/friend-orlando-victim-feared-workplace-shooter-would-seek-revenge-over-firing/" xr:uid="{00000000-0004-0000-0500-00003D060000}"/>
    <hyperlink ref="F982" r:id="rId1599" display="https://www.latimes.com/projects/la-na-las-vegas-shootings-victims-list-20171002/" xr:uid="{00000000-0004-0000-0500-00003E060000}"/>
    <hyperlink ref="H982" r:id="rId1600" location="5947536" display="https://people.com/crime/las-vegas-shooting-victims-names-photos-tributes/?slide=5947536 - 5947536" xr:uid="{00000000-0004-0000-0500-00003F060000}"/>
    <hyperlink ref="F983" r:id="rId1601" display="https://www.latimes.com/projects/la-na-las-vegas-shootings-victims-list-20171002/" xr:uid="{00000000-0004-0000-0500-000040060000}"/>
    <hyperlink ref="H983" r:id="rId1602" location="5948737" display="https://people.com/crime/las-vegas-shooting-victims-names-photos-tributes/?slide=5948737 - 5948737" xr:uid="{00000000-0004-0000-0500-000041060000}"/>
    <hyperlink ref="F984" r:id="rId1603" display="https://www.latimes.com/projects/la-na-las-vegas-shootings-victims-list-20171002/" xr:uid="{00000000-0004-0000-0500-000042060000}"/>
    <hyperlink ref="H984" r:id="rId1604" display="https://www.findagrave.com/memorial/183939375/dorene-anderson" xr:uid="{00000000-0004-0000-0500-000043060000}"/>
    <hyperlink ref="F985" r:id="rId1605" display="https://www.latimes.com/projects/la-na-las-vegas-shootings-victims-list-20171002/" xr:uid="{00000000-0004-0000-0500-000044060000}"/>
    <hyperlink ref="H985" r:id="rId1606" display="https://www.findagrave.com/memorial/183931123/carrie-rae-barnette" xr:uid="{00000000-0004-0000-0500-000045060000}"/>
    <hyperlink ref="F986" r:id="rId1607" display="https://www.latimes.com/projects/la-na-las-vegas-shootings-victims-list-20171002/" xr:uid="{00000000-0004-0000-0500-000046060000}"/>
    <hyperlink ref="H986" r:id="rId1608" display="https://www.findagrave.com/memorial/183925263/jack-reginald-beaton" xr:uid="{00000000-0004-0000-0500-000047060000}"/>
    <hyperlink ref="F987" r:id="rId1609" display="https://www.latimes.com/projects/la-na-las-vegas-shootings-victims-list-20171002/" xr:uid="{00000000-0004-0000-0500-000048060000}"/>
    <hyperlink ref="H987" r:id="rId1610" location="5952397" display="https://people.com/crime/las-vegas-shooting-victims-names-photos-tributes/?slide=5952397 - 5952397" xr:uid="{00000000-0004-0000-0500-000049060000}"/>
    <hyperlink ref="F988" r:id="rId1611" display="https://www.latimes.com/projects/la-na-las-vegas-shootings-victims-list-20171002/" xr:uid="{00000000-0004-0000-0500-00004A060000}"/>
    <hyperlink ref="H988" r:id="rId1612" location="5952821" display="https://people.com/crime/las-vegas-shooting-victims-names-photos-tributes/?slide=5952821 - 5952821" xr:uid="{00000000-0004-0000-0500-00004B060000}"/>
    <hyperlink ref="F989" r:id="rId1613" display="https://www.latimes.com/projects/la-na-las-vegas-shootings-victims-list-20171002/" xr:uid="{00000000-0004-0000-0500-00004C060000}"/>
    <hyperlink ref="H989" r:id="rId1614" location="5947623" display="https://people.com/crime/las-vegas-shooting-victims-names-photos-tributes/?slide=5947623 - 5947623" xr:uid="{00000000-0004-0000-0500-00004D060000}"/>
    <hyperlink ref="F990" r:id="rId1615" display="https://www.latimes.com/projects/la-na-las-vegas-shootings-victims-list-20171002/" xr:uid="{00000000-0004-0000-0500-00004E060000}"/>
    <hyperlink ref="H990" r:id="rId1616" display="https://www.findagrave.com/memorial/183915948/sandra-lee-casey" xr:uid="{00000000-0004-0000-0500-00004F060000}"/>
    <hyperlink ref="F991" r:id="rId1617" display="https://www.latimes.com/projects/la-na-las-vegas-shootings-victims-list-20171002/" xr:uid="{00000000-0004-0000-0500-000050060000}"/>
    <hyperlink ref="H991" r:id="rId1618" display="https://www.findagrave.com/memorial/183979550/andrea-lee_anna-castilla" xr:uid="{00000000-0004-0000-0500-000051060000}"/>
    <hyperlink ref="F992" r:id="rId1619" display="https://www.latimes.com/projects/la-na-las-vegas-shootings-victims-list-20171002/" xr:uid="{00000000-0004-0000-0500-000052060000}"/>
    <hyperlink ref="H992" r:id="rId1620" display="https://www.reviewjournal.com/crime/homicides/las-vegas-shooting-victim-remembe" xr:uid="{00000000-0004-0000-0500-000053060000}"/>
    <hyperlink ref="F993" r:id="rId1621" display="https://www.latimes.com/projects/la-na-las-vegas-shootings-victims-list-20171002/" xr:uid="{00000000-0004-0000-0500-000054060000}"/>
    <hyperlink ref="H993" r:id="rId1622" location="5952530" display="https://people.com/crime/las-vegas-shooting-victims-names-photos-tributes/?slide=5952530 - 5952530" xr:uid="{00000000-0004-0000-0500-000055060000}"/>
    <hyperlink ref="F994" r:id="rId1623" display="https://www.latimes.com/projects/la-na-las-vegas-shootings-victims-list-20171002/" xr:uid="{00000000-0004-0000-0500-000056060000}"/>
    <hyperlink ref="H994" r:id="rId1624" display="https://www.findagrave.com/memorial/183923935/thomas-allen-day" xr:uid="{00000000-0004-0000-0500-000057060000}"/>
    <hyperlink ref="F995" r:id="rId1625" display="https://www.latimes.com/projects/la-na-las-vegas-shootings-victims-list-20171002/" xr:uid="{00000000-0004-0000-0500-000058060000}"/>
    <hyperlink ref="H995" r:id="rId1626" display="https://www.legacy.com/obituaries/latimes/obituary.aspx?n=christiana-mae-duarte&amp;pid=186969589&amp;fhid=5095" xr:uid="{00000000-0004-0000-0500-000059060000}"/>
    <hyperlink ref="F996" r:id="rId1627" display="https://www.latimes.com/projects/la-na-las-vegas-shootings-victims-list-20171002/" xr:uid="{00000000-0004-0000-0500-00005A060000}"/>
    <hyperlink ref="H996" r:id="rId1628" location="5948471" display="https://people.com/crime/las-vegas-shooting-victims-names-photos-tributes/?slide=5948471 - 5948471" xr:uid="{00000000-0004-0000-0500-00005B060000}"/>
    <hyperlink ref="F997" r:id="rId1629" display="https://www.latimes.com/projects/la-na-las-vegas-shootings-victims-list-20171002/" xr:uid="{00000000-0004-0000-0500-00005C060000}"/>
    <hyperlink ref="H997" r:id="rId1630" display="https://www.findagrave.com/memorial/183978921/brian-scott-fraser" xr:uid="{00000000-0004-0000-0500-00005D060000}"/>
    <hyperlink ref="F998" r:id="rId1631" display="https://www.latimes.com/projects/la-na-las-vegas-shootings-victims-list-20171002/" xr:uid="{00000000-0004-0000-0500-00005E060000}"/>
    <hyperlink ref="H998" r:id="rId1632" display="https://www.findagrave.com/memorial/183946702/keri-lynn-galvan" xr:uid="{00000000-0004-0000-0500-00005F060000}"/>
    <hyperlink ref="F999" r:id="rId1633" display="https://www.latimes.com/projects/la-na-las-vegas-shootings-victims-list-20171002/" xr:uid="{00000000-0004-0000-0500-000060060000}"/>
    <hyperlink ref="H999" r:id="rId1634" display="https://www.findagrave.com/memorial/183921964/dana-leann-gardner" xr:uid="{00000000-0004-0000-0500-000061060000}"/>
    <hyperlink ref="F1000" r:id="rId1635" display="https://www.latimes.com/projects/la-na-las-vegas-shootings-victims-list-20171002/" xr:uid="{00000000-0004-0000-0500-000062060000}"/>
    <hyperlink ref="H1000" r:id="rId1636" display="https://www.legacy.com/obituaries/pe/obituary.aspx?n=angela-christine-gomez-angie&amp;pid=186947064&amp;fhid=2518" xr:uid="{00000000-0004-0000-0500-000063060000}"/>
    <hyperlink ref="F1001" r:id="rId1637" display="https://www.latimes.com/projects/la-na-las-vegas-shootings-victims-list-20171002/" xr:uid="{00000000-0004-0000-0500-000064060000}"/>
    <hyperlink ref="H1001" r:id="rId1638" display="https://www.odmp.org/officer/23413-police-officer-charleston-vernon-hartfield" xr:uid="{00000000-0004-0000-0500-000065060000}"/>
    <hyperlink ref="F1002" r:id="rId1639" display="https://www.latimes.com/projects/la-na-las-vegas-shootings-victims-list-20171002/" xr:uid="{00000000-0004-0000-0500-000066060000}"/>
    <hyperlink ref="H1002" r:id="rId1640" display="https://www.findagrave.com/memorial/183980176/christopher-james-hazencomb" xr:uid="{00000000-0004-0000-0500-000067060000}"/>
    <hyperlink ref="F1003" r:id="rId1641" display="https://www.latimes.com/projects/la-na-las-vegas-shootings-victims-list-20171002/" xr:uid="{00000000-0004-0000-0500-000068060000}"/>
    <hyperlink ref="H1003" r:id="rId1642" location="5948033" display="https://people.com/crime/las-vegas-shooting-victims-names-photos-tributes/?slide=5948033 - 5948033" xr:uid="{00000000-0004-0000-0500-000069060000}"/>
    <hyperlink ref="F1004" r:id="rId1643" display="https://www.latimes.com/projects/la-na-las-vegas-shootings-victims-list-20171002/" xr:uid="{00000000-0004-0000-0500-00006A060000}"/>
    <hyperlink ref="H1004" r:id="rId1644" location="5952846" display="https://people.com/crime/las-vegas-shooting-victims-names-photos-tributes/?slide=5952846 - 5952846" xr:uid="{00000000-0004-0000-0500-00006B060000}"/>
    <hyperlink ref="F1005" r:id="rId1645" display="https://www.latimes.com/projects/la-na-las-vegas-shootings-victims-list-20171002/" xr:uid="{00000000-0004-0000-0500-00006C060000}"/>
    <hyperlink ref="H1005" r:id="rId1646" display="https://www.northernalbertafunerals.com/obituary/5411797" xr:uid="{00000000-0004-0000-0500-00006D060000}"/>
    <hyperlink ref="F1006" r:id="rId1647" display="https://www.latimes.com/projects/la-na-las-vegas-shootings-victims-list-20171002/" xr:uid="{00000000-0004-0000-0500-00006E060000}"/>
    <hyperlink ref="H1006" r:id="rId1648" location="5952645" display="https://people.com/crime/las-vegas-shooting-victims-names-photos-tributes/?slide=5952645 - 5952645" xr:uid="{00000000-0004-0000-0500-00006F060000}"/>
    <hyperlink ref="F1007" r:id="rId1649" display="https://www.latimes.com/projects/la-na-las-vegas-shootings-victims-list-20171002/" xr:uid="{00000000-0004-0000-0500-000070060000}"/>
    <hyperlink ref="H1007" r:id="rId1650" display="https://www.legacy.com/obituaries/name/rhonda-lerocque-obituary?pid=186868709" xr:uid="{00000000-0004-0000-0500-000071060000}"/>
    <hyperlink ref="F1008" r:id="rId1651" display="https://www.latimes.com/projects/la-na-las-vegas-shootings-victims-list-20171002/" xr:uid="{00000000-0004-0000-0500-000072060000}"/>
    <hyperlink ref="H1008" r:id="rId1652" location="5952644" display="https://people.com/crime/las-vegas-shooting-victims-names-photos-tributes/?slide=5952644 - 5952644" xr:uid="{00000000-0004-0000-0500-000073060000}"/>
    <hyperlink ref="F1009" r:id="rId1653" display="https://www.latimes.com/projects/la-na-las-vegas-shootings-victims-list-20171002/" xr:uid="{00000000-0004-0000-0500-000074060000}"/>
    <hyperlink ref="H1009" r:id="rId1654" location="5946584" display="https://people.com/crime/las-vegas-shooting-victims-names-photos-tributes/?slide=5946584 - 5946584" xr:uid="{00000000-0004-0000-0500-000075060000}"/>
    <hyperlink ref="F1010" r:id="rId1655" display="https://www.latimes.com/projects/la-na-las-vegas-shootings-victims-list-20171002/" xr:uid="{00000000-0004-0000-0500-000076060000}"/>
    <hyperlink ref="H1010" r:id="rId1656" display="https://www.findagrave.com/memorial/183977935/kelsey-breanne-meadows" xr:uid="{00000000-0004-0000-0500-000077060000}"/>
    <hyperlink ref="F1011" r:id="rId1657" display="https://www.latimes.com/projects/la-na-las-vegas-shootings-victims-list-20171002/" xr:uid="{00000000-0004-0000-0500-000078060000}"/>
    <hyperlink ref="H1011" r:id="rId1658" display="https://www.findagrave.com/memorial/183937341/calla_marie-medig" xr:uid="{00000000-0004-0000-0500-000079060000}"/>
    <hyperlink ref="F1012" r:id="rId1659" display="https://www.latimes.com/projects/la-na-las-vegas-shootings-victims-list-20171002/" xr:uid="{00000000-0004-0000-0500-00007A060000}"/>
    <hyperlink ref="H1012" r:id="rId1660" location="5947080" display="https://people.com/crime/las-vegas-shooting-victims-names-photos-tributes/?slide=5947080 - 5947080" xr:uid="{00000000-0004-0000-0500-00007B060000}"/>
    <hyperlink ref="F1013" r:id="rId1661" display="https://www.latimes.com/projects/la-na-las-vegas-shootings-victims-list-20171002/" xr:uid="{00000000-0004-0000-0500-00007C060000}"/>
    <hyperlink ref="H1013" r:id="rId1662" location="5952916" display="https://people.com/crime/las-vegas-shooting-victims-names-photos-tributes/?slide=5952916 - 5952916" xr:uid="{00000000-0004-0000-0500-00007D060000}"/>
    <hyperlink ref="F1014" r:id="rId1663" display="https://www.latimes.com/projects/la-na-las-vegas-shootings-victims-list-20171002/" xr:uid="{00000000-0004-0000-0500-00007E060000}"/>
    <hyperlink ref="H1014" r:id="rId1664" display="https://www.altavistamortuary.com/obituary/5335779" xr:uid="{00000000-0004-0000-0500-00007F060000}"/>
    <hyperlink ref="F1015" r:id="rId1665" display="https://www.latimes.com/projects/la-na-las-vegas-shootings-victims-list-20171002/" xr:uid="{00000000-0004-0000-0500-000080060000}"/>
    <hyperlink ref="H1015" r:id="rId1666" display="https://www.findagrave.com/memorial/183916435/adrian-allan-murfitt" xr:uid="{00000000-0004-0000-0500-000081060000}"/>
    <hyperlink ref="F1016" r:id="rId1667" display="https://www.latimes.com/projects/la-na-las-vegas-shootings-victims-list-20171002/" xr:uid="{00000000-0004-0000-0500-000082060000}"/>
    <hyperlink ref="H1016" r:id="rId1668" display="https://www.findagrave.com/memorial/183915941/rachael-kathleen-parker" xr:uid="{00000000-0004-0000-0500-000083060000}"/>
    <hyperlink ref="F1017" r:id="rId1669" display="https://www.latimes.com/projects/la-na-las-vegas-shootings-victims-list-20171002/" xr:uid="{00000000-0004-0000-0500-000084060000}"/>
    <hyperlink ref="H1017" r:id="rId1670" location="5947109" display="https://people.com/crime/las-vegas-shooting-victims-names-photos-tributes/?slide=5947109 - 5947109" xr:uid="{00000000-0004-0000-0500-000085060000}"/>
    <hyperlink ref="F1018" r:id="rId1671" display="https://www.latimes.com/projects/la-na-las-vegas-shootings-victims-list-20171002/" xr:uid="{00000000-0004-0000-0500-000086060000}"/>
    <hyperlink ref="H1018" r:id="rId1672" location="5952618" display="https://people.com/crime/las-vegas-shooting-victims-names-photos-tributes/?slide=5952618 - 5952618" xr:uid="{00000000-0004-0000-0500-000087060000}"/>
    <hyperlink ref="F1019" r:id="rId1673" display="https://www.latimes.com/projects/la-na-las-vegas-shootings-victims-list-20171002/" xr:uid="{00000000-0004-0000-0500-000088060000}"/>
    <hyperlink ref="H1019" r:id="rId1674" location="5949375" display="https://people.com/crime/las-vegas-shooting-victims-names-photos-tributes/?slide=5949375 - 5949375" xr:uid="{00000000-0004-0000-0500-000089060000}"/>
    <hyperlink ref="F1020" r:id="rId1675" display="https://www.latimes.com/projects/la-na-las-vegas-shootings-victims-list-20171002/" xr:uid="{00000000-0004-0000-0500-00008A060000}"/>
    <hyperlink ref="H1020" r:id="rId1676" display="https://www.findagrave.com/memorial/183921794/john-joseph-phippen" xr:uid="{00000000-0004-0000-0500-00008B060000}"/>
    <hyperlink ref="F1021" r:id="rId1677" display="https://www.latimes.com/projects/la-na-las-vegas-shootings-victims-list-20171002/" xr:uid="{00000000-0004-0000-0500-00008C060000}"/>
    <hyperlink ref="H1021" r:id="rId1678" location="5953110" display="https://people.com/crime/las-vegas-shooting-victims-names-photos-tributes/?slide=5953110 - 5953110" xr:uid="{00000000-0004-0000-0500-00008D060000}"/>
    <hyperlink ref="F1022" r:id="rId1679" display="https://www.latimes.com/projects/la-na-las-vegas-shootings-victims-list-20171002/" xr:uid="{00000000-0004-0000-0500-00008E060000}"/>
    <hyperlink ref="H1022" r:id="rId1680" display="https://www.dignitymemorial.com/obituaries/ontario-ca/jordyn-rivera-7588478" xr:uid="{00000000-0004-0000-0500-00008F060000}"/>
    <hyperlink ref="F1023" r:id="rId1681" display="https://www.latimes.com/projects/la-na-las-vegas-shootings-victims-list-20171002/" xr:uid="{00000000-0004-0000-0500-000090060000}"/>
    <hyperlink ref="H1023" r:id="rId1682" display="https://www.bouldercityfamilymortuary.com/obituary/Quinton-Robbins" xr:uid="{00000000-0004-0000-0500-000091060000}"/>
    <hyperlink ref="F1024" r:id="rId1683" display="https://www.latimes.com/projects/la-na-las-vegas-shootings-victims-list-20171002/" xr:uid="{00000000-0004-0000-0500-000092060000}"/>
    <hyperlink ref="H1024" r:id="rId1684" display="https://www.findagrave.com/memorial/183923809/cameron-lee-robinson" xr:uid="{00000000-0004-0000-0500-000093060000}"/>
    <hyperlink ref="F1025" r:id="rId1685" display="https://www.latimes.com/projects/la-na-las-vegas-shootings-victims-list-20171002/" xr:uid="{00000000-0004-0000-0500-000094060000}"/>
    <hyperlink ref="H1025" r:id="rId1686" location="5949667" display="https://people.com/crime/las-vegas-shooting-victims-names-photos-tributes/?slide=5949667 - 5949667" xr:uid="{00000000-0004-0000-0500-000095060000}"/>
    <hyperlink ref="F1026" r:id="rId1687" location="5953106" display="https://people.com/crime/las-vegas-shooting-victims-names-photos-tributes/?slide=5953106 - 5953106" xr:uid="{00000000-0004-0000-0500-000096060000}"/>
    <hyperlink ref="H1026" r:id="rId1688" display="https://www.latimes.com/projects/la-na-las-vegas-shootings-victims-list-20171002/" xr:uid="{00000000-0004-0000-0500-000097060000}"/>
    <hyperlink ref="F1027" r:id="rId1689" display="https://www.latimes.com/projects/la-na-las-vegas-shootings-victims-list-20171002/" xr:uid="{00000000-0004-0000-0500-000098060000}"/>
    <hyperlink ref="H1027" r:id="rId1690" display="https://www.legacy.com/obituaries/name/lisa-romero-muniz-obituary?pid=186868686" xr:uid="{00000000-0004-0000-0500-000099060000}"/>
    <hyperlink ref="F1028" r:id="rId1691" display="https://www.latimes.com/projects/la-na-las-vegas-shootings-victims-list-20171002/" xr:uid="{00000000-0004-0000-0500-00009A060000}"/>
    <hyperlink ref="H1028" r:id="rId1692" display="https://www.findagrave.com/memorial/183925374/christopher-louis-roybal" xr:uid="{00000000-0004-0000-0500-00009B060000}"/>
    <hyperlink ref="F1029" r:id="rId1693" location="5953083" display="https://people.com/crime/las-vegas-shooting-victims-names-photos-tributes/?slide=5953083 - 5953083" xr:uid="{00000000-0004-0000-0500-00009C060000}"/>
    <hyperlink ref="H1029" r:id="rId1694" display="https://www.latimes.com/projects/la-na-las-vegas-shootings-victims-list-20171002/" xr:uid="{00000000-0004-0000-0500-00009D060000}"/>
    <hyperlink ref="F1030" r:id="rId1695" display="https://www.latimes.com/projects/la-na-las-vegas-shootings-victims-list-20171002/" xr:uid="{00000000-0004-0000-0500-00009E060000}"/>
    <hyperlink ref="H1030" r:id="rId1696" display="https://www.findagrave.com/memorial/183917701/bailey-dee-schweitzer" xr:uid="{00000000-0004-0000-0500-00009F060000}"/>
    <hyperlink ref="F1031" r:id="rId1697" display="https://www.latimes.com/projects/la-na-las-vegas-shootings-victims-list-20171002/" xr:uid="{00000000-0004-0000-0500-0000A0060000}"/>
    <hyperlink ref="H1031" r:id="rId1698" location="5952860" display="https://people.com/crime/las-vegas-shooting-victims-names-photos-tributes/?slide=5952860 - 5952860" xr:uid="{00000000-0004-0000-0500-0000A1060000}"/>
    <hyperlink ref="F1032" r:id="rId1699" display="https://www.findagrave.com/memorial/183938217/erick-steven-silva" xr:uid="{00000000-0004-0000-0500-0000A2060000}"/>
    <hyperlink ref="H1032" r:id="rId1700" display="https://www.latimes.com/projects/la-na-las-vegas-shootings-victims-list-20171002/" xr:uid="{00000000-0004-0000-0500-0000A3060000}"/>
    <hyperlink ref="F1033" r:id="rId1701" display="https://www.latimes.com/projects/la-na-las-vegas-shootings-victims-list-20171002/" xr:uid="{00000000-0004-0000-0500-0000A4060000}"/>
    <hyperlink ref="H1033" r:id="rId1702" display="https://aftercarecremation.com/tribute/details/877/Susan-Smith/obituary.html" xr:uid="{00000000-0004-0000-0500-0000A5060000}"/>
    <hyperlink ref="F1034" r:id="rId1703" display="https://www.latimes.com/projects/la-na-las-vegas-shootings-victims-list-20171002/" xr:uid="{00000000-0004-0000-0500-0000A6060000}"/>
    <hyperlink ref="H1034" r:id="rId1704" location="5951925" display="https://people.com/crime/las-vegas-shooting-victims-names-photos-tributes/?slide=5951925 - 5951925" xr:uid="{00000000-0004-0000-0500-0000A7060000}"/>
    <hyperlink ref="F1035" r:id="rId1705" display="https://www.latimes.com/projects/la-na-las-vegas-shootings-victims-list-20171002/" xr:uid="{00000000-0004-0000-0500-0000A8060000}"/>
    <hyperlink ref="H1035" r:id="rId1706" display="https://www.findagrave.com/memorial/185061894/derrick-dean-taylor" xr:uid="{00000000-0004-0000-0500-0000A9060000}"/>
    <hyperlink ref="F1036" r:id="rId1707" display="https://www.latimes.com/projects/la-na-las-vegas-shootings-victims-list-20171002/" xr:uid="{00000000-0004-0000-0500-0000AA060000}"/>
    <hyperlink ref="H1036" r:id="rId1708" display="https://www.dignitymemorial.com/obituaries/las-vegas-nv/neysa-tonks-7586778" xr:uid="{00000000-0004-0000-0500-0000AB060000}"/>
    <hyperlink ref="F1037" r:id="rId1709" display="https://www.latimes.com/projects/la-na-las-vegas-shootings-victims-list-20171002/" xr:uid="{00000000-0004-0000-0500-0000AC060000}"/>
    <hyperlink ref="H1037" r:id="rId1710" display="https://www.azcentral.com/story/news/nation/2017/10/05/michelle-vo-las-vegas-shooting-victim/733803001/" xr:uid="{00000000-0004-0000-0500-0000AD060000}"/>
    <hyperlink ref="F1038" r:id="rId1711" display="https://www.latimes.com/projects/la-na-las-vegas-shootings-victims-list-20171002/" xr:uid="{00000000-0004-0000-0500-0000AE060000}"/>
    <hyperlink ref="H1038" r:id="rId1712" location="5951575" display="https://people.com/crime/las-vegas-shooting-victims-names-photos-tributes/?slide=5951575 - 5951575" xr:uid="{00000000-0004-0000-0500-0000AF060000}"/>
    <hyperlink ref="F1039" r:id="rId1713" display="https://www.latimes.com/projects/la-na-las-vegas-shootings-victims-list-20171002/" xr:uid="{00000000-0004-0000-0500-0000B0060000}"/>
    <hyperlink ref="H1039" r:id="rId1714" display="https://www.findagrave.com/memorial/183935223/william-winfield-wolfe" xr:uid="{00000000-0004-0000-0500-0000B1060000}"/>
    <hyperlink ref="F1040" r:id="rId1715" display="https://www.nbcnews.com/storyline/texas-church-shooting/texas-church-shooting-who-were-victims-sutherland-springs-massacre-n818356" xr:uid="{00000000-0004-0000-0500-0000B2060000}"/>
    <hyperlink ref="F1041" r:id="rId1716" display="https://www.nbcnews.com/storyline/texas-church-shooting/texas-church-shooting-who-were-victims-sutherland-springs-massacre-n818356" xr:uid="{00000000-0004-0000-0500-0000B3060000}"/>
    <hyperlink ref="F1042" r:id="rId1717" display="https://www.nbcnews.com/storyline/texas-church-shooting/texas-church-shooting-who-were-victims-sutherland-springs-massacre-n818356" xr:uid="{00000000-0004-0000-0500-0000B4060000}"/>
    <hyperlink ref="F1043" r:id="rId1718" display="https://www.nbcnews.com/storyline/texas-church-shooting/texas-church-shooting-who-were-victims-sutherland-springs-massacre-n818356" xr:uid="{00000000-0004-0000-0500-0000B5060000}"/>
    <hyperlink ref="H1043" r:id="rId1719" display="https://time.com/5064666/texas-church-shooting-holcombe-christmas/" xr:uid="{00000000-0004-0000-0500-0000B6060000}"/>
    <hyperlink ref="F1044" r:id="rId1720" display="https://www.nbcnews.com/storyline/texas-church-shooting/texas-church-shooting-who-were-victims-sutherland-springs-massacre-n818356" xr:uid="{00000000-0004-0000-0500-0000B7060000}"/>
    <hyperlink ref="H1044" r:id="rId1721" display="https://www.findagrave.com/memorial/184993695/crystal-marie-holcombe" xr:uid="{00000000-0004-0000-0500-0000B8060000}"/>
    <hyperlink ref="F1045" r:id="rId1722" display="https://www.findagrave.com/memorial/184993737/emily-rose-hill" xr:uid="{00000000-0004-0000-0500-0000B9060000}"/>
    <hyperlink ref="F1046" r:id="rId1723" display="https://www.findagrave.com/memorial/184993786/gregory-lynn-hill" xr:uid="{00000000-0004-0000-0500-0000BA060000}"/>
    <hyperlink ref="F1047" r:id="rId1724" display="https://www.nbcnews.com/storyline/texas-church-shooting/texas-church-shooting-who-were-victims-sutherland-springs-massacre-n818356" xr:uid="{00000000-0004-0000-0500-0000BB060000}"/>
    <hyperlink ref="H1047" r:id="rId1725" display="https://www.ksat.com/news/2017/11/08/karla-plain-holcombe/" xr:uid="{00000000-0004-0000-0500-0000BC060000}"/>
    <hyperlink ref="F1048" r:id="rId1726" display="https://www.nbcnews.com/storyline/texas-church-shooting/texas-church-shooting-who-were-victims-sutherland-springs-massacre-n818356" xr:uid="{00000000-0004-0000-0500-0000BD060000}"/>
    <hyperlink ref="H1048" r:id="rId1727" display="https://www.findagrave.com/memorial/184994011/marc-daniel-holcombe" xr:uid="{00000000-0004-0000-0500-0000BE060000}"/>
    <hyperlink ref="F1049" r:id="rId1728" display="https://www.findagrave.com/memorial/184993760/megan-gail-hill" xr:uid="{00000000-0004-0000-0500-0000BF060000}"/>
    <hyperlink ref="F1050" r:id="rId1729" display="https://www.nbcnews.com/storyline/texas-church-shooting/texas-church-shooting-who-were-victims-sutherland-springs-massacre-n818356" xr:uid="{00000000-0004-0000-0500-0000C0060000}"/>
    <hyperlink ref="H1050" r:id="rId1730" display="https://www.findagrave.com/memorial/184994052/noah-grace-holcombe" xr:uid="{00000000-0004-0000-0500-0000C1060000}"/>
    <hyperlink ref="F1051" r:id="rId1731" display="https://www.nbcnews.com/storyline/texas-church-shooting/texas-church-shooting-who-were-victims-sutherland-springs-massacre-n818356" xr:uid="{00000000-0004-0000-0500-0000C2060000}"/>
    <hyperlink ref="F1052" r:id="rId1732" display="https://www.nbcnews.com/storyline/texas-church-shooting/texas-church-shooting-who-were-victims-sutherland-springs-massacre-n818356" xr:uid="{00000000-0004-0000-0500-0000C3060000}"/>
    <hyperlink ref="F1053" r:id="rId1733" display="https://www.nbcnews.com/storyline/texas-church-shooting/texas-church-shooting-who-were-victims-sutherland-springs-massacre-n818356" xr:uid="{00000000-0004-0000-0500-0000C4060000}"/>
    <hyperlink ref="H1053" r:id="rId1734" display="https://www.findagrave.com/memorial/184976983/annabelle-renae-pomeroy" xr:uid="{00000000-0004-0000-0500-0000C5060000}"/>
    <hyperlink ref="F1054" r:id="rId1735" display="https://www.nbcnews.com/storyline/texas-church-shooting/texas-church-shooting-who-were-victims-sutherland-springs-massacre-n818356" xr:uid="{00000000-0004-0000-0500-0000C6060000}"/>
    <hyperlink ref="F1055" r:id="rId1736" display="https://www.nbcnews.com/storyline/texas-church-shooting/texas-church-shooting-who-were-victims-sutherland-springs-massacre-n818356" xr:uid="{00000000-0004-0000-0500-0000C7060000}"/>
    <hyperlink ref="H1055" r:id="rId1737" display="https://www.findagrave.com/memorial/185032640/karen-sue-marshall" xr:uid="{00000000-0004-0000-0500-0000C8060000}"/>
    <hyperlink ref="F1056" r:id="rId1738" display="https://www.nbcnews.com/storyline/texas-church-shooting/texas-church-shooting-who-were-victims-sutherland-springs-massacre-n818356" xr:uid="{00000000-0004-0000-0500-0000C9060000}"/>
    <hyperlink ref="E1057" r:id="rId1739" xr:uid="{00000000-0004-0000-0500-0000CA060000}"/>
    <hyperlink ref="F1057" r:id="rId1740" display="https://www.nbcnews.com/storyline/texas-church-shooting/texas-church-shooting-who-were-victims-sutherland-springs-massacre-n818356" xr:uid="{00000000-0004-0000-0500-0000CB060000}"/>
    <hyperlink ref="F1058" r:id="rId1741" display="https://www.nbcnews.com/storyline/texas-church-shooting/texas-church-shooting-who-were-victims-sutherland-springs-massacre-n818356" xr:uid="{00000000-0004-0000-0500-0000CC060000}"/>
    <hyperlink ref="H1058" r:id="rId1742" display="https://www.mysanantonio.com/news/local/article/During-11-years-of-marraige-couple-stuck-12342914.php" xr:uid="{00000000-0004-0000-0500-0000CD060000}"/>
    <hyperlink ref="F1059" r:id="rId1743" display="https://www.nbcnews.com/storyline/texas-church-shooting/texas-church-shooting-who-were-victims-sutherland-springs-massacre-n818356" xr:uid="{00000000-0004-0000-0500-0000CE060000}"/>
    <hyperlink ref="H1059" r:id="rId1744" display="https://www.mysanantonio.com/news/local/article/During-11-years-of-marraige-couple-stuck-12342914.php" xr:uid="{00000000-0004-0000-0500-0000CF060000}"/>
    <hyperlink ref="E1060" r:id="rId1745" xr:uid="{00000000-0004-0000-0500-0000D0060000}"/>
    <hyperlink ref="F1060" r:id="rId1746" display="https://www.nbcnews.com/storyline/texas-church-shooting/texas-church-shooting-who-were-victims-sutherland-springs-massacre-n818356" xr:uid="{00000000-0004-0000-0500-0000D1060000}"/>
    <hyperlink ref="H1060" r:id="rId1747" display="https://www.npr.org/2017/11/08/562740147/nobody-there-grandmother-lost-2-grandkids-daughter-in-law-at-texas-church" xr:uid="{00000000-0004-0000-0500-0000D2060000}"/>
    <hyperlink ref="F1061" r:id="rId1748" display="https://www.nbcnews.com/storyline/texas-church-shooting/texas-church-shooting-who-were-victims-sutherland-springs-massacre-n818356" xr:uid="{00000000-0004-0000-0500-0000D3060000}"/>
    <hyperlink ref="H1061" r:id="rId1749" display="https://www.npr.org/2017/11/08/562740147/nobody-there-grandmother-lost-2-grandkids-daughter-in-law-at-texas-church" xr:uid="{00000000-0004-0000-0500-0000D4060000}"/>
    <hyperlink ref="F1062" r:id="rId1750" display="https://www.nbcnews.com/storyline/texas-church-shooting/texas-church-shooting-who-were-victims-sutherland-springs-massacre-n818356" xr:uid="{00000000-0004-0000-0500-0000D5060000}"/>
    <hyperlink ref="H1062" r:id="rId1751" display="https://www.npr.org/2017/11/08/562740147/nobody-there-grandmother-lost-2-grandkids-daughter-in-law-at-texas-church" xr:uid="{00000000-0004-0000-0500-0000D6060000}"/>
    <hyperlink ref="F1063" r:id="rId1752" display="https://www.nbcnews.com/storyline/texas-church-shooting/texas-church-shooting-who-were-victims-sutherland-springs-massacre-n818356" xr:uid="{00000000-0004-0000-0500-0000D7060000}"/>
    <hyperlink ref="F1064" r:id="rId1753" display="https://www.nbcnews.com/storyline/texas-church-shooting/texas-church-shooting-who-were-victims-sutherland-springs-massacre-n818356" xr:uid="{00000000-0004-0000-0500-0000D8060000}"/>
    <hyperlink ref="H1064" r:id="rId1754" display="https://nypost.com/2017/11/06/texas-shooter-killed-wifes-grandmother-in-massacre/" xr:uid="{00000000-0004-0000-0500-0000D9060000}"/>
    <hyperlink ref="I1064" r:id="rId1755" location="photo-15002979" display="https://www.expressnews.com/news/local/article/Exclusive-Guilt-and-grief-overwhelm-the-12556616.php - photo-15002979" xr:uid="{00000000-0004-0000-0500-0000DA060000}"/>
    <hyperlink ref="F1065" r:id="rId1756" display="https://www.findagrave.com/memorial/185262136/barbara-anne-glisan" xr:uid="{00000000-0004-0000-0500-0000DB060000}"/>
    <hyperlink ref="I1065" r:id="rId1757" display="https://www.cbsnews.com/news/california-shooting-gunman-kevin-janson-neal-threatened-victim-son-neighbor/" xr:uid="{00000000-0004-0000-0500-0000DC060000}"/>
    <hyperlink ref="F1066" r:id="rId1758" display="https://www.actionnewsnow.com/content/news/We-have-learned-the-names-of-the-victims-in-the-horrible-Tehama-County-tragedy-458110053.html" xr:uid="{00000000-0004-0000-0500-0000DD060000}"/>
    <hyperlink ref="H1066" r:id="rId1759" display="https://www.foxnews.com/us/california-gunman-targeted-victim-victims-son-in-rampage-neighbor-says" xr:uid="{00000000-0004-0000-0500-0000DE060000}"/>
    <hyperlink ref="I1066" r:id="rId1760" display="https://www.cbsnews.com/news/california-shooting-gunman-kevin-janson-neal-threatened-victim-son-neighbor/" xr:uid="{00000000-0004-0000-0500-0000DF060000}"/>
    <hyperlink ref="F1067" r:id="rId1761" display="https://www.actionnewsnow.com/content/news/We-have-learned-the-names-of-the-victims-in-the-horrible-Tehama-County-tragedy-458110053.html" xr:uid="{00000000-0004-0000-0500-0000E0060000}"/>
    <hyperlink ref="H1067" r:id="rId1762" display="https://www.redding.com/story/news/2017/11/15/rancho-tehama-shooting-victims/865057001/" xr:uid="{00000000-0004-0000-0500-0000E1060000}"/>
    <hyperlink ref="F1068" r:id="rId1763" display="https://www.cbsnews.com/news/california-shooting-gunman-kevin-janson-neal-threatened-victim-son-neighbor/" xr:uid="{00000000-0004-0000-0500-0000E2060000}"/>
    <hyperlink ref="H1068" r:id="rId1764" display="http://gunmemorial.org/2017/11/14/joseph-edward-mchugh-iii" xr:uid="{00000000-0004-0000-0500-0000E3060000}"/>
    <hyperlink ref="F1069" r:id="rId1765" display="https://www.actionnewsnow.com/content/news/We-have-learned-the-names-of-the-victims-in-the-horrible-Tehama-County-tragedy-458110053.html" xr:uid="{00000000-0004-0000-0500-0000E4060000}"/>
    <hyperlink ref="H1069" r:id="rId1766" display="https://www.foxnews.com/us/california-gunman-targeted-victim-victims-son-in-rampage-neighbor-says" xr:uid="{00000000-0004-0000-0500-0000E5060000}"/>
    <hyperlink ref="I1069" r:id="rId1767" display="https://www.cbsnews.com/news/california-shooting-gunman-kevin-janson-neal-threatened-victim-son-neighbor/" xr:uid="{00000000-0004-0000-0500-0000E6060000}"/>
    <hyperlink ref="F1070" r:id="rId1768" display="https://www.theguardian.com/us-news/2018/jan/28/five-dead-shooting-pennsylvania-car-wash-melcroft-saltlick-township" xr:uid="{00000000-0004-0000-0500-0000E7060000}"/>
    <hyperlink ref="H1070" r:id="rId1769" display="https://pittsburgh.cbslocal.com/2018/01/28/fatalities-confirmed-fayette-shooting/" xr:uid="{00000000-0004-0000-0500-0000E8060000}"/>
    <hyperlink ref="I1070" r:id="rId1770" display="https://www.foxnews.com/us/pennsylvania-car-wash-alleged-gunman-had-run-in-with-target-before-deadly-shooting-family-says" xr:uid="{00000000-0004-0000-0500-0000E9060000}"/>
    <hyperlink ref="F1071" r:id="rId1771" display="https://www.theguardian.com/us-news/2018/jan/28/five-dead-shooting-pennsylvania-car-wash-melcroft-saltlick-township" xr:uid="{00000000-0004-0000-0500-0000EA060000}"/>
    <hyperlink ref="H1071" r:id="rId1772" display="https://pittsburgh.cbslocal.com/2018/01/28/fatalities-confirmed-fayette-shooting/" xr:uid="{00000000-0004-0000-0500-0000EB060000}"/>
    <hyperlink ref="I1071" r:id="rId1773" display="https://www.foxnews.com/us/pennsylvania-car-wash-alleged-gunman-had-run-in-with-target-before-deadly-shooting-family-sayshttps:/www.foxnews.com/us/pennsylvania-car-wash-alleged-gunman-had-run-in-with-target-before-deadly-shooting-family-says" xr:uid="{00000000-0004-0000-0500-0000EC060000}"/>
    <hyperlink ref="F1072" r:id="rId1774" display="https://www.theguardian.com/us-news/2018/jan/28/five-dead-shooting-pennsylvania-car-wash-melcroft-saltlick-township" xr:uid="{00000000-0004-0000-0500-0000ED060000}"/>
    <hyperlink ref="H1072" r:id="rId1775" display="https://pittsburgh.cbslocal.com/2018/01/28/fatalities-confirmed-fayette-shooting/" xr:uid="{00000000-0004-0000-0500-0000EE060000}"/>
    <hyperlink ref="I1072" r:id="rId1776" display="https://www.foxnews.com/us/pennsylvania-car-wash-alleged-gunman-had-run-in-with-target-before-deadly-shooting-family-says" xr:uid="{00000000-0004-0000-0500-0000EF060000}"/>
    <hyperlink ref="F1073" r:id="rId1777" display="https://www.theguardian.com/us-news/2018/jan/28/five-dead-shooting-pennsylvania-car-wash-melcroft-saltlick-township" xr:uid="{00000000-0004-0000-0500-0000F0060000}"/>
    <hyperlink ref="H1073" r:id="rId1778" display="https://pittsburgh.cbslocal.com/2018/01/28/fatalities-confirmed-fayette-shooting/" xr:uid="{00000000-0004-0000-0500-0000F1060000}"/>
    <hyperlink ref="I1073" r:id="rId1779" display="https://www.foxnews.com/us/pennsylvania-car-wash-alleged-gunman-had-run-in-with-target-before-deadly-shooting-family-says" xr:uid="{00000000-0004-0000-0500-0000F2060000}"/>
    <hyperlink ref="F1074" r:id="rId1780" display="https://www.cnn.com/2018/02/15/us/florida-shooting-victims-school/index.html" xr:uid="{00000000-0004-0000-0500-0000F3060000}"/>
    <hyperlink ref="H1074" r:id="rId1781" display="https://www.jta.org/2018/02/15/united-states/remembering-the-lives-of-the-parkland-shootings-jewish-victims" xr:uid="{00000000-0004-0000-0500-0000F4060000}"/>
    <hyperlink ref="F1075" r:id="rId1782" display="https://www.cnn.com/2018/02/15/us/florida-shooting-victims-school/index.html" xr:uid="{00000000-0004-0000-0500-0000F5060000}"/>
    <hyperlink ref="F1076" r:id="rId1783" display="https://www.cnn.com/2018/02/15/us/florida-shooting-victims-school/index.html" xr:uid="{00000000-0004-0000-0500-0000F6060000}"/>
    <hyperlink ref="F1077" r:id="rId1784" display="https://www.cnn.com/2018/02/15/us/florida-shooting-victims-school/index.html" xr:uid="{00000000-0004-0000-0500-0000F7060000}"/>
    <hyperlink ref="F1078" r:id="rId1785" display="https://www.cnn.com/2018/02/15/us/florida-shooting-victims-school/index.html" xr:uid="{00000000-0004-0000-0500-0000F8060000}"/>
    <hyperlink ref="F1079" r:id="rId1786" display="https://www.cnn.com/2018/02/15/us/florida-shooting-victims-school/index.html" xr:uid="{00000000-0004-0000-0500-0000F9060000}"/>
    <hyperlink ref="H1079" r:id="rId1787" display="https://abcnews.go.com/US/teacher-coach14-year-freshman-florida-high-school-massacre/story?id=53092879" xr:uid="{00000000-0004-0000-0500-0000FA060000}"/>
    <hyperlink ref="F1080" r:id="rId1788" display="https://www.cnn.com/2018/02/15/us/florida-shooting-victims-school/index.html" xr:uid="{00000000-0004-0000-0500-0000FB060000}"/>
    <hyperlink ref="F1081" r:id="rId1789" display="https://www.cnn.com/2018/02/15/us/florida-shooting-victims-school/index.html" xr:uid="{00000000-0004-0000-0500-0000FC060000}"/>
    <hyperlink ref="F1082" r:id="rId1790" display="https://www.cnn.com/2018/02/15/us/florida-shooting-victims-school/index.html" xr:uid="{00000000-0004-0000-0500-0000FD060000}"/>
    <hyperlink ref="F1083" r:id="rId1791" display="https://www.cnn.com/2018/02/15/us/florida-shooting-victims-school/index.html" xr:uid="{00000000-0004-0000-0500-0000FE060000}"/>
    <hyperlink ref="F1084" r:id="rId1792" display="https://www.cnn.com/2018/02/15/us/florida-shooting-victims-school/index.html" xr:uid="{00000000-0004-0000-0500-0000FF060000}"/>
    <hyperlink ref="F1085" r:id="rId1793" display="https://www.cnn.com/2018/02/15/us/florida-shooting-victims-school/index.html" xr:uid="{00000000-0004-0000-0500-000000070000}"/>
    <hyperlink ref="F1086" r:id="rId1794" display="https://www.cnn.com/2018/02/15/us/florida-shooting-victims-school/index.html" xr:uid="{00000000-0004-0000-0500-000001070000}"/>
    <hyperlink ref="F1087" r:id="rId1795" display="https://www.cnn.com/2018/02/15/us/florida-shooting-victims-school/index.html" xr:uid="{00000000-0004-0000-0500-000002070000}"/>
    <hyperlink ref="H1087" r:id="rId1796" display="https://www.miamiherald.com/news/local/community/broward/article200978539.html" xr:uid="{00000000-0004-0000-0500-000003070000}"/>
    <hyperlink ref="F1088" r:id="rId1797" display="https://www.cnn.com/2018/02/15/us/florida-shooting-victims-school/index.html" xr:uid="{00000000-0004-0000-0500-000004070000}"/>
    <hyperlink ref="F1089" r:id="rId1798" display="https://www.cnn.com/2018/02/15/us/florida-shooting-victims-school/index.html" xr:uid="{00000000-0004-0000-0500-000005070000}"/>
    <hyperlink ref="F1090" r:id="rId1799" display="https://www.cnn.com/2018/02/15/us/florida-shooting-victims-school/index.html" xr:uid="{00000000-0004-0000-0500-000006070000}"/>
    <hyperlink ref="F1091" r:id="rId1800" display="https://www.fox2detroit.com/news/suspect-in-gas-station-triple-murder-suspect-dies-by-suicide-in-ohio" xr:uid="{00000000-0004-0000-0500-000007070000}"/>
    <hyperlink ref="H1091" r:id="rId1801" display="https://www.clickondetroit.com/news/2018/02/27/dark-details-emerge-about-quadruple-murder-in-detroit/" xr:uid="{00000000-0004-0000-0500-000008070000}"/>
    <hyperlink ref="F1092" r:id="rId1802" display="https://www.clickondetroit.com/news/2018/02/27/dark-details-emerge-about-quadruple-murder-in-detroit/" xr:uid="{00000000-0004-0000-0500-000009070000}"/>
    <hyperlink ref="I1092" r:id="rId1803" display="https://www.fox2detroit.com/news/suspect-in-gas-station-triple-murder-suspect-dies-by-suicide-in-ohio" xr:uid="{00000000-0004-0000-0500-00000A070000}"/>
    <hyperlink ref="F1093" r:id="rId1804" display="https://www.foxnews.com/us/michigan-woman-hides-in-attic-with-infant-as-murder-spree-suspect-kills-boyfriend" xr:uid="{00000000-0004-0000-0500-00000B070000}"/>
    <hyperlink ref="F1094" r:id="rId1805" display="https://www.hendersonshp.com/obituary/Kristin-Thomas" xr:uid="{00000000-0004-0000-0500-00000C070000}"/>
    <hyperlink ref="F1095" r:id="rId1806" display="https://www.nytimes.com/2018/04/23/us/waffle-house-victims.html" xr:uid="{00000000-0004-0000-0500-00000D070000}"/>
    <hyperlink ref="H1095" r:id="rId1807" display="https://www.cbsnews.com/news/waffle-house-nashville-shooting-reopens-today-2018-04-25/" xr:uid="{00000000-0004-0000-0500-00000E070000}"/>
    <hyperlink ref="F1096" r:id="rId1808" display="https://www.nytimes.com/2018/04/23/us/waffle-house-victims.html" xr:uid="{00000000-0004-0000-0500-00000F070000}"/>
    <hyperlink ref="H1096" r:id="rId1809" display="https://www.cbsnews.com/news/waffle-house-nashville-shooting-reopens-today-2018-04-25/" xr:uid="{00000000-0004-0000-0500-000010070000}"/>
    <hyperlink ref="F1097" r:id="rId1810" display="https://www.nytimes.com/2018/04/23/us/waffle-house-victims.html" xr:uid="{00000000-0004-0000-0500-000011070000}"/>
    <hyperlink ref="H1097" r:id="rId1811" display="https://www.essence.com/news/waffle-house-massacre-victims/" xr:uid="{00000000-0004-0000-0500-000012070000}"/>
    <hyperlink ref="F1098" r:id="rId1812" display="https://www.nytimes.com/2018/04/23/us/waffle-house-victims.html" xr:uid="{00000000-0004-0000-0500-000013070000}"/>
    <hyperlink ref="H1098" r:id="rId1813" display="https://www.essence.com/news/waffle-house-massacre-victims/" xr:uid="{00000000-0004-0000-0500-000014070000}"/>
    <hyperlink ref="F1099" r:id="rId1814" display="https://www.cnn.com/2018/05/18/us/texas-school-shooting-victims/index.html" xr:uid="{00000000-0004-0000-0500-000015070000}"/>
    <hyperlink ref="H1099" r:id="rId1815" display="https://time.com/5283251/sante-fe-high-school-shooting-victims/" xr:uid="{00000000-0004-0000-0500-000016070000}"/>
    <hyperlink ref="F1100" r:id="rId1816" display="https://www.cnn.com/2018/05/18/us/texas-school-shooting-victims/index.html" xr:uid="{00000000-0004-0000-0500-000017070000}"/>
    <hyperlink ref="H1100" r:id="rId1817" location="photo-15580771" display="https://www.chron.com/houston/article/Santa-Fe-victim-Shana-Fisher-laid-to-rest-in-12946362.php - photo-15580771" xr:uid="{00000000-0004-0000-0500-000018070000}"/>
    <hyperlink ref="F1101" r:id="rId1818" display="https://www.cnn.com/2018/05/18/us/texas-school-shooting-victims/index.html" xr:uid="{00000000-0004-0000-0500-000019070000}"/>
    <hyperlink ref="F1102" r:id="rId1819" display="https://www.cnn.com/2018/05/18/us/texas-school-shooting-victims/index.html" xr:uid="{00000000-0004-0000-0500-00001A070000}"/>
    <hyperlink ref="H1102" r:id="rId1820" display="https://time.com/5283251/sante-fe-high-school-shooting-victims/" xr:uid="{00000000-0004-0000-0500-00001B070000}"/>
    <hyperlink ref="F1103" r:id="rId1821" display="https://www.houstonchronicle.com/news/houston-texas/houston/article/Ten-months-after-Santa-Fe-High-shooting-families-13685169.php" xr:uid="{00000000-0004-0000-0500-00001C070000}"/>
    <hyperlink ref="H1103" r:id="rId1822" display="https://www.cnn.com/2018/05/18/us/texas-school-shooting-victims/index.html" xr:uid="{00000000-0004-0000-0500-00001D070000}"/>
    <hyperlink ref="F1104" r:id="rId1823" display="https://www.cnn.com/2018/05/18/us/texas-school-shooting-victims/index.html" xr:uid="{00000000-0004-0000-0500-00001E070000}"/>
    <hyperlink ref="H1104" r:id="rId1824" display="https://www.click2houston.com/news/2018/05/20/santa-fe-hs-student-angelique-ramirez-1-of-10-killed-in-shooting/" xr:uid="{00000000-0004-0000-0500-00001F070000}"/>
    <hyperlink ref="F1105" r:id="rId1825" display="https://www.cnn.com/2018/05/18/us/texas-school-shooting-victims/index.html" xr:uid="{00000000-0004-0000-0500-000020070000}"/>
    <hyperlink ref="H1105" r:id="rId1826" display="https://time.com/5283251/sante-fe-high-school-shooting-victims/" xr:uid="{00000000-0004-0000-0500-000021070000}"/>
    <hyperlink ref="F1106" r:id="rId1827" display="https://www.cnn.com/2018/05/18/us/texas-school-shooting-victims/index.html" xr:uid="{00000000-0004-0000-0500-000022070000}"/>
    <hyperlink ref="H1106" r:id="rId1828" display="https://www.crowderfuneralhome.com/obituaries/christopher-jake-stone/" xr:uid="{00000000-0004-0000-0500-000023070000}"/>
    <hyperlink ref="F1107" r:id="rId1829" display="https://www.houstonchronicle.com/news/houston-texas/houston/article/Ten-months-after-Santa-Fe-High-shooting-families-13685169.php" xr:uid="{00000000-0004-0000-0500-000024070000}"/>
    <hyperlink ref="H1107" r:id="rId1830" display="https://www.cnn.com/2018/05/18/us/texas-school-shooting-victims/index.html" xr:uid="{00000000-0004-0000-0500-000025070000}"/>
    <hyperlink ref="F1108" r:id="rId1831" display="https://www.houstonchronicle.com/news/houston-texas/houston/article/Ten-months-after-Santa-Fe-High-shooting-families-13685169.php" xr:uid="{00000000-0004-0000-0500-000026070000}"/>
    <hyperlink ref="H1108" r:id="rId1832" display="https://www.cnn.com/2018/05/18/us/texas-school-shooting-victims/index.html" xr:uid="{00000000-0004-0000-0500-000027070000}"/>
    <hyperlink ref="F1109" r:id="rId1833" display="https://www.washingtonpost.com/local/public-safety/jarrod-ramos-admits-guilt-in-capital-gazette-shooting-that-killed-5/2019/10/28/39bcd226-f990-11e9-ac8c-8eced29ca6ef_story.html" xr:uid="{00000000-0004-0000-0500-000028070000}"/>
    <hyperlink ref="H1109" r:id="rId1834" display="https://baltimore.cbslocal.com/2019/06/28/capital-gazette-shooting-year-later/" xr:uid="{00000000-0004-0000-0500-000029070000}"/>
    <hyperlink ref="F1110" r:id="rId1835" display="https://www.washingtonpost.com/local/public-safety/jarrod-ramos-admits-guilt-in-capital-gazette-shooting-that-killed-5/2019/10/28/39bcd226-f990-11e9-ac8c-8eced29ca6ef_story.html" xr:uid="{00000000-0004-0000-0500-00002A070000}"/>
    <hyperlink ref="H1110" r:id="rId1836" display="https://baltimore.cbslocal.com/2019/06/28/capital-gazette-shooting-year-later/" xr:uid="{00000000-0004-0000-0500-00002B070000}"/>
    <hyperlink ref="F1111" r:id="rId1837" display="https://www.washingtonpost.com/local/public-safety/jarrod-ramos-admits-guilt-in-capital-gazette-shooting-that-killed-5/2019/10/28/39bcd226-f990-11e9-ac8c-8eced29ca6ef_story.html" xr:uid="{00000000-0004-0000-0500-00002C070000}"/>
    <hyperlink ref="H1111" r:id="rId1838" display="https://baltimore.cbslocal.com/2019/06/28/capital-gazette-shooting-year-later/" xr:uid="{00000000-0004-0000-0500-00002D070000}"/>
    <hyperlink ref="F1112" r:id="rId1839" display="https://www.washingtonpost.com/local/public-safety/jarrod-ramos-admits-guilt-in-capital-gazette-shooting-that-killed-5/2019/10/28/39bcd226-f990-11e9-ac8c-8eced29ca6ef_story.html" xr:uid="{00000000-0004-0000-0500-00002E070000}"/>
    <hyperlink ref="H1112" r:id="rId1840" display="https://baltimore.cbslocal.com/2019/06/28/capital-gazette-shooting-year-later/" xr:uid="{00000000-0004-0000-0500-00002F070000}"/>
    <hyperlink ref="F1113" r:id="rId1841" display="https://www.washingtonpost.com/local/public-safety/jarrod-ramos-admits-guilt-in-capital-gazette-shooting-that-killed-5/2019/10/28/39bcd226-f990-11e9-ac8c-8eced29ca6ef_story.html" xr:uid="{00000000-0004-0000-0500-000030070000}"/>
    <hyperlink ref="H1113" r:id="rId1842" display="https://baltimore.cbslocal.com/2019/06/28/capital-gazette-shooting-year-later/" xr:uid="{00000000-0004-0000-0500-000031070000}"/>
    <hyperlink ref="F1114" r:id="rId1843" display="https://www.fresnobee.com/news/local/crime/article218331035.html" xr:uid="{00000000-0004-0000-0500-000032070000}"/>
    <hyperlink ref="H1114" r:id="rId1844" display="https://www.bakersfield.com/ex-wife-in-mass-shooting-had-just-filed-for-child/article_8d7510c2-bc38-11e8-bc73-c3793e2ec681.html" xr:uid="{00000000-0004-0000-0500-000033070000}"/>
    <hyperlink ref="I1114" r:id="rId1845" display="https://bakersfieldnow.com/news/local/law-office-employee-talks-about-woman-her-killer-husband-he-was-obsessive-jealous" xr:uid="{00000000-0004-0000-0500-000034070000}"/>
    <hyperlink ref="F1115" r:id="rId1846" display="https://www.fresnobee.com/news/local/crime/article218331035.html" xr:uid="{00000000-0004-0000-0500-000035070000}"/>
    <hyperlink ref="H1115" r:id="rId1847" display="https://www.nydailynews.com/news/crime/ny-news-victims-identified-father-daughter-california-shooting-20180913-story.html" xr:uid="{00000000-0004-0000-0500-000036070000}"/>
    <hyperlink ref="I1115" r:id="rId1848" display="https://bakersfieldnow.com/news/local/law-office-employee-talks-about-woman-her-killer-husband-he-was-obsessive-jealous" xr:uid="{00000000-0004-0000-0500-000037070000}"/>
    <hyperlink ref="F1116" r:id="rId1849" display="https://www.bakersfield.com/ex-wife-in-mass-shooting-had-just-filed-for-child/article_8d7510c2-bc38-11e8-bc73-c3793e2ec681.html" xr:uid="{00000000-0004-0000-0500-000038070000}"/>
    <hyperlink ref="I1116" r:id="rId1850" display="https://www.ajc.com/news/national/bakersfield-mass-shooter-believed-wife-cheated-him-court-documents-say/Ibt8va2Lsdta0d6PYyLAKM/" xr:uid="{00000000-0004-0000-0500-000039070000}"/>
    <hyperlink ref="F1117" r:id="rId1851" display="https://www.bakersfield.com/ex-wife-in-mass-shooting-had-just-filed-for-child/article_8d7510c2-bc38-11e8-bc73-c3793e2ec681.html" xr:uid="{00000000-0004-0000-0500-00003A070000}"/>
    <hyperlink ref="H1117" r:id="rId1852" display="https://www.bakersfield.com/news/relative-of-loved-ones-killed-in-mass-shooting-dismayed-gofundme/article_5d4029aa-b84b-11e8-a1a2-6f84f39deaf4.html" xr:uid="{00000000-0004-0000-0500-00003B070000}"/>
    <hyperlink ref="F1118" r:id="rId1853" display="https://www.fresnobee.com/news/local/crime/article218331035.html" xr:uid="{00000000-0004-0000-0500-00003C070000}"/>
    <hyperlink ref="H1118" r:id="rId1854" display="https://www.gofundme.com/f/antonio-valadez-family-support" xr:uid="{00000000-0004-0000-0500-00003D070000}"/>
    <hyperlink ref="I1118" r:id="rId1855" display="https://www.ajc.com/news/national/bakersfield-mass-shooter-believed-wife-cheated-him-court-documents-say/Ibt8va2Lsdta0d6PYyLAKM/" xr:uid="{00000000-0004-0000-0500-00003E070000}"/>
    <hyperlink ref="F1119" r:id="rId1856" display="https://www.npr.org/2018/10/28/661530860/pittsburgh-synagogue-shooting-victims-identified" xr:uid="{00000000-0004-0000-0500-00003F070000}"/>
    <hyperlink ref="H1119" r:id="rId1857" display="https://www.timesofisrael.com/how-the-pittsburgh-synagogue-shooting-unfolded/" xr:uid="{00000000-0004-0000-0500-000040070000}"/>
    <hyperlink ref="F1120" r:id="rId1858" display="https://www.npr.org/2018/10/28/661530860/pittsburgh-synagogue-shooting-victims-identified" xr:uid="{00000000-0004-0000-0500-000041070000}"/>
    <hyperlink ref="H1120" r:id="rId1859" display="https://www.timesofisrael.com/how-the-pittsburgh-synagogue-shooting-unfolded/" xr:uid="{00000000-0004-0000-0500-000042070000}"/>
    <hyperlink ref="F1121" r:id="rId1860" display="https://www.npr.org/2018/10/28/661530860/pittsburgh-synagogue-shooting-victims-identified" xr:uid="{00000000-0004-0000-0500-000043070000}"/>
    <hyperlink ref="H1121" r:id="rId1861" display="https://www.timesofisrael.com/how-the-pittsburgh-synagogue-shooting-unfolded/" xr:uid="{00000000-0004-0000-0500-000044070000}"/>
    <hyperlink ref="F1122" r:id="rId1862" display="https://www.npr.org/2018/10/28/661530860/pittsburgh-synagogue-shooting-victims-identified" xr:uid="{00000000-0004-0000-0500-000045070000}"/>
    <hyperlink ref="H1122" r:id="rId1863" display="https://www.timesofisrael.com/how-the-pittsburgh-synagogue-shooting-unfolded/" xr:uid="{00000000-0004-0000-0500-000046070000}"/>
    <hyperlink ref="F1123" r:id="rId1864" display="https://www.npr.org/2018/10/28/661530860/pittsburgh-synagogue-shooting-victims-identified" xr:uid="{00000000-0004-0000-0500-000047070000}"/>
    <hyperlink ref="H1123" r:id="rId1865" display="https://www.timesofisrael.com/how-the-pittsburgh-synagogue-shooting-unfolded/" xr:uid="{00000000-0004-0000-0500-000048070000}"/>
    <hyperlink ref="F1124" r:id="rId1866" display="https://www.npr.org/2018/10/28/661530860/pittsburgh-synagogue-shooting-victims-identified" xr:uid="{00000000-0004-0000-0500-000049070000}"/>
    <hyperlink ref="H1124" r:id="rId1867" display="https://www.timesofisrael.com/how-the-pittsburgh-synagogue-shooting-unfolded/" xr:uid="{00000000-0004-0000-0500-00004A070000}"/>
    <hyperlink ref="F1125" r:id="rId1868" display="https://www.npr.org/2018/10/28/661530860/pittsburgh-synagogue-shooting-victims-identified" xr:uid="{00000000-0004-0000-0500-00004B070000}"/>
    <hyperlink ref="H1125" r:id="rId1869" display="https://www.timesofisrael.com/how-the-pittsburgh-synagogue-shooting-unfolded/" xr:uid="{00000000-0004-0000-0500-00004C070000}"/>
    <hyperlink ref="F1126" r:id="rId1870" display="https://www.npr.org/2018/10/28/661530860/pittsburgh-synagogue-shooting-victims-identified" xr:uid="{00000000-0004-0000-0500-00004D070000}"/>
    <hyperlink ref="H1126" r:id="rId1871" display="https://www.timesofisrael.com/how-the-pittsburgh-synagogue-shooting-unfolded/" xr:uid="{00000000-0004-0000-0500-00004E070000}"/>
    <hyperlink ref="F1127" r:id="rId1872" display="https://www.npr.org/2018/10/28/661530860/pittsburgh-synagogue-shooting-victims-identified" xr:uid="{00000000-0004-0000-0500-00004F070000}"/>
    <hyperlink ref="H1127" r:id="rId1873" display="https://www.timesofisrael.com/how-the-pittsburgh-synagogue-shooting-unfolded/" xr:uid="{00000000-0004-0000-0500-000050070000}"/>
    <hyperlink ref="F1128" r:id="rId1874" display="https://www.npr.org/2018/10/28/661530860/pittsburgh-synagogue-shooting-victims-identified" xr:uid="{00000000-0004-0000-0500-000051070000}"/>
    <hyperlink ref="H1128" r:id="rId1875" display="https://www.timesofisrael.com/how-the-pittsburgh-synagogue-shooting-unfolded/" xr:uid="{00000000-0004-0000-0500-000052070000}"/>
    <hyperlink ref="F1129" r:id="rId1876" display="https://www.npr.org/2018/10/28/661530860/pittsburgh-synagogue-shooting-victims-identified" xr:uid="{00000000-0004-0000-0500-000053070000}"/>
    <hyperlink ref="H1129" r:id="rId1877" display="https://www.timesofisrael.com/how-the-pittsburgh-synagogue-shooting-unfolded/" xr:uid="{00000000-0004-0000-0500-000054070000}"/>
    <hyperlink ref="F1130" r:id="rId1878" display="https://www.ajc.com/news/national/thousand-oaks-shooting-what-know-about-the-victims/9QraYxz120zL2OsCfuuuhP/" xr:uid="{00000000-0004-0000-0500-000055070000}"/>
    <hyperlink ref="H1130" r:id="rId1879" display="https://losangeles.cbslocal.com/2019/11/07/1-year-anniversary-thousand-oaks-borderline-bar-shooting/" xr:uid="{00000000-0004-0000-0500-000056070000}"/>
    <hyperlink ref="F1131" r:id="rId1880" display="https://www.ajc.com/news/national/thousand-oaks-shooting-what-know-about-the-victims/9QraYxz120zL2OsCfuuuhP/" xr:uid="{00000000-0004-0000-0500-000057070000}"/>
    <hyperlink ref="H1131" r:id="rId1881" display="https://www.vcstar.com/story/news/local/2018/11/14/borderline-victim-cody-gifford-coffman-remembered-saving-others/1983579002/" xr:uid="{00000000-0004-0000-0500-000058070000}"/>
    <hyperlink ref="F1132" r:id="rId1882" display="https://www.ajc.com/news/national/thousand-oaks-shooting-what-know-about-the-victims/9QraYxz120zL2OsCfuuuhP/" xr:uid="{00000000-0004-0000-0500-000059070000}"/>
    <hyperlink ref="H1132" r:id="rId1883" display="https://losangeles.cbslocal.com/2019/11/07/1-year-anniversary-thousand-oaks-borderline-bar-shooting/" xr:uid="{00000000-0004-0000-0500-00005A070000}"/>
    <hyperlink ref="F1133" r:id="rId1884" display="https://abc7chicago.com/4645238" xr:uid="{00000000-0004-0000-0500-00005B070000}"/>
    <hyperlink ref="H1133" r:id="rId1885" display="https://www.legacy.com/obituaries/venturacountystar/obituary.aspx?n=jacob-kenneth-dunham&amp;pid=190883966&amp;fhid=20243" xr:uid="{00000000-0004-0000-0500-00005C070000}"/>
    <hyperlink ref="F1134" r:id="rId1886" display="https://www.ajc.com/news/national/thousand-oaks-shooting-what-know-about-the-victims/9QraYxz120zL2OsCfuuuhP/" xr:uid="{00000000-0004-0000-0500-00005D070000}"/>
    <hyperlink ref="F1135" r:id="rId1887" display="https://www.ajc.com/news/national/thousand-oaks-shooting-what-know-about-the-victims/9QraYxz120zL2OsCfuuuhP/" xr:uid="{00000000-0004-0000-0500-00005E070000}"/>
    <hyperlink ref="H1135" r:id="rId1888" display="https://losangeles.cbslocal.com/2019/11/07/1-year-anniversary-thousand-oaks-borderline-bar-shooting/" xr:uid="{00000000-0004-0000-0500-00005F070000}"/>
    <hyperlink ref="F1136" r:id="rId1889" display="https://www.ajc.com/news/national/thousand-oaks-shooting-what-know-about-the-victims/9QraYxz120zL2OsCfuuuhP/" xr:uid="{00000000-0004-0000-0500-000060070000}"/>
    <hyperlink ref="H1136" r:id="rId1890" display="https://losangeles.cbslocal.com/2019/11/07/1-year-anniversary-thousand-oaks-borderline-bar-shooting/" xr:uid="{00000000-0004-0000-0500-000061070000}"/>
    <hyperlink ref="F1137" r:id="rId1891" display="https://www.ajc.com/news/national/thousand-oaks-shooting-what-know-about-the-victims/9QraYxz120zL2OsCfuuuhP/" xr:uid="{00000000-0004-0000-0500-000062070000}"/>
    <hyperlink ref="H1137" r:id="rId1892" display="https://losangeles.cbslocal.com/2019/11/07/1-year-anniversary-thousand-oaks-borderline-bar-shooting/" xr:uid="{00000000-0004-0000-0500-000063070000}"/>
    <hyperlink ref="F1138" r:id="rId1893" display="http://www.coastalview.com/news/carpinteria-man-among-victims-in-borderline-massacre/article_5824e74e-e45b-11e8-8a93-8338b87aa4f6.html" xr:uid="{00000000-0004-0000-0500-000064070000}"/>
    <hyperlink ref="H1138" r:id="rId1894" display="https://heavy.com/news/2018/11/mark-meza-jr/" xr:uid="{00000000-0004-0000-0500-000065070000}"/>
    <hyperlink ref="F1139" r:id="rId1895" display="https://www.ajc.com/news/national/thousand-oaks-shooting-what-know-about-the-victims/9QraYxz120zL2OsCfuuuhP/" xr:uid="{00000000-0004-0000-0500-000066070000}"/>
    <hyperlink ref="H1139" r:id="rId1896" display="https://losangeles.cbslocal.com/2019/11/07/1-year-anniversary-thousand-oaks-borderline-bar-shooting/" xr:uid="{00000000-0004-0000-0500-000067070000}"/>
    <hyperlink ref="F1140" r:id="rId1897" display="https://www.ajc.com/news/national/thousand-oaks-shooting-what-know-about-the-victims/9QraYxz120zL2OsCfuuuhP/" xr:uid="{00000000-0004-0000-0500-000068070000}"/>
    <hyperlink ref="H1140" r:id="rId1898" display="https://losangeles.cbslocal.com/2019/11/07/1-year-anniversary-thousand-oaks-borderline-bar-shooting/" xr:uid="{00000000-0004-0000-0500-000069070000}"/>
    <hyperlink ref="F1141" r:id="rId1899" display="https://www.ajc.com/news/national/thousand-oaks-shooting-what-know-about-the-victims/9QraYxz120zL2OsCfuuuhP/" xr:uid="{00000000-0004-0000-0500-00006A070000}"/>
    <hyperlink ref="H1141" r:id="rId1900" display="https://losangeles.cbslocal.com/2019/11/07/1-year-anniversary-thousand-oaks-borderline-bar-shooting/" xr:uid="{00000000-0004-0000-0500-00006B070000}"/>
    <hyperlink ref="F1142" r:id="rId1901" display="https://time.com/5513090/florida-bank-shooting-victims/" xr:uid="{00000000-0004-0000-0500-00006C070000}"/>
    <hyperlink ref="F1143" r:id="rId1902" display="https://time.com/5513090/florida-bank-shooting-victims/" xr:uid="{00000000-0004-0000-0500-00006D070000}"/>
    <hyperlink ref="F1144" r:id="rId1903" display="https://time.com/5513090/florida-bank-shooting-victims/" xr:uid="{00000000-0004-0000-0500-00006E070000}"/>
    <hyperlink ref="F1145" r:id="rId1904" display="https://time.com/5513090/florida-bank-shooting-victims/" xr:uid="{00000000-0004-0000-0500-00006F070000}"/>
    <hyperlink ref="F1146" r:id="rId1905" display="https://time.com/5513090/florida-bank-shooting-victims/" xr:uid="{00000000-0004-0000-0500-000070070000}"/>
    <hyperlink ref="G1146" r:id="rId1906" display="https://www.scottfuneralservices.com/obituary/cynthia-watson" xr:uid="{00000000-0004-0000-0500-000071070000}"/>
    <hyperlink ref="H1146" r:id="rId1907" display="https://www.orlandoweekly.com/Blogs/archives/2019/01/29/here-are-the-5-women-killed-by-a-gunman-at-a-sebring-bank-in-floridas-latest-mass-shooting" xr:uid="{00000000-0004-0000-0500-000072070000}"/>
    <hyperlink ref="F1147" r:id="rId1908" display="https://www.chicagotribune.com/suburbs/aurora-beacon-news/ct-met-cb-aurora-illinois-shooting-updates-20190216-story.html" xr:uid="{00000000-0004-0000-0500-000073070000}"/>
    <hyperlink ref="H1147" r:id="rId1909" display="https://abc7chicago.com/5141989" xr:uid="{00000000-0004-0000-0500-000074070000}"/>
    <hyperlink ref="I1147" r:id="rId1910" display="https://www.washingtonpost.com/nation/2019/02/16/man-kills-five-warehouse-shooting-spree-shortly-after-being-fired-illinois-police-say/" xr:uid="{00000000-0004-0000-0500-000075070000}"/>
    <hyperlink ref="F1148" r:id="rId1911" display="https://www.chicagotribune.com/suburbs/aurora-beacon-news/ct-met-cb-aurora-illinois-shooting-updates-20190216-story.html" xr:uid="{00000000-0004-0000-0500-000076070000}"/>
    <hyperlink ref="H1148" r:id="rId1912" display="https://abc7chicago.com/5141989" xr:uid="{00000000-0004-0000-0500-000077070000}"/>
    <hyperlink ref="I1148" r:id="rId1913" display="https://www.washingtonpost.com/nation/2019/02/16/man-kills-five-warehouse-shooting-spree-shortly-after-being-fired-illinois-police-say/" xr:uid="{00000000-0004-0000-0500-000078070000}"/>
    <hyperlink ref="F1149" r:id="rId1914" display="https://www.chicagotribune.com/suburbs/aurora-beacon-news/ct-met-cb-aurora-illinois-shooting-updates-20190216-story.html" xr:uid="{00000000-0004-0000-0500-000079070000}"/>
    <hyperlink ref="H1149" r:id="rId1915" display="https://abc7chicago.com/5141989/" xr:uid="{00000000-0004-0000-0500-00007A070000}"/>
    <hyperlink ref="I1149" r:id="rId1916" display="https://www.washingtonpost.com/nation/2019/02/16/man-kills-five-warehouse-shooting-spree-shortly-after-being-fired-illinois-police-say/" xr:uid="{00000000-0004-0000-0500-00007B070000}"/>
    <hyperlink ref="F1150" r:id="rId1917" display="https://www.chicagotribune.com/suburbs/aurora-beacon-news/ct-met-cb-aurora-illinois-shooting-updates-20190216-story.html" xr:uid="{00000000-0004-0000-0500-00007C070000}"/>
    <hyperlink ref="H1150" r:id="rId1918" display="https://abc7chicago.com/5141989" xr:uid="{00000000-0004-0000-0500-00007D070000}"/>
    <hyperlink ref="I1150" r:id="rId1919" display="https://www.washingtonpost.com/nation/2019/02/16/man-kills-five-warehouse-shooting-spree-shortly-after-being-fired-illinois-police-say/" xr:uid="{00000000-0004-0000-0500-00007E070000}"/>
    <hyperlink ref="F1151" r:id="rId1920" display="https://www.chicagotribune.com/suburbs/aurora-beacon-news/ct-met-cb-aurora-illinois-shooting-updates-20190216-story.html" xr:uid="{00000000-0004-0000-0500-00007F070000}"/>
    <hyperlink ref="H1151" r:id="rId1921" display="https://abc7chicago.com/5141989" xr:uid="{00000000-0004-0000-0500-000080070000}"/>
    <hyperlink ref="I1151" r:id="rId1922" display="https://www.washingtonpost.com/nation/2019/02/16/man-kills-five-warehouse-shooting-spree-shortly-after-being-fired-illinois-police-say/" xr:uid="{00000000-0004-0000-0500-000081070000}"/>
    <hyperlink ref="F1152" r:id="rId1923" display="https://www.pretlowandsons.com/obituary/laquita-brown" xr:uid="{00000000-0004-0000-0500-000082070000}"/>
    <hyperlink ref="H1152" r:id="rId1924" display="https://www.npr.org/2019/06/01/728903700/what-we-know-about-the-virginia-beach-mass-shooting-victims" xr:uid="{00000000-0004-0000-0500-000083070000}"/>
    <hyperlink ref="F1153" r:id="rId1925" display="https://www.beachfuneralandcremationservices.com/obituary/Ryan-Cox" xr:uid="{00000000-0004-0000-0500-000084070000}"/>
    <hyperlink ref="H1153" r:id="rId1926" display="https://www.npr.org/2019/06/01/728903700/what-we-know-about-the-virginia-beach-mass-shooting-victims" xr:uid="{00000000-0004-0000-0500-000085070000}"/>
    <hyperlink ref="F1154" r:id="rId1927" display="https://www.bwfosterfuneralhome.com/obituary/tara-gallagher" xr:uid="{00000000-0004-0000-0500-000086070000}"/>
    <hyperlink ref="H1154" r:id="rId1928" display="https://www.npr.org/2019/06/01/728903700/what-we-know-about-the-virginia-beach-mass-shooting-victims" xr:uid="{00000000-0004-0000-0500-000087070000}"/>
    <hyperlink ref="F1155" r:id="rId1929" display="http://www.hdoliver.com/obituary/Mary-Louise-Crutsinger-Gayle/Virginia-Beach-Virginia/1848254" xr:uid="{00000000-0004-0000-0500-000088070000}"/>
    <hyperlink ref="H1155" r:id="rId1930" display="https://www.npr.org/2019/06/01/728903700/what-we-know-about-the-virginia-beach-mass-shooting-victims" xr:uid="{00000000-0004-0000-0500-000089070000}"/>
    <hyperlink ref="F1156" r:id="rId1931" display="https://www.dignitymemorial.com/obituaries/virginia-beach-va/alexander-gusev-8731053" xr:uid="{00000000-0004-0000-0500-00008A070000}"/>
    <hyperlink ref="H1156" r:id="rId1932" display="https://www.npr.org/2019/06/01/728903700/what-we-know-about-the-virginia-beach-mass-shooting-victims" xr:uid="{00000000-0004-0000-0500-00008B070000}"/>
    <hyperlink ref="F1157" r:id="rId1933" display="https://www.wavy.com/virginia-beach-mass-shooting/victim-profile-joshua-hardy/" xr:uid="{00000000-0004-0000-0500-00008C070000}"/>
    <hyperlink ref="H1157" r:id="rId1934" display="https://www.npr.org/2019/06/01/728903700/what-we-know-about-the-virginia-beach-mass-shooting-victims" xr:uid="{00000000-0004-0000-0500-00008D070000}"/>
    <hyperlink ref="F1158" r:id="rId1935" display="https://www.dawsonfuneralhome.com/memorials/michelle-langer/3862458/" xr:uid="{00000000-0004-0000-0500-00008E070000}"/>
    <hyperlink ref="H1158" r:id="rId1936" display="https://www.npr.org/2019/06/01/728903700/what-we-know-about-the-virginia-beach-mass-shooting-victims" xr:uid="{00000000-0004-0000-0500-00008F070000}"/>
    <hyperlink ref="F1159" r:id="rId1937" display="https://wtkr.com/2019/06/02/virginia-beach-strong-remembering-richard-nettleton/" xr:uid="{00000000-0004-0000-0500-000090070000}"/>
    <hyperlink ref="H1159" r:id="rId1938" display="https://www.legacy.com/obituaries/pilotonline/obituary.aspx?n=richard-nettleton&amp;pid=193066407&amp;fhid=15626" xr:uid="{00000000-0004-0000-0500-000091070000}"/>
    <hyperlink ref="F1160" r:id="rId1939" display="https://www.hollomon-brown.com/obituaries/Katherine-Anne-Marie-Lusich-Nixon?obId=4443739" xr:uid="{00000000-0004-0000-0500-000092070000}"/>
    <hyperlink ref="H1160" r:id="rId1940" display="https://www.npr.org/2019/06/01/728903700/what-we-know-about-the-virginia-beach-mass-shooting-victims" xr:uid="{00000000-0004-0000-0500-000093070000}"/>
    <hyperlink ref="F1161" r:id="rId1941" display="https://www.wavy.com/virginia-beach-mass-shooting/victim-profile-christopher-kelly-rapp/" xr:uid="{00000000-0004-0000-0500-000094070000}"/>
    <hyperlink ref="H1161" r:id="rId1942" display="https://www.npr.org/2019/06/01/728903700/what-we-know-about-the-virginia-beach-mass-shooting-victims" xr:uid="{00000000-0004-0000-0500-000095070000}"/>
    <hyperlink ref="F1162" r:id="rId1943" display="https://www.dignitymemorial.com/obituaries/virginia-beach-va/herbert-snelling-8732892" xr:uid="{00000000-0004-0000-0500-000096070000}"/>
    <hyperlink ref="H1162" r:id="rId1944" display="https://www.npr.org/2019/06/01/728903700/what-we-know-about-the-virginia-beach-mass-shooting-victims" xr:uid="{00000000-0004-0000-0500-000097070000}"/>
    <hyperlink ref="I1162" r:id="rId1945" display="https://www.nytimes.com/2019/06/02/us/virginia-beach-dewayne-craddock.html?module=inline" xr:uid="{00000000-0004-0000-0500-000098070000}"/>
    <hyperlink ref="F1163" r:id="rId1946" display="https://www.legacy.com/obituaries/name/robert-williams-sr-obituary?pid=193095650" xr:uid="{00000000-0004-0000-0500-000099070000}"/>
    <hyperlink ref="H1163" r:id="rId1947" display="https://www.npr.org/2019/06/01/728903700/what-we-know-about-the-virginia-beach-mass-shooting-victims" xr:uid="{00000000-0004-0000-0500-00009A070000}"/>
    <hyperlink ref="F1164" r:id="rId1948" display="https://time.com/5643420/victims-el-paso-shooting/" xr:uid="{00000000-0004-0000-0500-00009B070000}"/>
    <hyperlink ref="H1164" r:id="rId1949" display="https://www.findagrave.com/memorial/201791615/jordan-kae-anchondo" xr:uid="{00000000-0004-0000-0500-00009C070000}"/>
    <hyperlink ref="F1165" r:id="rId1950" display="https://time.com/5643420/victims-el-paso-shooting/" xr:uid="{00000000-0004-0000-0500-00009D070000}"/>
    <hyperlink ref="H1165" r:id="rId1951" display="https://www.findagrave.com/memorial/201817956/andre-pablo-anchondo" xr:uid="{00000000-0004-0000-0500-00009E070000}"/>
    <hyperlink ref="F1166" r:id="rId1952" display="https://www.cbsnews.com/news/el-paso-shooting-victims-what-we-know-about-the-victims-at-texas-walmart-mass-shooting-2019-08-05/" xr:uid="{00000000-0004-0000-0500-00009F070000}"/>
    <hyperlink ref="H1166" r:id="rId1953" display="https://www.ktsm.com/news/el-paso-strong/family-identifies-walmart-shooting-victim-as-arturo-benavides/" xr:uid="{00000000-0004-0000-0500-0000A0070000}"/>
    <hyperlink ref="F1167" r:id="rId1954" display="https://nypost.com/2019/08/06/police-identify-all-22-victims-of-the-el-paso-walmart-massacre/" xr:uid="{00000000-0004-0000-0500-0000A1070000}"/>
    <hyperlink ref="H1167" r:id="rId1955" display="https://www.tributearchive.com/obituaries/5645323/Leonardo-Campos-Jr" xr:uid="{00000000-0004-0000-0500-0000A2070000}"/>
    <hyperlink ref="F1168" r:id="rId1956" display="https://nypost.com/2019/08/06/police-identify-all-22-victims-of-the-el-paso-walmart-massacre/" xr:uid="{00000000-0004-0000-0500-0000A3070000}"/>
    <hyperlink ref="H1168" r:id="rId1957" display="https://kfoxtv.com/news/local/brother-of-el-paso-shooting-victim-remembers-her-and-her-husband" xr:uid="{00000000-0004-0000-0500-0000A4070000}"/>
    <hyperlink ref="F1169" r:id="rId1958" display="https://nypost.com/2019/08/06/police-identify-all-22-victims-of-the-el-paso-walmart-massacre/" xr:uid="{00000000-0004-0000-0500-0000A5070000}"/>
    <hyperlink ref="H1169" r:id="rId1959" display="https://www.reuters.com/article/us-texas-shooting-mexico-victim/mexican-man-who-shielded-wife-in-texas-mass-shooting-dies-idUSKCN1UV27J" xr:uid="{00000000-0004-0000-0500-0000A6070000}"/>
    <hyperlink ref="F1170" r:id="rId1960" display="https://www.latimes.com/world-nation/story/2019-08-09/funerals-begin-for-shooting-victims-in-el-paso" xr:uid="{00000000-0004-0000-0500-0000A7070000}"/>
    <hyperlink ref="H1170" r:id="rId1961" display="https://www.nytimes.com/2019/08/04/us/el-paso-shooting-victims.html" xr:uid="{00000000-0004-0000-0500-0000A8070000}"/>
    <hyperlink ref="F1171" r:id="rId1962" display="https://time.com/5643420/victims-el-paso-shooting/" xr:uid="{00000000-0004-0000-0500-0000A9070000}"/>
    <hyperlink ref="H1171" r:id="rId1963" display="https://apnews.com/1aa03c4a153f4f6d9881f0f11cd2e89a/gallery/d336b90f800e4ba99d1012aaf2f52887" xr:uid="{00000000-0004-0000-0500-0000AA070000}"/>
    <hyperlink ref="F1172" r:id="rId1964" display="https://www.dignitymemorial.com/obituaries/el-paso-tx/david-johnson-8816710" xr:uid="{00000000-0004-0000-0500-0000AB070000}"/>
    <hyperlink ref="H1172" r:id="rId1965" display="https://www.cbsnews.com/news/el-paso-shooting-victims-what-we-know-about-the-victims-at-texas-walmart-mass-shooting-2019-08-05/" xr:uid="{00000000-0004-0000-0500-0000AC070000}"/>
    <hyperlink ref="F1173" r:id="rId1966" display="https://time.com/5643420/victims-el-paso-shooting/" xr:uid="{00000000-0004-0000-0500-0000AD070000}"/>
    <hyperlink ref="H1173" r:id="rId1967" display="https://www.nytimes.com/2019/08/04/us/el-paso-shooting-victims.html" xr:uid="{00000000-0004-0000-0500-0000AE070000}"/>
    <hyperlink ref="E1174" r:id="rId1968" xr:uid="{00000000-0004-0000-0500-0000AF070000}"/>
    <hyperlink ref="F1174" r:id="rId1969" display="https://time.com/5643420/victims-el-paso-shooting/" xr:uid="{00000000-0004-0000-0500-0000B0070000}"/>
    <hyperlink ref="H1174" r:id="rId1970" display="https://www.cnn.com/2019/08/04/us/el-paso-shooting-victims/index.html" xr:uid="{00000000-0004-0000-0500-0000B1070000}"/>
    <hyperlink ref="E1175" r:id="rId1971" xr:uid="{00000000-0004-0000-0500-0000B2070000}"/>
    <hyperlink ref="F1175" r:id="rId1972" display="https://www.nytimes.com/2019/08/05/us/el-paso-victims.html" xr:uid="{00000000-0004-0000-0500-0000B3070000}"/>
    <hyperlink ref="H1175" r:id="rId1973" display="https://www.cnn.com/us/live-news/el-paso-dayton-shootings-august-2019/h_25c6368d187b4da0a8a2a69b43fee3d4" xr:uid="{00000000-0004-0000-0500-0000B4070000}"/>
    <hyperlink ref="F1176" r:id="rId1974" display="https://www.nytimes.com/2019/08/04/us/el-paso-shooting-victims.html" xr:uid="{00000000-0004-0000-0500-0000B5070000}"/>
    <hyperlink ref="H1176" r:id="rId1975" display="https://www.cnn.com/2019/08/04/us/el-paso-shooting-victims/index.html" xr:uid="{00000000-0004-0000-0500-0000B6070000}"/>
    <hyperlink ref="F1177" r:id="rId1976" display="https://www.ktsm.com/news/juarez/funeral-held-in-juarez-for-mexican-couple-killed-in-el-paso-walmart-shooting/" xr:uid="{00000000-0004-0000-0500-0000B7070000}"/>
    <hyperlink ref="H1177" r:id="rId1977" display="https://www.nytimes.com/2019/08/04/us/el-paso-shooting-victims.html" xr:uid="{00000000-0004-0000-0500-0000B8070000}"/>
    <hyperlink ref="F1178" r:id="rId1978" display="https://apnews.com/1aa03c4a153f4f6d9881f0f11cd2e89a" xr:uid="{00000000-0004-0000-0500-0000B9070000}"/>
    <hyperlink ref="H1178" r:id="rId1979" display="https://www.nytimes.com/2019/08/04/us/el-paso-shooting-victims.html" xr:uid="{00000000-0004-0000-0500-0000BA070000}"/>
    <hyperlink ref="F1179" r:id="rId1980" display="https://www.theguardian.com/us-news/2019/aug/09/el-paso-shooting-victims" xr:uid="{00000000-0004-0000-0500-0000BB070000}"/>
    <hyperlink ref="H1179" r:id="rId1981" display="https://www.cbsnews.com/news/el-paso-shooting-victims-what-we-know-about-the-victims-at-texas-walmart-mass-shooting-2019-08-05/" xr:uid="{00000000-0004-0000-0500-0000BC070000}"/>
    <hyperlink ref="F1180" r:id="rId1982" display="https://www.theguardian.com/us-news/2019/aug/09/el-paso-shooting-victims" xr:uid="{00000000-0004-0000-0500-0000BD070000}"/>
    <hyperlink ref="H1180" r:id="rId1983" display="https://www.cnn.com/2019/08/04/us/el-paso-shooting-victims/index.html" xr:uid="{00000000-0004-0000-0500-0000BE070000}"/>
    <hyperlink ref="E1181" r:id="rId1984" xr:uid="{00000000-0004-0000-0500-0000BF070000}"/>
    <hyperlink ref="F1181" r:id="rId1985" display="https://www.nytimes.com/2019/08/05/us/el-paso-victims.html" xr:uid="{00000000-0004-0000-0500-0000C0070000}"/>
    <hyperlink ref="H1181" r:id="rId1986" display="https://www.nytimes.com/interactive/2019/09/21/us/summer-mass-shootings.html" xr:uid="{00000000-0004-0000-0500-0000C1070000}"/>
    <hyperlink ref="E1182" r:id="rId1987" xr:uid="{00000000-0004-0000-0500-0000C2070000}"/>
    <hyperlink ref="F1182" r:id="rId1988" display="https://time.com/5643420/victims-el-paso-shooting/" xr:uid="{00000000-0004-0000-0500-0000C3070000}"/>
    <hyperlink ref="H1182" r:id="rId1989" display="https://www.cnn.com/2019/08/04/us/el-paso-shooting-victims/index.html" xr:uid="{00000000-0004-0000-0500-0000C4070000}"/>
    <hyperlink ref="E1183" r:id="rId1990" xr:uid="{00000000-0004-0000-0500-0000C5070000}"/>
    <hyperlink ref="F1183" r:id="rId1991" display="https://www.theguardian.com/us-news/2019/aug/09/el-paso-shooting-victims" xr:uid="{00000000-0004-0000-0500-0000C6070000}"/>
    <hyperlink ref="H1183" r:id="rId1992" display="https://www.nytimes.com/2019/08/04/us/el-paso-shooting-victims.html" xr:uid="{00000000-0004-0000-0500-0000C7070000}"/>
    <hyperlink ref="F1184" r:id="rId1993" display="https://apnews.com/1aa03c4a153f4f6d9881f0f11cd2e89a" xr:uid="{00000000-0004-0000-0500-0000C8070000}"/>
    <hyperlink ref="H1184" r:id="rId1994" display="https://www.theguardian.com/us-news/2019/aug/12/god-decided-to-take-them-together-el-paso-funeral-for-couple-married-for-60-years" xr:uid="{00000000-0004-0000-0500-0000C9070000}"/>
    <hyperlink ref="F1185" r:id="rId1995" display="https://apnews.com/1aa03c4a153f4f6d9881f0f11cd2e89a" xr:uid="{00000000-0004-0000-0500-0000CA070000}"/>
    <hyperlink ref="H1185" r:id="rId1996" display="https://www.theguardian.com/us-news/2019/aug/12/god-decided-to-take-them-together-el-paso-funeral-for-couple-married-for-60-years" xr:uid="{00000000-0004-0000-0500-0000CB070000}"/>
    <hyperlink ref="H1186" r:id="rId1997" display="https://kvia.com/news/el-paso/2020/04/26/last-remaining-hospital-patient-from-aug-3-el-paso-mass-shooting-has-died/" xr:uid="{00000000-0004-0000-0500-0000CC070000}"/>
    <hyperlink ref="F1187" r:id="rId1998" display="https://www.dailykos.com/stories/2019/8/8/1877792/-His-Name-is-Jordan-Cofer-Not-Megan-Betts" xr:uid="{00000000-0004-0000-0500-0000CD070000}"/>
    <hyperlink ref="H1187" r:id="rId1999" display="https://epgn.com/2019/08/15/news-analysis-dayton-shooter-s-sibling-continues-to-be-misgendered-by-media/" xr:uid="{00000000-0004-0000-0500-0000CE070000}"/>
    <hyperlink ref="F1188" r:id="rId2000" display="https://www.nytimes.com/2019/08/05/us/dayton-shooting-victims.html" xr:uid="{00000000-0004-0000-0500-0000CF070000}"/>
    <hyperlink ref="H1188" r:id="rId2001" display="https://www.newcomerdayton.com/Obituary/174580/Monica-Brickhouse/Dayton-OH" xr:uid="{00000000-0004-0000-0500-0000D0070000}"/>
    <hyperlink ref="F1189" r:id="rId2002" display="https://www.nytimes.com/2019/08/05/us/dayton-shooting-victims.html" xr:uid="{00000000-0004-0000-0500-0000D1070000}"/>
    <hyperlink ref="F1190" r:id="rId2003" display="https://www.nytimes.com/2019/08/05/us/dayton-shooting-victims.html" xr:uid="{00000000-0004-0000-0500-0000D2070000}"/>
    <hyperlink ref="H1190" r:id="rId2004" display="https://gunmemorial.org/2019/08/04/derrick-r-fudge" xr:uid="{00000000-0004-0000-0500-0000D3070000}"/>
    <hyperlink ref="F1191" r:id="rId2005" display="https://www.nytimes.com/2019/08/05/us/dayton-shooting-victims.html" xr:uid="{00000000-0004-0000-0500-0000D4070000}"/>
    <hyperlink ref="F1192" r:id="rId2006" display="https://www.nytimes.com/2019/08/05/us/dayton-shooting-victims.html" xr:uid="{00000000-0004-0000-0500-0000D5070000}"/>
    <hyperlink ref="F1193" r:id="rId2007" display="https://www.nytimes.com/2019/08/05/us/dayton-shooting-victims.html" xr:uid="{00000000-0004-0000-0500-0000D6070000}"/>
    <hyperlink ref="F1194" r:id="rId2008" display="https://www.nytimes.com/2019/08/05/us/dayton-shooting-victims.html" xr:uid="{00000000-0004-0000-0500-0000D7070000}"/>
    <hyperlink ref="H1194" r:id="rId2009" display="https://gunmemorial.org/2019/08/04/logan-m-turner" xr:uid="{00000000-0004-0000-0500-0000D8070000}"/>
    <hyperlink ref="F1195" r:id="rId2010" display="https://www.nytimes.com/2019/08/05/us/dayton-shooting-victims.html" xr:uid="{00000000-0004-0000-0500-0000D9070000}"/>
    <hyperlink ref="F1196" r:id="rId2011" display="https://www.npr.org/2019/09/02/756772750/texas-gunman-who-killed-7-had-been-fired-just-hours-before-shootings-reports" xr:uid="{00000000-0004-0000-0500-0000DA070000}"/>
    <hyperlink ref="H1196" r:id="rId2012" display="https://www.nbc12.com/2019/09/03/victims-odessa-mass-shooting/" xr:uid="{00000000-0004-0000-0500-0000DB070000}"/>
    <hyperlink ref="F1197" r:id="rId2013" display="https://www.reporternews.com/story/news/texasregion/2019/09/12/odessa-shooting-victims-army-veteran-kameron-brown-funeral-brownwood-early/2292204001/" xr:uid="{00000000-0004-0000-0500-0000DC070000}"/>
    <hyperlink ref="F1198" r:id="rId2014" display="https://www.elpasotimes.com/story/news/2019/09/02/odessa-mass-shooting-victims-includes-35-year-old-el-paso-man/2193984001/" xr:uid="{00000000-0004-0000-0500-0000DD070000}"/>
    <hyperlink ref="H1198" r:id="rId2015" display="https://www.nbc12.com/2019/09/03/victims-odessa-mass-shooting/" xr:uid="{00000000-0004-0000-0500-0000DE070000}"/>
    <hyperlink ref="F1199" r:id="rId2016" display="https://www.npr.org/2019/09/02/756772750/texas-gunman-who-killed-7-had-been-fired-just-hours-before-shootings-reports" xr:uid="{00000000-0004-0000-0500-0000DF070000}"/>
    <hyperlink ref="H1199" r:id="rId2017" display="https://www.usatoday.com/story/news/nation/2019/09/02/texas-shootings-midland-odessa-what-we-know-rampage-victims/2190982001/" xr:uid="{00000000-0004-0000-0500-0000E0070000}"/>
    <hyperlink ref="F1200" r:id="rId2018" display="https://www.washingtonpost.com/politics/2019/09/01/texass-second-mass-shooting-august-kills-least/" xr:uid="{00000000-0004-0000-0500-0000E1070000}"/>
    <hyperlink ref="H1200" r:id="rId2019" display="https://www.nbc12.com/2019/09/03/victims-odessa-mass-shooting/" xr:uid="{00000000-0004-0000-0500-0000E2070000}"/>
    <hyperlink ref="F1201" r:id="rId2020" display="https://www.washingtonpost.com/politics/2019/09/01/texass-second-mass-shooting-august-kills-least/" xr:uid="{00000000-0004-0000-0500-0000E3070000}"/>
    <hyperlink ref="H1201" r:id="rId2021" display="https://www.usatoday.com/story/news/nation/2019/09/02/texas-shootings-midland-odessa-what-we-know-rampage-victims/2190982001/" xr:uid="{00000000-0004-0000-0500-0000E4070000}"/>
    <hyperlink ref="F1202" r:id="rId2022" display="https://www.npr.org/2019/09/02/756772750/texas-gunman-who-killed-7-had-been-fired-just-hours-before-shootings-reports" xr:uid="{00000000-0004-0000-0500-0000E5070000}"/>
    <hyperlink ref="H1202" r:id="rId2023" display="https://www.nbc12.com/2019/09/03/victims-odessa-mass-shooting/" xr:uid="{00000000-0004-0000-0500-0000E6070000}"/>
    <hyperlink ref="F1203" r:id="rId2024" display="https://www.nytimes.com/2019/12/11/nyregion/jersey-city-victims.html" xr:uid="{00000000-0004-0000-0500-0000E7070000}"/>
    <hyperlink ref="F1204" r:id="rId2025" display="https://www.cnn.com/2019/12/10/us/jersey-city-shooting-victims/index.html'" xr:uid="{00000000-0004-0000-0500-0000E8070000}"/>
    <hyperlink ref="H1204" r:id="rId2026" display="https://www.nytimes.com/2019/12/11/nyregion/jersey-city-victims.html" xr:uid="{00000000-0004-0000-0500-0000E9070000}"/>
    <hyperlink ref="F1205" r:id="rId2027" display="https://www.cnn.com/2019/12/10/us/jersey-city-shooting-victims/index.html" xr:uid="{00000000-0004-0000-0500-0000EA070000}"/>
    <hyperlink ref="F1206" r:id="rId2028" display="https://www.nbcnewyork.com/news/local/what-we-know-about-joseph-seals-the-jersey-city-officer-killed-in-shootout/2239416/" xr:uid="{00000000-0004-0000-0500-0000EB070000}"/>
    <hyperlink ref="H1206" r:id="rId2029" display="https://www.cnn.com/2019/12/10/us/jersey-city-shooting-victims/index.html" xr:uid="{00000000-0004-0000-0500-0000EC070000}"/>
    <hyperlink ref="F1207" r:id="rId2030" display="https://abcnews.go.com/US/molson-coors-reopens-increased-security-mass-shooting-killed/story?id=69333618" xr:uid="{00000000-0004-0000-0500-0000ED070000}"/>
    <hyperlink ref="H1207" r:id="rId2031" display="https://www.nbcnews.com/news/us-news/victims-shooter-molson-coors-attack-identified-milwaukee-police-n1144551" xr:uid="{00000000-0004-0000-0500-0000EE070000}"/>
    <hyperlink ref="F1208" r:id="rId2032" display="https://abcnews.go.com/US/molson-coors-reopens-increased-security-mass-shooting-killed/story?id=69333618" xr:uid="{00000000-0004-0000-0500-0000EF070000}"/>
    <hyperlink ref="H1208" r:id="rId2033" display="https://www.nbcnews.com/news/us-news/victims-shooter-molson-coors-attack-identified-milwaukee-police-n1144551" xr:uid="{00000000-0004-0000-0500-0000F0070000}"/>
    <hyperlink ref="F1209" r:id="rId2034" display="https://abcnews.go.com/US/molson-coors-reopens-increased-security-mass-shooting-killed/story?id=69333618" xr:uid="{00000000-0004-0000-0500-0000F1070000}"/>
    <hyperlink ref="H1209" r:id="rId2035" display="https://www.nbcnews.com/news/us-news/victims-shooter-molson-coors-attack-identified-milwaukee-police-n1144551" xr:uid="{00000000-0004-0000-0500-0000F2070000}"/>
    <hyperlink ref="F1210" r:id="rId2036" display="https://abcnews.go.com/US/molson-coors-reopens-increased-security-mass-shooting-killed/story?id=69333618" xr:uid="{00000000-0004-0000-0500-0000F3070000}"/>
    <hyperlink ref="H1210" r:id="rId2037" display="https://www.nbcnews.com/news/us-news/victims-shooter-molson-coors-attack-identified-milwaukee-police-n1144551" xr:uid="{00000000-0004-0000-0500-0000F4070000}"/>
    <hyperlink ref="F1211" r:id="rId2038" display="https://abcnews.go.com/US/molson-coors-reopens-increased-security-mass-shooting-killed/story?id=69333618" xr:uid="{00000000-0004-0000-0500-0000F5070000}"/>
    <hyperlink ref="H1211" r:id="rId2039" display="https://www.nbcnews.com/news/us-news/victims-shooter-molson-coors-attack-identified-milwaukee-police-n1144551" xr:uid="{00000000-0004-0000-0500-0000F6070000}"/>
  </hyperlinks>
  <pageMargins left="0.7" right="0.7" top="0.75" bottom="0.75" header="0.3" footer="0.3"/>
  <pageSetup orientation="portrait" r:id="rId204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outlinePr summaryBelow="0" summaryRight="0"/>
  </sheetPr>
  <dimension ref="A1:AQ1001"/>
  <sheetViews>
    <sheetView workbookViewId="0">
      <pane xSplit="3" ySplit="1" topLeftCell="D2" activePane="bottomRight" state="frozen"/>
      <selection pane="topRight" activeCell="D1" sqref="D1"/>
      <selection pane="bottomLeft" activeCell="A2" sqref="A2"/>
      <selection pane="bottomRight"/>
    </sheetView>
  </sheetViews>
  <sheetFormatPr baseColWidth="10" defaultColWidth="14.5" defaultRowHeight="15" customHeight="1"/>
  <cols>
    <col min="1" max="1" width="6.5" style="78" bestFit="1" customWidth="1"/>
    <col min="2" max="2" width="26.33203125" style="78" bestFit="1" customWidth="1"/>
    <col min="3" max="3" width="17.33203125" style="78" bestFit="1" customWidth="1"/>
    <col min="4" max="4" width="15.5" style="78" bestFit="1" customWidth="1"/>
    <col min="5" max="5" width="52.6640625" style="78" bestFit="1" customWidth="1"/>
    <col min="6" max="6" width="19" style="78" bestFit="1" customWidth="1"/>
    <col min="7" max="7" width="18.33203125" style="78" bestFit="1" customWidth="1"/>
    <col min="8" max="8" width="11.6640625" style="78" bestFit="1" customWidth="1"/>
    <col min="9" max="9" width="9.1640625" style="78" bestFit="1" customWidth="1"/>
    <col min="10" max="10" width="15.83203125" style="78" bestFit="1" customWidth="1"/>
    <col min="11" max="11" width="11.5" style="78" bestFit="1" customWidth="1"/>
    <col min="12" max="12" width="14" style="78" bestFit="1" customWidth="1"/>
    <col min="13" max="13" width="20" style="78" bestFit="1" customWidth="1"/>
    <col min="14" max="14" width="14.1640625" style="78" bestFit="1" customWidth="1"/>
    <col min="15" max="15" width="12.1640625" style="78" bestFit="1" customWidth="1"/>
    <col min="16" max="16" width="23.1640625" style="78" bestFit="1" customWidth="1"/>
    <col min="17" max="17" width="18.83203125" style="78" bestFit="1" customWidth="1"/>
    <col min="18" max="18" width="26" style="78" bestFit="1" customWidth="1"/>
    <col min="19" max="19" width="22.33203125" style="78" bestFit="1" customWidth="1"/>
    <col min="20" max="20" width="19.83203125" style="78" customWidth="1"/>
    <col min="21" max="21" width="24" style="78" bestFit="1" customWidth="1"/>
    <col min="22" max="22" width="17.83203125" style="78" bestFit="1" customWidth="1"/>
    <col min="23" max="23" width="14" style="78" bestFit="1" customWidth="1"/>
    <col min="24" max="16384" width="14.5" style="78"/>
  </cols>
  <sheetData>
    <row r="1" spans="1:43" ht="36.75" customHeight="1">
      <c r="A1" s="216" t="s">
        <v>21</v>
      </c>
      <c r="B1" s="216" t="s">
        <v>33</v>
      </c>
      <c r="C1" s="216" t="s">
        <v>34</v>
      </c>
      <c r="D1" s="216" t="s">
        <v>2475</v>
      </c>
      <c r="E1" s="216" t="s">
        <v>2476</v>
      </c>
      <c r="F1" s="216" t="s">
        <v>2477</v>
      </c>
      <c r="G1" s="216" t="s">
        <v>2478</v>
      </c>
      <c r="H1" s="216" t="s">
        <v>2479</v>
      </c>
      <c r="I1" s="216" t="s">
        <v>2480</v>
      </c>
      <c r="J1" s="217" t="s">
        <v>2481</v>
      </c>
      <c r="K1" s="216" t="s">
        <v>2482</v>
      </c>
      <c r="L1" s="216" t="s">
        <v>2483</v>
      </c>
      <c r="M1" s="216" t="s">
        <v>2484</v>
      </c>
      <c r="N1" s="216" t="s">
        <v>2485</v>
      </c>
      <c r="O1" s="216" t="s">
        <v>2486</v>
      </c>
      <c r="P1" s="216" t="s">
        <v>2487</v>
      </c>
      <c r="Q1" s="216" t="s">
        <v>2488</v>
      </c>
      <c r="R1" s="216" t="s">
        <v>2489</v>
      </c>
      <c r="S1" s="216" t="s">
        <v>2490</v>
      </c>
      <c r="T1" s="330" t="s">
        <v>2491</v>
      </c>
      <c r="U1" s="216" t="s">
        <v>2492</v>
      </c>
      <c r="V1" s="216" t="s">
        <v>2493</v>
      </c>
      <c r="W1" s="216" t="s">
        <v>2494</v>
      </c>
      <c r="X1" s="77"/>
      <c r="Y1" s="77"/>
      <c r="Z1" s="77"/>
      <c r="AA1" s="77"/>
      <c r="AB1" s="77"/>
      <c r="AC1" s="77"/>
      <c r="AD1" s="77"/>
      <c r="AE1" s="77"/>
      <c r="AF1" s="77"/>
      <c r="AG1" s="77"/>
      <c r="AH1" s="77"/>
      <c r="AI1" s="77"/>
      <c r="AJ1" s="77"/>
      <c r="AK1" s="77"/>
      <c r="AL1" s="77"/>
      <c r="AM1" s="77"/>
      <c r="AN1" s="77"/>
      <c r="AO1" s="77"/>
      <c r="AP1" s="77"/>
      <c r="AQ1" s="77"/>
    </row>
    <row r="2" spans="1:43" ht="16">
      <c r="A2" s="329">
        <v>57</v>
      </c>
      <c r="B2" s="329" t="s">
        <v>327</v>
      </c>
      <c r="C2" s="329" t="s">
        <v>221</v>
      </c>
      <c r="D2" s="218">
        <v>6</v>
      </c>
      <c r="E2" s="16" t="s">
        <v>2495</v>
      </c>
      <c r="F2" s="16"/>
      <c r="G2" s="16"/>
      <c r="H2" s="16"/>
      <c r="I2" s="16">
        <v>78410</v>
      </c>
      <c r="J2" s="219">
        <v>277454</v>
      </c>
      <c r="K2" s="16">
        <v>33.200000000000003</v>
      </c>
      <c r="L2" s="16">
        <v>71.599999999999994</v>
      </c>
      <c r="M2" s="16">
        <v>15.4</v>
      </c>
      <c r="N2" s="16">
        <v>40.4</v>
      </c>
      <c r="O2" s="16">
        <v>56.7</v>
      </c>
      <c r="P2" s="16">
        <v>75.8</v>
      </c>
      <c r="Q2" s="16">
        <v>19.600000000000001</v>
      </c>
      <c r="R2" s="16"/>
      <c r="S2" s="16"/>
      <c r="T2" s="16"/>
      <c r="U2" s="16"/>
      <c r="V2" s="16">
        <v>435</v>
      </c>
      <c r="W2" s="16">
        <v>4.6900000000000004</v>
      </c>
      <c r="X2" s="80"/>
      <c r="Y2" s="80"/>
      <c r="Z2" s="80"/>
      <c r="AA2" s="80"/>
      <c r="AB2" s="80"/>
      <c r="AC2" s="80"/>
      <c r="AD2" s="80"/>
      <c r="AE2" s="80"/>
      <c r="AF2" s="80"/>
      <c r="AG2" s="80"/>
      <c r="AH2" s="80"/>
      <c r="AI2" s="80"/>
      <c r="AJ2" s="80"/>
      <c r="AK2" s="80"/>
      <c r="AL2" s="80"/>
      <c r="AM2" s="80"/>
      <c r="AN2" s="80"/>
      <c r="AO2" s="80"/>
      <c r="AP2" s="80"/>
      <c r="AQ2" s="80"/>
    </row>
    <row r="3" spans="1:43" ht="16">
      <c r="A3" s="329">
        <v>58</v>
      </c>
      <c r="B3" s="329" t="s">
        <v>330</v>
      </c>
      <c r="C3" s="329" t="s">
        <v>331</v>
      </c>
      <c r="D3" s="218">
        <v>6</v>
      </c>
      <c r="E3" s="16" t="s">
        <v>2495</v>
      </c>
      <c r="F3" s="16"/>
      <c r="G3" s="16"/>
      <c r="H3" s="16"/>
      <c r="I3" s="16">
        <v>90012</v>
      </c>
      <c r="J3" s="219">
        <v>30577</v>
      </c>
      <c r="K3" s="16">
        <v>35</v>
      </c>
      <c r="L3" s="16">
        <v>20.3</v>
      </c>
      <c r="M3" s="16">
        <v>10.199999999999999</v>
      </c>
      <c r="N3" s="16">
        <v>88.2</v>
      </c>
      <c r="O3" s="16">
        <v>24.5</v>
      </c>
      <c r="P3" s="16">
        <v>53.9</v>
      </c>
      <c r="Q3" s="16">
        <v>12.9</v>
      </c>
      <c r="R3" s="16"/>
      <c r="S3" s="16">
        <v>1.6</v>
      </c>
      <c r="T3" s="16">
        <v>1</v>
      </c>
      <c r="U3" s="16">
        <v>0</v>
      </c>
      <c r="V3" s="219">
        <v>9324</v>
      </c>
      <c r="W3" s="16">
        <v>23.8</v>
      </c>
      <c r="X3" s="80"/>
      <c r="Y3" s="80"/>
      <c r="Z3" s="80"/>
      <c r="AA3" s="80"/>
      <c r="AB3" s="80"/>
      <c r="AC3" s="80"/>
      <c r="AD3" s="80"/>
      <c r="AE3" s="80"/>
      <c r="AF3" s="80"/>
      <c r="AG3" s="80"/>
      <c r="AH3" s="80"/>
      <c r="AI3" s="80"/>
      <c r="AJ3" s="80"/>
      <c r="AK3" s="80"/>
      <c r="AL3" s="80"/>
      <c r="AM3" s="80"/>
      <c r="AN3" s="80"/>
      <c r="AO3" s="80"/>
      <c r="AP3" s="80"/>
      <c r="AQ3" s="80"/>
    </row>
    <row r="4" spans="1:43" ht="16">
      <c r="A4" s="329">
        <v>59</v>
      </c>
      <c r="B4" s="329" t="s">
        <v>334</v>
      </c>
      <c r="C4" s="329" t="s">
        <v>212</v>
      </c>
      <c r="D4" s="218">
        <v>4</v>
      </c>
      <c r="E4" s="16" t="s">
        <v>2496</v>
      </c>
      <c r="F4" s="220">
        <v>0.5</v>
      </c>
      <c r="G4" s="16"/>
      <c r="H4" s="16">
        <v>1</v>
      </c>
      <c r="I4" s="16">
        <v>10462</v>
      </c>
      <c r="J4" s="219">
        <v>75784</v>
      </c>
      <c r="K4" s="16">
        <v>34.9</v>
      </c>
      <c r="L4" s="16">
        <v>32.299999999999997</v>
      </c>
      <c r="M4" s="16">
        <v>23.3</v>
      </c>
      <c r="N4" s="16">
        <v>78.099999999999994</v>
      </c>
      <c r="O4" s="16">
        <v>56.1</v>
      </c>
      <c r="P4" s="16">
        <v>24.9</v>
      </c>
      <c r="Q4" s="16">
        <v>9.6999999999999993</v>
      </c>
      <c r="R4" s="16"/>
      <c r="S4" s="16">
        <v>1</v>
      </c>
      <c r="T4" s="16">
        <v>4</v>
      </c>
      <c r="U4" s="16">
        <v>1</v>
      </c>
      <c r="V4" s="219">
        <v>40000</v>
      </c>
      <c r="W4" s="219">
        <v>21.3</v>
      </c>
      <c r="X4" s="80"/>
      <c r="Y4" s="80"/>
      <c r="Z4" s="80"/>
      <c r="AA4" s="80"/>
      <c r="AB4" s="80"/>
      <c r="AC4" s="80"/>
      <c r="AD4" s="80"/>
      <c r="AE4" s="80"/>
      <c r="AF4" s="80"/>
      <c r="AG4" s="80"/>
      <c r="AH4" s="80"/>
      <c r="AI4" s="80"/>
      <c r="AJ4" s="80"/>
      <c r="AK4" s="80"/>
      <c r="AL4" s="80"/>
      <c r="AM4" s="80"/>
      <c r="AN4" s="80"/>
      <c r="AO4" s="80"/>
      <c r="AP4" s="80"/>
      <c r="AQ4" s="80"/>
    </row>
    <row r="5" spans="1:43" ht="16">
      <c r="A5" s="329">
        <v>60</v>
      </c>
      <c r="B5" s="329" t="s">
        <v>338</v>
      </c>
      <c r="C5" s="329" t="s">
        <v>339</v>
      </c>
      <c r="D5" s="218">
        <v>6</v>
      </c>
      <c r="E5" s="16" t="s">
        <v>2495</v>
      </c>
      <c r="F5" s="220">
        <v>0.20833333333333334</v>
      </c>
      <c r="G5" s="16"/>
      <c r="H5" s="16">
        <v>0</v>
      </c>
      <c r="I5" s="16">
        <v>33316</v>
      </c>
      <c r="J5" s="219">
        <v>10668</v>
      </c>
      <c r="K5" s="16">
        <v>45.5</v>
      </c>
      <c r="L5" s="16">
        <v>91</v>
      </c>
      <c r="M5" s="16">
        <v>4.5999999999999996</v>
      </c>
      <c r="N5" s="16">
        <v>43.6</v>
      </c>
      <c r="O5" s="16">
        <v>60.4</v>
      </c>
      <c r="P5" s="16">
        <v>91.7</v>
      </c>
      <c r="Q5" s="16">
        <v>42.7</v>
      </c>
      <c r="R5" s="16"/>
      <c r="S5" s="16"/>
      <c r="T5" s="16">
        <v>0</v>
      </c>
      <c r="U5" s="16">
        <v>0</v>
      </c>
      <c r="V5" s="16">
        <v>500</v>
      </c>
      <c r="W5" s="16">
        <v>16.329999999999998</v>
      </c>
      <c r="X5" s="80"/>
      <c r="Y5" s="80"/>
      <c r="Z5" s="80"/>
      <c r="AA5" s="80"/>
      <c r="AB5" s="80"/>
      <c r="AC5" s="80"/>
      <c r="AD5" s="80"/>
      <c r="AE5" s="80"/>
      <c r="AF5" s="80"/>
      <c r="AG5" s="80"/>
      <c r="AH5" s="80"/>
      <c r="AI5" s="80"/>
      <c r="AJ5" s="80"/>
      <c r="AK5" s="80"/>
      <c r="AL5" s="80"/>
      <c r="AM5" s="80"/>
      <c r="AN5" s="80"/>
      <c r="AO5" s="80"/>
      <c r="AP5" s="80"/>
      <c r="AQ5" s="80"/>
    </row>
    <row r="6" spans="1:43" ht="16">
      <c r="A6" s="329">
        <v>61</v>
      </c>
      <c r="B6" s="329" t="s">
        <v>341</v>
      </c>
      <c r="C6" s="329" t="s">
        <v>306</v>
      </c>
      <c r="D6" s="218">
        <v>6</v>
      </c>
      <c r="E6" s="16" t="s">
        <v>2495</v>
      </c>
      <c r="F6" s="16"/>
      <c r="G6" s="16"/>
      <c r="H6" s="16"/>
      <c r="I6" s="16">
        <v>39201</v>
      </c>
      <c r="J6" s="219">
        <v>1089</v>
      </c>
      <c r="K6" s="16">
        <v>30</v>
      </c>
      <c r="L6" s="16">
        <v>19.5</v>
      </c>
      <c r="M6" s="16">
        <v>19.8</v>
      </c>
      <c r="N6" s="16">
        <v>80.2</v>
      </c>
      <c r="O6" s="16">
        <v>9.4</v>
      </c>
      <c r="P6" s="16">
        <v>56.3</v>
      </c>
      <c r="Q6" s="16">
        <v>17.600000000000001</v>
      </c>
      <c r="R6" s="16"/>
      <c r="S6" s="16">
        <v>1.7</v>
      </c>
      <c r="T6" s="16">
        <v>2</v>
      </c>
      <c r="U6" s="16">
        <v>0</v>
      </c>
      <c r="V6" s="16">
        <v>430</v>
      </c>
      <c r="W6" s="16">
        <v>47.14</v>
      </c>
      <c r="X6" s="80"/>
      <c r="Y6" s="80"/>
      <c r="Z6" s="80"/>
      <c r="AA6" s="80"/>
      <c r="AB6" s="80"/>
      <c r="AC6" s="80"/>
      <c r="AD6" s="80"/>
      <c r="AE6" s="80"/>
      <c r="AF6" s="80"/>
      <c r="AG6" s="80"/>
      <c r="AH6" s="80"/>
      <c r="AI6" s="80"/>
      <c r="AJ6" s="80"/>
      <c r="AK6" s="80"/>
      <c r="AL6" s="80"/>
      <c r="AM6" s="80"/>
      <c r="AN6" s="80"/>
      <c r="AO6" s="80"/>
      <c r="AP6" s="80"/>
      <c r="AQ6" s="80"/>
    </row>
    <row r="7" spans="1:43" ht="16">
      <c r="A7" s="329">
        <v>62</v>
      </c>
      <c r="B7" s="329" t="s">
        <v>344</v>
      </c>
      <c r="C7" s="329" t="s">
        <v>194</v>
      </c>
      <c r="D7" s="218">
        <v>7</v>
      </c>
      <c r="E7" s="16" t="s">
        <v>2497</v>
      </c>
      <c r="F7" s="16"/>
      <c r="G7" s="16"/>
      <c r="H7" s="16"/>
      <c r="I7" s="16" t="s">
        <v>2498</v>
      </c>
      <c r="J7" s="219">
        <v>3864</v>
      </c>
      <c r="K7" s="16">
        <v>41.1</v>
      </c>
      <c r="L7" s="16">
        <v>98.6</v>
      </c>
      <c r="M7" s="221">
        <v>8</v>
      </c>
      <c r="N7" s="16">
        <v>29.3</v>
      </c>
      <c r="O7" s="16">
        <v>60.4</v>
      </c>
      <c r="P7" s="16">
        <v>73.099999999999994</v>
      </c>
      <c r="Q7" s="16">
        <v>11.1</v>
      </c>
      <c r="R7" s="16">
        <v>19.399999999999999</v>
      </c>
      <c r="S7" s="16">
        <v>2.2999999999999998</v>
      </c>
      <c r="T7" s="16">
        <v>2</v>
      </c>
      <c r="U7" s="16">
        <v>0</v>
      </c>
      <c r="V7" s="16"/>
      <c r="W7" s="16"/>
      <c r="X7" s="80"/>
      <c r="Y7" s="80"/>
      <c r="Z7" s="80"/>
      <c r="AA7" s="80"/>
      <c r="AB7" s="80"/>
      <c r="AC7" s="80"/>
      <c r="AD7" s="80"/>
      <c r="AE7" s="80"/>
      <c r="AF7" s="80"/>
      <c r="AG7" s="80"/>
      <c r="AH7" s="80"/>
      <c r="AI7" s="80"/>
      <c r="AJ7" s="80"/>
      <c r="AK7" s="80"/>
      <c r="AL7" s="80"/>
      <c r="AM7" s="80"/>
      <c r="AN7" s="80"/>
      <c r="AO7" s="80"/>
      <c r="AP7" s="80"/>
      <c r="AQ7" s="80"/>
    </row>
    <row r="8" spans="1:43" ht="16">
      <c r="A8" s="329">
        <v>63</v>
      </c>
      <c r="B8" s="329" t="s">
        <v>348</v>
      </c>
      <c r="C8" s="329" t="s">
        <v>201</v>
      </c>
      <c r="D8" s="218">
        <v>6</v>
      </c>
      <c r="E8" s="16" t="s">
        <v>2495</v>
      </c>
      <c r="F8" s="220">
        <v>0.625</v>
      </c>
      <c r="G8" s="16"/>
      <c r="H8" s="16">
        <v>1</v>
      </c>
      <c r="I8" s="16">
        <v>29801</v>
      </c>
      <c r="J8" s="219">
        <v>25989</v>
      </c>
      <c r="K8" s="16">
        <v>36.700000000000003</v>
      </c>
      <c r="L8" s="16">
        <v>53.7</v>
      </c>
      <c r="M8" s="16">
        <v>18.5</v>
      </c>
      <c r="N8" s="16">
        <v>30.7</v>
      </c>
      <c r="O8" s="16">
        <v>52.4</v>
      </c>
      <c r="P8" s="16">
        <v>75.099999999999994</v>
      </c>
      <c r="Q8" s="16">
        <v>20.100000000000001</v>
      </c>
      <c r="R8" s="16"/>
      <c r="S8" s="16">
        <v>3.5</v>
      </c>
      <c r="T8" s="16">
        <v>5</v>
      </c>
      <c r="U8" s="16">
        <v>0</v>
      </c>
      <c r="V8" s="16">
        <v>85</v>
      </c>
      <c r="W8" s="16">
        <v>7.94</v>
      </c>
      <c r="X8" s="80"/>
      <c r="Y8" s="80"/>
      <c r="Z8" s="80"/>
      <c r="AA8" s="80"/>
      <c r="AB8" s="80"/>
      <c r="AC8" s="80"/>
      <c r="AD8" s="80"/>
      <c r="AE8" s="80"/>
      <c r="AF8" s="80"/>
      <c r="AG8" s="80"/>
      <c r="AH8" s="80"/>
      <c r="AI8" s="80"/>
      <c r="AJ8" s="80"/>
      <c r="AK8" s="80"/>
      <c r="AL8" s="80"/>
      <c r="AM8" s="80"/>
      <c r="AN8" s="80"/>
      <c r="AO8" s="80"/>
      <c r="AP8" s="80"/>
      <c r="AQ8" s="80"/>
    </row>
    <row r="9" spans="1:43" ht="16">
      <c r="A9" s="329">
        <v>64</v>
      </c>
      <c r="B9" s="329" t="s">
        <v>351</v>
      </c>
      <c r="C9" s="329" t="s">
        <v>352</v>
      </c>
      <c r="D9" s="218">
        <v>6</v>
      </c>
      <c r="E9" s="14" t="s">
        <v>2495</v>
      </c>
      <c r="F9" s="14"/>
      <c r="G9" s="14"/>
      <c r="H9" s="14"/>
      <c r="I9" s="14">
        <v>33830</v>
      </c>
      <c r="J9" s="219">
        <v>25723</v>
      </c>
      <c r="K9" s="222">
        <v>35.4</v>
      </c>
      <c r="L9" s="222">
        <v>69.400000000000006</v>
      </c>
      <c r="M9" s="222">
        <v>16.3</v>
      </c>
      <c r="N9" s="222">
        <v>26.4</v>
      </c>
      <c r="O9" s="222">
        <v>53.4</v>
      </c>
      <c r="P9" s="222">
        <v>73</v>
      </c>
      <c r="Q9" s="222">
        <v>13.8</v>
      </c>
      <c r="R9" s="222"/>
      <c r="S9" s="14">
        <v>2.8</v>
      </c>
      <c r="T9" s="14">
        <v>3</v>
      </c>
      <c r="U9" s="14">
        <v>0</v>
      </c>
      <c r="V9" s="14">
        <v>54</v>
      </c>
      <c r="W9" s="14"/>
      <c r="X9" s="79"/>
      <c r="Y9" s="79"/>
      <c r="Z9" s="79"/>
      <c r="AA9" s="79"/>
      <c r="AB9" s="79"/>
      <c r="AC9" s="79"/>
      <c r="AD9" s="79"/>
      <c r="AE9" s="79"/>
      <c r="AF9" s="79"/>
      <c r="AG9" s="79"/>
      <c r="AH9" s="79"/>
      <c r="AI9" s="79"/>
      <c r="AJ9" s="79"/>
      <c r="AK9" s="79"/>
      <c r="AL9" s="79"/>
      <c r="AM9" s="79"/>
      <c r="AN9" s="79"/>
      <c r="AO9" s="79"/>
      <c r="AP9" s="79"/>
      <c r="AQ9" s="79"/>
    </row>
    <row r="10" spans="1:43" ht="16">
      <c r="A10" s="329">
        <v>65</v>
      </c>
      <c r="B10" s="329" t="s">
        <v>355</v>
      </c>
      <c r="C10" s="329" t="s">
        <v>356</v>
      </c>
      <c r="D10" s="218">
        <v>6</v>
      </c>
      <c r="E10" s="16" t="s">
        <v>2495</v>
      </c>
      <c r="F10" s="220">
        <v>0.62847222222222221</v>
      </c>
      <c r="G10" s="16"/>
      <c r="H10" s="16">
        <v>1</v>
      </c>
      <c r="I10" s="16">
        <v>92865</v>
      </c>
      <c r="J10" s="219">
        <v>18039</v>
      </c>
      <c r="K10" s="16">
        <v>34.299999999999997</v>
      </c>
      <c r="L10" s="16">
        <v>72.599999999999994</v>
      </c>
      <c r="M10" s="16">
        <v>13.2</v>
      </c>
      <c r="N10" s="16">
        <v>33.5</v>
      </c>
      <c r="O10" s="16">
        <v>65.2</v>
      </c>
      <c r="P10" s="16">
        <v>24.2</v>
      </c>
      <c r="Q10" s="16">
        <v>6.3</v>
      </c>
      <c r="R10" s="16"/>
      <c r="S10" s="16">
        <v>2.9</v>
      </c>
      <c r="T10" s="16">
        <v>3</v>
      </c>
      <c r="U10" s="16">
        <v>3</v>
      </c>
      <c r="V10" s="16">
        <v>156</v>
      </c>
      <c r="W10" s="16">
        <v>0.84</v>
      </c>
      <c r="X10" s="80"/>
      <c r="Y10" s="80"/>
      <c r="Z10" s="80"/>
      <c r="AA10" s="80"/>
      <c r="AB10" s="80"/>
      <c r="AC10" s="80"/>
      <c r="AD10" s="80"/>
      <c r="AE10" s="80"/>
      <c r="AF10" s="80"/>
      <c r="AG10" s="80"/>
      <c r="AH10" s="80"/>
      <c r="AI10" s="80"/>
      <c r="AJ10" s="80"/>
      <c r="AK10" s="80"/>
      <c r="AL10" s="80"/>
      <c r="AM10" s="80"/>
      <c r="AN10" s="80"/>
      <c r="AO10" s="80"/>
      <c r="AP10" s="80"/>
      <c r="AQ10" s="80"/>
    </row>
    <row r="11" spans="1:43" ht="16">
      <c r="A11" s="329">
        <v>66</v>
      </c>
      <c r="B11" s="329" t="s">
        <v>360</v>
      </c>
      <c r="C11" s="329" t="s">
        <v>361</v>
      </c>
      <c r="D11" s="218">
        <v>6</v>
      </c>
      <c r="E11" s="16" t="s">
        <v>2495</v>
      </c>
      <c r="F11" s="16"/>
      <c r="G11" s="16"/>
      <c r="H11" s="16">
        <v>0</v>
      </c>
      <c r="I11" s="16" t="s">
        <v>2499</v>
      </c>
      <c r="J11" s="219">
        <v>29274</v>
      </c>
      <c r="K11" s="16">
        <v>41.9</v>
      </c>
      <c r="L11" s="16">
        <v>92.5</v>
      </c>
      <c r="M11" s="16">
        <v>10.7</v>
      </c>
      <c r="N11" s="16">
        <v>19.399999999999999</v>
      </c>
      <c r="O11" s="16">
        <v>64.5</v>
      </c>
      <c r="P11" s="16">
        <v>85.5</v>
      </c>
      <c r="Q11" s="16">
        <v>29.1</v>
      </c>
      <c r="R11" s="16"/>
      <c r="S11" s="16">
        <v>4.2</v>
      </c>
      <c r="T11" s="16">
        <v>0</v>
      </c>
      <c r="U11" s="16">
        <v>2</v>
      </c>
      <c r="V11" s="16"/>
      <c r="W11" s="16">
        <v>0</v>
      </c>
      <c r="X11" s="80"/>
      <c r="Y11" s="80"/>
      <c r="Z11" s="80"/>
      <c r="AA11" s="80"/>
      <c r="AB11" s="80"/>
      <c r="AC11" s="80"/>
      <c r="AD11" s="80"/>
      <c r="AE11" s="80"/>
      <c r="AF11" s="80"/>
      <c r="AG11" s="80"/>
      <c r="AH11" s="80"/>
      <c r="AI11" s="80"/>
      <c r="AJ11" s="80"/>
      <c r="AK11" s="80"/>
      <c r="AL11" s="80"/>
      <c r="AM11" s="80"/>
      <c r="AN11" s="80"/>
      <c r="AO11" s="80"/>
      <c r="AP11" s="80"/>
      <c r="AQ11" s="80"/>
    </row>
    <row r="12" spans="1:43" ht="16">
      <c r="A12" s="329" t="s">
        <v>3425</v>
      </c>
      <c r="B12" s="329" t="s">
        <v>2500</v>
      </c>
      <c r="C12" s="329" t="s">
        <v>367</v>
      </c>
      <c r="D12" s="218">
        <v>0</v>
      </c>
      <c r="E12" s="16" t="s">
        <v>2501</v>
      </c>
      <c r="F12" s="220">
        <v>0.52430555555555558</v>
      </c>
      <c r="G12" s="220">
        <v>0.53541666666666665</v>
      </c>
      <c r="H12" s="16">
        <v>1</v>
      </c>
      <c r="I12" s="16">
        <v>72404</v>
      </c>
      <c r="J12" s="219">
        <v>16546</v>
      </c>
      <c r="K12" s="16">
        <v>32.5</v>
      </c>
      <c r="L12" s="16">
        <v>93.9</v>
      </c>
      <c r="M12" s="16">
        <v>8.8000000000000007</v>
      </c>
      <c r="N12" s="16">
        <v>28.6</v>
      </c>
      <c r="O12" s="16">
        <v>71</v>
      </c>
      <c r="P12" s="222">
        <v>86.3</v>
      </c>
      <c r="Q12" s="222">
        <v>32.5</v>
      </c>
      <c r="R12" s="16"/>
      <c r="S12" s="16">
        <v>6.7</v>
      </c>
      <c r="T12" s="16">
        <v>7</v>
      </c>
      <c r="U12" s="16">
        <v>8</v>
      </c>
      <c r="V12" s="16">
        <v>159</v>
      </c>
      <c r="W12" s="16">
        <v>1.9</v>
      </c>
      <c r="X12" s="79"/>
      <c r="Y12" s="79"/>
      <c r="Z12" s="79"/>
      <c r="AA12" s="79"/>
      <c r="AB12" s="79"/>
      <c r="AC12" s="79"/>
      <c r="AD12" s="79"/>
      <c r="AE12" s="79"/>
      <c r="AF12" s="79"/>
      <c r="AG12" s="79"/>
      <c r="AH12" s="79"/>
      <c r="AI12" s="79"/>
      <c r="AJ12" s="79"/>
      <c r="AK12" s="79"/>
      <c r="AL12" s="79"/>
      <c r="AM12" s="79"/>
      <c r="AN12" s="79"/>
      <c r="AO12" s="79"/>
      <c r="AP12" s="79"/>
      <c r="AQ12" s="79"/>
    </row>
    <row r="13" spans="1:43" ht="16">
      <c r="A13" s="329">
        <v>69</v>
      </c>
      <c r="B13" s="329" t="s">
        <v>373</v>
      </c>
      <c r="C13" s="329" t="s">
        <v>374</v>
      </c>
      <c r="D13" s="218">
        <v>0</v>
      </c>
      <c r="E13" s="16" t="s">
        <v>2501</v>
      </c>
      <c r="F13" s="220">
        <v>0.3298611111111111</v>
      </c>
      <c r="G13" s="16"/>
      <c r="H13" s="16">
        <v>0</v>
      </c>
      <c r="I13" s="16">
        <v>97478</v>
      </c>
      <c r="J13" s="219">
        <v>32124</v>
      </c>
      <c r="K13" s="16">
        <v>35.6</v>
      </c>
      <c r="L13" s="16">
        <v>93.1</v>
      </c>
      <c r="M13" s="16">
        <v>11.4</v>
      </c>
      <c r="N13" s="16">
        <v>28.2</v>
      </c>
      <c r="O13" s="16">
        <v>63.3</v>
      </c>
      <c r="P13" s="16">
        <v>85</v>
      </c>
      <c r="Q13" s="16">
        <v>14.8</v>
      </c>
      <c r="R13" s="16"/>
      <c r="S13" s="16">
        <v>7.3</v>
      </c>
      <c r="T13" s="16">
        <v>1</v>
      </c>
      <c r="U13" s="16">
        <v>2</v>
      </c>
      <c r="V13" s="16">
        <v>100</v>
      </c>
      <c r="W13" s="16">
        <v>7.2</v>
      </c>
      <c r="X13" s="79"/>
      <c r="Y13" s="79"/>
      <c r="Z13" s="79"/>
      <c r="AA13" s="79"/>
      <c r="AB13" s="79"/>
      <c r="AC13" s="79"/>
      <c r="AD13" s="79"/>
      <c r="AE13" s="79"/>
      <c r="AF13" s="79"/>
      <c r="AG13" s="79"/>
      <c r="AH13" s="79"/>
      <c r="AI13" s="79"/>
      <c r="AJ13" s="79"/>
      <c r="AK13" s="79"/>
      <c r="AL13" s="79"/>
      <c r="AM13" s="79"/>
      <c r="AN13" s="79"/>
      <c r="AO13" s="79"/>
      <c r="AP13" s="79"/>
      <c r="AQ13" s="79"/>
    </row>
    <row r="14" spans="1:43" ht="16">
      <c r="A14" s="329">
        <v>70</v>
      </c>
      <c r="B14" s="329" t="s">
        <v>293</v>
      </c>
      <c r="C14" s="329" t="s">
        <v>377</v>
      </c>
      <c r="D14" s="218">
        <v>3</v>
      </c>
      <c r="E14" s="14" t="s">
        <v>2502</v>
      </c>
      <c r="F14" s="223">
        <v>0.54166666666666663</v>
      </c>
      <c r="G14" s="223">
        <v>0.61458333333333337</v>
      </c>
      <c r="H14" s="14">
        <v>1</v>
      </c>
      <c r="I14" s="14">
        <v>70737</v>
      </c>
      <c r="J14" s="219">
        <v>28474</v>
      </c>
      <c r="K14" s="222">
        <v>32.5</v>
      </c>
      <c r="L14" s="222">
        <v>80.599999999999994</v>
      </c>
      <c r="M14" s="222">
        <v>12.3</v>
      </c>
      <c r="N14" s="222">
        <v>20.3</v>
      </c>
      <c r="O14" s="222">
        <v>63</v>
      </c>
      <c r="P14" s="222">
        <v>80.7</v>
      </c>
      <c r="Q14" s="222">
        <v>12.2</v>
      </c>
      <c r="R14" s="222"/>
      <c r="S14" s="14"/>
      <c r="T14" s="14">
        <v>10</v>
      </c>
      <c r="U14" s="14">
        <v>5</v>
      </c>
      <c r="V14" s="14">
        <v>43</v>
      </c>
      <c r="W14" s="14">
        <v>36.4</v>
      </c>
      <c r="X14" s="79"/>
      <c r="Y14" s="79"/>
      <c r="Z14" s="79"/>
      <c r="AA14" s="79"/>
      <c r="AB14" s="79"/>
      <c r="AC14" s="79"/>
      <c r="AD14" s="79"/>
      <c r="AE14" s="79"/>
      <c r="AF14" s="79"/>
      <c r="AG14" s="79"/>
      <c r="AH14" s="79"/>
      <c r="AI14" s="79"/>
      <c r="AJ14" s="79"/>
      <c r="AK14" s="79"/>
      <c r="AL14" s="79"/>
      <c r="AM14" s="79"/>
      <c r="AN14" s="79"/>
      <c r="AO14" s="79"/>
      <c r="AP14" s="79"/>
      <c r="AQ14" s="79"/>
    </row>
    <row r="15" spans="1:43" ht="16">
      <c r="A15" s="329" t="s">
        <v>3426</v>
      </c>
      <c r="B15" s="329" t="s">
        <v>2503</v>
      </c>
      <c r="C15" s="329" t="s">
        <v>114</v>
      </c>
      <c r="D15" s="218">
        <v>0</v>
      </c>
      <c r="E15" s="16" t="s">
        <v>2501</v>
      </c>
      <c r="F15" s="220">
        <v>0.47222222222222221</v>
      </c>
      <c r="G15" s="220">
        <v>0.50555555555555554</v>
      </c>
      <c r="H15" s="16">
        <v>0</v>
      </c>
      <c r="I15" s="16">
        <v>80123</v>
      </c>
      <c r="J15" s="219">
        <v>41552</v>
      </c>
      <c r="K15" s="16">
        <v>36.1</v>
      </c>
      <c r="L15" s="16">
        <v>90.5</v>
      </c>
      <c r="M15" s="16">
        <v>7.3</v>
      </c>
      <c r="N15" s="16">
        <v>25.6</v>
      </c>
      <c r="O15" s="16">
        <v>70.900000000000006</v>
      </c>
      <c r="P15" s="16">
        <v>18.2</v>
      </c>
      <c r="Q15" s="16">
        <v>29.7</v>
      </c>
      <c r="R15" s="16"/>
      <c r="S15" s="16">
        <v>6.8</v>
      </c>
      <c r="T15" s="16">
        <v>9</v>
      </c>
      <c r="U15" s="16">
        <v>1</v>
      </c>
      <c r="V15" s="16">
        <v>80</v>
      </c>
      <c r="W15" s="16">
        <v>2.2000000000000002</v>
      </c>
      <c r="X15" s="79"/>
      <c r="Y15" s="79"/>
      <c r="Z15" s="79"/>
      <c r="AA15" s="79"/>
      <c r="AB15" s="79"/>
      <c r="AC15" s="79"/>
      <c r="AD15" s="79"/>
      <c r="AE15" s="79"/>
      <c r="AF15" s="79"/>
      <c r="AG15" s="79"/>
      <c r="AH15" s="79"/>
      <c r="AI15" s="79"/>
      <c r="AJ15" s="79"/>
      <c r="AK15" s="79"/>
      <c r="AL15" s="79"/>
      <c r="AM15" s="79"/>
      <c r="AN15" s="79"/>
      <c r="AO15" s="79"/>
      <c r="AP15" s="79"/>
      <c r="AQ15" s="79"/>
    </row>
    <row r="16" spans="1:43" ht="16">
      <c r="A16" s="329">
        <v>73</v>
      </c>
      <c r="B16" s="329" t="s">
        <v>386</v>
      </c>
      <c r="C16" s="329" t="s">
        <v>387</v>
      </c>
      <c r="D16" s="218">
        <v>4</v>
      </c>
      <c r="E16" s="14" t="s">
        <v>2496</v>
      </c>
      <c r="F16" s="223">
        <v>0.21944444444444444</v>
      </c>
      <c r="G16" s="223">
        <v>0.22500000000000001</v>
      </c>
      <c r="H16" s="14">
        <v>0</v>
      </c>
      <c r="I16" s="14">
        <v>89119</v>
      </c>
      <c r="J16" s="219">
        <v>49445</v>
      </c>
      <c r="K16" s="14">
        <v>33.200000000000003</v>
      </c>
      <c r="L16" s="14">
        <v>51.2</v>
      </c>
      <c r="M16" s="14">
        <v>12.4</v>
      </c>
      <c r="N16" s="14">
        <v>78.400000000000006</v>
      </c>
      <c r="O16" s="14">
        <v>62.9</v>
      </c>
      <c r="P16" s="14">
        <v>34.200000000000003</v>
      </c>
      <c r="Q16" s="14">
        <v>2.6</v>
      </c>
      <c r="R16" s="14"/>
      <c r="S16" s="14">
        <v>0.6</v>
      </c>
      <c r="T16" s="14">
        <v>5</v>
      </c>
      <c r="U16" s="14">
        <v>0</v>
      </c>
      <c r="V16" s="224">
        <v>2353</v>
      </c>
      <c r="W16" s="14">
        <v>12.8</v>
      </c>
      <c r="X16" s="80"/>
      <c r="Y16" s="80"/>
      <c r="Z16" s="80"/>
      <c r="AA16" s="80"/>
      <c r="AB16" s="80"/>
      <c r="AC16" s="80"/>
      <c r="AD16" s="80"/>
      <c r="AE16" s="80"/>
      <c r="AF16" s="80"/>
      <c r="AG16" s="80"/>
      <c r="AH16" s="80"/>
      <c r="AI16" s="80"/>
      <c r="AJ16" s="80"/>
      <c r="AK16" s="80"/>
      <c r="AL16" s="80"/>
      <c r="AM16" s="80"/>
      <c r="AN16" s="80"/>
      <c r="AO16" s="80"/>
      <c r="AP16" s="80"/>
      <c r="AQ16" s="80"/>
    </row>
    <row r="17" spans="1:43" ht="16">
      <c r="A17" s="329">
        <v>74</v>
      </c>
      <c r="B17" s="329" t="s">
        <v>390</v>
      </c>
      <c r="C17" s="329" t="s">
        <v>136</v>
      </c>
      <c r="D17" s="218">
        <v>6</v>
      </c>
      <c r="E17" s="16" t="s">
        <v>2495</v>
      </c>
      <c r="F17" s="220">
        <v>0.625</v>
      </c>
      <c r="G17" s="220">
        <v>0.83333333333333337</v>
      </c>
      <c r="H17" s="16">
        <v>1</v>
      </c>
      <c r="I17" s="16">
        <v>30305</v>
      </c>
      <c r="J17" s="219">
        <v>21380</v>
      </c>
      <c r="K17" s="16">
        <v>37.700000000000003</v>
      </c>
      <c r="L17" s="16">
        <v>91.5</v>
      </c>
      <c r="M17" s="16">
        <v>3.4</v>
      </c>
      <c r="N17" s="16">
        <v>47.4</v>
      </c>
      <c r="O17" s="16">
        <v>67.3</v>
      </c>
      <c r="P17" s="16">
        <v>94.8</v>
      </c>
      <c r="Q17" s="16">
        <v>69.3</v>
      </c>
      <c r="R17" s="16"/>
      <c r="S17" s="16">
        <v>3.7</v>
      </c>
      <c r="T17" s="16">
        <v>7</v>
      </c>
      <c r="U17" s="16">
        <v>0</v>
      </c>
      <c r="V17" s="219">
        <v>1500</v>
      </c>
      <c r="W17" s="16"/>
      <c r="X17" s="80"/>
      <c r="Y17" s="80"/>
      <c r="Z17" s="80"/>
      <c r="AA17" s="80"/>
      <c r="AB17" s="80"/>
      <c r="AC17" s="80"/>
      <c r="AD17" s="80"/>
      <c r="AE17" s="80"/>
      <c r="AF17" s="80"/>
      <c r="AG17" s="80"/>
      <c r="AH17" s="80"/>
      <c r="AI17" s="80"/>
      <c r="AJ17" s="80"/>
      <c r="AK17" s="80"/>
      <c r="AL17" s="80"/>
      <c r="AM17" s="80"/>
      <c r="AN17" s="80"/>
      <c r="AO17" s="80"/>
      <c r="AP17" s="80"/>
      <c r="AQ17" s="80"/>
    </row>
    <row r="18" spans="1:43" ht="16">
      <c r="A18" s="329">
        <v>75</v>
      </c>
      <c r="B18" s="329" t="s">
        <v>393</v>
      </c>
      <c r="C18" s="329" t="s">
        <v>394</v>
      </c>
      <c r="D18" s="218">
        <v>3</v>
      </c>
      <c r="E18" s="14" t="s">
        <v>2502</v>
      </c>
      <c r="F18" s="223">
        <v>0.79166666666666663</v>
      </c>
      <c r="G18" s="14"/>
      <c r="H18" s="14">
        <v>2</v>
      </c>
      <c r="I18" s="14">
        <v>76133</v>
      </c>
      <c r="J18" s="219">
        <v>46073</v>
      </c>
      <c r="K18" s="222">
        <v>36</v>
      </c>
      <c r="L18" s="222">
        <v>70.7</v>
      </c>
      <c r="M18" s="222">
        <v>12.6</v>
      </c>
      <c r="N18" s="222">
        <v>32.799999999999997</v>
      </c>
      <c r="O18" s="222">
        <v>64</v>
      </c>
      <c r="P18" s="222">
        <v>86.1</v>
      </c>
      <c r="Q18" s="222">
        <v>31.2</v>
      </c>
      <c r="R18" s="222"/>
      <c r="S18" s="14">
        <v>2.9</v>
      </c>
      <c r="T18" s="14">
        <v>3</v>
      </c>
      <c r="U18" s="14">
        <v>1</v>
      </c>
      <c r="V18" s="224">
        <v>1242</v>
      </c>
      <c r="W18" s="14"/>
      <c r="X18" s="79"/>
      <c r="Y18" s="79"/>
      <c r="Z18" s="79"/>
      <c r="AA18" s="79"/>
      <c r="AB18" s="79"/>
      <c r="AC18" s="79"/>
      <c r="AD18" s="79"/>
      <c r="AE18" s="79"/>
      <c r="AF18" s="79"/>
      <c r="AG18" s="79"/>
      <c r="AH18" s="79"/>
      <c r="AI18" s="79"/>
      <c r="AJ18" s="79"/>
      <c r="AK18" s="79"/>
      <c r="AL18" s="79"/>
      <c r="AM18" s="79"/>
      <c r="AN18" s="79"/>
      <c r="AO18" s="79"/>
      <c r="AP18" s="79"/>
      <c r="AQ18" s="79"/>
    </row>
    <row r="19" spans="1:43" ht="16">
      <c r="A19" s="329">
        <v>76</v>
      </c>
      <c r="B19" s="329" t="s">
        <v>398</v>
      </c>
      <c r="C19" s="329" t="s">
        <v>2504</v>
      </c>
      <c r="D19" s="218">
        <v>6</v>
      </c>
      <c r="E19" s="16" t="s">
        <v>2495</v>
      </c>
      <c r="F19" s="220">
        <v>0.33333333333333331</v>
      </c>
      <c r="G19" s="220">
        <v>0.625</v>
      </c>
      <c r="H19" s="16">
        <v>0</v>
      </c>
      <c r="I19" s="16">
        <v>96813</v>
      </c>
      <c r="J19" s="219">
        <v>21435</v>
      </c>
      <c r="K19" s="16">
        <v>41</v>
      </c>
      <c r="L19" s="16">
        <v>20.6</v>
      </c>
      <c r="M19" s="16">
        <v>11</v>
      </c>
      <c r="N19" s="16">
        <v>58.9</v>
      </c>
      <c r="O19" s="16">
        <v>50.6</v>
      </c>
      <c r="P19" s="16">
        <v>82</v>
      </c>
      <c r="Q19" s="16">
        <v>29.9</v>
      </c>
      <c r="R19" s="16"/>
      <c r="S19" s="16">
        <v>1.1000000000000001</v>
      </c>
      <c r="T19" s="16">
        <v>3</v>
      </c>
      <c r="U19" s="16">
        <v>2</v>
      </c>
      <c r="V19" s="219">
        <v>2700</v>
      </c>
      <c r="W19" s="16">
        <v>1.94</v>
      </c>
      <c r="X19" s="80"/>
      <c r="Y19" s="80"/>
      <c r="Z19" s="80"/>
      <c r="AA19" s="80"/>
      <c r="AB19" s="80"/>
      <c r="AC19" s="80"/>
      <c r="AD19" s="80"/>
      <c r="AE19" s="80"/>
      <c r="AF19" s="80"/>
      <c r="AG19" s="80"/>
      <c r="AH19" s="80"/>
      <c r="AI19" s="80"/>
      <c r="AJ19" s="80"/>
      <c r="AK19" s="80"/>
      <c r="AL19" s="80"/>
      <c r="AM19" s="80"/>
      <c r="AN19" s="80"/>
      <c r="AO19" s="80"/>
      <c r="AP19" s="80"/>
      <c r="AQ19" s="80"/>
    </row>
    <row r="20" spans="1:43" ht="16">
      <c r="A20" s="329">
        <v>77</v>
      </c>
      <c r="B20" s="329" t="s">
        <v>403</v>
      </c>
      <c r="C20" s="329" t="s">
        <v>404</v>
      </c>
      <c r="D20" s="218">
        <v>6</v>
      </c>
      <c r="E20" s="16" t="s">
        <v>2505</v>
      </c>
      <c r="F20" s="220">
        <v>0.63194444444444442</v>
      </c>
      <c r="G20" s="16"/>
      <c r="H20" s="16">
        <v>1</v>
      </c>
      <c r="I20" s="16">
        <v>33607</v>
      </c>
      <c r="J20" s="219">
        <v>22801</v>
      </c>
      <c r="K20" s="16">
        <v>37.1</v>
      </c>
      <c r="L20" s="16">
        <v>50.2</v>
      </c>
      <c r="M20" s="16">
        <v>21.3</v>
      </c>
      <c r="N20" s="16">
        <v>48.7</v>
      </c>
      <c r="O20" s="16">
        <v>49</v>
      </c>
      <c r="P20" s="16">
        <v>62.3</v>
      </c>
      <c r="Q20" s="16">
        <v>14.4</v>
      </c>
      <c r="R20" s="16"/>
      <c r="S20" s="16">
        <v>5.3</v>
      </c>
      <c r="T20" s="16">
        <v>4</v>
      </c>
      <c r="U20" s="16">
        <v>0</v>
      </c>
      <c r="V20" s="16">
        <v>998</v>
      </c>
      <c r="W20" s="16">
        <v>13.55</v>
      </c>
      <c r="X20" s="80"/>
      <c r="Y20" s="80"/>
      <c r="Z20" s="80"/>
      <c r="AA20" s="80"/>
      <c r="AB20" s="80"/>
      <c r="AC20" s="80"/>
      <c r="AD20" s="80"/>
      <c r="AE20" s="80"/>
      <c r="AF20" s="80"/>
      <c r="AG20" s="80"/>
      <c r="AH20" s="80"/>
      <c r="AI20" s="80"/>
      <c r="AJ20" s="80"/>
      <c r="AK20" s="80"/>
      <c r="AL20" s="80"/>
      <c r="AM20" s="80"/>
      <c r="AN20" s="80"/>
      <c r="AO20" s="80"/>
      <c r="AP20" s="80"/>
      <c r="AQ20" s="80"/>
    </row>
    <row r="21" spans="1:43" ht="15.75" customHeight="1">
      <c r="A21" s="329">
        <v>78</v>
      </c>
      <c r="B21" s="329" t="s">
        <v>263</v>
      </c>
      <c r="C21" s="329" t="s">
        <v>102</v>
      </c>
      <c r="D21" s="218">
        <v>6</v>
      </c>
      <c r="E21" s="16" t="s">
        <v>2495</v>
      </c>
      <c r="F21" s="16"/>
      <c r="G21" s="16"/>
      <c r="H21" s="16"/>
      <c r="I21" s="16">
        <v>75062</v>
      </c>
      <c r="J21" s="219">
        <v>41566</v>
      </c>
      <c r="K21" s="16">
        <v>32</v>
      </c>
      <c r="L21" s="16">
        <v>67.599999999999994</v>
      </c>
      <c r="M21" s="16">
        <v>11.6</v>
      </c>
      <c r="N21" s="16">
        <v>53.6</v>
      </c>
      <c r="O21" s="16">
        <v>69</v>
      </c>
      <c r="P21" s="16">
        <v>81.5</v>
      </c>
      <c r="Q21" s="16">
        <v>28.3</v>
      </c>
      <c r="R21" s="16"/>
      <c r="S21" s="16">
        <v>9.8000000000000007</v>
      </c>
      <c r="T21" s="16">
        <v>0</v>
      </c>
      <c r="U21" s="16">
        <v>0</v>
      </c>
      <c r="V21" s="16">
        <v>39</v>
      </c>
      <c r="W21" s="16">
        <v>3.1</v>
      </c>
      <c r="X21" s="80"/>
      <c r="Y21" s="80"/>
      <c r="Z21" s="80"/>
      <c r="AA21" s="80"/>
      <c r="AB21" s="80"/>
      <c r="AC21" s="80"/>
      <c r="AD21" s="80"/>
      <c r="AE21" s="80"/>
      <c r="AF21" s="80"/>
      <c r="AG21" s="80"/>
      <c r="AH21" s="80"/>
      <c r="AI21" s="80"/>
      <c r="AJ21" s="80"/>
      <c r="AK21" s="80"/>
      <c r="AL21" s="80"/>
      <c r="AM21" s="80"/>
      <c r="AN21" s="80"/>
      <c r="AO21" s="80"/>
      <c r="AP21" s="80"/>
      <c r="AQ21" s="80"/>
    </row>
    <row r="22" spans="1:43" ht="15.75" customHeight="1">
      <c r="A22" s="329">
        <v>79</v>
      </c>
      <c r="B22" s="329" t="s">
        <v>409</v>
      </c>
      <c r="C22" s="329" t="s">
        <v>241</v>
      </c>
      <c r="D22" s="218">
        <v>7</v>
      </c>
      <c r="E22" s="14" t="s">
        <v>2506</v>
      </c>
      <c r="F22" s="223">
        <v>0.58333333333333337</v>
      </c>
      <c r="G22" s="223">
        <v>0.63541666666666663</v>
      </c>
      <c r="H22" s="14">
        <v>1</v>
      </c>
      <c r="I22" s="16">
        <v>15205</v>
      </c>
      <c r="J22" s="219">
        <v>22586</v>
      </c>
      <c r="K22" s="16">
        <v>37.799999999999997</v>
      </c>
      <c r="L22" s="16">
        <v>87.3</v>
      </c>
      <c r="M22" s="16">
        <v>12.7</v>
      </c>
      <c r="N22" s="16">
        <v>38.6</v>
      </c>
      <c r="O22" s="16">
        <v>63.1</v>
      </c>
      <c r="P22" s="16">
        <v>87.7</v>
      </c>
      <c r="Q22" s="16">
        <v>26.5</v>
      </c>
      <c r="R22" s="16"/>
      <c r="S22" s="16"/>
      <c r="T22" s="16"/>
      <c r="U22" s="16"/>
      <c r="V22" s="16"/>
      <c r="W22" s="16"/>
      <c r="X22" s="80"/>
      <c r="Y22" s="80"/>
      <c r="Z22" s="80"/>
      <c r="AA22" s="80"/>
      <c r="AB22" s="80"/>
      <c r="AC22" s="80"/>
      <c r="AD22" s="80"/>
      <c r="AE22" s="80"/>
      <c r="AF22" s="80"/>
      <c r="AG22" s="80"/>
      <c r="AH22" s="80"/>
      <c r="AI22" s="80"/>
      <c r="AJ22" s="80"/>
      <c r="AK22" s="80"/>
      <c r="AL22" s="80"/>
      <c r="AM22" s="80"/>
      <c r="AN22" s="80"/>
      <c r="AO22" s="80"/>
      <c r="AP22" s="80"/>
      <c r="AQ22" s="80"/>
    </row>
    <row r="23" spans="1:43" ht="15.75" customHeight="1">
      <c r="A23" s="329">
        <v>80</v>
      </c>
      <c r="B23" s="329" t="s">
        <v>413</v>
      </c>
      <c r="C23" s="329" t="s">
        <v>212</v>
      </c>
      <c r="D23" s="218">
        <v>6</v>
      </c>
      <c r="E23" s="16" t="s">
        <v>2495</v>
      </c>
      <c r="F23" s="220">
        <v>0.45833333333333331</v>
      </c>
      <c r="G23" s="16"/>
      <c r="H23" s="16">
        <v>0</v>
      </c>
      <c r="I23" s="16" t="s">
        <v>2507</v>
      </c>
      <c r="J23" s="219">
        <v>24809</v>
      </c>
      <c r="K23" s="16">
        <v>38.9</v>
      </c>
      <c r="L23" s="16">
        <v>96.9</v>
      </c>
      <c r="M23" s="16">
        <v>9.6999999999999993</v>
      </c>
      <c r="N23" s="16">
        <v>28</v>
      </c>
      <c r="O23" s="16">
        <v>66.5</v>
      </c>
      <c r="P23" s="16">
        <v>90.6</v>
      </c>
      <c r="Q23" s="16">
        <v>39.700000000000003</v>
      </c>
      <c r="R23" s="16"/>
      <c r="S23" s="16">
        <v>4.0999999999999996</v>
      </c>
      <c r="T23" s="16">
        <v>4</v>
      </c>
      <c r="U23" s="16">
        <v>0</v>
      </c>
      <c r="V23" s="16"/>
      <c r="W23" s="16">
        <v>0</v>
      </c>
      <c r="X23" s="80"/>
      <c r="Y23" s="80"/>
      <c r="Z23" s="80"/>
      <c r="AA23" s="80"/>
      <c r="AB23" s="80"/>
      <c r="AC23" s="80"/>
      <c r="AD23" s="80"/>
      <c r="AE23" s="80"/>
      <c r="AF23" s="80"/>
      <c r="AG23" s="80"/>
      <c r="AH23" s="80"/>
      <c r="AI23" s="80"/>
      <c r="AJ23" s="80"/>
      <c r="AK23" s="80"/>
      <c r="AL23" s="80"/>
      <c r="AM23" s="80"/>
      <c r="AN23" s="80"/>
      <c r="AO23" s="80"/>
      <c r="AP23" s="80"/>
      <c r="AQ23" s="80"/>
    </row>
    <row r="24" spans="1:43" ht="15.75" customHeight="1">
      <c r="A24" s="329">
        <v>81</v>
      </c>
      <c r="B24" s="329" t="s">
        <v>417</v>
      </c>
      <c r="C24" s="329" t="s">
        <v>3034</v>
      </c>
      <c r="D24" s="218">
        <v>4</v>
      </c>
      <c r="E24" s="14" t="s">
        <v>2496</v>
      </c>
      <c r="F24" s="223">
        <v>0.5</v>
      </c>
      <c r="G24" s="223">
        <v>0.5</v>
      </c>
      <c r="H24" s="14">
        <v>1</v>
      </c>
      <c r="I24" s="14">
        <v>77036</v>
      </c>
      <c r="J24" s="219">
        <v>76146</v>
      </c>
      <c r="K24" s="222">
        <v>28.3</v>
      </c>
      <c r="L24" s="222">
        <v>37.200000000000003</v>
      </c>
      <c r="M24" s="222">
        <v>16.899999999999999</v>
      </c>
      <c r="N24" s="222">
        <v>81.099999999999994</v>
      </c>
      <c r="O24" s="222">
        <v>58.5</v>
      </c>
      <c r="P24" s="222">
        <v>64.900000000000006</v>
      </c>
      <c r="Q24" s="222">
        <v>21.1</v>
      </c>
      <c r="R24" s="222"/>
      <c r="S24" s="14">
        <v>1.9</v>
      </c>
      <c r="T24" s="14">
        <v>5</v>
      </c>
      <c r="U24" s="14">
        <v>2</v>
      </c>
      <c r="V24" s="224">
        <v>4905</v>
      </c>
      <c r="W24" s="14">
        <v>13.4</v>
      </c>
      <c r="X24" s="79"/>
      <c r="Y24" s="79"/>
      <c r="Z24" s="79"/>
      <c r="AA24" s="79"/>
      <c r="AB24" s="79"/>
      <c r="AC24" s="79"/>
      <c r="AD24" s="79"/>
      <c r="AE24" s="79"/>
      <c r="AF24" s="79"/>
      <c r="AG24" s="79"/>
      <c r="AH24" s="79"/>
      <c r="AI24" s="79"/>
      <c r="AJ24" s="79"/>
      <c r="AK24" s="79"/>
      <c r="AL24" s="79"/>
      <c r="AM24" s="79"/>
      <c r="AN24" s="79"/>
      <c r="AO24" s="79"/>
      <c r="AP24" s="79"/>
      <c r="AQ24" s="79"/>
    </row>
    <row r="25" spans="1:43" ht="15.75" customHeight="1">
      <c r="A25" s="329">
        <v>82</v>
      </c>
      <c r="B25" s="329" t="s">
        <v>419</v>
      </c>
      <c r="C25" s="329" t="s">
        <v>182</v>
      </c>
      <c r="D25" s="218">
        <v>6</v>
      </c>
      <c r="E25" s="16" t="s">
        <v>2495</v>
      </c>
      <c r="F25" s="220">
        <v>0.40625</v>
      </c>
      <c r="G25" s="220">
        <v>0.41458333333333336</v>
      </c>
      <c r="H25" s="16">
        <v>0</v>
      </c>
      <c r="I25" s="16">
        <v>60532</v>
      </c>
      <c r="J25" s="219">
        <v>27341</v>
      </c>
      <c r="K25" s="16">
        <v>33.700000000000003</v>
      </c>
      <c r="L25" s="16">
        <v>84</v>
      </c>
      <c r="M25" s="16">
        <v>6.3</v>
      </c>
      <c r="N25" s="16">
        <v>43.9</v>
      </c>
      <c r="O25" s="16">
        <v>73.400000000000006</v>
      </c>
      <c r="P25" s="16">
        <v>94.8</v>
      </c>
      <c r="Q25" s="16">
        <v>50.4</v>
      </c>
      <c r="R25" s="16"/>
      <c r="S25" s="16">
        <v>7.7</v>
      </c>
      <c r="T25" s="16">
        <v>5</v>
      </c>
      <c r="U25" s="16">
        <v>0</v>
      </c>
      <c r="V25" s="16">
        <v>43</v>
      </c>
      <c r="W25" s="16"/>
      <c r="X25" s="80"/>
      <c r="Y25" s="80"/>
      <c r="Z25" s="80"/>
      <c r="AA25" s="80"/>
      <c r="AB25" s="80"/>
      <c r="AC25" s="80"/>
      <c r="AD25" s="80"/>
      <c r="AE25" s="80"/>
      <c r="AF25" s="80"/>
      <c r="AG25" s="80"/>
      <c r="AH25" s="80"/>
      <c r="AI25" s="80"/>
      <c r="AJ25" s="80"/>
      <c r="AK25" s="80"/>
      <c r="AL25" s="80"/>
      <c r="AM25" s="80"/>
      <c r="AN25" s="80"/>
      <c r="AO25" s="80"/>
      <c r="AP25" s="80"/>
      <c r="AQ25" s="80"/>
    </row>
    <row r="26" spans="1:43" ht="15.75" customHeight="1">
      <c r="A26" s="329">
        <v>83</v>
      </c>
      <c r="B26" s="329" t="s">
        <v>422</v>
      </c>
      <c r="C26" s="329" t="s">
        <v>423</v>
      </c>
      <c r="D26" s="218">
        <v>4</v>
      </c>
      <c r="E26" s="16" t="s">
        <v>2496</v>
      </c>
      <c r="F26" s="220">
        <v>0</v>
      </c>
      <c r="G26" s="220">
        <v>3.472222222222222E-3</v>
      </c>
      <c r="H26" s="16">
        <v>3</v>
      </c>
      <c r="I26" s="16">
        <v>81650</v>
      </c>
      <c r="J26" s="219">
        <v>10319</v>
      </c>
      <c r="K26" s="16">
        <v>31.9</v>
      </c>
      <c r="L26" s="16">
        <v>89.4</v>
      </c>
      <c r="M26" s="16">
        <v>8</v>
      </c>
      <c r="N26" s="16">
        <v>34.9</v>
      </c>
      <c r="O26" s="16">
        <v>68.5</v>
      </c>
      <c r="P26" s="16">
        <v>82</v>
      </c>
      <c r="Q26" s="16">
        <v>14.5</v>
      </c>
      <c r="R26" s="16">
        <v>32.200000000000003</v>
      </c>
      <c r="S26" s="16">
        <v>29</v>
      </c>
      <c r="T26" s="16">
        <v>0</v>
      </c>
      <c r="U26" s="16">
        <v>2</v>
      </c>
      <c r="V26" s="16">
        <v>20</v>
      </c>
      <c r="W26" s="16"/>
      <c r="X26" s="80"/>
      <c r="Y26" s="80"/>
      <c r="Z26" s="80"/>
      <c r="AA26" s="80"/>
      <c r="AB26" s="80"/>
      <c r="AC26" s="80"/>
      <c r="AD26" s="80"/>
      <c r="AE26" s="80"/>
      <c r="AF26" s="80"/>
      <c r="AG26" s="80"/>
      <c r="AH26" s="80"/>
      <c r="AI26" s="80"/>
      <c r="AJ26" s="80"/>
      <c r="AK26" s="80"/>
      <c r="AL26" s="80"/>
      <c r="AM26" s="80"/>
      <c r="AN26" s="80"/>
      <c r="AO26" s="80"/>
      <c r="AP26" s="80"/>
      <c r="AQ26" s="80"/>
    </row>
    <row r="27" spans="1:43" ht="15.75" customHeight="1">
      <c r="A27" s="329">
        <v>84</v>
      </c>
      <c r="B27" s="329" t="s">
        <v>315</v>
      </c>
      <c r="C27" s="329" t="s">
        <v>122</v>
      </c>
      <c r="D27" s="218">
        <v>6</v>
      </c>
      <c r="E27" s="14" t="s">
        <v>2495</v>
      </c>
      <c r="F27" s="223">
        <v>0.97083333333333333</v>
      </c>
      <c r="G27" s="223">
        <v>0.95833333333333337</v>
      </c>
      <c r="H27" s="14">
        <v>3</v>
      </c>
      <c r="I27" s="16">
        <v>95818</v>
      </c>
      <c r="J27" s="219">
        <v>21298</v>
      </c>
      <c r="K27" s="16">
        <v>37.4</v>
      </c>
      <c r="L27" s="16">
        <v>60.8</v>
      </c>
      <c r="M27" s="16">
        <v>13</v>
      </c>
      <c r="N27" s="16">
        <v>49.2</v>
      </c>
      <c r="O27" s="16">
        <v>59.7</v>
      </c>
      <c r="P27" s="16">
        <v>83.5</v>
      </c>
      <c r="Q27" s="16">
        <v>37.1</v>
      </c>
      <c r="R27" s="225"/>
      <c r="S27" s="226"/>
      <c r="T27" s="226"/>
      <c r="U27" s="226"/>
      <c r="V27" s="226"/>
      <c r="W27" s="226"/>
      <c r="X27" s="80"/>
      <c r="Y27" s="80"/>
      <c r="Z27" s="80"/>
      <c r="AA27" s="80"/>
      <c r="AB27" s="80"/>
      <c r="AC27" s="80"/>
      <c r="AD27" s="80"/>
      <c r="AE27" s="80"/>
      <c r="AF27" s="80"/>
      <c r="AG27" s="80"/>
      <c r="AH27" s="80"/>
      <c r="AI27" s="80"/>
      <c r="AJ27" s="80"/>
      <c r="AK27" s="80"/>
      <c r="AL27" s="80"/>
      <c r="AM27" s="80"/>
      <c r="AN27" s="80"/>
      <c r="AO27" s="80"/>
      <c r="AP27" s="80"/>
      <c r="AQ27" s="80"/>
    </row>
    <row r="28" spans="1:43" ht="15.75" customHeight="1">
      <c r="A28" s="329">
        <v>85</v>
      </c>
      <c r="B28" s="329" t="s">
        <v>429</v>
      </c>
      <c r="C28" s="329" t="s">
        <v>182</v>
      </c>
      <c r="D28" s="218">
        <v>6</v>
      </c>
      <c r="E28" s="16" t="s">
        <v>2495</v>
      </c>
      <c r="F28" s="220">
        <v>0.33333333333333331</v>
      </c>
      <c r="G28" s="16"/>
      <c r="H28" s="16">
        <v>0</v>
      </c>
      <c r="I28" s="16">
        <v>46628</v>
      </c>
      <c r="J28" s="219">
        <v>26726</v>
      </c>
      <c r="K28" s="16">
        <v>34</v>
      </c>
      <c r="L28" s="16">
        <v>63.7</v>
      </c>
      <c r="M28" s="16">
        <v>18.3</v>
      </c>
      <c r="N28" s="16">
        <v>30.2</v>
      </c>
      <c r="O28" s="16">
        <v>62.9</v>
      </c>
      <c r="P28" s="16">
        <v>79.3</v>
      </c>
      <c r="Q28" s="16">
        <v>18.399999999999999</v>
      </c>
      <c r="R28" s="16"/>
      <c r="S28" s="16">
        <v>3.8</v>
      </c>
      <c r="T28" s="16">
        <v>1</v>
      </c>
      <c r="U28" s="16">
        <v>0</v>
      </c>
      <c r="V28" s="16">
        <v>255</v>
      </c>
      <c r="W28" s="16">
        <v>19.37</v>
      </c>
      <c r="X28" s="80"/>
      <c r="Y28" s="80"/>
      <c r="Z28" s="80"/>
      <c r="AA28" s="80"/>
      <c r="AB28" s="80"/>
      <c r="AC28" s="80"/>
      <c r="AD28" s="80"/>
      <c r="AE28" s="80"/>
      <c r="AF28" s="80"/>
      <c r="AG28" s="80"/>
      <c r="AH28" s="80"/>
      <c r="AI28" s="80"/>
      <c r="AJ28" s="80"/>
      <c r="AK28" s="80"/>
      <c r="AL28" s="80"/>
      <c r="AM28" s="80"/>
      <c r="AN28" s="80"/>
      <c r="AO28" s="80"/>
      <c r="AP28" s="80"/>
      <c r="AQ28" s="80"/>
    </row>
    <row r="29" spans="1:43" ht="15.75" customHeight="1">
      <c r="A29" s="329">
        <v>86</v>
      </c>
      <c r="B29" s="329" t="s">
        <v>432</v>
      </c>
      <c r="C29" s="329" t="s">
        <v>433</v>
      </c>
      <c r="D29" s="218">
        <v>6</v>
      </c>
      <c r="E29" s="16" t="s">
        <v>2508</v>
      </c>
      <c r="F29" s="220">
        <v>0.27083333333333331</v>
      </c>
      <c r="G29" s="220">
        <v>0.60416666666666663</v>
      </c>
      <c r="H29" s="16">
        <v>0</v>
      </c>
      <c r="I29" s="16">
        <v>35805</v>
      </c>
      <c r="J29" s="219">
        <v>21096</v>
      </c>
      <c r="K29" s="16">
        <v>32.5</v>
      </c>
      <c r="L29" s="16">
        <v>58.1</v>
      </c>
      <c r="M29" s="16">
        <v>19.8</v>
      </c>
      <c r="N29" s="16">
        <v>63.8</v>
      </c>
      <c r="O29" s="16">
        <v>57.5</v>
      </c>
      <c r="P29" s="16">
        <v>71</v>
      </c>
      <c r="Q29" s="16">
        <v>11.4</v>
      </c>
      <c r="R29" s="16">
        <v>30.6</v>
      </c>
      <c r="S29" s="16">
        <v>1.5</v>
      </c>
      <c r="T29" s="16">
        <v>1</v>
      </c>
      <c r="U29" s="16">
        <v>0</v>
      </c>
      <c r="V29" s="16">
        <v>369</v>
      </c>
      <c r="W29" s="16">
        <v>3.1</v>
      </c>
      <c r="X29" s="80"/>
      <c r="Y29" s="80"/>
      <c r="Z29" s="80"/>
      <c r="AA29" s="80"/>
      <c r="AB29" s="80"/>
      <c r="AC29" s="80"/>
      <c r="AD29" s="80"/>
      <c r="AE29" s="80"/>
      <c r="AF29" s="80"/>
      <c r="AG29" s="80"/>
      <c r="AH29" s="80"/>
      <c r="AI29" s="80"/>
      <c r="AJ29" s="80"/>
      <c r="AK29" s="80"/>
      <c r="AL29" s="80"/>
      <c r="AM29" s="80"/>
      <c r="AN29" s="80"/>
      <c r="AO29" s="80"/>
      <c r="AP29" s="80"/>
      <c r="AQ29" s="80"/>
    </row>
    <row r="30" spans="1:43" ht="15.75" customHeight="1">
      <c r="A30" s="329">
        <v>87</v>
      </c>
      <c r="B30" s="329" t="s">
        <v>436</v>
      </c>
      <c r="C30" s="329" t="s">
        <v>437</v>
      </c>
      <c r="D30" s="218">
        <v>6</v>
      </c>
      <c r="E30" s="16" t="s">
        <v>2495</v>
      </c>
      <c r="F30" s="220">
        <v>0.40277777777777779</v>
      </c>
      <c r="G30" s="16"/>
      <c r="H30" s="16">
        <v>0</v>
      </c>
      <c r="I30" s="16">
        <v>39301</v>
      </c>
      <c r="J30" s="219">
        <v>28485</v>
      </c>
      <c r="K30" s="16">
        <v>34.1</v>
      </c>
      <c r="L30" s="16">
        <v>51</v>
      </c>
      <c r="M30" s="16">
        <v>21.9</v>
      </c>
      <c r="N30" s="16">
        <v>39.200000000000003</v>
      </c>
      <c r="O30" s="16">
        <v>50.7</v>
      </c>
      <c r="P30" s="16">
        <v>67</v>
      </c>
      <c r="Q30" s="16">
        <v>11.2</v>
      </c>
      <c r="R30" s="16"/>
      <c r="S30" s="16">
        <v>6.2</v>
      </c>
      <c r="T30" s="16">
        <v>7</v>
      </c>
      <c r="U30" s="16">
        <v>3</v>
      </c>
      <c r="V30" s="16">
        <v>115</v>
      </c>
      <c r="W30" s="16">
        <v>4.95</v>
      </c>
      <c r="X30" s="80"/>
      <c r="Y30" s="80"/>
      <c r="Z30" s="80"/>
      <c r="AA30" s="80"/>
      <c r="AB30" s="80"/>
      <c r="AC30" s="80"/>
      <c r="AD30" s="80"/>
      <c r="AE30" s="80"/>
      <c r="AF30" s="80"/>
      <c r="AG30" s="80"/>
      <c r="AH30" s="80"/>
      <c r="AI30" s="80"/>
      <c r="AJ30" s="80"/>
      <c r="AK30" s="80"/>
      <c r="AL30" s="80"/>
      <c r="AM30" s="80"/>
      <c r="AN30" s="80"/>
      <c r="AO30" s="80"/>
      <c r="AP30" s="80"/>
      <c r="AQ30" s="80"/>
    </row>
    <row r="31" spans="1:43" ht="15.75" customHeight="1">
      <c r="A31" s="329">
        <v>88</v>
      </c>
      <c r="B31" s="329" t="s">
        <v>441</v>
      </c>
      <c r="C31" s="329" t="s">
        <v>442</v>
      </c>
      <c r="D31" s="218">
        <v>6</v>
      </c>
      <c r="E31" s="16" t="s">
        <v>2495</v>
      </c>
      <c r="F31" s="220">
        <v>0.35902777777777778</v>
      </c>
      <c r="G31" s="16"/>
      <c r="H31" s="16">
        <v>0</v>
      </c>
      <c r="I31" s="16">
        <v>60609</v>
      </c>
      <c r="J31" s="219">
        <v>2896016</v>
      </c>
      <c r="K31" s="16">
        <v>31.5</v>
      </c>
      <c r="L31" s="16">
        <v>42</v>
      </c>
      <c r="M31" s="16">
        <v>18.899999999999999</v>
      </c>
      <c r="N31" s="16">
        <v>56.2</v>
      </c>
      <c r="O31" s="16">
        <v>55.1</v>
      </c>
      <c r="P31" s="16">
        <v>71.8</v>
      </c>
      <c r="Q31" s="16">
        <v>25.5</v>
      </c>
      <c r="R31" s="16"/>
      <c r="S31" s="16"/>
      <c r="T31" s="16"/>
      <c r="U31" s="16"/>
      <c r="V31" s="219">
        <v>13400</v>
      </c>
      <c r="W31" s="16">
        <v>22.04</v>
      </c>
      <c r="X31" s="80"/>
      <c r="Y31" s="80"/>
      <c r="Z31" s="80"/>
      <c r="AA31" s="80"/>
      <c r="AB31" s="80"/>
      <c r="AC31" s="80"/>
      <c r="AD31" s="80"/>
      <c r="AE31" s="80"/>
      <c r="AF31" s="80"/>
      <c r="AG31" s="80"/>
      <c r="AH31" s="80"/>
      <c r="AI31" s="80"/>
      <c r="AJ31" s="80"/>
      <c r="AK31" s="80"/>
      <c r="AL31" s="80"/>
      <c r="AM31" s="80"/>
      <c r="AN31" s="80"/>
      <c r="AO31" s="80"/>
      <c r="AP31" s="80"/>
      <c r="AQ31" s="80"/>
    </row>
    <row r="32" spans="1:43" ht="15.75" customHeight="1">
      <c r="A32" s="329">
        <v>89</v>
      </c>
      <c r="B32" s="329" t="s">
        <v>444</v>
      </c>
      <c r="C32" s="329" t="s">
        <v>445</v>
      </c>
      <c r="D32" s="218">
        <v>5</v>
      </c>
      <c r="E32" s="16" t="s">
        <v>2509</v>
      </c>
      <c r="F32" s="220">
        <v>0.64583333333333337</v>
      </c>
      <c r="G32" s="220">
        <v>0.95833333333333337</v>
      </c>
      <c r="H32" s="16">
        <v>1</v>
      </c>
      <c r="I32" s="16">
        <v>83822</v>
      </c>
      <c r="J32" s="219">
        <v>1890</v>
      </c>
      <c r="K32" s="16">
        <v>38.299999999999997</v>
      </c>
      <c r="L32" s="16">
        <v>96</v>
      </c>
      <c r="M32" s="16">
        <v>7.7</v>
      </c>
      <c r="N32" s="16">
        <v>17</v>
      </c>
      <c r="O32" s="16">
        <v>51.2</v>
      </c>
      <c r="P32" s="16">
        <v>48.9</v>
      </c>
      <c r="Q32" s="16">
        <v>0</v>
      </c>
      <c r="R32" s="16">
        <v>29.1</v>
      </c>
      <c r="S32" s="16">
        <v>0.6</v>
      </c>
      <c r="T32" s="16">
        <v>0</v>
      </c>
      <c r="U32" s="16">
        <v>0</v>
      </c>
      <c r="V32" s="16">
        <v>16</v>
      </c>
      <c r="W32" s="16"/>
      <c r="X32" s="80"/>
      <c r="Y32" s="80"/>
      <c r="Z32" s="80"/>
      <c r="AA32" s="80"/>
      <c r="AB32" s="80"/>
      <c r="AC32" s="80"/>
      <c r="AD32" s="80"/>
      <c r="AE32" s="80"/>
      <c r="AF32" s="80"/>
      <c r="AG32" s="80"/>
      <c r="AH32" s="80"/>
      <c r="AI32" s="80"/>
      <c r="AJ32" s="80"/>
      <c r="AK32" s="80"/>
      <c r="AL32" s="80"/>
      <c r="AM32" s="80"/>
      <c r="AN32" s="80"/>
      <c r="AO32" s="80"/>
      <c r="AP32" s="80"/>
      <c r="AQ32" s="80"/>
    </row>
    <row r="33" spans="1:43" ht="15.75" customHeight="1">
      <c r="A33" s="329">
        <v>90</v>
      </c>
      <c r="B33" s="329" t="s">
        <v>193</v>
      </c>
      <c r="C33" s="329" t="s">
        <v>448</v>
      </c>
      <c r="D33" s="218">
        <v>6</v>
      </c>
      <c r="E33" s="16" t="s">
        <v>2495</v>
      </c>
      <c r="F33" s="16"/>
      <c r="G33" s="16"/>
      <c r="H33" s="16">
        <v>1</v>
      </c>
      <c r="I33" s="16">
        <v>66106</v>
      </c>
      <c r="J33" s="219">
        <v>24283</v>
      </c>
      <c r="K33" s="16">
        <v>32.299999999999997</v>
      </c>
      <c r="L33" s="16">
        <v>77.5</v>
      </c>
      <c r="M33" s="16">
        <v>16.3</v>
      </c>
      <c r="N33" s="16">
        <v>31.2</v>
      </c>
      <c r="O33" s="16">
        <v>62</v>
      </c>
      <c r="P33" s="16">
        <v>73.8</v>
      </c>
      <c r="Q33" s="16">
        <v>8.3000000000000007</v>
      </c>
      <c r="R33" s="16"/>
      <c r="S33" s="16">
        <v>6.3</v>
      </c>
      <c r="T33" s="16">
        <v>1</v>
      </c>
      <c r="U33" s="16">
        <v>0</v>
      </c>
      <c r="V33" s="16">
        <v>372</v>
      </c>
      <c r="W33" s="16"/>
      <c r="X33" s="80"/>
      <c r="Y33" s="80"/>
      <c r="Z33" s="80"/>
      <c r="AA33" s="80"/>
      <c r="AB33" s="80"/>
      <c r="AC33" s="80"/>
      <c r="AD33" s="80"/>
      <c r="AE33" s="80"/>
      <c r="AF33" s="80"/>
      <c r="AG33" s="80"/>
      <c r="AH33" s="80"/>
      <c r="AI33" s="80"/>
      <c r="AJ33" s="80"/>
      <c r="AK33" s="80"/>
      <c r="AL33" s="80"/>
      <c r="AM33" s="80"/>
      <c r="AN33" s="80"/>
      <c r="AO33" s="80"/>
      <c r="AP33" s="80"/>
      <c r="AQ33" s="80"/>
    </row>
    <row r="34" spans="1:43" ht="15.75" customHeight="1">
      <c r="A34" s="329">
        <v>91</v>
      </c>
      <c r="B34" s="329" t="s">
        <v>450</v>
      </c>
      <c r="C34" s="329" t="s">
        <v>451</v>
      </c>
      <c r="D34" s="218">
        <v>8</v>
      </c>
      <c r="E34" s="16" t="s">
        <v>2510</v>
      </c>
      <c r="F34" s="220">
        <v>0.54166666666666663</v>
      </c>
      <c r="G34" s="220">
        <v>0.75</v>
      </c>
      <c r="H34" s="16">
        <v>1</v>
      </c>
      <c r="I34" s="16">
        <v>54835</v>
      </c>
      <c r="J34" s="219">
        <v>16196</v>
      </c>
      <c r="K34" s="16">
        <v>42.1</v>
      </c>
      <c r="L34" s="16">
        <v>81.7</v>
      </c>
      <c r="M34" s="16">
        <v>10</v>
      </c>
      <c r="N34" s="16">
        <v>22.9</v>
      </c>
      <c r="O34" s="16">
        <v>56.4</v>
      </c>
      <c r="P34" s="16">
        <v>84.7</v>
      </c>
      <c r="Q34" s="16">
        <v>16.5</v>
      </c>
      <c r="R34" s="16">
        <v>13.2</v>
      </c>
      <c r="S34" s="16">
        <v>28.7</v>
      </c>
      <c r="T34" s="16">
        <v>3</v>
      </c>
      <c r="U34" s="16">
        <v>1</v>
      </c>
      <c r="V34" s="16"/>
      <c r="W34" s="16"/>
      <c r="X34" s="80"/>
      <c r="Y34" s="80"/>
      <c r="Z34" s="80"/>
      <c r="AA34" s="80"/>
      <c r="AB34" s="80"/>
      <c r="AC34" s="80"/>
      <c r="AD34" s="80"/>
      <c r="AE34" s="80"/>
      <c r="AF34" s="80"/>
      <c r="AG34" s="80"/>
      <c r="AH34" s="80"/>
      <c r="AI34" s="80"/>
      <c r="AJ34" s="80"/>
      <c r="AK34" s="80"/>
      <c r="AL34" s="80"/>
      <c r="AM34" s="80"/>
      <c r="AN34" s="80"/>
      <c r="AO34" s="80"/>
      <c r="AP34" s="80"/>
      <c r="AQ34" s="80"/>
    </row>
    <row r="35" spans="1:43" ht="15.75" customHeight="1">
      <c r="A35" s="329">
        <v>92</v>
      </c>
      <c r="B35" s="329" t="s">
        <v>454</v>
      </c>
      <c r="C35" s="329" t="s">
        <v>319</v>
      </c>
      <c r="D35" s="218">
        <v>5</v>
      </c>
      <c r="E35" s="16" t="s">
        <v>2509</v>
      </c>
      <c r="F35" s="220">
        <v>0.93055555555555558</v>
      </c>
      <c r="G35" s="16"/>
      <c r="H35" s="16">
        <v>3</v>
      </c>
      <c r="I35" s="16">
        <v>43229</v>
      </c>
      <c r="J35" s="219">
        <v>46347</v>
      </c>
      <c r="K35" s="16">
        <v>33.1</v>
      </c>
      <c r="L35" s="16">
        <v>48.8</v>
      </c>
      <c r="M35" s="16">
        <v>18.100000000000001</v>
      </c>
      <c r="N35" s="16">
        <v>57.5</v>
      </c>
      <c r="O35" s="16">
        <v>61.7</v>
      </c>
      <c r="P35" s="16">
        <v>31</v>
      </c>
      <c r="Q35" s="16">
        <v>10</v>
      </c>
      <c r="R35" s="16">
        <v>23.2</v>
      </c>
      <c r="S35" s="16">
        <v>5.0999999999999996</v>
      </c>
      <c r="T35" s="16">
        <v>4</v>
      </c>
      <c r="U35" s="16">
        <v>1</v>
      </c>
      <c r="V35" s="219">
        <v>1812</v>
      </c>
      <c r="W35" s="16">
        <v>15</v>
      </c>
      <c r="X35" s="80"/>
      <c r="Y35" s="80"/>
      <c r="Z35" s="80"/>
      <c r="AA35" s="80"/>
      <c r="AB35" s="80"/>
      <c r="AC35" s="80"/>
      <c r="AD35" s="80"/>
      <c r="AE35" s="80"/>
      <c r="AF35" s="80"/>
      <c r="AG35" s="80"/>
      <c r="AH35" s="80"/>
      <c r="AI35" s="80"/>
      <c r="AJ35" s="80"/>
      <c r="AK35" s="80"/>
      <c r="AL35" s="80"/>
      <c r="AM35" s="80"/>
      <c r="AN35" s="80"/>
      <c r="AO35" s="80"/>
      <c r="AP35" s="80"/>
      <c r="AQ35" s="80"/>
    </row>
    <row r="36" spans="1:43" ht="15.75" customHeight="1">
      <c r="A36" s="329">
        <v>93</v>
      </c>
      <c r="B36" s="329" t="s">
        <v>457</v>
      </c>
      <c r="C36" s="329" t="s">
        <v>458</v>
      </c>
      <c r="D36" s="218">
        <v>2</v>
      </c>
      <c r="E36" s="14" t="s">
        <v>2511</v>
      </c>
      <c r="F36" s="220">
        <v>0.37152777777777779</v>
      </c>
      <c r="G36" s="220">
        <v>0.47499999999999998</v>
      </c>
      <c r="H36" s="16">
        <v>0</v>
      </c>
      <c r="I36" s="16">
        <v>30303</v>
      </c>
      <c r="J36" s="219">
        <v>5934</v>
      </c>
      <c r="K36" s="16">
        <v>22</v>
      </c>
      <c r="L36" s="16">
        <v>30.1</v>
      </c>
      <c r="M36" s="16">
        <v>5.7</v>
      </c>
      <c r="N36" s="16">
        <v>80.2</v>
      </c>
      <c r="O36" s="16">
        <v>34.200000000000003</v>
      </c>
      <c r="P36" s="16">
        <v>10</v>
      </c>
      <c r="Q36" s="16">
        <v>8.9</v>
      </c>
      <c r="R36" s="16"/>
      <c r="S36" s="16">
        <v>0.9</v>
      </c>
      <c r="T36" s="16">
        <v>5</v>
      </c>
      <c r="U36" s="16">
        <v>0</v>
      </c>
      <c r="V36" s="219">
        <v>1500</v>
      </c>
      <c r="W36" s="16">
        <v>25.8</v>
      </c>
      <c r="X36" s="80"/>
      <c r="Y36" s="80"/>
      <c r="Z36" s="80"/>
      <c r="AA36" s="80"/>
      <c r="AB36" s="80"/>
      <c r="AC36" s="80"/>
      <c r="AD36" s="80"/>
      <c r="AE36" s="80"/>
      <c r="AF36" s="80"/>
      <c r="AG36" s="80"/>
      <c r="AH36" s="80"/>
      <c r="AI36" s="80"/>
      <c r="AJ36" s="80"/>
      <c r="AK36" s="80"/>
      <c r="AL36" s="80"/>
      <c r="AM36" s="80"/>
      <c r="AN36" s="80"/>
      <c r="AO36" s="80"/>
      <c r="AP36" s="80"/>
      <c r="AQ36" s="80"/>
    </row>
    <row r="37" spans="1:43" ht="15.75" customHeight="1">
      <c r="A37" s="329">
        <v>94</v>
      </c>
      <c r="B37" s="329" t="s">
        <v>460</v>
      </c>
      <c r="C37" s="329" t="s">
        <v>461</v>
      </c>
      <c r="D37" s="218">
        <v>3</v>
      </c>
      <c r="E37" s="14" t="s">
        <v>2502</v>
      </c>
      <c r="F37" s="14"/>
      <c r="G37" s="14"/>
      <c r="H37" s="14"/>
      <c r="I37" s="14">
        <v>53005</v>
      </c>
      <c r="J37" s="219">
        <v>19425</v>
      </c>
      <c r="K37" s="222">
        <v>46.6</v>
      </c>
      <c r="L37" s="222">
        <v>90.9</v>
      </c>
      <c r="M37" s="222">
        <v>5.9</v>
      </c>
      <c r="N37" s="222">
        <v>9.6</v>
      </c>
      <c r="O37" s="222">
        <v>61.1</v>
      </c>
      <c r="P37" s="222">
        <v>96.3</v>
      </c>
      <c r="Q37" s="222">
        <v>51.7</v>
      </c>
      <c r="R37" s="222"/>
      <c r="S37" s="14"/>
      <c r="T37" s="14">
        <v>9</v>
      </c>
      <c r="U37" s="14">
        <v>3</v>
      </c>
      <c r="V37" s="14">
        <v>65</v>
      </c>
      <c r="W37" s="14">
        <v>0</v>
      </c>
      <c r="X37" s="79"/>
      <c r="Y37" s="79"/>
      <c r="Z37" s="79"/>
      <c r="AA37" s="79"/>
      <c r="AB37" s="79"/>
      <c r="AC37" s="79"/>
      <c r="AD37" s="79"/>
      <c r="AE37" s="79"/>
      <c r="AF37" s="79"/>
      <c r="AG37" s="79"/>
      <c r="AH37" s="79"/>
      <c r="AI37" s="79"/>
      <c r="AJ37" s="79"/>
      <c r="AK37" s="79"/>
      <c r="AL37" s="79"/>
      <c r="AM37" s="79"/>
      <c r="AN37" s="79"/>
      <c r="AO37" s="79"/>
      <c r="AP37" s="79"/>
      <c r="AQ37" s="79"/>
    </row>
    <row r="38" spans="1:43" ht="15.75" customHeight="1">
      <c r="A38" s="329">
        <v>95</v>
      </c>
      <c r="B38" s="329" t="s">
        <v>464</v>
      </c>
      <c r="C38" s="329" t="s">
        <v>465</v>
      </c>
      <c r="D38" s="218">
        <v>0</v>
      </c>
      <c r="E38" s="16" t="s">
        <v>2501</v>
      </c>
      <c r="F38" s="220">
        <v>0.61736111111111114</v>
      </c>
      <c r="G38" s="220">
        <v>0.62361111111111112</v>
      </c>
      <c r="H38" s="16">
        <v>1</v>
      </c>
      <c r="I38" s="16">
        <v>55671</v>
      </c>
      <c r="J38" s="219">
        <v>3371</v>
      </c>
      <c r="K38" s="16">
        <v>24.8</v>
      </c>
      <c r="L38" s="16">
        <v>0.8</v>
      </c>
      <c r="M38" s="16">
        <v>37.5</v>
      </c>
      <c r="N38" s="16">
        <v>36.5</v>
      </c>
      <c r="O38" s="16">
        <v>48.4</v>
      </c>
      <c r="P38" s="16">
        <v>82</v>
      </c>
      <c r="Q38" s="16">
        <v>5.5</v>
      </c>
      <c r="R38" s="16"/>
      <c r="S38" s="16">
        <v>0.9</v>
      </c>
      <c r="T38" s="16">
        <v>2</v>
      </c>
      <c r="U38" s="16">
        <v>0</v>
      </c>
      <c r="V38" s="16">
        <v>41</v>
      </c>
      <c r="W38" s="16"/>
      <c r="X38" s="79"/>
      <c r="Y38" s="79"/>
      <c r="Z38" s="79"/>
      <c r="AA38" s="79"/>
      <c r="AB38" s="79"/>
      <c r="AC38" s="79"/>
      <c r="AD38" s="79"/>
      <c r="AE38" s="79"/>
      <c r="AF38" s="79"/>
      <c r="AG38" s="79"/>
      <c r="AH38" s="79"/>
      <c r="AI38" s="79"/>
      <c r="AJ38" s="79"/>
      <c r="AK38" s="79"/>
      <c r="AL38" s="79"/>
      <c r="AM38" s="79"/>
      <c r="AN38" s="79"/>
      <c r="AO38" s="79"/>
      <c r="AP38" s="79"/>
      <c r="AQ38" s="79"/>
    </row>
    <row r="39" spans="1:43" ht="15.75" customHeight="1">
      <c r="A39" s="329">
        <v>96</v>
      </c>
      <c r="B39" s="329" t="s">
        <v>469</v>
      </c>
      <c r="C39" s="329" t="s">
        <v>470</v>
      </c>
      <c r="D39" s="218">
        <v>3</v>
      </c>
      <c r="E39" s="14" t="s">
        <v>2502</v>
      </c>
      <c r="F39" s="223">
        <v>0.875</v>
      </c>
      <c r="G39" s="223">
        <v>0.25</v>
      </c>
      <c r="H39" s="14">
        <v>3</v>
      </c>
      <c r="I39" s="14">
        <v>75446</v>
      </c>
      <c r="J39" s="219">
        <v>2845</v>
      </c>
      <c r="K39" s="222">
        <v>39.4</v>
      </c>
      <c r="L39" s="222">
        <v>84.4</v>
      </c>
      <c r="M39" s="222">
        <v>10.9</v>
      </c>
      <c r="N39" s="222">
        <v>27.1</v>
      </c>
      <c r="O39" s="222">
        <v>50.4</v>
      </c>
      <c r="P39" s="222">
        <v>72.5</v>
      </c>
      <c r="Q39" s="222">
        <v>13.6</v>
      </c>
      <c r="R39" s="222"/>
      <c r="S39" s="14">
        <v>24.8</v>
      </c>
      <c r="T39" s="14">
        <v>0</v>
      </c>
      <c r="U39" s="14">
        <v>0</v>
      </c>
      <c r="V39" s="14">
        <v>4</v>
      </c>
      <c r="W39" s="14"/>
      <c r="X39" s="79"/>
      <c r="Y39" s="79"/>
      <c r="Z39" s="79"/>
      <c r="AA39" s="79"/>
      <c r="AB39" s="79"/>
      <c r="AC39" s="79"/>
      <c r="AD39" s="79"/>
      <c r="AE39" s="79"/>
      <c r="AF39" s="79"/>
      <c r="AG39" s="79"/>
      <c r="AH39" s="79"/>
      <c r="AI39" s="79"/>
      <c r="AJ39" s="79"/>
      <c r="AK39" s="79"/>
      <c r="AL39" s="79"/>
      <c r="AM39" s="79"/>
      <c r="AN39" s="79"/>
      <c r="AO39" s="79"/>
      <c r="AP39" s="79"/>
      <c r="AQ39" s="79"/>
    </row>
    <row r="40" spans="1:43" ht="15.75" customHeight="1">
      <c r="A40" s="329">
        <v>97</v>
      </c>
      <c r="B40" s="329" t="s">
        <v>472</v>
      </c>
      <c r="C40" s="329" t="s">
        <v>473</v>
      </c>
      <c r="D40" s="218">
        <v>6</v>
      </c>
      <c r="E40" s="16" t="s">
        <v>2495</v>
      </c>
      <c r="F40" s="220">
        <v>0.875</v>
      </c>
      <c r="G40" s="16"/>
      <c r="H40" s="16">
        <v>3</v>
      </c>
      <c r="I40" s="16">
        <v>93199</v>
      </c>
      <c r="J40" s="219">
        <v>29888</v>
      </c>
      <c r="K40" s="16">
        <v>36.5</v>
      </c>
      <c r="L40" s="16">
        <v>69.7</v>
      </c>
      <c r="M40" s="16">
        <v>9.8000000000000007</v>
      </c>
      <c r="N40" s="16">
        <v>46.4</v>
      </c>
      <c r="O40" s="16">
        <v>66.2</v>
      </c>
      <c r="P40" s="16">
        <v>86.8</v>
      </c>
      <c r="Q40" s="16">
        <v>42.2</v>
      </c>
      <c r="R40" s="16"/>
      <c r="S40" s="16">
        <v>4.9000000000000004</v>
      </c>
      <c r="T40" s="16">
        <v>0</v>
      </c>
      <c r="U40" s="16">
        <v>0</v>
      </c>
      <c r="V40" s="16">
        <v>150</v>
      </c>
      <c r="W40" s="16">
        <v>0</v>
      </c>
      <c r="X40" s="80"/>
      <c r="Y40" s="80"/>
      <c r="Z40" s="80"/>
      <c r="AA40" s="80"/>
      <c r="AB40" s="80"/>
      <c r="AC40" s="80"/>
      <c r="AD40" s="80"/>
      <c r="AE40" s="80"/>
      <c r="AF40" s="80"/>
      <c r="AG40" s="80"/>
      <c r="AH40" s="80"/>
      <c r="AI40" s="80"/>
      <c r="AJ40" s="80"/>
      <c r="AK40" s="80"/>
      <c r="AL40" s="80"/>
      <c r="AM40" s="80"/>
      <c r="AN40" s="80"/>
      <c r="AO40" s="80"/>
      <c r="AP40" s="80"/>
      <c r="AQ40" s="80"/>
    </row>
    <row r="41" spans="1:43" ht="15.75" customHeight="1">
      <c r="A41" s="329">
        <v>98</v>
      </c>
      <c r="B41" s="329" t="s">
        <v>476</v>
      </c>
      <c r="C41" s="329" t="s">
        <v>477</v>
      </c>
      <c r="D41" s="218">
        <v>7</v>
      </c>
      <c r="E41" s="16" t="s">
        <v>2512</v>
      </c>
      <c r="F41" s="220">
        <v>0.28472222222222221</v>
      </c>
      <c r="G41" s="220">
        <v>0.29166666666666669</v>
      </c>
      <c r="H41" s="16">
        <v>0</v>
      </c>
      <c r="I41" s="16">
        <v>98112</v>
      </c>
      <c r="J41" s="219">
        <v>21077</v>
      </c>
      <c r="K41" s="16">
        <v>39.4</v>
      </c>
      <c r="L41" s="16">
        <v>83.7</v>
      </c>
      <c r="M41" s="16">
        <v>5.6</v>
      </c>
      <c r="N41" s="16">
        <v>44.9</v>
      </c>
      <c r="O41" s="16">
        <v>69.099999999999994</v>
      </c>
      <c r="P41" s="16">
        <v>98.2</v>
      </c>
      <c r="Q41" s="16">
        <v>75.5</v>
      </c>
      <c r="R41" s="16">
        <v>4.4000000000000004</v>
      </c>
      <c r="S41" s="16">
        <v>1.8</v>
      </c>
      <c r="T41" s="16">
        <v>3</v>
      </c>
      <c r="U41" s="16">
        <v>0</v>
      </c>
      <c r="V41" s="219">
        <v>1262</v>
      </c>
      <c r="W41" s="16">
        <v>4.3</v>
      </c>
      <c r="X41" s="80"/>
      <c r="Y41" s="80"/>
      <c r="Z41" s="80"/>
      <c r="AA41" s="80"/>
      <c r="AB41" s="80"/>
      <c r="AC41" s="80"/>
      <c r="AD41" s="80"/>
      <c r="AE41" s="80"/>
      <c r="AF41" s="80"/>
      <c r="AG41" s="80"/>
      <c r="AH41" s="80"/>
      <c r="AI41" s="80"/>
      <c r="AJ41" s="80"/>
      <c r="AK41" s="80"/>
      <c r="AL41" s="80"/>
      <c r="AM41" s="80"/>
      <c r="AN41" s="80"/>
      <c r="AO41" s="80"/>
      <c r="AP41" s="80"/>
      <c r="AQ41" s="80"/>
    </row>
    <row r="42" spans="1:43" ht="15.75" customHeight="1">
      <c r="A42" s="329">
        <v>99</v>
      </c>
      <c r="B42" s="329" t="s">
        <v>480</v>
      </c>
      <c r="C42" s="329" t="s">
        <v>481</v>
      </c>
      <c r="D42" s="218">
        <v>3</v>
      </c>
      <c r="E42" s="14" t="s">
        <v>2502</v>
      </c>
      <c r="F42" s="223">
        <v>0.41666666666666669</v>
      </c>
      <c r="G42" s="14"/>
      <c r="H42" s="14">
        <v>0</v>
      </c>
      <c r="I42" s="14">
        <v>70806</v>
      </c>
      <c r="J42" s="219">
        <v>28706</v>
      </c>
      <c r="K42" s="222">
        <v>33.9</v>
      </c>
      <c r="L42" s="222">
        <v>47</v>
      </c>
      <c r="M42" s="222">
        <v>19.399999999999999</v>
      </c>
      <c r="N42" s="222">
        <v>56.9</v>
      </c>
      <c r="O42" s="222">
        <v>60.3</v>
      </c>
      <c r="P42" s="222">
        <v>83.2</v>
      </c>
      <c r="Q42" s="222">
        <v>36.5</v>
      </c>
      <c r="R42" s="222">
        <v>17.100000000000001</v>
      </c>
      <c r="S42" s="14">
        <v>1.3</v>
      </c>
      <c r="T42" s="14">
        <v>8</v>
      </c>
      <c r="U42" s="14">
        <v>0</v>
      </c>
      <c r="V42" s="14">
        <v>645</v>
      </c>
      <c r="W42" s="14">
        <v>27.1</v>
      </c>
      <c r="X42" s="79"/>
      <c r="Y42" s="79"/>
      <c r="Z42" s="79"/>
      <c r="AA42" s="79"/>
      <c r="AB42" s="79"/>
      <c r="AC42" s="79"/>
      <c r="AD42" s="79"/>
      <c r="AE42" s="79"/>
      <c r="AF42" s="79"/>
      <c r="AG42" s="79"/>
      <c r="AH42" s="79"/>
      <c r="AI42" s="79"/>
      <c r="AJ42" s="79"/>
      <c r="AK42" s="79"/>
      <c r="AL42" s="79"/>
      <c r="AM42" s="79"/>
      <c r="AN42" s="79"/>
      <c r="AO42" s="79"/>
      <c r="AP42" s="79"/>
      <c r="AQ42" s="79"/>
    </row>
    <row r="43" spans="1:43" ht="15.75" customHeight="1">
      <c r="A43" s="329">
        <v>100</v>
      </c>
      <c r="B43" s="329" t="s">
        <v>484</v>
      </c>
      <c r="C43" s="329" t="s">
        <v>94</v>
      </c>
      <c r="D43" s="218">
        <v>0</v>
      </c>
      <c r="E43" s="16" t="s">
        <v>2501</v>
      </c>
      <c r="F43" s="220">
        <v>0.41041666666666665</v>
      </c>
      <c r="G43" s="220">
        <v>0.46527777777777779</v>
      </c>
      <c r="H43" s="16">
        <v>0</v>
      </c>
      <c r="I43" s="16">
        <v>17562</v>
      </c>
      <c r="J43" s="219">
        <v>4464</v>
      </c>
      <c r="K43" s="16">
        <v>28.5</v>
      </c>
      <c r="L43" s="16">
        <v>97</v>
      </c>
      <c r="M43" s="16">
        <v>7.3</v>
      </c>
      <c r="N43" s="16">
        <v>33</v>
      </c>
      <c r="O43" s="16"/>
      <c r="P43" s="16"/>
      <c r="Q43" s="16"/>
      <c r="R43" s="16"/>
      <c r="S43" s="16">
        <v>15.3</v>
      </c>
      <c r="T43" s="16">
        <v>0</v>
      </c>
      <c r="U43" s="16">
        <v>0</v>
      </c>
      <c r="V43" s="16"/>
      <c r="W43" s="16">
        <v>3.84</v>
      </c>
      <c r="X43" s="79"/>
      <c r="Y43" s="79"/>
      <c r="Z43" s="79"/>
      <c r="AA43" s="79"/>
      <c r="AB43" s="79"/>
      <c r="AC43" s="79"/>
      <c r="AD43" s="79"/>
      <c r="AE43" s="79"/>
      <c r="AF43" s="79"/>
      <c r="AG43" s="79"/>
      <c r="AH43" s="79"/>
      <c r="AI43" s="79"/>
      <c r="AJ43" s="79"/>
      <c r="AK43" s="79"/>
      <c r="AL43" s="79"/>
      <c r="AM43" s="79"/>
      <c r="AN43" s="79"/>
      <c r="AO43" s="79"/>
      <c r="AP43" s="79"/>
      <c r="AQ43" s="79"/>
    </row>
    <row r="44" spans="1:43" ht="15.75" customHeight="1">
      <c r="A44" s="329">
        <v>101</v>
      </c>
      <c r="B44" s="329" t="s">
        <v>488</v>
      </c>
      <c r="C44" s="329" t="s">
        <v>489</v>
      </c>
      <c r="D44" s="218">
        <v>4</v>
      </c>
      <c r="E44" s="16" t="s">
        <v>2496</v>
      </c>
      <c r="F44" s="220">
        <v>0.78055555555555556</v>
      </c>
      <c r="G44" s="220">
        <v>0.78472222222222221</v>
      </c>
      <c r="H44" s="16">
        <v>2</v>
      </c>
      <c r="I44" s="16">
        <v>84102</v>
      </c>
      <c r="J44" s="219">
        <v>17421</v>
      </c>
      <c r="K44" s="16">
        <v>28.9</v>
      </c>
      <c r="L44" s="16">
        <v>81.900000000000006</v>
      </c>
      <c r="M44" s="16">
        <v>5.6</v>
      </c>
      <c r="N44" s="16">
        <v>74.400000000000006</v>
      </c>
      <c r="O44" s="16">
        <v>69.900000000000006</v>
      </c>
      <c r="P44" s="16">
        <v>18.399999999999999</v>
      </c>
      <c r="Q44" s="16">
        <v>16.600000000000001</v>
      </c>
      <c r="R44" s="16"/>
      <c r="S44" s="16">
        <v>1.6</v>
      </c>
      <c r="T44" s="16">
        <v>6</v>
      </c>
      <c r="U44" s="16">
        <v>0</v>
      </c>
      <c r="V44" s="16">
        <v>413</v>
      </c>
      <c r="W44" s="16">
        <v>4.4000000000000004</v>
      </c>
      <c r="X44" s="80"/>
      <c r="Y44" s="80"/>
      <c r="Z44" s="80"/>
      <c r="AA44" s="80"/>
      <c r="AB44" s="80"/>
      <c r="AC44" s="80"/>
      <c r="AD44" s="80"/>
      <c r="AE44" s="80"/>
      <c r="AF44" s="80"/>
      <c r="AG44" s="80"/>
      <c r="AH44" s="80"/>
      <c r="AI44" s="80"/>
      <c r="AJ44" s="80"/>
      <c r="AK44" s="80"/>
      <c r="AL44" s="80"/>
      <c r="AM44" s="80"/>
      <c r="AN44" s="80"/>
      <c r="AO44" s="80"/>
      <c r="AP44" s="80"/>
      <c r="AQ44" s="80"/>
    </row>
    <row r="45" spans="1:43" ht="15.75" customHeight="1">
      <c r="A45" s="329">
        <v>102</v>
      </c>
      <c r="B45" s="329" t="s">
        <v>492</v>
      </c>
      <c r="C45" s="329" t="s">
        <v>493</v>
      </c>
      <c r="D45" s="16">
        <v>1</v>
      </c>
      <c r="E45" s="16" t="s">
        <v>2513</v>
      </c>
      <c r="F45" s="227" t="s">
        <v>2514</v>
      </c>
      <c r="G45" s="227" t="s">
        <v>2515</v>
      </c>
      <c r="H45" s="16">
        <v>0</v>
      </c>
      <c r="I45" s="16">
        <v>24060</v>
      </c>
      <c r="J45" s="219">
        <v>53311</v>
      </c>
      <c r="K45" s="16">
        <v>22.6</v>
      </c>
      <c r="L45" s="16">
        <v>83.5</v>
      </c>
      <c r="M45" s="16">
        <v>5.2</v>
      </c>
      <c r="N45" s="16">
        <v>61.9</v>
      </c>
      <c r="O45" s="16">
        <v>48.8</v>
      </c>
      <c r="P45" s="16">
        <v>92.5</v>
      </c>
      <c r="Q45" s="16">
        <v>59.4</v>
      </c>
      <c r="R45" s="16">
        <v>4.7</v>
      </c>
      <c r="S45" s="16">
        <v>5.5</v>
      </c>
      <c r="T45" s="16">
        <v>3</v>
      </c>
      <c r="U45" s="16">
        <v>0</v>
      </c>
      <c r="V45" s="16" t="s">
        <v>2516</v>
      </c>
      <c r="W45" s="16">
        <v>1.87</v>
      </c>
      <c r="X45" s="80"/>
      <c r="Y45" s="80"/>
      <c r="Z45" s="80"/>
      <c r="AA45" s="80"/>
      <c r="AB45" s="80"/>
      <c r="AC45" s="80"/>
      <c r="AD45" s="80"/>
      <c r="AE45" s="80"/>
      <c r="AF45" s="80"/>
      <c r="AG45" s="80"/>
      <c r="AH45" s="80"/>
      <c r="AI45" s="80"/>
      <c r="AJ45" s="80"/>
      <c r="AK45" s="80"/>
      <c r="AL45" s="80"/>
      <c r="AM45" s="80"/>
      <c r="AN45" s="80"/>
      <c r="AO45" s="80"/>
      <c r="AP45" s="80"/>
      <c r="AQ45" s="80"/>
    </row>
    <row r="46" spans="1:43" ht="15.75" customHeight="1">
      <c r="A46" s="329">
        <v>103</v>
      </c>
      <c r="B46" s="329" t="s">
        <v>498</v>
      </c>
      <c r="C46" s="329" t="s">
        <v>102</v>
      </c>
      <c r="D46" s="218">
        <v>4</v>
      </c>
      <c r="E46" s="16" t="s">
        <v>2496</v>
      </c>
      <c r="F46" s="220">
        <v>0.57152777777777775</v>
      </c>
      <c r="G46" s="220">
        <v>0.5756944444444444</v>
      </c>
      <c r="H46" s="16">
        <v>1</v>
      </c>
      <c r="I46" s="16">
        <v>68114</v>
      </c>
      <c r="J46" s="219">
        <v>16928</v>
      </c>
      <c r="K46" s="16">
        <v>39.200000000000003</v>
      </c>
      <c r="L46" s="16">
        <v>86.1</v>
      </c>
      <c r="M46" s="16">
        <v>10.1</v>
      </c>
      <c r="N46" s="16">
        <v>50.3</v>
      </c>
      <c r="O46" s="16">
        <v>62.4</v>
      </c>
      <c r="P46" s="16">
        <v>26</v>
      </c>
      <c r="Q46" s="16">
        <v>24.8</v>
      </c>
      <c r="R46" s="16"/>
      <c r="S46" s="16">
        <v>2.2999999999999998</v>
      </c>
      <c r="T46" s="16">
        <v>1</v>
      </c>
      <c r="U46" s="16">
        <v>1</v>
      </c>
      <c r="V46" s="16">
        <v>764</v>
      </c>
      <c r="W46" s="16">
        <v>7.9</v>
      </c>
      <c r="X46" s="80"/>
      <c r="Y46" s="80"/>
      <c r="Z46" s="80"/>
      <c r="AA46" s="80"/>
      <c r="AB46" s="80"/>
      <c r="AC46" s="80"/>
      <c r="AD46" s="80"/>
      <c r="AE46" s="80"/>
      <c r="AF46" s="80"/>
      <c r="AG46" s="80"/>
      <c r="AH46" s="80"/>
      <c r="AI46" s="80"/>
      <c r="AJ46" s="80"/>
      <c r="AK46" s="80"/>
      <c r="AL46" s="80"/>
      <c r="AM46" s="80"/>
      <c r="AN46" s="80"/>
      <c r="AO46" s="80"/>
      <c r="AP46" s="80"/>
      <c r="AQ46" s="80"/>
    </row>
    <row r="47" spans="1:43" ht="15.75" customHeight="1">
      <c r="A47" s="329">
        <v>104</v>
      </c>
      <c r="B47" s="329" t="s">
        <v>502</v>
      </c>
      <c r="C47" s="329" t="s">
        <v>361</v>
      </c>
      <c r="D47" s="218">
        <v>3</v>
      </c>
      <c r="E47" s="16" t="s">
        <v>2502</v>
      </c>
      <c r="F47" s="16"/>
      <c r="G47" s="16"/>
      <c r="H47" s="16">
        <v>0</v>
      </c>
      <c r="I47" s="16">
        <v>80907</v>
      </c>
      <c r="J47" s="219">
        <v>26758</v>
      </c>
      <c r="K47" s="16">
        <v>40.700000000000003</v>
      </c>
      <c r="L47" s="16">
        <v>84.8</v>
      </c>
      <c r="M47" s="16">
        <v>10.6</v>
      </c>
      <c r="N47" s="16">
        <v>41.8</v>
      </c>
      <c r="O47" s="16">
        <v>58.6</v>
      </c>
      <c r="P47" s="16">
        <v>90.6</v>
      </c>
      <c r="Q47" s="16">
        <v>30.6</v>
      </c>
      <c r="R47" s="16"/>
      <c r="S47" s="16">
        <v>2.6</v>
      </c>
      <c r="T47" s="16">
        <v>0</v>
      </c>
      <c r="U47" s="16">
        <v>3</v>
      </c>
      <c r="V47" s="16">
        <v>501</v>
      </c>
      <c r="W47" s="16">
        <v>0</v>
      </c>
      <c r="X47" s="80"/>
      <c r="Y47" s="80"/>
      <c r="Z47" s="80"/>
      <c r="AA47" s="80"/>
      <c r="AB47" s="80"/>
      <c r="AC47" s="80"/>
      <c r="AD47" s="80"/>
      <c r="AE47" s="80"/>
      <c r="AF47" s="80"/>
      <c r="AG47" s="80"/>
      <c r="AH47" s="80"/>
      <c r="AI47" s="80"/>
      <c r="AJ47" s="80"/>
      <c r="AK47" s="80"/>
      <c r="AL47" s="80"/>
      <c r="AM47" s="80"/>
      <c r="AN47" s="80"/>
      <c r="AO47" s="80"/>
      <c r="AP47" s="80"/>
      <c r="AQ47" s="80"/>
    </row>
    <row r="48" spans="1:43" ht="15.75" customHeight="1">
      <c r="A48" s="329">
        <v>105</v>
      </c>
      <c r="B48" s="329" t="s">
        <v>507</v>
      </c>
      <c r="C48" s="329" t="s">
        <v>94</v>
      </c>
      <c r="D48" s="218">
        <v>2</v>
      </c>
      <c r="E48" s="14" t="s">
        <v>2511</v>
      </c>
      <c r="F48" s="220">
        <v>0.79166666666666663</v>
      </c>
      <c r="G48" s="16"/>
      <c r="H48" s="16">
        <v>2</v>
      </c>
      <c r="I48" s="16">
        <v>63122</v>
      </c>
      <c r="J48" s="219">
        <v>38495</v>
      </c>
      <c r="K48" s="16">
        <v>42.5</v>
      </c>
      <c r="L48" s="16">
        <v>91.4</v>
      </c>
      <c r="M48" s="16">
        <v>9</v>
      </c>
      <c r="N48" s="16">
        <v>18.100000000000001</v>
      </c>
      <c r="O48" s="16">
        <v>65.599999999999994</v>
      </c>
      <c r="P48" s="16">
        <v>24</v>
      </c>
      <c r="Q48" s="16">
        <v>25.3</v>
      </c>
      <c r="R48" s="16"/>
      <c r="S48" s="16">
        <v>3.5</v>
      </c>
      <c r="T48" s="16">
        <v>2</v>
      </c>
      <c r="U48" s="16">
        <v>0</v>
      </c>
      <c r="V48" s="16">
        <v>57</v>
      </c>
      <c r="W48" s="16">
        <v>3.72</v>
      </c>
      <c r="X48" s="80"/>
      <c r="Y48" s="80"/>
      <c r="Z48" s="80"/>
      <c r="AA48" s="80"/>
      <c r="AB48" s="80"/>
      <c r="AC48" s="80"/>
      <c r="AD48" s="80"/>
      <c r="AE48" s="80"/>
      <c r="AF48" s="80"/>
      <c r="AG48" s="80"/>
      <c r="AH48" s="80"/>
      <c r="AI48" s="80"/>
      <c r="AJ48" s="80"/>
      <c r="AK48" s="80"/>
      <c r="AL48" s="80"/>
      <c r="AM48" s="80"/>
      <c r="AN48" s="80"/>
      <c r="AO48" s="80"/>
      <c r="AP48" s="80"/>
      <c r="AQ48" s="80"/>
    </row>
    <row r="49" spans="1:43" ht="15.75" customHeight="1">
      <c r="A49" s="329">
        <v>106</v>
      </c>
      <c r="B49" s="329" t="s">
        <v>510</v>
      </c>
      <c r="C49" s="329" t="s">
        <v>423</v>
      </c>
      <c r="D49" s="16">
        <v>1</v>
      </c>
      <c r="E49" s="16" t="s">
        <v>2513</v>
      </c>
      <c r="F49" s="227" t="s">
        <v>2517</v>
      </c>
      <c r="G49" s="227" t="s">
        <v>2518</v>
      </c>
      <c r="H49" s="16">
        <v>1</v>
      </c>
      <c r="I49" s="16">
        <v>60115</v>
      </c>
      <c r="J49" s="219">
        <v>46272</v>
      </c>
      <c r="K49" s="16">
        <v>23.8</v>
      </c>
      <c r="L49" s="16">
        <v>75.5</v>
      </c>
      <c r="M49" s="16">
        <v>10.7</v>
      </c>
      <c r="N49" s="16">
        <v>56.8</v>
      </c>
      <c r="O49" s="16">
        <v>58.8</v>
      </c>
      <c r="P49" s="16">
        <v>91.4</v>
      </c>
      <c r="Q49" s="16">
        <v>34.700000000000003</v>
      </c>
      <c r="R49" s="16">
        <v>9.6999999999999993</v>
      </c>
      <c r="S49" s="16">
        <v>5.2</v>
      </c>
      <c r="T49" s="16">
        <v>2</v>
      </c>
      <c r="U49" s="16">
        <v>1</v>
      </c>
      <c r="V49" s="16" t="s">
        <v>2519</v>
      </c>
      <c r="W49" s="16">
        <v>6.48</v>
      </c>
      <c r="X49" s="80"/>
      <c r="Y49" s="80"/>
      <c r="Z49" s="80"/>
      <c r="AA49" s="80"/>
      <c r="AB49" s="80"/>
      <c r="AC49" s="80"/>
      <c r="AD49" s="80"/>
      <c r="AE49" s="80"/>
      <c r="AF49" s="80"/>
      <c r="AG49" s="80"/>
      <c r="AH49" s="80"/>
      <c r="AI49" s="80"/>
      <c r="AJ49" s="80"/>
      <c r="AK49" s="80"/>
      <c r="AL49" s="80"/>
      <c r="AM49" s="80"/>
      <c r="AN49" s="80"/>
      <c r="AO49" s="80"/>
      <c r="AP49" s="80"/>
      <c r="AQ49" s="80"/>
    </row>
    <row r="50" spans="1:43" ht="15.75" customHeight="1">
      <c r="A50" s="329">
        <v>107</v>
      </c>
      <c r="B50" s="329" t="s">
        <v>513</v>
      </c>
      <c r="C50" s="329" t="s">
        <v>514</v>
      </c>
      <c r="D50" s="218">
        <v>6</v>
      </c>
      <c r="E50" s="16" t="s">
        <v>2520</v>
      </c>
      <c r="F50" s="220">
        <v>0.66666666666666663</v>
      </c>
      <c r="G50" s="16"/>
      <c r="H50" s="16">
        <v>1</v>
      </c>
      <c r="I50" s="16">
        <v>93458</v>
      </c>
      <c r="J50" s="219">
        <v>55431</v>
      </c>
      <c r="K50" s="16">
        <v>26.1</v>
      </c>
      <c r="L50" s="16">
        <v>51.2</v>
      </c>
      <c r="M50" s="16">
        <v>16.399999999999999</v>
      </c>
      <c r="N50" s="16">
        <v>53.2</v>
      </c>
      <c r="O50" s="16">
        <v>58.9</v>
      </c>
      <c r="P50" s="16">
        <v>48</v>
      </c>
      <c r="Q50" s="16">
        <v>6.2</v>
      </c>
      <c r="R50" s="16">
        <v>34</v>
      </c>
      <c r="S50" s="16">
        <v>5.5</v>
      </c>
      <c r="T50" s="16">
        <v>1</v>
      </c>
      <c r="U50" s="16">
        <v>0</v>
      </c>
      <c r="V50" s="16">
        <v>129</v>
      </c>
      <c r="W50" s="16">
        <v>3.5</v>
      </c>
      <c r="X50" s="80"/>
      <c r="Y50" s="80"/>
      <c r="Z50" s="80"/>
      <c r="AA50" s="80"/>
      <c r="AB50" s="80"/>
      <c r="AC50" s="80"/>
      <c r="AD50" s="80"/>
      <c r="AE50" s="80"/>
      <c r="AF50" s="80"/>
      <c r="AG50" s="80"/>
      <c r="AH50" s="80"/>
      <c r="AI50" s="80"/>
      <c r="AJ50" s="80"/>
      <c r="AK50" s="80"/>
      <c r="AL50" s="80"/>
      <c r="AM50" s="80"/>
      <c r="AN50" s="80"/>
      <c r="AO50" s="80"/>
      <c r="AP50" s="80"/>
      <c r="AQ50" s="80"/>
    </row>
    <row r="51" spans="1:43" ht="15.75" customHeight="1">
      <c r="A51" s="329">
        <v>108</v>
      </c>
      <c r="B51" s="329" t="s">
        <v>517</v>
      </c>
      <c r="C51" s="329" t="s">
        <v>518</v>
      </c>
      <c r="D51" s="218">
        <v>6</v>
      </c>
      <c r="E51" s="16" t="s">
        <v>2495</v>
      </c>
      <c r="F51" s="16"/>
      <c r="G51" s="16"/>
      <c r="H51" s="16">
        <v>0</v>
      </c>
      <c r="I51" s="16">
        <v>42420</v>
      </c>
      <c r="J51" s="219">
        <v>38192</v>
      </c>
      <c r="K51" s="16">
        <v>39.5</v>
      </c>
      <c r="L51" s="16">
        <v>87.6</v>
      </c>
      <c r="M51" s="16">
        <v>14.2</v>
      </c>
      <c r="N51" s="16">
        <v>38.200000000000003</v>
      </c>
      <c r="O51" s="16">
        <v>57.5</v>
      </c>
      <c r="P51" s="16">
        <v>84.8</v>
      </c>
      <c r="Q51" s="16">
        <v>17.3</v>
      </c>
      <c r="R51" s="16"/>
      <c r="S51" s="16">
        <v>5.3</v>
      </c>
      <c r="T51" s="16">
        <v>3</v>
      </c>
      <c r="U51" s="16">
        <v>1</v>
      </c>
      <c r="V51" s="16">
        <v>54</v>
      </c>
      <c r="W51" s="16">
        <v>3.57</v>
      </c>
      <c r="X51" s="80"/>
      <c r="Y51" s="80"/>
      <c r="Z51" s="80"/>
      <c r="AA51" s="80"/>
      <c r="AB51" s="80"/>
      <c r="AC51" s="80"/>
      <c r="AD51" s="80"/>
      <c r="AE51" s="80"/>
      <c r="AF51" s="80"/>
      <c r="AG51" s="80"/>
      <c r="AH51" s="80"/>
      <c r="AI51" s="80"/>
      <c r="AJ51" s="80"/>
      <c r="AK51" s="80"/>
      <c r="AL51" s="80"/>
      <c r="AM51" s="80"/>
      <c r="AN51" s="80"/>
      <c r="AO51" s="80"/>
      <c r="AP51" s="80"/>
      <c r="AQ51" s="80"/>
    </row>
    <row r="52" spans="1:43" ht="15.75" customHeight="1">
      <c r="A52" s="329">
        <v>109</v>
      </c>
      <c r="B52" s="329" t="s">
        <v>520</v>
      </c>
      <c r="C52" s="329" t="s">
        <v>521</v>
      </c>
      <c r="D52" s="218">
        <v>7</v>
      </c>
      <c r="E52" s="16" t="s">
        <v>2497</v>
      </c>
      <c r="F52" s="220">
        <v>0.59375</v>
      </c>
      <c r="G52" s="220">
        <v>0.67708333333333337</v>
      </c>
      <c r="H52" s="16">
        <v>1</v>
      </c>
      <c r="I52" s="16">
        <v>98284</v>
      </c>
      <c r="J52" s="219">
        <v>24331</v>
      </c>
      <c r="K52" s="16">
        <v>38.4</v>
      </c>
      <c r="L52" s="16">
        <v>88.7</v>
      </c>
      <c r="M52" s="16">
        <v>11.1</v>
      </c>
      <c r="N52" s="16">
        <v>28.2</v>
      </c>
      <c r="O52" s="16">
        <v>58.7</v>
      </c>
      <c r="P52" s="16">
        <v>89.7</v>
      </c>
      <c r="Q52" s="16">
        <v>16.5</v>
      </c>
      <c r="R52" s="16">
        <v>15</v>
      </c>
      <c r="S52" s="16">
        <v>14.9</v>
      </c>
      <c r="T52" s="16">
        <v>2</v>
      </c>
      <c r="U52" s="16">
        <v>2</v>
      </c>
      <c r="V52" s="16"/>
      <c r="W52" s="16"/>
      <c r="X52" s="80"/>
      <c r="Y52" s="80"/>
      <c r="Z52" s="80"/>
      <c r="AA52" s="80"/>
      <c r="AB52" s="80"/>
      <c r="AC52" s="80"/>
      <c r="AD52" s="80"/>
      <c r="AE52" s="80"/>
      <c r="AF52" s="80"/>
      <c r="AG52" s="80"/>
      <c r="AH52" s="80"/>
      <c r="AI52" s="80"/>
      <c r="AJ52" s="80"/>
      <c r="AK52" s="80"/>
      <c r="AL52" s="80"/>
      <c r="AM52" s="80"/>
      <c r="AN52" s="80"/>
      <c r="AO52" s="80"/>
      <c r="AP52" s="80"/>
      <c r="AQ52" s="80"/>
    </row>
    <row r="53" spans="1:43" ht="15.75" customHeight="1">
      <c r="A53" s="329">
        <v>110</v>
      </c>
      <c r="B53" s="329" t="s">
        <v>524</v>
      </c>
      <c r="C53" s="329" t="s">
        <v>102</v>
      </c>
      <c r="D53" s="218">
        <v>7</v>
      </c>
      <c r="E53" s="16" t="s">
        <v>2521</v>
      </c>
      <c r="F53" s="220">
        <v>0.41666666666666669</v>
      </c>
      <c r="G53" s="16"/>
      <c r="H53" s="16">
        <v>0</v>
      </c>
      <c r="I53" s="16">
        <v>28327</v>
      </c>
      <c r="J53" s="219">
        <v>15433</v>
      </c>
      <c r="K53" s="16">
        <v>41.9</v>
      </c>
      <c r="L53" s="16">
        <v>84.3</v>
      </c>
      <c r="M53" s="16">
        <v>10.6</v>
      </c>
      <c r="N53" s="16">
        <v>20</v>
      </c>
      <c r="O53" s="16">
        <v>52.4</v>
      </c>
      <c r="P53" s="16">
        <v>90.4</v>
      </c>
      <c r="Q53" s="16">
        <v>24.7</v>
      </c>
      <c r="R53" s="16">
        <v>15.3</v>
      </c>
      <c r="S53" s="16">
        <v>9.9</v>
      </c>
      <c r="T53" s="16">
        <v>0</v>
      </c>
      <c r="U53" s="16">
        <v>2</v>
      </c>
      <c r="V53" s="16">
        <v>10</v>
      </c>
      <c r="W53" s="16"/>
      <c r="X53" s="80"/>
      <c r="Y53" s="80"/>
      <c r="Z53" s="80"/>
      <c r="AA53" s="80"/>
      <c r="AB53" s="80"/>
      <c r="AC53" s="80"/>
      <c r="AD53" s="80"/>
      <c r="AE53" s="80"/>
      <c r="AF53" s="80"/>
      <c r="AG53" s="80"/>
      <c r="AH53" s="80"/>
      <c r="AI53" s="80"/>
      <c r="AJ53" s="80"/>
      <c r="AK53" s="80"/>
      <c r="AL53" s="80"/>
      <c r="AM53" s="80"/>
      <c r="AN53" s="80"/>
      <c r="AO53" s="80"/>
      <c r="AP53" s="80"/>
      <c r="AQ53" s="80"/>
    </row>
    <row r="54" spans="1:43" ht="15.75" customHeight="1">
      <c r="A54" s="329">
        <v>111</v>
      </c>
      <c r="B54" s="329" t="s">
        <v>527</v>
      </c>
      <c r="C54" s="329" t="s">
        <v>528</v>
      </c>
      <c r="D54" s="218">
        <v>2</v>
      </c>
      <c r="E54" s="14" t="s">
        <v>2511</v>
      </c>
      <c r="F54" s="220">
        <v>0.4375</v>
      </c>
      <c r="G54" s="220">
        <v>0.43958333333333333</v>
      </c>
      <c r="H54" s="16">
        <v>0</v>
      </c>
      <c r="I54" s="16">
        <v>13905</v>
      </c>
      <c r="J54" s="219">
        <v>28026</v>
      </c>
      <c r="K54" s="16">
        <v>36.1</v>
      </c>
      <c r="L54" s="16">
        <v>79.599999999999994</v>
      </c>
      <c r="M54" s="16">
        <v>13.3</v>
      </c>
      <c r="N54" s="16">
        <v>52.5</v>
      </c>
      <c r="O54" s="16">
        <v>49</v>
      </c>
      <c r="P54" s="16">
        <v>21.7</v>
      </c>
      <c r="Q54" s="16">
        <v>13.2</v>
      </c>
      <c r="R54" s="16"/>
      <c r="S54" s="16">
        <v>1.5</v>
      </c>
      <c r="T54" s="16">
        <v>2</v>
      </c>
      <c r="U54" s="16">
        <v>0</v>
      </c>
      <c r="V54" s="16">
        <v>138</v>
      </c>
      <c r="W54" s="16">
        <v>2.23</v>
      </c>
      <c r="X54" s="80"/>
      <c r="Y54" s="80"/>
      <c r="Z54" s="80"/>
      <c r="AA54" s="80"/>
      <c r="AB54" s="80"/>
      <c r="AC54" s="80"/>
      <c r="AD54" s="80"/>
      <c r="AE54" s="80"/>
      <c r="AF54" s="80"/>
      <c r="AG54" s="80"/>
      <c r="AH54" s="80"/>
      <c r="AI54" s="80"/>
      <c r="AJ54" s="80"/>
      <c r="AK54" s="80"/>
      <c r="AL54" s="80"/>
      <c r="AM54" s="80"/>
      <c r="AN54" s="80"/>
      <c r="AO54" s="80"/>
      <c r="AP54" s="80"/>
      <c r="AQ54" s="80"/>
    </row>
    <row r="55" spans="1:43" ht="15.75" customHeight="1">
      <c r="A55" s="329">
        <v>112</v>
      </c>
      <c r="B55" s="329" t="s">
        <v>532</v>
      </c>
      <c r="C55" s="329" t="s">
        <v>533</v>
      </c>
      <c r="D55" s="218">
        <v>4</v>
      </c>
      <c r="E55" s="14" t="s">
        <v>2496</v>
      </c>
      <c r="F55" s="14"/>
      <c r="G55" s="14"/>
      <c r="H55" s="14">
        <v>1</v>
      </c>
      <c r="I55" s="14">
        <v>27030</v>
      </c>
      <c r="J55" s="219">
        <v>38374</v>
      </c>
      <c r="K55" s="222">
        <v>41.7</v>
      </c>
      <c r="L55" s="222">
        <v>87.6</v>
      </c>
      <c r="M55" s="222">
        <v>12.9</v>
      </c>
      <c r="N55" s="222">
        <v>29</v>
      </c>
      <c r="O55" s="222">
        <v>54</v>
      </c>
      <c r="P55" s="222">
        <v>68.2</v>
      </c>
      <c r="Q55" s="222">
        <v>14.6</v>
      </c>
      <c r="R55" s="222"/>
      <c r="S55" s="14">
        <v>0.1</v>
      </c>
      <c r="T55" s="14">
        <v>4</v>
      </c>
      <c r="U55" s="14">
        <v>2</v>
      </c>
      <c r="V55" s="14">
        <v>17</v>
      </c>
      <c r="W55" s="14">
        <v>52.7</v>
      </c>
      <c r="X55" s="79"/>
      <c r="Y55" s="79"/>
      <c r="Z55" s="79"/>
      <c r="AA55" s="79"/>
      <c r="AB55" s="79"/>
      <c r="AC55" s="79"/>
      <c r="AD55" s="79"/>
      <c r="AE55" s="79"/>
      <c r="AF55" s="79"/>
      <c r="AG55" s="79"/>
      <c r="AH55" s="79"/>
      <c r="AI55" s="79"/>
      <c r="AJ55" s="79"/>
      <c r="AK55" s="79"/>
      <c r="AL55" s="79"/>
      <c r="AM55" s="79"/>
      <c r="AN55" s="79"/>
      <c r="AO55" s="79"/>
      <c r="AP55" s="79"/>
      <c r="AQ55" s="79"/>
    </row>
    <row r="56" spans="1:43" ht="15.75" customHeight="1">
      <c r="A56" s="329">
        <v>113</v>
      </c>
      <c r="B56" s="329" t="s">
        <v>536</v>
      </c>
      <c r="C56" s="329" t="s">
        <v>537</v>
      </c>
      <c r="D56" s="218">
        <v>6</v>
      </c>
      <c r="E56" s="16" t="s">
        <v>2522</v>
      </c>
      <c r="F56" s="220">
        <v>0.5625</v>
      </c>
      <c r="G56" s="16"/>
      <c r="H56" s="16">
        <v>1</v>
      </c>
      <c r="I56" s="16">
        <v>76544</v>
      </c>
      <c r="J56" s="219">
        <v>29943</v>
      </c>
      <c r="K56" s="16">
        <v>21.9</v>
      </c>
      <c r="L56" s="16">
        <v>64</v>
      </c>
      <c r="M56" s="16">
        <v>11.8</v>
      </c>
      <c r="N56" s="16">
        <v>99.3</v>
      </c>
      <c r="O56" s="16">
        <v>59.4</v>
      </c>
      <c r="P56" s="16">
        <v>95.1</v>
      </c>
      <c r="Q56" s="16">
        <v>12.1</v>
      </c>
      <c r="R56" s="16"/>
      <c r="S56" s="16">
        <v>3</v>
      </c>
      <c r="T56" s="16">
        <v>1</v>
      </c>
      <c r="U56" s="16">
        <v>0</v>
      </c>
      <c r="V56" s="16"/>
      <c r="W56" s="16">
        <v>8.6199999999999992</v>
      </c>
      <c r="X56" s="80"/>
      <c r="Y56" s="80"/>
      <c r="Z56" s="80"/>
      <c r="AA56" s="80"/>
      <c r="AB56" s="80"/>
      <c r="AC56" s="80"/>
      <c r="AD56" s="80"/>
      <c r="AE56" s="80"/>
      <c r="AF56" s="80"/>
      <c r="AG56" s="80"/>
      <c r="AH56" s="80"/>
      <c r="AI56" s="80"/>
      <c r="AJ56" s="80"/>
      <c r="AK56" s="80"/>
      <c r="AL56" s="80"/>
      <c r="AM56" s="80"/>
      <c r="AN56" s="80"/>
      <c r="AO56" s="80"/>
      <c r="AP56" s="80"/>
      <c r="AQ56" s="80"/>
    </row>
    <row r="57" spans="1:43" ht="15.75" customHeight="1">
      <c r="A57" s="329">
        <v>114</v>
      </c>
      <c r="B57" s="329" t="s">
        <v>540</v>
      </c>
      <c r="C57" s="329" t="s">
        <v>541</v>
      </c>
      <c r="D57" s="218">
        <v>5</v>
      </c>
      <c r="E57" s="16" t="s">
        <v>2509</v>
      </c>
      <c r="F57" s="220">
        <v>0.34375</v>
      </c>
      <c r="G57" s="220">
        <v>0.11458333333333333</v>
      </c>
      <c r="H57" s="16">
        <v>0</v>
      </c>
      <c r="I57" s="16">
        <v>98444</v>
      </c>
      <c r="J57" s="219">
        <v>33956</v>
      </c>
      <c r="K57" s="16">
        <v>30.1</v>
      </c>
      <c r="L57" s="16">
        <v>53.4</v>
      </c>
      <c r="M57" s="16">
        <v>18.399999999999999</v>
      </c>
      <c r="N57" s="16">
        <v>59.7</v>
      </c>
      <c r="O57" s="16">
        <v>57.4</v>
      </c>
      <c r="P57" s="16">
        <v>31.2</v>
      </c>
      <c r="Q57" s="16">
        <v>5</v>
      </c>
      <c r="R57" s="16">
        <v>20.3</v>
      </c>
      <c r="S57" s="16">
        <v>2.6</v>
      </c>
      <c r="T57" s="16">
        <v>1</v>
      </c>
      <c r="U57" s="16">
        <v>1</v>
      </c>
      <c r="V57" s="16">
        <v>78</v>
      </c>
      <c r="W57" s="16">
        <v>8.1</v>
      </c>
      <c r="X57" s="80"/>
      <c r="Y57" s="80"/>
      <c r="Z57" s="80"/>
      <c r="AA57" s="80"/>
      <c r="AB57" s="80"/>
      <c r="AC57" s="80"/>
      <c r="AD57" s="80"/>
      <c r="AE57" s="80"/>
      <c r="AF57" s="80"/>
      <c r="AG57" s="80"/>
      <c r="AH57" s="80"/>
      <c r="AI57" s="80"/>
      <c r="AJ57" s="80"/>
      <c r="AK57" s="80"/>
      <c r="AL57" s="80"/>
      <c r="AM57" s="80"/>
      <c r="AN57" s="80"/>
      <c r="AO57" s="80"/>
      <c r="AP57" s="80"/>
      <c r="AQ57" s="80"/>
    </row>
    <row r="58" spans="1:43" ht="15.75" customHeight="1">
      <c r="A58" s="329">
        <v>115</v>
      </c>
      <c r="B58" s="329" t="s">
        <v>544</v>
      </c>
      <c r="C58" s="329" t="s">
        <v>545</v>
      </c>
      <c r="D58" s="218">
        <v>5</v>
      </c>
      <c r="E58" s="16" t="s">
        <v>2509</v>
      </c>
      <c r="F58" s="16"/>
      <c r="G58" s="16"/>
      <c r="H58" s="16">
        <v>1</v>
      </c>
      <c r="I58" s="16">
        <v>91602</v>
      </c>
      <c r="J58" s="219">
        <v>17473</v>
      </c>
      <c r="K58" s="16">
        <v>38</v>
      </c>
      <c r="L58" s="16">
        <v>76.8</v>
      </c>
      <c r="M58" s="16">
        <v>7.2</v>
      </c>
      <c r="N58" s="16">
        <v>66.8</v>
      </c>
      <c r="O58" s="16">
        <v>70.099999999999994</v>
      </c>
      <c r="P58" s="16">
        <v>11.3</v>
      </c>
      <c r="Q58" s="16">
        <v>37.299999999999997</v>
      </c>
      <c r="R58" s="16">
        <v>13</v>
      </c>
      <c r="S58" s="16">
        <v>4</v>
      </c>
      <c r="T58" s="16">
        <v>0</v>
      </c>
      <c r="U58" s="16">
        <v>0</v>
      </c>
      <c r="V58" s="219">
        <v>10075</v>
      </c>
      <c r="W58" s="16">
        <v>8.1</v>
      </c>
      <c r="X58" s="80"/>
      <c r="Y58" s="80"/>
      <c r="Z58" s="80"/>
      <c r="AA58" s="80"/>
      <c r="AB58" s="80"/>
      <c r="AC58" s="80"/>
      <c r="AD58" s="80"/>
      <c r="AE58" s="80"/>
      <c r="AF58" s="80"/>
      <c r="AG58" s="80"/>
      <c r="AH58" s="80"/>
      <c r="AI58" s="80"/>
      <c r="AJ58" s="80"/>
      <c r="AK58" s="80"/>
      <c r="AL58" s="80"/>
      <c r="AM58" s="80"/>
      <c r="AN58" s="80"/>
      <c r="AO58" s="80"/>
      <c r="AP58" s="80"/>
      <c r="AQ58" s="80"/>
    </row>
    <row r="59" spans="1:43" ht="15.75" customHeight="1">
      <c r="A59" s="329">
        <v>116</v>
      </c>
      <c r="B59" s="329" t="s">
        <v>547</v>
      </c>
      <c r="C59" s="329" t="s">
        <v>548</v>
      </c>
      <c r="D59" s="218">
        <v>5</v>
      </c>
      <c r="E59" s="16" t="s">
        <v>2509</v>
      </c>
      <c r="F59" s="220">
        <v>0.92708333333333337</v>
      </c>
      <c r="G59" s="16"/>
      <c r="H59" s="16">
        <v>3</v>
      </c>
      <c r="I59" s="16">
        <v>33013</v>
      </c>
      <c r="J59" s="219">
        <v>33852</v>
      </c>
      <c r="K59" s="16">
        <v>43.8</v>
      </c>
      <c r="L59" s="16">
        <v>94.3</v>
      </c>
      <c r="M59" s="16">
        <v>18.399999999999999</v>
      </c>
      <c r="N59" s="16">
        <v>40.1</v>
      </c>
      <c r="O59" s="16">
        <v>49.8</v>
      </c>
      <c r="P59" s="16">
        <v>35.700000000000003</v>
      </c>
      <c r="Q59" s="16">
        <v>6.7</v>
      </c>
      <c r="R59" s="16">
        <v>35.5</v>
      </c>
      <c r="S59" s="16">
        <v>1.3</v>
      </c>
      <c r="T59" s="16">
        <v>0</v>
      </c>
      <c r="U59" s="16">
        <v>2</v>
      </c>
      <c r="V59" s="16">
        <v>343</v>
      </c>
      <c r="W59" s="16">
        <v>3.8</v>
      </c>
      <c r="X59" s="80"/>
      <c r="Y59" s="80"/>
      <c r="Z59" s="80"/>
      <c r="AA59" s="80"/>
      <c r="AB59" s="80"/>
      <c r="AC59" s="80"/>
      <c r="AD59" s="80"/>
      <c r="AE59" s="80"/>
      <c r="AF59" s="80"/>
      <c r="AG59" s="80"/>
      <c r="AH59" s="80"/>
      <c r="AI59" s="80"/>
      <c r="AJ59" s="80"/>
      <c r="AK59" s="80"/>
      <c r="AL59" s="80"/>
      <c r="AM59" s="80"/>
      <c r="AN59" s="80"/>
      <c r="AO59" s="80"/>
      <c r="AP59" s="80"/>
      <c r="AQ59" s="80"/>
    </row>
    <row r="60" spans="1:43" ht="15.75" customHeight="1">
      <c r="A60" s="329">
        <v>117</v>
      </c>
      <c r="B60" s="329" t="s">
        <v>507</v>
      </c>
      <c r="C60" s="329" t="s">
        <v>551</v>
      </c>
      <c r="D60" s="218">
        <v>6</v>
      </c>
      <c r="E60" s="16" t="s">
        <v>2495</v>
      </c>
      <c r="F60" s="220">
        <v>0.3125</v>
      </c>
      <c r="G60" s="220">
        <v>0.34375</v>
      </c>
      <c r="H60" s="16">
        <v>0</v>
      </c>
      <c r="I60" s="16" t="s">
        <v>2523</v>
      </c>
      <c r="J60" s="219">
        <v>22942</v>
      </c>
      <c r="K60" s="16">
        <v>35.9</v>
      </c>
      <c r="L60" s="16">
        <v>71.7</v>
      </c>
      <c r="M60" s="16">
        <v>12</v>
      </c>
      <c r="N60" s="16">
        <v>42.9</v>
      </c>
      <c r="O60" s="16">
        <v>68.3</v>
      </c>
      <c r="P60" s="16">
        <v>92.6</v>
      </c>
      <c r="Q60" s="16">
        <v>39.200000000000003</v>
      </c>
      <c r="R60" s="16"/>
      <c r="S60" s="16">
        <v>3.9</v>
      </c>
      <c r="T60" s="16">
        <v>2</v>
      </c>
      <c r="U60" s="16">
        <v>0</v>
      </c>
      <c r="V60" s="16"/>
      <c r="W60" s="16">
        <v>0</v>
      </c>
      <c r="X60" s="80"/>
      <c r="Y60" s="80"/>
      <c r="Z60" s="80"/>
      <c r="AA60" s="80"/>
      <c r="AB60" s="80"/>
      <c r="AC60" s="80"/>
      <c r="AD60" s="80"/>
      <c r="AE60" s="80"/>
      <c r="AF60" s="80"/>
      <c r="AG60" s="80"/>
      <c r="AH60" s="80"/>
      <c r="AI60" s="80"/>
      <c r="AJ60" s="80"/>
      <c r="AK60" s="80"/>
      <c r="AL60" s="80"/>
      <c r="AM60" s="80"/>
      <c r="AN60" s="80"/>
      <c r="AO60" s="80"/>
      <c r="AP60" s="80"/>
      <c r="AQ60" s="80"/>
    </row>
    <row r="61" spans="1:43" ht="15.75" customHeight="1">
      <c r="A61" s="329">
        <v>118</v>
      </c>
      <c r="B61" s="329" t="s">
        <v>553</v>
      </c>
      <c r="C61" s="329" t="s">
        <v>554</v>
      </c>
      <c r="D61" s="218">
        <v>5</v>
      </c>
      <c r="E61" s="16" t="s">
        <v>2509</v>
      </c>
      <c r="F61" s="220">
        <v>0.10416666666666667</v>
      </c>
      <c r="G61" s="220">
        <v>0.10416666666666667</v>
      </c>
      <c r="H61" s="16">
        <v>3</v>
      </c>
      <c r="I61" s="16">
        <v>14202</v>
      </c>
      <c r="J61" s="219">
        <v>3911</v>
      </c>
      <c r="K61" s="16">
        <v>36.6</v>
      </c>
      <c r="L61" s="16">
        <v>60</v>
      </c>
      <c r="M61" s="16">
        <v>9.1999999999999993</v>
      </c>
      <c r="N61" s="16">
        <v>77.599999999999994</v>
      </c>
      <c r="O61" s="16">
        <v>53</v>
      </c>
      <c r="P61" s="16">
        <v>30.5</v>
      </c>
      <c r="Q61" s="16">
        <v>27.7</v>
      </c>
      <c r="R61" s="16">
        <v>16.100000000000001</v>
      </c>
      <c r="S61" s="16">
        <v>1.9</v>
      </c>
      <c r="T61" s="16">
        <v>5</v>
      </c>
      <c r="U61" s="16">
        <v>0</v>
      </c>
      <c r="V61" s="219">
        <v>1000</v>
      </c>
      <c r="W61" s="16">
        <v>22.3</v>
      </c>
      <c r="X61" s="80"/>
      <c r="Y61" s="80"/>
      <c r="Z61" s="80"/>
      <c r="AA61" s="80"/>
      <c r="AB61" s="80"/>
      <c r="AC61" s="80"/>
      <c r="AD61" s="80"/>
      <c r="AE61" s="80"/>
      <c r="AF61" s="80"/>
      <c r="AG61" s="80"/>
      <c r="AH61" s="80"/>
      <c r="AI61" s="80"/>
      <c r="AJ61" s="80"/>
      <c r="AK61" s="80"/>
      <c r="AL61" s="80"/>
      <c r="AM61" s="80"/>
      <c r="AN61" s="80"/>
      <c r="AO61" s="80"/>
      <c r="AP61" s="80"/>
      <c r="AQ61" s="80"/>
    </row>
    <row r="62" spans="1:43" ht="15.75" customHeight="1">
      <c r="A62" s="329">
        <v>119</v>
      </c>
      <c r="B62" s="50" t="s">
        <v>556</v>
      </c>
      <c r="C62" s="50" t="s">
        <v>557</v>
      </c>
      <c r="D62" s="218">
        <v>7</v>
      </c>
      <c r="E62" s="16" t="s">
        <v>3476</v>
      </c>
      <c r="F62" s="220">
        <v>0.47916666666666669</v>
      </c>
      <c r="G62" s="220"/>
      <c r="H62" s="16">
        <v>0</v>
      </c>
      <c r="I62" s="16">
        <v>41339</v>
      </c>
      <c r="J62" s="219">
        <v>10000</v>
      </c>
      <c r="K62" s="16">
        <v>40</v>
      </c>
      <c r="L62" s="16">
        <v>97.3</v>
      </c>
      <c r="M62" s="16"/>
      <c r="N62" s="16"/>
      <c r="O62" s="16"/>
      <c r="P62" s="16"/>
      <c r="Q62" s="16"/>
      <c r="R62" s="16"/>
      <c r="S62" s="16"/>
      <c r="T62" s="16"/>
      <c r="U62" s="16"/>
      <c r="V62" s="219"/>
      <c r="W62" s="16"/>
      <c r="X62" s="80"/>
      <c r="Y62" s="80"/>
      <c r="Z62" s="80"/>
      <c r="AA62" s="80"/>
      <c r="AB62" s="80"/>
      <c r="AC62" s="80"/>
      <c r="AD62" s="80"/>
      <c r="AE62" s="80"/>
      <c r="AF62" s="80"/>
      <c r="AG62" s="80"/>
      <c r="AH62" s="80"/>
      <c r="AI62" s="80"/>
      <c r="AJ62" s="80"/>
      <c r="AK62" s="80"/>
      <c r="AL62" s="80"/>
      <c r="AM62" s="80"/>
      <c r="AN62" s="80"/>
      <c r="AO62" s="80"/>
      <c r="AP62" s="80"/>
      <c r="AQ62" s="80"/>
    </row>
    <row r="63" spans="1:43" ht="15.75" customHeight="1">
      <c r="A63" s="329">
        <v>120</v>
      </c>
      <c r="B63" s="329" t="s">
        <v>560</v>
      </c>
      <c r="C63" s="329" t="s">
        <v>561</v>
      </c>
      <c r="D63" s="218">
        <v>4</v>
      </c>
      <c r="E63" s="16" t="s">
        <v>2496</v>
      </c>
      <c r="F63" s="220">
        <v>0.4236111111111111</v>
      </c>
      <c r="G63" s="220">
        <v>0.42708333333333331</v>
      </c>
      <c r="H63" s="16">
        <v>0</v>
      </c>
      <c r="I63" s="16">
        <v>85704</v>
      </c>
      <c r="J63" s="219">
        <v>30929</v>
      </c>
      <c r="K63" s="16">
        <v>48.1</v>
      </c>
      <c r="L63" s="16">
        <v>86.9</v>
      </c>
      <c r="M63" s="16">
        <v>9.1</v>
      </c>
      <c r="N63" s="16">
        <v>40.5</v>
      </c>
      <c r="O63" s="16">
        <v>53.9</v>
      </c>
      <c r="P63" s="16">
        <v>21.6</v>
      </c>
      <c r="Q63" s="16">
        <v>13.5</v>
      </c>
      <c r="R63" s="16"/>
      <c r="S63" s="16">
        <v>3.4</v>
      </c>
      <c r="T63" s="16">
        <v>5</v>
      </c>
      <c r="U63" s="16">
        <v>0</v>
      </c>
      <c r="V63" s="16">
        <v>994</v>
      </c>
      <c r="W63" s="16">
        <v>9.8000000000000007</v>
      </c>
      <c r="X63" s="80"/>
      <c r="Y63" s="80"/>
      <c r="Z63" s="80"/>
      <c r="AA63" s="80"/>
      <c r="AB63" s="80"/>
      <c r="AC63" s="80"/>
      <c r="AD63" s="80"/>
      <c r="AE63" s="80"/>
      <c r="AF63" s="80"/>
      <c r="AG63" s="80"/>
      <c r="AH63" s="80"/>
      <c r="AI63" s="80"/>
      <c r="AJ63" s="80"/>
      <c r="AK63" s="80"/>
      <c r="AL63" s="80"/>
      <c r="AM63" s="80"/>
      <c r="AN63" s="80"/>
      <c r="AO63" s="80"/>
      <c r="AP63" s="80"/>
      <c r="AQ63" s="80"/>
    </row>
    <row r="64" spans="1:43" ht="15.75" customHeight="1">
      <c r="A64" s="329">
        <v>121</v>
      </c>
      <c r="B64" s="329" t="s">
        <v>563</v>
      </c>
      <c r="C64" s="329" t="s">
        <v>212</v>
      </c>
      <c r="D64" s="218">
        <v>7</v>
      </c>
      <c r="E64" s="14" t="s">
        <v>2524</v>
      </c>
      <c r="F64" s="223">
        <v>0.45833333333333331</v>
      </c>
      <c r="G64" s="14"/>
      <c r="H64" s="14">
        <v>0</v>
      </c>
      <c r="I64" s="14">
        <v>44306</v>
      </c>
      <c r="J64" s="219">
        <v>22492</v>
      </c>
      <c r="K64" s="222">
        <v>31.7</v>
      </c>
      <c r="L64" s="222">
        <v>48.7</v>
      </c>
      <c r="M64" s="222">
        <v>29.9</v>
      </c>
      <c r="N64" s="222">
        <v>52.4</v>
      </c>
      <c r="O64" s="222">
        <v>50.2</v>
      </c>
      <c r="P64" s="222">
        <v>78.400000000000006</v>
      </c>
      <c r="Q64" s="222">
        <v>7.3</v>
      </c>
      <c r="R64" s="222"/>
      <c r="S64" s="14">
        <v>3.6</v>
      </c>
      <c r="T64" s="14">
        <v>2</v>
      </c>
      <c r="U64" s="14">
        <v>0</v>
      </c>
      <c r="V64" s="14">
        <v>26</v>
      </c>
      <c r="W64" s="14"/>
      <c r="X64" s="79"/>
      <c r="Y64" s="79"/>
      <c r="Z64" s="79"/>
      <c r="AA64" s="79"/>
      <c r="AB64" s="79"/>
      <c r="AC64" s="79"/>
      <c r="AD64" s="79"/>
      <c r="AE64" s="79"/>
      <c r="AF64" s="79"/>
      <c r="AG64" s="79"/>
      <c r="AH64" s="79"/>
      <c r="AI64" s="79"/>
      <c r="AJ64" s="79"/>
      <c r="AK64" s="79"/>
      <c r="AL64" s="79"/>
      <c r="AM64" s="79"/>
      <c r="AN64" s="79"/>
      <c r="AO64" s="79"/>
      <c r="AP64" s="79"/>
      <c r="AQ64" s="79"/>
    </row>
    <row r="65" spans="1:43" ht="15.75" customHeight="1">
      <c r="A65" s="329">
        <v>122</v>
      </c>
      <c r="B65" s="329" t="s">
        <v>566</v>
      </c>
      <c r="C65" s="329" t="s">
        <v>567</v>
      </c>
      <c r="D65" s="218">
        <v>5</v>
      </c>
      <c r="E65" s="16" t="s">
        <v>2509</v>
      </c>
      <c r="F65" s="220">
        <v>0.37361111111111112</v>
      </c>
      <c r="G65" s="227" t="s">
        <v>2525</v>
      </c>
      <c r="H65" s="16">
        <v>0</v>
      </c>
      <c r="I65" s="16">
        <v>89701</v>
      </c>
      <c r="J65" s="219">
        <v>27625</v>
      </c>
      <c r="K65" s="16">
        <v>40.200000000000003</v>
      </c>
      <c r="L65" s="16">
        <v>79.3</v>
      </c>
      <c r="M65" s="16">
        <v>12.3</v>
      </c>
      <c r="N65" s="16">
        <v>41.4</v>
      </c>
      <c r="O65" s="16">
        <v>52.8</v>
      </c>
      <c r="P65" s="16">
        <v>36.6</v>
      </c>
      <c r="Q65" s="16">
        <v>39.1</v>
      </c>
      <c r="R65" s="16">
        <v>23.6</v>
      </c>
      <c r="S65" s="16">
        <v>5.5</v>
      </c>
      <c r="T65" s="16">
        <v>5</v>
      </c>
      <c r="U65" s="16">
        <v>2</v>
      </c>
      <c r="V65" s="16"/>
      <c r="W65" s="16"/>
      <c r="X65" s="80"/>
      <c r="Y65" s="80"/>
      <c r="Z65" s="80"/>
      <c r="AA65" s="80"/>
      <c r="AB65" s="80"/>
      <c r="AC65" s="80"/>
      <c r="AD65" s="80"/>
      <c r="AE65" s="80"/>
      <c r="AF65" s="80"/>
      <c r="AG65" s="80"/>
      <c r="AH65" s="80"/>
      <c r="AI65" s="80"/>
      <c r="AJ65" s="80"/>
      <c r="AK65" s="80"/>
      <c r="AL65" s="80"/>
      <c r="AM65" s="80"/>
      <c r="AN65" s="80"/>
      <c r="AO65" s="80"/>
      <c r="AP65" s="80"/>
      <c r="AQ65" s="80"/>
    </row>
    <row r="66" spans="1:43" ht="15.75" customHeight="1">
      <c r="A66" s="329">
        <v>123</v>
      </c>
      <c r="B66" s="329" t="s">
        <v>570</v>
      </c>
      <c r="C66" s="329" t="s">
        <v>571</v>
      </c>
      <c r="D66" s="218">
        <v>4</v>
      </c>
      <c r="E66" s="16" t="s">
        <v>2496</v>
      </c>
      <c r="F66" s="220">
        <v>0.55625000000000002</v>
      </c>
      <c r="G66" s="220">
        <v>0.55972222222222223</v>
      </c>
      <c r="H66" s="16">
        <v>1</v>
      </c>
      <c r="I66" s="16">
        <v>90740</v>
      </c>
      <c r="J66" s="219">
        <v>23729</v>
      </c>
      <c r="K66" s="16">
        <v>57.5</v>
      </c>
      <c r="L66" s="16">
        <v>83.2</v>
      </c>
      <c r="M66" s="16">
        <v>6.1</v>
      </c>
      <c r="N66" s="16">
        <v>25.2</v>
      </c>
      <c r="O66" s="16">
        <v>94.4</v>
      </c>
      <c r="P66" s="16">
        <v>42.3</v>
      </c>
      <c r="Q66" s="16">
        <v>12.6</v>
      </c>
      <c r="R66" s="16"/>
      <c r="S66" s="16">
        <v>5.8</v>
      </c>
      <c r="T66" s="16">
        <v>1</v>
      </c>
      <c r="U66" s="16">
        <v>0</v>
      </c>
      <c r="V66" s="16">
        <v>36</v>
      </c>
      <c r="W66" s="16">
        <v>4.0999999999999996</v>
      </c>
      <c r="X66" s="80"/>
      <c r="Y66" s="80"/>
      <c r="Z66" s="80"/>
      <c r="AA66" s="80"/>
      <c r="AB66" s="80"/>
      <c r="AC66" s="80"/>
      <c r="AD66" s="80"/>
      <c r="AE66" s="80"/>
      <c r="AF66" s="80"/>
      <c r="AG66" s="80"/>
      <c r="AH66" s="80"/>
      <c r="AI66" s="80"/>
      <c r="AJ66" s="80"/>
      <c r="AK66" s="80"/>
      <c r="AL66" s="80"/>
      <c r="AM66" s="80"/>
      <c r="AN66" s="80"/>
      <c r="AO66" s="80"/>
      <c r="AP66" s="80"/>
      <c r="AQ66" s="80"/>
    </row>
    <row r="67" spans="1:43" ht="15.75" customHeight="1">
      <c r="A67" s="329">
        <v>124</v>
      </c>
      <c r="B67" s="329" t="s">
        <v>575</v>
      </c>
      <c r="C67" s="329" t="s">
        <v>576</v>
      </c>
      <c r="D67" s="16">
        <v>1</v>
      </c>
      <c r="E67" s="16" t="s">
        <v>2513</v>
      </c>
      <c r="F67" s="227" t="s">
        <v>2526</v>
      </c>
      <c r="G67" s="227" t="s">
        <v>2527</v>
      </c>
      <c r="H67" s="16">
        <v>0</v>
      </c>
      <c r="I67" s="16">
        <v>94621</v>
      </c>
      <c r="J67" s="219">
        <v>29870</v>
      </c>
      <c r="K67" s="16">
        <v>28.8</v>
      </c>
      <c r="L67" s="16">
        <v>20.3</v>
      </c>
      <c r="M67" s="16">
        <v>28.8</v>
      </c>
      <c r="N67" s="16">
        <v>63.3</v>
      </c>
      <c r="O67" s="16">
        <v>51.5</v>
      </c>
      <c r="P67" s="16">
        <v>58.7</v>
      </c>
      <c r="Q67" s="16">
        <v>6.5</v>
      </c>
      <c r="R67" s="16">
        <v>22.9</v>
      </c>
      <c r="S67" s="16">
        <v>4.3</v>
      </c>
      <c r="T67" s="16">
        <v>2</v>
      </c>
      <c r="U67" s="16">
        <v>0</v>
      </c>
      <c r="V67" s="16">
        <v>695</v>
      </c>
      <c r="W67" s="16">
        <v>26.2</v>
      </c>
      <c r="X67" s="80"/>
      <c r="Y67" s="80"/>
      <c r="Z67" s="80"/>
      <c r="AA67" s="80"/>
      <c r="AB67" s="80"/>
      <c r="AC67" s="80"/>
      <c r="AD67" s="80"/>
      <c r="AE67" s="80"/>
      <c r="AF67" s="80"/>
      <c r="AG67" s="80"/>
      <c r="AH67" s="80"/>
      <c r="AI67" s="80"/>
      <c r="AJ67" s="80"/>
      <c r="AK67" s="80"/>
      <c r="AL67" s="80"/>
      <c r="AM67" s="80"/>
      <c r="AN67" s="80"/>
      <c r="AO67" s="80"/>
      <c r="AP67" s="80"/>
      <c r="AQ67" s="80"/>
    </row>
    <row r="68" spans="1:43" ht="15.75" customHeight="1">
      <c r="A68" s="329">
        <v>125</v>
      </c>
      <c r="B68" s="329" t="s">
        <v>579</v>
      </c>
      <c r="C68" s="329" t="s">
        <v>580</v>
      </c>
      <c r="D68" s="218">
        <v>5</v>
      </c>
      <c r="E68" s="16" t="s">
        <v>2509</v>
      </c>
      <c r="F68" s="220">
        <v>0.45833333333333331</v>
      </c>
      <c r="G68" s="220">
        <v>0.66666666666666663</v>
      </c>
      <c r="H68" s="16">
        <v>0</v>
      </c>
      <c r="I68" s="16">
        <v>98105</v>
      </c>
      <c r="J68" s="219">
        <v>43924</v>
      </c>
      <c r="K68" s="16">
        <v>23.1</v>
      </c>
      <c r="L68" s="16">
        <v>71.400000000000006</v>
      </c>
      <c r="M68" s="16">
        <v>4.5999999999999996</v>
      </c>
      <c r="N68" s="16">
        <v>65.5</v>
      </c>
      <c r="O68" s="16">
        <v>57.5</v>
      </c>
      <c r="P68" s="16">
        <v>9</v>
      </c>
      <c r="Q68" s="16">
        <v>14.5</v>
      </c>
      <c r="R68" s="16">
        <v>9.6999999999999993</v>
      </c>
      <c r="S68" s="16">
        <v>1.8</v>
      </c>
      <c r="T68" s="16">
        <v>3</v>
      </c>
      <c r="U68" s="16">
        <v>0</v>
      </c>
      <c r="V68" s="219">
        <v>1444</v>
      </c>
      <c r="W68" s="16">
        <v>3.2</v>
      </c>
      <c r="X68" s="80"/>
      <c r="Y68" s="80"/>
      <c r="Z68" s="80"/>
      <c r="AA68" s="80"/>
      <c r="AB68" s="80"/>
      <c r="AC68" s="80"/>
      <c r="AD68" s="80"/>
      <c r="AE68" s="80"/>
      <c r="AF68" s="80"/>
      <c r="AG68" s="80"/>
      <c r="AH68" s="80"/>
      <c r="AI68" s="80"/>
      <c r="AJ68" s="80"/>
      <c r="AK68" s="80"/>
      <c r="AL68" s="80"/>
      <c r="AM68" s="80"/>
      <c r="AN68" s="80"/>
      <c r="AO68" s="80"/>
      <c r="AP68" s="80"/>
      <c r="AQ68" s="80"/>
    </row>
    <row r="69" spans="1:43" ht="15.75" customHeight="1">
      <c r="A69" s="329">
        <v>126</v>
      </c>
      <c r="B69" s="329" t="s">
        <v>582</v>
      </c>
      <c r="C69" s="329" t="s">
        <v>221</v>
      </c>
      <c r="D69" s="218">
        <v>7</v>
      </c>
      <c r="E69" s="16" t="s">
        <v>2528</v>
      </c>
      <c r="F69" s="220">
        <v>0</v>
      </c>
      <c r="G69" s="220">
        <v>3.472222222222222E-3</v>
      </c>
      <c r="H69" s="16">
        <v>3</v>
      </c>
      <c r="I69" s="16">
        <v>80012</v>
      </c>
      <c r="J69" s="219">
        <v>46665</v>
      </c>
      <c r="K69" s="16">
        <v>32.799999999999997</v>
      </c>
      <c r="L69" s="16">
        <v>51.4</v>
      </c>
      <c r="M69" s="16">
        <v>15.7</v>
      </c>
      <c r="N69" s="16">
        <v>50.8</v>
      </c>
      <c r="O69" s="16">
        <v>62.8</v>
      </c>
      <c r="P69" s="16">
        <v>83.1</v>
      </c>
      <c r="Q69" s="16">
        <v>21.4</v>
      </c>
      <c r="R69" s="16">
        <v>26.5</v>
      </c>
      <c r="S69" s="16">
        <v>2</v>
      </c>
      <c r="T69" s="16">
        <v>1</v>
      </c>
      <c r="U69" s="16">
        <v>1</v>
      </c>
      <c r="V69" s="16">
        <v>729</v>
      </c>
      <c r="W69" s="16">
        <v>2.7</v>
      </c>
      <c r="X69" s="80"/>
      <c r="Y69" s="80"/>
      <c r="Z69" s="80"/>
      <c r="AA69" s="80"/>
      <c r="AB69" s="80"/>
      <c r="AC69" s="80"/>
      <c r="AD69" s="80"/>
      <c r="AE69" s="80"/>
      <c r="AF69" s="80"/>
      <c r="AG69" s="80"/>
      <c r="AH69" s="80"/>
      <c r="AI69" s="80"/>
      <c r="AJ69" s="80"/>
      <c r="AK69" s="80"/>
      <c r="AL69" s="80"/>
      <c r="AM69" s="80"/>
      <c r="AN69" s="80"/>
      <c r="AO69" s="80"/>
      <c r="AP69" s="80"/>
      <c r="AQ69" s="80"/>
    </row>
    <row r="70" spans="1:43" ht="15.75" customHeight="1">
      <c r="A70" s="329">
        <v>127</v>
      </c>
      <c r="B70" s="329" t="s">
        <v>586</v>
      </c>
      <c r="C70" s="329" t="s">
        <v>587</v>
      </c>
      <c r="D70" s="218">
        <v>3</v>
      </c>
      <c r="E70" s="14" t="s">
        <v>2502</v>
      </c>
      <c r="F70" s="223">
        <v>0.43402777777777779</v>
      </c>
      <c r="G70" s="14"/>
      <c r="H70" s="14">
        <v>0</v>
      </c>
      <c r="I70" s="14">
        <v>53154</v>
      </c>
      <c r="J70" s="219">
        <v>34451</v>
      </c>
      <c r="K70" s="222">
        <v>37.4</v>
      </c>
      <c r="L70" s="222">
        <v>87.7</v>
      </c>
      <c r="M70" s="222">
        <v>8.1999999999999993</v>
      </c>
      <c r="N70" s="222">
        <v>38.700000000000003</v>
      </c>
      <c r="O70" s="222">
        <v>69</v>
      </c>
      <c r="P70" s="222">
        <v>92.2</v>
      </c>
      <c r="Q70" s="222">
        <v>29.3</v>
      </c>
      <c r="R70" s="222">
        <v>7.6</v>
      </c>
      <c r="S70" s="14"/>
      <c r="T70" s="14">
        <v>5</v>
      </c>
      <c r="U70" s="14">
        <v>0</v>
      </c>
      <c r="V70" s="14">
        <v>44</v>
      </c>
      <c r="W70" s="14">
        <v>17.3</v>
      </c>
      <c r="X70" s="79"/>
      <c r="Y70" s="79"/>
      <c r="Z70" s="79"/>
      <c r="AA70" s="79"/>
      <c r="AB70" s="79"/>
      <c r="AC70" s="79"/>
      <c r="AD70" s="79"/>
      <c r="AE70" s="79"/>
      <c r="AF70" s="79"/>
      <c r="AG70" s="79"/>
      <c r="AH70" s="79"/>
      <c r="AI70" s="79"/>
      <c r="AJ70" s="79"/>
      <c r="AK70" s="79"/>
      <c r="AL70" s="79"/>
      <c r="AM70" s="79"/>
      <c r="AN70" s="79"/>
      <c r="AO70" s="79"/>
      <c r="AP70" s="79"/>
      <c r="AQ70" s="79"/>
    </row>
    <row r="71" spans="1:43" ht="15.75" customHeight="1">
      <c r="A71" s="329">
        <v>128</v>
      </c>
      <c r="B71" s="329" t="s">
        <v>590</v>
      </c>
      <c r="C71" s="329" t="s">
        <v>367</v>
      </c>
      <c r="D71" s="218">
        <v>6</v>
      </c>
      <c r="E71" s="16" t="s">
        <v>2495</v>
      </c>
      <c r="F71" s="220">
        <v>0.6875</v>
      </c>
      <c r="G71" s="16"/>
      <c r="H71" s="16">
        <v>1</v>
      </c>
      <c r="I71" s="16">
        <v>55405</v>
      </c>
      <c r="J71" s="219">
        <v>15411</v>
      </c>
      <c r="K71" s="16">
        <v>31.1</v>
      </c>
      <c r="L71" s="16">
        <v>69.599999999999994</v>
      </c>
      <c r="M71" s="16">
        <v>12.6</v>
      </c>
      <c r="N71" s="16">
        <v>64.3</v>
      </c>
      <c r="O71" s="16">
        <v>59.4</v>
      </c>
      <c r="P71" s="16">
        <v>85</v>
      </c>
      <c r="Q71" s="16">
        <v>27.9</v>
      </c>
      <c r="R71" s="16"/>
      <c r="S71" s="16">
        <v>3.3</v>
      </c>
      <c r="T71" s="16">
        <v>3</v>
      </c>
      <c r="U71" s="16">
        <v>0</v>
      </c>
      <c r="V71" s="16">
        <v>800</v>
      </c>
      <c r="W71" s="16">
        <v>8.3000000000000007</v>
      </c>
      <c r="X71" s="80"/>
      <c r="Y71" s="80"/>
      <c r="Z71" s="80"/>
      <c r="AA71" s="80"/>
      <c r="AB71" s="80"/>
      <c r="AC71" s="80"/>
      <c r="AD71" s="80"/>
      <c r="AE71" s="80"/>
      <c r="AF71" s="80"/>
      <c r="AG71" s="80"/>
      <c r="AH71" s="80"/>
      <c r="AI71" s="80"/>
      <c r="AJ71" s="80"/>
      <c r="AK71" s="80"/>
      <c r="AL71" s="80"/>
      <c r="AM71" s="80"/>
      <c r="AN71" s="80"/>
      <c r="AO71" s="80"/>
      <c r="AP71" s="80"/>
      <c r="AQ71" s="80"/>
    </row>
    <row r="72" spans="1:43" ht="15.75" customHeight="1">
      <c r="A72" s="329">
        <v>129</v>
      </c>
      <c r="B72" s="329" t="s">
        <v>592</v>
      </c>
      <c r="C72" s="329" t="s">
        <v>593</v>
      </c>
      <c r="D72" s="218">
        <v>0</v>
      </c>
      <c r="E72" s="16" t="s">
        <v>2501</v>
      </c>
      <c r="F72" s="220">
        <v>0.39583333333333331</v>
      </c>
      <c r="G72" s="220">
        <v>0.40902777777777777</v>
      </c>
      <c r="H72" s="16">
        <v>0</v>
      </c>
      <c r="I72" s="16" t="s">
        <v>2529</v>
      </c>
      <c r="J72" s="219">
        <v>27560</v>
      </c>
      <c r="K72" s="16">
        <v>42.7</v>
      </c>
      <c r="L72" s="16">
        <v>92.8</v>
      </c>
      <c r="M72" s="16">
        <v>14</v>
      </c>
      <c r="N72" s="16"/>
      <c r="O72" s="16">
        <v>66.2</v>
      </c>
      <c r="P72" s="16">
        <v>95.9</v>
      </c>
      <c r="Q72" s="16">
        <v>55.9</v>
      </c>
      <c r="R72" s="16">
        <v>2.6</v>
      </c>
      <c r="S72" s="16">
        <v>14.9</v>
      </c>
      <c r="T72" s="16">
        <v>5</v>
      </c>
      <c r="U72" s="16">
        <v>0</v>
      </c>
      <c r="V72" s="16">
        <v>48</v>
      </c>
      <c r="W72" s="16">
        <v>0</v>
      </c>
      <c r="X72" s="79"/>
      <c r="Y72" s="79"/>
      <c r="Z72" s="79"/>
      <c r="AA72" s="79"/>
      <c r="AB72" s="79"/>
      <c r="AC72" s="79"/>
      <c r="AD72" s="79"/>
      <c r="AE72" s="79"/>
      <c r="AF72" s="79"/>
      <c r="AG72" s="79"/>
      <c r="AH72" s="79"/>
      <c r="AI72" s="79"/>
      <c r="AJ72" s="79"/>
      <c r="AK72" s="79"/>
      <c r="AL72" s="79"/>
      <c r="AM72" s="79"/>
      <c r="AN72" s="79"/>
      <c r="AO72" s="79"/>
      <c r="AP72" s="79"/>
      <c r="AQ72" s="79"/>
    </row>
    <row r="73" spans="1:43" ht="15.75" customHeight="1">
      <c r="A73" s="329">
        <v>130</v>
      </c>
      <c r="B73" s="329" t="s">
        <v>597</v>
      </c>
      <c r="C73" s="329" t="s">
        <v>598</v>
      </c>
      <c r="D73" s="218">
        <v>4</v>
      </c>
      <c r="E73" s="16" t="s">
        <v>2496</v>
      </c>
      <c r="F73" s="220">
        <v>0.39583333333333331</v>
      </c>
      <c r="G73" s="220">
        <v>0.33333333333333331</v>
      </c>
      <c r="H73" s="16">
        <v>0</v>
      </c>
      <c r="I73" s="16">
        <v>13407</v>
      </c>
      <c r="J73" s="219">
        <v>5453</v>
      </c>
      <c r="K73" s="16">
        <v>43.4</v>
      </c>
      <c r="L73" s="16">
        <v>97.3</v>
      </c>
      <c r="M73" s="16">
        <v>11.4</v>
      </c>
      <c r="N73" s="16">
        <v>27.1</v>
      </c>
      <c r="O73" s="16">
        <v>55.7</v>
      </c>
      <c r="P73" s="16">
        <v>88.1</v>
      </c>
      <c r="Q73" s="16">
        <v>17.3</v>
      </c>
      <c r="R73" s="16">
        <v>7.4</v>
      </c>
      <c r="S73" s="16">
        <v>26.5</v>
      </c>
      <c r="T73" s="16">
        <v>0</v>
      </c>
      <c r="U73" s="16">
        <v>0</v>
      </c>
      <c r="V73" s="16">
        <v>16</v>
      </c>
      <c r="W73" s="16"/>
      <c r="X73" s="80"/>
      <c r="Y73" s="80"/>
      <c r="Z73" s="80"/>
      <c r="AA73" s="80"/>
      <c r="AB73" s="80"/>
      <c r="AC73" s="80"/>
      <c r="AD73" s="80"/>
      <c r="AE73" s="80"/>
      <c r="AF73" s="80"/>
      <c r="AG73" s="80"/>
      <c r="AH73" s="80"/>
      <c r="AI73" s="80"/>
      <c r="AJ73" s="80"/>
      <c r="AK73" s="80"/>
      <c r="AL73" s="80"/>
      <c r="AM73" s="80"/>
      <c r="AN73" s="80"/>
      <c r="AO73" s="80"/>
      <c r="AP73" s="80"/>
      <c r="AQ73" s="80"/>
    </row>
    <row r="74" spans="1:43" ht="15.75" customHeight="1">
      <c r="A74" s="329">
        <v>131</v>
      </c>
      <c r="B74" s="329" t="s">
        <v>601</v>
      </c>
      <c r="C74" s="329" t="s">
        <v>602</v>
      </c>
      <c r="D74" s="218">
        <v>7</v>
      </c>
      <c r="E74" s="16" t="s">
        <v>2530</v>
      </c>
      <c r="F74" s="220">
        <v>0.89930555555555558</v>
      </c>
      <c r="G74" s="220">
        <v>0.90625</v>
      </c>
      <c r="H74" s="16">
        <v>3</v>
      </c>
      <c r="I74" s="16">
        <v>98003</v>
      </c>
      <c r="J74" s="219">
        <v>44151</v>
      </c>
      <c r="K74" s="16">
        <v>34.700000000000003</v>
      </c>
      <c r="L74" s="16">
        <v>55.4</v>
      </c>
      <c r="M74" s="16">
        <v>14.9</v>
      </c>
      <c r="N74" s="16">
        <v>50.8</v>
      </c>
      <c r="O74" s="16">
        <v>57.8</v>
      </c>
      <c r="P74" s="16">
        <v>87.6</v>
      </c>
      <c r="Q74" s="16">
        <v>21.2</v>
      </c>
      <c r="R74" s="16">
        <v>18.600000000000001</v>
      </c>
      <c r="S74" s="16">
        <v>1.8</v>
      </c>
      <c r="T74" s="16">
        <v>3</v>
      </c>
      <c r="U74" s="16">
        <v>1</v>
      </c>
      <c r="V74" s="16">
        <v>136</v>
      </c>
      <c r="W74" s="16">
        <v>3.3</v>
      </c>
      <c r="X74" s="80"/>
      <c r="Y74" s="80"/>
      <c r="Z74" s="80"/>
      <c r="AA74" s="80"/>
      <c r="AB74" s="80"/>
      <c r="AC74" s="80"/>
      <c r="AD74" s="80"/>
      <c r="AE74" s="80"/>
      <c r="AF74" s="80"/>
      <c r="AG74" s="80"/>
      <c r="AH74" s="80"/>
      <c r="AI74" s="80"/>
      <c r="AJ74" s="80"/>
      <c r="AK74" s="80"/>
      <c r="AL74" s="80"/>
      <c r="AM74" s="80"/>
      <c r="AN74" s="80"/>
      <c r="AO74" s="80"/>
      <c r="AP74" s="80"/>
      <c r="AQ74" s="80"/>
    </row>
    <row r="75" spans="1:43" ht="15.75" customHeight="1">
      <c r="A75" s="329">
        <v>132</v>
      </c>
      <c r="B75" s="329" t="s">
        <v>604</v>
      </c>
      <c r="C75" s="329" t="s">
        <v>190</v>
      </c>
      <c r="D75" s="16">
        <v>1</v>
      </c>
      <c r="E75" s="16" t="s">
        <v>2513</v>
      </c>
      <c r="F75" s="227" t="s">
        <v>2531</v>
      </c>
      <c r="G75" s="227" t="s">
        <v>2532</v>
      </c>
      <c r="H75" s="16">
        <v>0</v>
      </c>
      <c r="I75" s="16">
        <v>90405</v>
      </c>
      <c r="J75" s="219">
        <v>27186</v>
      </c>
      <c r="K75" s="16">
        <v>40.799999999999997</v>
      </c>
      <c r="L75" s="16">
        <v>79.5</v>
      </c>
      <c r="M75" s="16">
        <v>7.1</v>
      </c>
      <c r="N75" s="16">
        <v>66.900000000000006</v>
      </c>
      <c r="O75" s="16">
        <v>63.7</v>
      </c>
      <c r="P75" s="16">
        <v>96.1</v>
      </c>
      <c r="Q75" s="16">
        <v>63.9</v>
      </c>
      <c r="R75" s="16">
        <v>12</v>
      </c>
      <c r="S75" s="16">
        <v>1.5</v>
      </c>
      <c r="T75" s="16">
        <v>0</v>
      </c>
      <c r="U75" s="16">
        <v>0</v>
      </c>
      <c r="V75" s="16">
        <v>216</v>
      </c>
      <c r="W75" s="16">
        <v>7.35</v>
      </c>
      <c r="X75" s="80"/>
      <c r="Y75" s="80"/>
      <c r="Z75" s="80"/>
      <c r="AA75" s="80"/>
      <c r="AB75" s="80"/>
      <c r="AC75" s="80"/>
      <c r="AD75" s="80"/>
      <c r="AE75" s="80"/>
      <c r="AF75" s="80"/>
      <c r="AG75" s="80"/>
      <c r="AH75" s="80"/>
      <c r="AI75" s="80"/>
      <c r="AJ75" s="80"/>
      <c r="AK75" s="80"/>
      <c r="AL75" s="80"/>
      <c r="AM75" s="80"/>
      <c r="AN75" s="80"/>
      <c r="AO75" s="80"/>
      <c r="AP75" s="80"/>
      <c r="AQ75" s="80"/>
    </row>
    <row r="76" spans="1:43" ht="15.75" customHeight="1">
      <c r="A76" s="329">
        <v>133</v>
      </c>
      <c r="B76" s="329" t="s">
        <v>608</v>
      </c>
      <c r="C76" s="329" t="s">
        <v>609</v>
      </c>
      <c r="D76" s="218">
        <v>7</v>
      </c>
      <c r="E76" s="16" t="s">
        <v>2533</v>
      </c>
      <c r="F76" s="220">
        <v>0.77083333333333337</v>
      </c>
      <c r="G76" s="220">
        <v>0.10416666666666667</v>
      </c>
      <c r="H76" s="16">
        <v>2</v>
      </c>
      <c r="I76" s="16">
        <v>33012</v>
      </c>
      <c r="J76" s="219">
        <v>72248</v>
      </c>
      <c r="K76" s="16">
        <v>44.1</v>
      </c>
      <c r="L76" s="16">
        <v>94.1</v>
      </c>
      <c r="M76" s="16">
        <v>19.2</v>
      </c>
      <c r="N76" s="16">
        <v>46.7</v>
      </c>
      <c r="O76" s="16">
        <v>51</v>
      </c>
      <c r="P76" s="16">
        <v>68.3</v>
      </c>
      <c r="Q76" s="16">
        <v>15</v>
      </c>
      <c r="R76" s="16">
        <v>32.299999999999997</v>
      </c>
      <c r="S76" s="16">
        <v>2.5</v>
      </c>
      <c r="T76" s="16">
        <v>2</v>
      </c>
      <c r="U76" s="16">
        <v>3</v>
      </c>
      <c r="V76" s="16">
        <v>355</v>
      </c>
      <c r="W76" s="16">
        <v>1.7</v>
      </c>
      <c r="X76" s="80"/>
      <c r="Y76" s="80"/>
      <c r="Z76" s="80"/>
      <c r="AA76" s="80"/>
      <c r="AB76" s="80"/>
      <c r="AC76" s="80"/>
      <c r="AD76" s="80"/>
      <c r="AE76" s="80"/>
      <c r="AF76" s="80"/>
      <c r="AG76" s="80"/>
      <c r="AH76" s="80"/>
      <c r="AI76" s="80"/>
      <c r="AJ76" s="80"/>
      <c r="AK76" s="80"/>
      <c r="AL76" s="80"/>
      <c r="AM76" s="80"/>
      <c r="AN76" s="80"/>
      <c r="AO76" s="80"/>
      <c r="AP76" s="80"/>
      <c r="AQ76" s="80"/>
    </row>
    <row r="77" spans="1:43" ht="15.75" customHeight="1">
      <c r="A77" s="329">
        <v>134</v>
      </c>
      <c r="B77" s="329" t="s">
        <v>612</v>
      </c>
      <c r="C77" s="329" t="s">
        <v>613</v>
      </c>
      <c r="D77" s="218">
        <v>6</v>
      </c>
      <c r="E77" s="16" t="s">
        <v>2522</v>
      </c>
      <c r="F77" s="220">
        <v>0.34375</v>
      </c>
      <c r="G77" s="220">
        <v>0.47916666666666669</v>
      </c>
      <c r="H77" s="16">
        <v>0</v>
      </c>
      <c r="I77" s="16">
        <v>20003</v>
      </c>
      <c r="J77" s="219">
        <v>26454</v>
      </c>
      <c r="K77" s="16">
        <v>34.1</v>
      </c>
      <c r="L77" s="16">
        <v>55.9</v>
      </c>
      <c r="M77" s="16">
        <v>12.6</v>
      </c>
      <c r="N77" s="16">
        <v>53</v>
      </c>
      <c r="O77" s="16">
        <v>59.4</v>
      </c>
      <c r="P77" s="16">
        <v>25.3</v>
      </c>
      <c r="Q77" s="16">
        <v>25.3</v>
      </c>
      <c r="R77" s="16"/>
      <c r="S77" s="16">
        <v>3.8</v>
      </c>
      <c r="T77" s="16">
        <v>5</v>
      </c>
      <c r="U77" s="16">
        <v>1</v>
      </c>
      <c r="V77" s="219">
        <v>3900</v>
      </c>
      <c r="W77" s="16">
        <v>13.91</v>
      </c>
      <c r="X77" s="80"/>
      <c r="Y77" s="80"/>
      <c r="Z77" s="80"/>
      <c r="AA77" s="80"/>
      <c r="AB77" s="80"/>
      <c r="AC77" s="80"/>
      <c r="AD77" s="80"/>
      <c r="AE77" s="80"/>
      <c r="AF77" s="80"/>
      <c r="AG77" s="80"/>
      <c r="AH77" s="80"/>
      <c r="AI77" s="80"/>
      <c r="AJ77" s="80"/>
      <c r="AK77" s="80"/>
      <c r="AL77" s="80"/>
      <c r="AM77" s="80"/>
      <c r="AN77" s="80"/>
      <c r="AO77" s="80"/>
      <c r="AP77" s="80"/>
      <c r="AQ77" s="80"/>
    </row>
    <row r="78" spans="1:43" ht="15.75" customHeight="1">
      <c r="A78" s="329">
        <v>135</v>
      </c>
      <c r="B78" s="329" t="s">
        <v>615</v>
      </c>
      <c r="C78" s="329" t="s">
        <v>616</v>
      </c>
      <c r="D78" s="218">
        <v>2</v>
      </c>
      <c r="E78" s="14" t="s">
        <v>2511</v>
      </c>
      <c r="F78" s="220">
        <v>0.64583333333333337</v>
      </c>
      <c r="G78" s="16"/>
      <c r="H78" s="16">
        <v>1</v>
      </c>
      <c r="I78" s="16">
        <v>96101</v>
      </c>
      <c r="J78" s="219">
        <v>5490</v>
      </c>
      <c r="K78" s="16">
        <v>44.7</v>
      </c>
      <c r="L78" s="16">
        <v>85.5</v>
      </c>
      <c r="M78" s="16">
        <v>12.6</v>
      </c>
      <c r="N78" s="16">
        <v>32.4</v>
      </c>
      <c r="O78" s="16">
        <v>59.4</v>
      </c>
      <c r="P78" s="16">
        <v>85</v>
      </c>
      <c r="Q78" s="16">
        <v>27.9</v>
      </c>
      <c r="R78" s="16"/>
      <c r="S78" s="16">
        <v>0.6</v>
      </c>
      <c r="T78" s="16">
        <v>0</v>
      </c>
      <c r="U78" s="16">
        <v>0</v>
      </c>
      <c r="V78" s="16">
        <v>9</v>
      </c>
      <c r="W78" s="16"/>
      <c r="X78" s="80"/>
      <c r="Y78" s="80"/>
      <c r="Z78" s="80"/>
      <c r="AA78" s="80"/>
      <c r="AB78" s="80"/>
      <c r="AC78" s="80"/>
      <c r="AD78" s="80"/>
      <c r="AE78" s="80"/>
      <c r="AF78" s="80"/>
      <c r="AG78" s="80"/>
      <c r="AH78" s="80"/>
      <c r="AI78" s="80"/>
      <c r="AJ78" s="80"/>
      <c r="AK78" s="80"/>
      <c r="AL78" s="80"/>
      <c r="AM78" s="80"/>
      <c r="AN78" s="80"/>
      <c r="AO78" s="80"/>
      <c r="AP78" s="80"/>
      <c r="AQ78" s="80"/>
    </row>
    <row r="79" spans="1:43" ht="15.75" customHeight="1">
      <c r="A79" s="329">
        <v>136</v>
      </c>
      <c r="B79" s="329" t="s">
        <v>619</v>
      </c>
      <c r="C79" s="329" t="s">
        <v>620</v>
      </c>
      <c r="D79" s="218">
        <v>1</v>
      </c>
      <c r="E79" s="16" t="s">
        <v>2513</v>
      </c>
      <c r="F79" s="220">
        <v>0.875</v>
      </c>
      <c r="G79" s="227" t="s">
        <v>2534</v>
      </c>
      <c r="H79" s="16">
        <v>3</v>
      </c>
      <c r="I79" s="16">
        <v>93117</v>
      </c>
      <c r="J79" s="219">
        <v>53217</v>
      </c>
      <c r="K79" s="16">
        <v>22.4</v>
      </c>
      <c r="L79" s="16">
        <v>67.2</v>
      </c>
      <c r="M79" s="16">
        <v>7.9</v>
      </c>
      <c r="N79" s="16">
        <v>61.7</v>
      </c>
      <c r="O79" s="16">
        <v>59.9</v>
      </c>
      <c r="P79" s="16">
        <v>85.9</v>
      </c>
      <c r="Q79" s="16">
        <v>43.4</v>
      </c>
      <c r="R79" s="16">
        <v>8.9</v>
      </c>
      <c r="S79" s="16">
        <v>4.0999999999999996</v>
      </c>
      <c r="T79" s="16">
        <v>3</v>
      </c>
      <c r="U79" s="16">
        <v>2</v>
      </c>
      <c r="V79" s="16">
        <v>260</v>
      </c>
      <c r="W79" s="16">
        <v>3.75</v>
      </c>
      <c r="X79" s="80"/>
      <c r="Y79" s="80"/>
      <c r="Z79" s="80"/>
      <c r="AA79" s="80"/>
      <c r="AB79" s="80"/>
      <c r="AC79" s="80"/>
      <c r="AD79" s="80"/>
      <c r="AE79" s="80"/>
      <c r="AF79" s="80"/>
      <c r="AG79" s="80"/>
      <c r="AH79" s="80"/>
      <c r="AI79" s="80"/>
      <c r="AJ79" s="80"/>
      <c r="AK79" s="80"/>
      <c r="AL79" s="80"/>
      <c r="AM79" s="80"/>
      <c r="AN79" s="80"/>
      <c r="AO79" s="80"/>
      <c r="AP79" s="80"/>
      <c r="AQ79" s="80"/>
    </row>
    <row r="80" spans="1:43" ht="15.75" customHeight="1">
      <c r="A80" s="329">
        <v>137</v>
      </c>
      <c r="B80" s="329" t="s">
        <v>623</v>
      </c>
      <c r="C80" s="329" t="s">
        <v>624</v>
      </c>
      <c r="D80" s="218">
        <v>0</v>
      </c>
      <c r="E80" s="16" t="s">
        <v>2501</v>
      </c>
      <c r="F80" s="220">
        <v>0.44374999999999998</v>
      </c>
      <c r="G80" s="220">
        <v>0.44583333333333336</v>
      </c>
      <c r="H80" s="16">
        <v>0</v>
      </c>
      <c r="I80" s="16">
        <v>98271</v>
      </c>
      <c r="J80" s="219">
        <v>27184</v>
      </c>
      <c r="K80" s="16">
        <v>37.6</v>
      </c>
      <c r="L80" s="16">
        <v>76.8</v>
      </c>
      <c r="M80" s="16">
        <v>11.3</v>
      </c>
      <c r="N80" s="16">
        <v>21.6</v>
      </c>
      <c r="O80" s="16">
        <v>57.2</v>
      </c>
      <c r="P80" s="16">
        <v>90</v>
      </c>
      <c r="Q80" s="16">
        <v>17</v>
      </c>
      <c r="R80" s="16">
        <v>10.4</v>
      </c>
      <c r="S80" s="16">
        <v>8.6</v>
      </c>
      <c r="T80" s="16">
        <v>2</v>
      </c>
      <c r="U80" s="16">
        <v>1</v>
      </c>
      <c r="V80" s="16">
        <v>45</v>
      </c>
      <c r="W80" s="16">
        <v>6.2</v>
      </c>
      <c r="X80" s="79"/>
      <c r="Y80" s="79"/>
      <c r="Z80" s="79"/>
      <c r="AA80" s="79"/>
      <c r="AB80" s="79"/>
      <c r="AC80" s="79"/>
      <c r="AD80" s="79"/>
      <c r="AE80" s="79"/>
      <c r="AF80" s="79"/>
      <c r="AG80" s="79"/>
      <c r="AH80" s="79"/>
      <c r="AI80" s="79"/>
      <c r="AJ80" s="79"/>
      <c r="AK80" s="79"/>
      <c r="AL80" s="79"/>
      <c r="AM80" s="79"/>
      <c r="AN80" s="79"/>
      <c r="AO80" s="79"/>
      <c r="AP80" s="79"/>
      <c r="AQ80" s="79"/>
    </row>
    <row r="81" spans="1:43" ht="15.75" customHeight="1">
      <c r="A81" s="329">
        <v>138</v>
      </c>
      <c r="B81" s="329" t="s">
        <v>627</v>
      </c>
      <c r="C81" s="329" t="s">
        <v>628</v>
      </c>
      <c r="D81" s="218">
        <v>3</v>
      </c>
      <c r="E81" s="16" t="s">
        <v>2502</v>
      </c>
      <c r="F81" s="220">
        <v>0.87847222222222221</v>
      </c>
      <c r="G81" s="220">
        <v>0.88263888888888886</v>
      </c>
      <c r="H81" s="16">
        <v>3</v>
      </c>
      <c r="I81" s="16">
        <v>29401</v>
      </c>
      <c r="J81" s="219">
        <v>10593</v>
      </c>
      <c r="K81" s="16">
        <v>26.3</v>
      </c>
      <c r="L81" s="16">
        <v>88.1</v>
      </c>
      <c r="M81" s="16">
        <v>2.6</v>
      </c>
      <c r="N81" s="16">
        <v>38.729999999999997</v>
      </c>
      <c r="O81" s="16">
        <v>46.3</v>
      </c>
      <c r="P81" s="16">
        <v>96.7</v>
      </c>
      <c r="Q81" s="16">
        <v>74.400000000000006</v>
      </c>
      <c r="R81" s="16">
        <v>3.5</v>
      </c>
      <c r="S81" s="16">
        <v>0.9</v>
      </c>
      <c r="T81" s="16">
        <v>2</v>
      </c>
      <c r="U81" s="16">
        <v>0</v>
      </c>
      <c r="V81" s="16"/>
      <c r="W81" s="16">
        <v>6.9</v>
      </c>
      <c r="X81" s="79"/>
      <c r="Y81" s="79"/>
      <c r="Z81" s="79"/>
      <c r="AA81" s="79"/>
      <c r="AB81" s="79"/>
      <c r="AC81" s="79"/>
      <c r="AD81" s="79"/>
      <c r="AE81" s="79"/>
      <c r="AF81" s="79"/>
      <c r="AG81" s="79"/>
      <c r="AH81" s="79"/>
      <c r="AI81" s="79"/>
      <c r="AJ81" s="79"/>
      <c r="AK81" s="79"/>
      <c r="AL81" s="79"/>
      <c r="AM81" s="79"/>
      <c r="AN81" s="79"/>
      <c r="AO81" s="79"/>
      <c r="AP81" s="79"/>
      <c r="AQ81" s="79"/>
    </row>
    <row r="82" spans="1:43" ht="15.75" customHeight="1">
      <c r="A82" s="329">
        <v>139</v>
      </c>
      <c r="B82" s="329" t="s">
        <v>630</v>
      </c>
      <c r="C82" s="329" t="s">
        <v>2535</v>
      </c>
      <c r="D82" s="218">
        <v>2</v>
      </c>
      <c r="E82" s="16" t="s">
        <v>2522</v>
      </c>
      <c r="F82" s="220">
        <v>0.44791666666666669</v>
      </c>
      <c r="G82" s="220">
        <v>0.46875</v>
      </c>
      <c r="H82" s="16">
        <v>0</v>
      </c>
      <c r="I82" s="16">
        <v>37406</v>
      </c>
      <c r="J82" s="219">
        <v>14627</v>
      </c>
      <c r="K82" s="16">
        <v>35.299999999999997</v>
      </c>
      <c r="L82" s="16">
        <v>16.600000000000001</v>
      </c>
      <c r="M82" s="16">
        <v>34.5</v>
      </c>
      <c r="N82" s="16">
        <v>53.7</v>
      </c>
      <c r="O82" s="16">
        <v>43.5</v>
      </c>
      <c r="P82" s="16">
        <v>43.4</v>
      </c>
      <c r="Q82" s="16">
        <v>2</v>
      </c>
      <c r="R82" s="16">
        <v>13.8</v>
      </c>
      <c r="S82" s="16">
        <v>4.9000000000000004</v>
      </c>
      <c r="T82" s="16">
        <v>1</v>
      </c>
      <c r="U82" s="16">
        <v>0</v>
      </c>
      <c r="V82" s="16">
        <v>477</v>
      </c>
      <c r="W82" s="16">
        <v>15.5</v>
      </c>
      <c r="X82" s="80"/>
      <c r="Y82" s="80"/>
      <c r="Z82" s="80"/>
      <c r="AA82" s="80"/>
      <c r="AB82" s="80"/>
      <c r="AC82" s="80"/>
      <c r="AD82" s="80"/>
      <c r="AE82" s="80"/>
      <c r="AF82" s="80"/>
      <c r="AG82" s="80"/>
      <c r="AH82" s="80"/>
      <c r="AI82" s="80"/>
      <c r="AJ82" s="80"/>
      <c r="AK82" s="80"/>
      <c r="AL82" s="80"/>
      <c r="AM82" s="80"/>
      <c r="AN82" s="80"/>
      <c r="AO82" s="80"/>
      <c r="AP82" s="80"/>
      <c r="AQ82" s="80"/>
    </row>
    <row r="83" spans="1:43" ht="15.75" customHeight="1">
      <c r="A83" s="329">
        <v>140</v>
      </c>
      <c r="B83" s="329" t="s">
        <v>635</v>
      </c>
      <c r="C83" s="329" t="s">
        <v>636</v>
      </c>
      <c r="D83" s="16">
        <v>1</v>
      </c>
      <c r="E83" s="16" t="s">
        <v>2513</v>
      </c>
      <c r="F83" s="227" t="s">
        <v>2526</v>
      </c>
      <c r="G83" s="227" t="s">
        <v>2536</v>
      </c>
      <c r="H83" s="16">
        <v>0</v>
      </c>
      <c r="I83" s="16">
        <v>97470</v>
      </c>
      <c r="J83" s="219">
        <v>20320</v>
      </c>
      <c r="K83" s="16">
        <v>41.3</v>
      </c>
      <c r="L83" s="16">
        <v>92</v>
      </c>
      <c r="M83" s="16">
        <v>13.4</v>
      </c>
      <c r="N83" s="16">
        <v>41.4</v>
      </c>
      <c r="O83" s="16">
        <v>47</v>
      </c>
      <c r="P83" s="16">
        <v>88.8</v>
      </c>
      <c r="Q83" s="16">
        <v>14.4</v>
      </c>
      <c r="R83" s="16">
        <v>13.3</v>
      </c>
      <c r="S83" s="16">
        <v>5.3</v>
      </c>
      <c r="T83" s="16">
        <v>5</v>
      </c>
      <c r="U83" s="16">
        <v>3</v>
      </c>
      <c r="V83" s="16">
        <v>37</v>
      </c>
      <c r="W83" s="16">
        <v>9.1</v>
      </c>
      <c r="X83" s="80"/>
      <c r="Y83" s="80"/>
      <c r="Z83" s="80"/>
      <c r="AA83" s="80"/>
      <c r="AB83" s="80"/>
      <c r="AC83" s="80"/>
      <c r="AD83" s="80"/>
      <c r="AE83" s="80"/>
      <c r="AF83" s="80"/>
      <c r="AG83" s="80"/>
      <c r="AH83" s="80"/>
      <c r="AI83" s="80"/>
      <c r="AJ83" s="80"/>
      <c r="AK83" s="80"/>
      <c r="AL83" s="80"/>
      <c r="AM83" s="80"/>
      <c r="AN83" s="80"/>
      <c r="AO83" s="80"/>
      <c r="AP83" s="80"/>
      <c r="AQ83" s="80"/>
    </row>
    <row r="84" spans="1:43" ht="15.75" customHeight="1">
      <c r="A84" s="329">
        <v>141</v>
      </c>
      <c r="B84" s="329" t="s">
        <v>638</v>
      </c>
      <c r="C84" s="329" t="s">
        <v>182</v>
      </c>
      <c r="D84" s="218">
        <v>8</v>
      </c>
      <c r="E84" s="16" t="s">
        <v>2537</v>
      </c>
      <c r="F84" s="220">
        <v>0.875</v>
      </c>
      <c r="G84" s="220">
        <v>0.47222222222222221</v>
      </c>
      <c r="H84" s="16">
        <v>3</v>
      </c>
      <c r="I84" s="16">
        <v>75861</v>
      </c>
      <c r="J84" s="219">
        <v>9017</v>
      </c>
      <c r="K84" s="16">
        <v>40.6</v>
      </c>
      <c r="L84" s="16">
        <v>41.3</v>
      </c>
      <c r="M84" s="16">
        <v>9.3000000000000007</v>
      </c>
      <c r="N84" s="16">
        <v>27.5</v>
      </c>
      <c r="O84" s="16">
        <v>8.3000000000000007</v>
      </c>
      <c r="P84" s="16">
        <v>70.5</v>
      </c>
      <c r="Q84" s="16">
        <v>2.9</v>
      </c>
      <c r="R84" s="16">
        <v>14.6</v>
      </c>
      <c r="S84" s="16"/>
      <c r="T84" s="16">
        <v>0</v>
      </c>
      <c r="U84" s="16">
        <v>1</v>
      </c>
      <c r="V84" s="16">
        <v>39</v>
      </c>
      <c r="W84" s="16">
        <v>0</v>
      </c>
      <c r="X84" s="80"/>
      <c r="Y84" s="80"/>
      <c r="Z84" s="80"/>
      <c r="AA84" s="80"/>
      <c r="AB84" s="80"/>
      <c r="AC84" s="80"/>
      <c r="AD84" s="80"/>
      <c r="AE84" s="80"/>
      <c r="AF84" s="80"/>
      <c r="AG84" s="80"/>
      <c r="AH84" s="80"/>
      <c r="AI84" s="80"/>
      <c r="AJ84" s="80"/>
      <c r="AK84" s="80"/>
      <c r="AL84" s="80"/>
      <c r="AM84" s="80"/>
      <c r="AN84" s="80"/>
      <c r="AO84" s="80"/>
      <c r="AP84" s="80"/>
      <c r="AQ84" s="80"/>
    </row>
    <row r="85" spans="1:43" ht="15.75" customHeight="1">
      <c r="A85" s="329" t="s">
        <v>3475</v>
      </c>
      <c r="B85" s="329" t="s">
        <v>2538</v>
      </c>
      <c r="C85" s="329" t="s">
        <v>642</v>
      </c>
      <c r="D85" s="218">
        <v>6</v>
      </c>
      <c r="E85" s="14" t="s">
        <v>2539</v>
      </c>
      <c r="F85" s="220">
        <v>0.45694444444444443</v>
      </c>
      <c r="G85" s="220">
        <v>0.63472222222222219</v>
      </c>
      <c r="H85" s="16">
        <v>0</v>
      </c>
      <c r="I85" s="16">
        <v>92408</v>
      </c>
      <c r="J85" s="219">
        <v>15271</v>
      </c>
      <c r="K85" s="16">
        <v>30.2</v>
      </c>
      <c r="L85" s="16">
        <v>37.299999999999997</v>
      </c>
      <c r="M85" s="16">
        <v>21.8</v>
      </c>
      <c r="N85" s="16">
        <v>62.4</v>
      </c>
      <c r="O85" s="16">
        <v>44.6</v>
      </c>
      <c r="P85" s="16">
        <v>38.200000000000003</v>
      </c>
      <c r="Q85" s="16">
        <v>5.9</v>
      </c>
      <c r="R85" s="16">
        <v>24</v>
      </c>
      <c r="S85" s="16">
        <v>1.1000000000000001</v>
      </c>
      <c r="T85" s="16">
        <v>4</v>
      </c>
      <c r="U85" s="16">
        <v>3</v>
      </c>
      <c r="V85" s="16">
        <v>303</v>
      </c>
      <c r="W85" s="16">
        <v>20</v>
      </c>
      <c r="X85" s="80"/>
      <c r="Y85" s="80"/>
      <c r="Z85" s="80"/>
      <c r="AA85" s="80"/>
      <c r="AB85" s="80"/>
      <c r="AC85" s="80"/>
      <c r="AD85" s="80"/>
      <c r="AE85" s="80"/>
      <c r="AF85" s="80"/>
      <c r="AG85" s="80"/>
      <c r="AH85" s="80"/>
      <c r="AI85" s="80"/>
      <c r="AJ85" s="80"/>
      <c r="AK85" s="80"/>
      <c r="AL85" s="80"/>
      <c r="AM85" s="80"/>
      <c r="AN85" s="80"/>
      <c r="AO85" s="80"/>
      <c r="AP85" s="80"/>
      <c r="AQ85" s="80"/>
    </row>
    <row r="86" spans="1:43" ht="15.75" customHeight="1">
      <c r="A86" s="329">
        <v>144</v>
      </c>
      <c r="B86" s="329" t="s">
        <v>647</v>
      </c>
      <c r="C86" s="329" t="s">
        <v>648</v>
      </c>
      <c r="D86" s="218">
        <v>5</v>
      </c>
      <c r="E86" s="16" t="s">
        <v>2509</v>
      </c>
      <c r="F86" s="220">
        <v>0.75</v>
      </c>
      <c r="G86" s="220">
        <v>3.125E-2</v>
      </c>
      <c r="H86" s="16">
        <v>2</v>
      </c>
      <c r="I86" s="16">
        <v>49004</v>
      </c>
      <c r="J86" s="219">
        <v>15828</v>
      </c>
      <c r="K86" s="16">
        <v>38.200000000000003</v>
      </c>
      <c r="L86" s="16">
        <v>82.3</v>
      </c>
      <c r="M86" s="16">
        <v>12</v>
      </c>
      <c r="N86" s="16">
        <v>21.9</v>
      </c>
      <c r="O86" s="16">
        <v>59.8</v>
      </c>
      <c r="P86" s="16">
        <v>91.4</v>
      </c>
      <c r="Q86" s="16">
        <v>29</v>
      </c>
      <c r="R86" s="16">
        <v>9.3000000000000007</v>
      </c>
      <c r="S86" s="16">
        <v>3.5</v>
      </c>
      <c r="T86" s="16">
        <v>0</v>
      </c>
      <c r="U86" s="16">
        <v>0</v>
      </c>
      <c r="V86" s="16">
        <v>257</v>
      </c>
      <c r="W86" s="16">
        <v>7.9</v>
      </c>
      <c r="X86" s="80"/>
      <c r="Y86" s="80"/>
      <c r="Z86" s="80"/>
      <c r="AA86" s="80"/>
      <c r="AB86" s="80"/>
      <c r="AC86" s="80"/>
      <c r="AD86" s="80"/>
      <c r="AE86" s="80"/>
      <c r="AF86" s="80"/>
      <c r="AG86" s="80"/>
      <c r="AH86" s="80"/>
      <c r="AI86" s="80"/>
      <c r="AJ86" s="80"/>
      <c r="AK86" s="80"/>
      <c r="AL86" s="80"/>
      <c r="AM86" s="80"/>
      <c r="AN86" s="80"/>
      <c r="AO86" s="80"/>
      <c r="AP86" s="80"/>
      <c r="AQ86" s="80"/>
    </row>
    <row r="87" spans="1:43" ht="15.75" customHeight="1">
      <c r="A87" s="187" t="s">
        <v>3424</v>
      </c>
      <c r="B87" s="187"/>
      <c r="C87" s="187"/>
      <c r="D87" s="218">
        <v>7</v>
      </c>
      <c r="E87" s="14" t="s">
        <v>2512</v>
      </c>
      <c r="F87" s="223">
        <v>0.95833333333333337</v>
      </c>
      <c r="G87" s="14"/>
      <c r="H87" s="14">
        <v>3</v>
      </c>
      <c r="I87" s="14">
        <v>15221</v>
      </c>
      <c r="J87" s="219">
        <v>30666</v>
      </c>
      <c r="K87" s="222">
        <v>43.1</v>
      </c>
      <c r="L87" s="222">
        <v>47.2</v>
      </c>
      <c r="M87" s="222">
        <v>18</v>
      </c>
      <c r="N87" s="222">
        <v>50.1</v>
      </c>
      <c r="O87" s="222">
        <v>56.7</v>
      </c>
      <c r="P87" s="222">
        <v>93</v>
      </c>
      <c r="Q87" s="222">
        <v>36.5</v>
      </c>
      <c r="R87" s="222">
        <v>9.6999999999999993</v>
      </c>
      <c r="S87" s="14">
        <v>1.4</v>
      </c>
      <c r="T87" s="14">
        <v>4</v>
      </c>
      <c r="U87" s="14">
        <v>0</v>
      </c>
      <c r="V87" s="14">
        <v>46</v>
      </c>
      <c r="W87" s="14">
        <v>25.2</v>
      </c>
      <c r="X87" s="79"/>
      <c r="Y87" s="79"/>
      <c r="Z87" s="79"/>
      <c r="AA87" s="79"/>
      <c r="AB87" s="79"/>
      <c r="AC87" s="79"/>
      <c r="AD87" s="79"/>
      <c r="AE87" s="79"/>
      <c r="AF87" s="79"/>
      <c r="AG87" s="79"/>
      <c r="AH87" s="79"/>
      <c r="AI87" s="79"/>
      <c r="AJ87" s="79"/>
      <c r="AK87" s="79"/>
      <c r="AL87" s="79"/>
      <c r="AM87" s="79"/>
      <c r="AN87" s="79"/>
      <c r="AO87" s="79"/>
      <c r="AP87" s="79"/>
      <c r="AQ87" s="79"/>
    </row>
    <row r="88" spans="1:43" ht="15.75" customHeight="1">
      <c r="A88" s="329">
        <v>147</v>
      </c>
      <c r="B88" s="329" t="s">
        <v>653</v>
      </c>
      <c r="C88" s="329" t="s">
        <v>551</v>
      </c>
      <c r="D88" s="218">
        <v>5</v>
      </c>
      <c r="E88" s="16" t="s">
        <v>2509</v>
      </c>
      <c r="F88" s="220">
        <v>8.1944444444444445E-2</v>
      </c>
      <c r="G88" s="220">
        <v>0.21875</v>
      </c>
      <c r="H88" s="16">
        <v>3</v>
      </c>
      <c r="I88" s="16">
        <v>32806</v>
      </c>
      <c r="J88" s="219">
        <v>26797</v>
      </c>
      <c r="K88" s="16">
        <v>38.6</v>
      </c>
      <c r="L88" s="16">
        <v>83.9</v>
      </c>
      <c r="M88" s="16">
        <v>11</v>
      </c>
      <c r="N88" s="16">
        <v>35.9</v>
      </c>
      <c r="O88" s="16">
        <v>64.900000000000006</v>
      </c>
      <c r="P88" s="16">
        <v>28.5</v>
      </c>
      <c r="Q88" s="16">
        <v>21.3</v>
      </c>
      <c r="R88" s="16">
        <v>16.8</v>
      </c>
      <c r="S88" s="16">
        <v>0.6</v>
      </c>
      <c r="T88" s="16">
        <v>1</v>
      </c>
      <c r="U88" s="16">
        <v>2</v>
      </c>
      <c r="V88" s="16">
        <v>697</v>
      </c>
      <c r="W88" s="16">
        <v>5.8</v>
      </c>
      <c r="X88" s="80"/>
      <c r="Y88" s="80"/>
      <c r="Z88" s="80"/>
      <c r="AA88" s="80"/>
      <c r="AB88" s="80"/>
      <c r="AC88" s="80"/>
      <c r="AD88" s="80"/>
      <c r="AE88" s="80"/>
      <c r="AF88" s="80"/>
      <c r="AG88" s="80"/>
      <c r="AH88" s="80"/>
      <c r="AI88" s="80"/>
      <c r="AJ88" s="80"/>
      <c r="AK88" s="80"/>
      <c r="AL88" s="80"/>
      <c r="AM88" s="80"/>
      <c r="AN88" s="80"/>
      <c r="AO88" s="80"/>
      <c r="AP88" s="80"/>
      <c r="AQ88" s="80"/>
    </row>
    <row r="89" spans="1:43" ht="15.75" customHeight="1">
      <c r="A89" s="329">
        <v>148</v>
      </c>
      <c r="B89" s="329" t="s">
        <v>371</v>
      </c>
      <c r="C89" s="329" t="s">
        <v>655</v>
      </c>
      <c r="D89" s="218">
        <v>8</v>
      </c>
      <c r="E89" s="16" t="s">
        <v>2540</v>
      </c>
      <c r="F89" s="220">
        <v>0.87430555555555556</v>
      </c>
      <c r="G89" s="220">
        <v>0.10416666666666667</v>
      </c>
      <c r="H89" s="16">
        <v>3</v>
      </c>
      <c r="I89" s="16">
        <v>75202</v>
      </c>
      <c r="J89" s="219">
        <v>2236</v>
      </c>
      <c r="K89" s="16">
        <v>30.8</v>
      </c>
      <c r="L89" s="16">
        <v>68.900000000000006</v>
      </c>
      <c r="M89" s="16">
        <v>3.3</v>
      </c>
      <c r="N89" s="16">
        <v>83</v>
      </c>
      <c r="O89" s="16">
        <v>87.2</v>
      </c>
      <c r="P89" s="16">
        <v>100</v>
      </c>
      <c r="Q89" s="16">
        <v>72.400000000000006</v>
      </c>
      <c r="R89" s="16">
        <v>8.1</v>
      </c>
      <c r="S89" s="16">
        <v>2</v>
      </c>
      <c r="T89" s="16">
        <v>2</v>
      </c>
      <c r="U89" s="16">
        <v>0</v>
      </c>
      <c r="V89" s="219">
        <v>2841</v>
      </c>
      <c r="W89" s="16">
        <v>9.1</v>
      </c>
      <c r="X89" s="80"/>
      <c r="Y89" s="80"/>
      <c r="Z89" s="80"/>
      <c r="AA89" s="80"/>
      <c r="AB89" s="80"/>
      <c r="AC89" s="80"/>
      <c r="AD89" s="80"/>
      <c r="AE89" s="80"/>
      <c r="AF89" s="80"/>
      <c r="AG89" s="80"/>
      <c r="AH89" s="80"/>
      <c r="AI89" s="80"/>
      <c r="AJ89" s="80"/>
      <c r="AK89" s="80"/>
      <c r="AL89" s="80"/>
      <c r="AM89" s="80"/>
      <c r="AN89" s="80"/>
      <c r="AO89" s="80"/>
      <c r="AP89" s="80"/>
      <c r="AQ89" s="80"/>
    </row>
    <row r="90" spans="1:43" ht="15.75" customHeight="1">
      <c r="A90" s="329">
        <v>149</v>
      </c>
      <c r="B90" s="329" t="s">
        <v>658</v>
      </c>
      <c r="C90" s="329" t="s">
        <v>659</v>
      </c>
      <c r="D90" s="16">
        <v>4</v>
      </c>
      <c r="E90" s="16" t="s">
        <v>2496</v>
      </c>
      <c r="F90" s="227" t="s">
        <v>2541</v>
      </c>
      <c r="G90" s="227" t="s">
        <v>2542</v>
      </c>
      <c r="H90" s="16">
        <v>2</v>
      </c>
      <c r="I90" s="16">
        <v>98233</v>
      </c>
      <c r="J90" s="219">
        <v>14871</v>
      </c>
      <c r="K90" s="16">
        <v>35.299999999999997</v>
      </c>
      <c r="L90" s="16">
        <v>76.5</v>
      </c>
      <c r="M90" s="16">
        <v>12.3</v>
      </c>
      <c r="N90" s="16">
        <v>38</v>
      </c>
      <c r="O90" s="16">
        <v>56.5</v>
      </c>
      <c r="P90" s="16">
        <v>32</v>
      </c>
      <c r="Q90" s="16">
        <v>2.1</v>
      </c>
      <c r="R90" s="16">
        <v>11.3</v>
      </c>
      <c r="S90" s="16">
        <v>3.8</v>
      </c>
      <c r="T90" s="16">
        <v>3</v>
      </c>
      <c r="U90" s="16">
        <v>2</v>
      </c>
      <c r="V90" s="16">
        <v>20</v>
      </c>
      <c r="W90" s="16"/>
      <c r="X90" s="80"/>
      <c r="Y90" s="80"/>
      <c r="Z90" s="80"/>
      <c r="AA90" s="80"/>
      <c r="AB90" s="80"/>
      <c r="AC90" s="80"/>
      <c r="AD90" s="80"/>
      <c r="AE90" s="80"/>
      <c r="AF90" s="80"/>
      <c r="AG90" s="80"/>
      <c r="AH90" s="80"/>
      <c r="AI90" s="80"/>
      <c r="AJ90" s="80"/>
      <c r="AK90" s="80"/>
      <c r="AL90" s="80"/>
      <c r="AM90" s="80"/>
      <c r="AN90" s="80"/>
      <c r="AO90" s="80"/>
      <c r="AP90" s="80"/>
      <c r="AQ90" s="80"/>
    </row>
    <row r="91" spans="1:43" ht="15.75" customHeight="1">
      <c r="A91" s="329">
        <v>150</v>
      </c>
      <c r="B91" s="329" t="s">
        <v>663</v>
      </c>
      <c r="C91" s="329" t="s">
        <v>664</v>
      </c>
      <c r="D91" s="218">
        <v>4</v>
      </c>
      <c r="E91" s="16" t="s">
        <v>2543</v>
      </c>
      <c r="F91" s="220">
        <v>0.54166666666666663</v>
      </c>
      <c r="G91" s="16"/>
      <c r="H91" s="16">
        <v>1</v>
      </c>
      <c r="I91" s="16">
        <v>33315</v>
      </c>
      <c r="J91" s="219">
        <v>14110</v>
      </c>
      <c r="K91" s="16">
        <v>43.1</v>
      </c>
      <c r="L91" s="16">
        <v>87.5</v>
      </c>
      <c r="M91" s="16">
        <v>9.5</v>
      </c>
      <c r="N91" s="16">
        <v>47.1</v>
      </c>
      <c r="O91" s="16">
        <v>68.7</v>
      </c>
      <c r="P91" s="16">
        <v>89.4</v>
      </c>
      <c r="Q91" s="16">
        <v>35.700000000000003</v>
      </c>
      <c r="R91" s="16">
        <v>19.600000000000001</v>
      </c>
      <c r="S91" s="16">
        <v>4.5999999999999996</v>
      </c>
      <c r="T91" s="16">
        <v>0</v>
      </c>
      <c r="U91" s="16">
        <v>1</v>
      </c>
      <c r="V91" s="16">
        <v>500</v>
      </c>
      <c r="W91" s="16">
        <v>10.3</v>
      </c>
      <c r="X91" s="80"/>
      <c r="Y91" s="80"/>
      <c r="Z91" s="80"/>
      <c r="AA91" s="80"/>
      <c r="AB91" s="80"/>
      <c r="AC91" s="80"/>
      <c r="AD91" s="80"/>
      <c r="AE91" s="80"/>
      <c r="AF91" s="80"/>
      <c r="AG91" s="80"/>
      <c r="AH91" s="80"/>
      <c r="AI91" s="80"/>
      <c r="AJ91" s="80"/>
      <c r="AK91" s="80"/>
      <c r="AL91" s="80"/>
      <c r="AM91" s="80"/>
      <c r="AN91" s="80"/>
      <c r="AO91" s="80"/>
      <c r="AP91" s="80"/>
      <c r="AQ91" s="80"/>
    </row>
    <row r="92" spans="1:43" ht="15.75" customHeight="1">
      <c r="A92" s="329">
        <v>151</v>
      </c>
      <c r="B92" s="329" t="s">
        <v>667</v>
      </c>
      <c r="C92" s="329" t="s">
        <v>668</v>
      </c>
      <c r="D92" s="218">
        <v>5</v>
      </c>
      <c r="E92" s="16" t="s">
        <v>2509</v>
      </c>
      <c r="F92" s="220">
        <v>4.1666666666666664E-2</v>
      </c>
      <c r="G92" s="220">
        <v>0.39583333333333331</v>
      </c>
      <c r="H92" s="16">
        <v>3</v>
      </c>
      <c r="I92" s="16">
        <v>39194</v>
      </c>
      <c r="J92" s="219">
        <v>21085</v>
      </c>
      <c r="K92" s="16">
        <v>34.700000000000003</v>
      </c>
      <c r="L92" s="16">
        <v>31.8</v>
      </c>
      <c r="M92" s="16">
        <v>30.4</v>
      </c>
      <c r="N92" s="16">
        <v>41.2</v>
      </c>
      <c r="O92" s="16">
        <v>33.299999999999997</v>
      </c>
      <c r="P92" s="16">
        <v>55.1</v>
      </c>
      <c r="Q92" s="16">
        <v>4.0999999999999996</v>
      </c>
      <c r="R92" s="16">
        <v>14.7</v>
      </c>
      <c r="S92" s="16">
        <v>43</v>
      </c>
      <c r="T92" s="16">
        <v>4</v>
      </c>
      <c r="U92" s="16">
        <v>1</v>
      </c>
      <c r="V92" s="16">
        <v>28</v>
      </c>
      <c r="W92" s="16"/>
      <c r="X92" s="80"/>
      <c r="Y92" s="80"/>
      <c r="Z92" s="80"/>
      <c r="AA92" s="80"/>
      <c r="AB92" s="80"/>
      <c r="AC92" s="80"/>
      <c r="AD92" s="80"/>
      <c r="AE92" s="80"/>
      <c r="AF92" s="80"/>
      <c r="AG92" s="80"/>
      <c r="AH92" s="80"/>
      <c r="AI92" s="80"/>
      <c r="AJ92" s="80"/>
      <c r="AK92" s="80"/>
      <c r="AL92" s="80"/>
      <c r="AM92" s="80"/>
      <c r="AN92" s="80"/>
      <c r="AO92" s="80"/>
      <c r="AP92" s="80"/>
      <c r="AQ92" s="80"/>
    </row>
    <row r="93" spans="1:43" ht="15.75" customHeight="1">
      <c r="A93" s="329">
        <v>152</v>
      </c>
      <c r="B93" s="329" t="s">
        <v>450</v>
      </c>
      <c r="C93" s="329" t="s">
        <v>672</v>
      </c>
      <c r="D93" s="218">
        <v>4</v>
      </c>
      <c r="E93" s="16" t="s">
        <v>2496</v>
      </c>
      <c r="F93" s="220">
        <v>0.52083333333333337</v>
      </c>
      <c r="G93" s="220">
        <v>0.6875</v>
      </c>
      <c r="H93" s="16">
        <v>1</v>
      </c>
      <c r="I93" s="16">
        <v>54474</v>
      </c>
      <c r="J93" s="219">
        <v>3723</v>
      </c>
      <c r="K93" s="16">
        <v>42.2</v>
      </c>
      <c r="L93" s="16">
        <v>96.7</v>
      </c>
      <c r="M93" s="16">
        <v>7.1</v>
      </c>
      <c r="N93" s="16">
        <v>27.3</v>
      </c>
      <c r="O93" s="16">
        <v>69.599999999999994</v>
      </c>
      <c r="P93" s="16">
        <v>95.3</v>
      </c>
      <c r="Q93" s="16">
        <v>26.5</v>
      </c>
      <c r="R93" s="16">
        <v>4.9000000000000004</v>
      </c>
      <c r="S93" s="16">
        <v>2.5</v>
      </c>
      <c r="T93" s="16">
        <v>0</v>
      </c>
      <c r="U93" s="16">
        <v>1</v>
      </c>
      <c r="V93" s="16">
        <v>12</v>
      </c>
      <c r="W93" s="16"/>
      <c r="X93" s="80"/>
      <c r="Y93" s="80"/>
      <c r="Z93" s="80"/>
      <c r="AA93" s="80"/>
      <c r="AB93" s="80"/>
      <c r="AC93" s="80"/>
      <c r="AD93" s="80"/>
      <c r="AE93" s="80"/>
      <c r="AF93" s="80"/>
      <c r="AG93" s="80"/>
      <c r="AH93" s="80"/>
      <c r="AI93" s="80"/>
      <c r="AJ93" s="80"/>
      <c r="AK93" s="80"/>
      <c r="AL93" s="80"/>
      <c r="AM93" s="80"/>
      <c r="AN93" s="80"/>
      <c r="AO93" s="80"/>
      <c r="AP93" s="80"/>
      <c r="AQ93" s="80"/>
    </row>
    <row r="94" spans="1:43" ht="15.75" customHeight="1">
      <c r="A94" s="329">
        <v>153</v>
      </c>
      <c r="B94" s="329" t="s">
        <v>675</v>
      </c>
      <c r="C94" s="329" t="s">
        <v>190</v>
      </c>
      <c r="D94" s="218">
        <v>6</v>
      </c>
      <c r="E94" s="16" t="s">
        <v>2495</v>
      </c>
      <c r="F94" s="220">
        <v>0.3263888888888889</v>
      </c>
      <c r="G94" s="16"/>
      <c r="H94" s="16">
        <v>0</v>
      </c>
      <c r="I94" s="16">
        <v>32807</v>
      </c>
      <c r="J94" s="219">
        <v>33310</v>
      </c>
      <c r="K94" s="16">
        <v>35.200000000000003</v>
      </c>
      <c r="L94" s="16">
        <v>74.5</v>
      </c>
      <c r="M94" s="16">
        <v>19.8</v>
      </c>
      <c r="N94" s="16">
        <v>53.2</v>
      </c>
      <c r="O94" s="16">
        <v>59.9</v>
      </c>
      <c r="P94" s="16">
        <v>80.400000000000006</v>
      </c>
      <c r="Q94" s="16">
        <v>16.2</v>
      </c>
      <c r="R94" s="16">
        <v>23.6</v>
      </c>
      <c r="S94" s="16">
        <v>3.7</v>
      </c>
      <c r="T94" s="16">
        <v>8</v>
      </c>
      <c r="U94" s="16">
        <v>2</v>
      </c>
      <c r="V94" s="16">
        <v>697</v>
      </c>
      <c r="W94" s="16">
        <v>5.77</v>
      </c>
      <c r="X94" s="80"/>
      <c r="Y94" s="80"/>
      <c r="Z94" s="80"/>
      <c r="AA94" s="80"/>
      <c r="AB94" s="80"/>
      <c r="AC94" s="80"/>
      <c r="AD94" s="80"/>
      <c r="AE94" s="80"/>
      <c r="AF94" s="80"/>
      <c r="AG94" s="80"/>
      <c r="AH94" s="80"/>
      <c r="AI94" s="80"/>
      <c r="AJ94" s="80"/>
      <c r="AK94" s="80"/>
      <c r="AL94" s="80"/>
      <c r="AM94" s="80"/>
      <c r="AN94" s="80"/>
      <c r="AO94" s="80"/>
      <c r="AP94" s="80"/>
      <c r="AQ94" s="80"/>
    </row>
    <row r="95" spans="1:43" ht="15.75" customHeight="1">
      <c r="A95" s="329">
        <v>154</v>
      </c>
      <c r="B95" s="329" t="s">
        <v>677</v>
      </c>
      <c r="C95" s="329" t="s">
        <v>678</v>
      </c>
      <c r="D95" s="218">
        <v>8</v>
      </c>
      <c r="E95" s="16" t="s">
        <v>2544</v>
      </c>
      <c r="F95" s="220">
        <v>0.91666666666666663</v>
      </c>
      <c r="G95" s="220">
        <v>0.96666666666666667</v>
      </c>
      <c r="H95" s="16">
        <v>3</v>
      </c>
      <c r="I95" s="16">
        <v>89119</v>
      </c>
      <c r="J95" s="219">
        <v>52171</v>
      </c>
      <c r="K95" s="16">
        <v>34.5</v>
      </c>
      <c r="L95" s="16">
        <v>52.5</v>
      </c>
      <c r="M95" s="16">
        <v>12.4</v>
      </c>
      <c r="N95" s="16">
        <v>78.400000000000006</v>
      </c>
      <c r="O95" s="16">
        <v>61.1</v>
      </c>
      <c r="P95" s="16">
        <v>78.7</v>
      </c>
      <c r="Q95" s="16">
        <v>17.2</v>
      </c>
      <c r="R95" s="16">
        <v>26.5</v>
      </c>
      <c r="S95" s="16">
        <v>4</v>
      </c>
      <c r="T95" s="16">
        <v>5</v>
      </c>
      <c r="U95" s="16">
        <v>0</v>
      </c>
      <c r="V95" s="219">
        <v>2353</v>
      </c>
      <c r="W95" s="16">
        <v>8</v>
      </c>
      <c r="X95" s="80"/>
      <c r="Y95" s="80"/>
      <c r="Z95" s="80"/>
      <c r="AA95" s="80"/>
      <c r="AB95" s="80"/>
      <c r="AC95" s="80"/>
      <c r="AD95" s="80"/>
      <c r="AE95" s="80"/>
      <c r="AF95" s="80"/>
      <c r="AG95" s="80"/>
      <c r="AH95" s="80"/>
      <c r="AI95" s="80"/>
      <c r="AJ95" s="80"/>
      <c r="AK95" s="80"/>
      <c r="AL95" s="80"/>
      <c r="AM95" s="80"/>
      <c r="AN95" s="80"/>
      <c r="AO95" s="80"/>
      <c r="AP95" s="80"/>
      <c r="AQ95" s="80"/>
    </row>
    <row r="96" spans="1:43" ht="15.75" customHeight="1">
      <c r="A96" s="329">
        <v>155</v>
      </c>
      <c r="B96" s="329" t="s">
        <v>682</v>
      </c>
      <c r="C96" s="329" t="s">
        <v>683</v>
      </c>
      <c r="D96" s="218">
        <v>3</v>
      </c>
      <c r="E96" s="14" t="s">
        <v>2502</v>
      </c>
      <c r="F96" s="223">
        <v>0.47222222222222221</v>
      </c>
      <c r="G96" s="14"/>
      <c r="H96" s="14">
        <v>0</v>
      </c>
      <c r="I96" s="14">
        <v>78161</v>
      </c>
      <c r="J96" s="228">
        <v>628</v>
      </c>
      <c r="K96" s="222">
        <v>44.7</v>
      </c>
      <c r="L96" s="222">
        <v>89</v>
      </c>
      <c r="M96" s="222">
        <v>8.5</v>
      </c>
      <c r="N96" s="222">
        <v>19</v>
      </c>
      <c r="O96" s="222">
        <v>67.8</v>
      </c>
      <c r="P96" s="222">
        <v>96.8</v>
      </c>
      <c r="Q96" s="222">
        <v>21.9</v>
      </c>
      <c r="R96" s="222">
        <v>5.7</v>
      </c>
      <c r="S96" s="14">
        <v>24.8</v>
      </c>
      <c r="T96" s="14">
        <v>0</v>
      </c>
      <c r="U96" s="14">
        <v>0</v>
      </c>
      <c r="V96" s="14"/>
      <c r="W96" s="14"/>
      <c r="X96" s="79"/>
      <c r="Y96" s="79"/>
      <c r="Z96" s="79"/>
      <c r="AA96" s="79"/>
      <c r="AB96" s="79"/>
      <c r="AC96" s="79"/>
      <c r="AD96" s="79"/>
      <c r="AE96" s="79"/>
      <c r="AF96" s="79"/>
      <c r="AG96" s="79"/>
      <c r="AH96" s="79"/>
      <c r="AI96" s="79"/>
      <c r="AJ96" s="79"/>
      <c r="AK96" s="79"/>
      <c r="AL96" s="79"/>
      <c r="AM96" s="79"/>
      <c r="AN96" s="79"/>
      <c r="AO96" s="79"/>
      <c r="AP96" s="79"/>
      <c r="AQ96" s="79"/>
    </row>
    <row r="97" spans="1:43" ht="15.75" customHeight="1">
      <c r="A97" s="329">
        <v>156</v>
      </c>
      <c r="B97" s="329" t="s">
        <v>687</v>
      </c>
      <c r="C97" s="329" t="s">
        <v>688</v>
      </c>
      <c r="D97" s="218">
        <v>7</v>
      </c>
      <c r="E97" s="16" t="s">
        <v>2545</v>
      </c>
      <c r="F97" s="220">
        <v>0.32916666666666666</v>
      </c>
      <c r="G97" s="220">
        <v>0.34652777777777777</v>
      </c>
      <c r="H97" s="16">
        <v>0</v>
      </c>
      <c r="I97" s="16">
        <v>96021</v>
      </c>
      <c r="J97" s="219">
        <v>16670</v>
      </c>
      <c r="K97" s="16">
        <v>35.799999999999997</v>
      </c>
      <c r="L97" s="16">
        <v>96.4</v>
      </c>
      <c r="M97" s="16">
        <v>12.8</v>
      </c>
      <c r="N97" s="16">
        <v>30.1</v>
      </c>
      <c r="O97" s="16">
        <v>51.4</v>
      </c>
      <c r="P97" s="16">
        <v>78</v>
      </c>
      <c r="Q97" s="16">
        <v>10.8</v>
      </c>
      <c r="R97" s="16">
        <v>7.8</v>
      </c>
      <c r="S97" s="16">
        <v>17.7</v>
      </c>
      <c r="T97" s="16">
        <v>1</v>
      </c>
      <c r="U97" s="16">
        <v>0</v>
      </c>
      <c r="V97" s="16"/>
      <c r="W97" s="16"/>
      <c r="X97" s="79"/>
      <c r="Y97" s="79"/>
      <c r="Z97" s="79"/>
      <c r="AA97" s="79"/>
      <c r="AB97" s="79"/>
      <c r="AC97" s="79"/>
      <c r="AD97" s="79"/>
      <c r="AE97" s="79"/>
      <c r="AF97" s="79"/>
      <c r="AG97" s="79"/>
      <c r="AH97" s="79"/>
      <c r="AI97" s="79"/>
      <c r="AJ97" s="79"/>
      <c r="AK97" s="79"/>
      <c r="AL97" s="79"/>
      <c r="AM97" s="79"/>
      <c r="AN97" s="79"/>
      <c r="AO97" s="79"/>
      <c r="AP97" s="79"/>
      <c r="AQ97" s="79"/>
    </row>
    <row r="98" spans="1:43" ht="15.75" customHeight="1">
      <c r="A98" s="329">
        <v>157</v>
      </c>
      <c r="B98" s="329" t="s">
        <v>692</v>
      </c>
      <c r="C98" s="329" t="s">
        <v>693</v>
      </c>
      <c r="D98" s="218">
        <v>4</v>
      </c>
      <c r="E98" s="16" t="s">
        <v>2496</v>
      </c>
      <c r="F98" s="220">
        <v>0.11805555555555555</v>
      </c>
      <c r="G98" s="16"/>
      <c r="H98" s="16">
        <v>0</v>
      </c>
      <c r="I98" s="16">
        <v>15462</v>
      </c>
      <c r="J98" s="228">
        <v>574</v>
      </c>
      <c r="K98" s="16">
        <v>22.5</v>
      </c>
      <c r="L98" s="16">
        <v>100</v>
      </c>
      <c r="M98" s="16">
        <v>0</v>
      </c>
      <c r="N98" s="16">
        <v>0</v>
      </c>
      <c r="O98" s="16">
        <v>39.5</v>
      </c>
      <c r="P98" s="16">
        <v>81.900000000000006</v>
      </c>
      <c r="Q98" s="16">
        <v>0</v>
      </c>
      <c r="R98" s="16">
        <v>2.4</v>
      </c>
      <c r="S98" s="16">
        <v>13.6</v>
      </c>
      <c r="T98" s="16"/>
      <c r="U98" s="16"/>
      <c r="V98" s="16"/>
      <c r="W98" s="16"/>
      <c r="X98" s="80"/>
      <c r="Y98" s="80"/>
      <c r="Z98" s="80"/>
      <c r="AA98" s="80"/>
      <c r="AB98" s="80"/>
      <c r="AC98" s="80"/>
      <c r="AD98" s="80"/>
      <c r="AE98" s="80"/>
      <c r="AF98" s="80"/>
      <c r="AG98" s="80"/>
      <c r="AH98" s="80"/>
      <c r="AI98" s="80"/>
      <c r="AJ98" s="80"/>
      <c r="AK98" s="80"/>
      <c r="AL98" s="80"/>
      <c r="AM98" s="80"/>
      <c r="AN98" s="80"/>
      <c r="AO98" s="80"/>
      <c r="AP98" s="80"/>
      <c r="AQ98" s="80"/>
    </row>
    <row r="99" spans="1:43" ht="15.75" customHeight="1">
      <c r="A99" s="329">
        <v>158</v>
      </c>
      <c r="B99" s="329" t="s">
        <v>697</v>
      </c>
      <c r="C99" s="329" t="s">
        <v>698</v>
      </c>
      <c r="D99" s="218">
        <v>0</v>
      </c>
      <c r="E99" s="16" t="s">
        <v>2501</v>
      </c>
      <c r="F99" s="220">
        <v>0.59791666666666665</v>
      </c>
      <c r="G99" s="220">
        <v>0.65277777777777779</v>
      </c>
      <c r="H99" s="16">
        <v>1</v>
      </c>
      <c r="I99" s="16">
        <v>33076</v>
      </c>
      <c r="J99" s="219">
        <v>35123</v>
      </c>
      <c r="K99" s="16">
        <v>40</v>
      </c>
      <c r="L99" s="16">
        <v>80.8</v>
      </c>
      <c r="M99" s="16">
        <v>10.7</v>
      </c>
      <c r="N99" s="16">
        <v>20</v>
      </c>
      <c r="O99" s="16">
        <v>64.8</v>
      </c>
      <c r="P99" s="16">
        <v>96.1</v>
      </c>
      <c r="Q99" s="16">
        <v>56</v>
      </c>
      <c r="R99" s="16">
        <v>5.2</v>
      </c>
      <c r="S99" s="16">
        <v>3.8</v>
      </c>
      <c r="T99" s="16">
        <v>2</v>
      </c>
      <c r="U99" s="16">
        <v>5</v>
      </c>
      <c r="V99" s="16">
        <v>38</v>
      </c>
      <c r="W99" s="16">
        <v>3.7</v>
      </c>
      <c r="X99" s="79"/>
      <c r="Y99" s="79"/>
      <c r="Z99" s="79"/>
      <c r="AA99" s="79"/>
      <c r="AB99" s="79"/>
      <c r="AC99" s="79"/>
      <c r="AD99" s="79"/>
      <c r="AE99" s="79"/>
      <c r="AF99" s="79"/>
      <c r="AG99" s="79"/>
      <c r="AH99" s="79"/>
      <c r="AI99" s="79"/>
      <c r="AJ99" s="79"/>
      <c r="AK99" s="79"/>
      <c r="AL99" s="79"/>
      <c r="AM99" s="79"/>
      <c r="AN99" s="79"/>
      <c r="AO99" s="79"/>
      <c r="AP99" s="79"/>
      <c r="AQ99" s="79"/>
    </row>
    <row r="100" spans="1:43" ht="15.75" customHeight="1">
      <c r="A100" s="329">
        <v>159</v>
      </c>
      <c r="B100" s="329" t="s">
        <v>700</v>
      </c>
      <c r="C100" s="329" t="s">
        <v>268</v>
      </c>
      <c r="D100" s="218">
        <v>4</v>
      </c>
      <c r="E100" s="14" t="s">
        <v>2496</v>
      </c>
      <c r="F100" s="14"/>
      <c r="G100" s="223">
        <v>0.66666666666666663</v>
      </c>
      <c r="H100" s="14">
        <v>0</v>
      </c>
      <c r="I100" s="14">
        <v>48238</v>
      </c>
      <c r="J100" s="219">
        <v>28447</v>
      </c>
      <c r="K100" s="222">
        <v>35.9</v>
      </c>
      <c r="L100" s="222">
        <v>1.5</v>
      </c>
      <c r="M100" s="222">
        <v>35.299999999999997</v>
      </c>
      <c r="N100" s="222">
        <v>52.1</v>
      </c>
      <c r="O100" s="222">
        <v>34.9</v>
      </c>
      <c r="P100" s="222">
        <v>78.5</v>
      </c>
      <c r="Q100" s="222">
        <v>10</v>
      </c>
      <c r="R100" s="222">
        <v>11.3</v>
      </c>
      <c r="S100" s="14">
        <v>2.2999999999999998</v>
      </c>
      <c r="T100" s="14">
        <v>0</v>
      </c>
      <c r="U100" s="14">
        <v>0</v>
      </c>
      <c r="V100" s="224">
        <v>3847</v>
      </c>
      <c r="W100" s="14">
        <v>39.4</v>
      </c>
      <c r="X100" s="79"/>
      <c r="Y100" s="79"/>
      <c r="Z100" s="79"/>
      <c r="AA100" s="79"/>
      <c r="AB100" s="79"/>
      <c r="AC100" s="79"/>
      <c r="AD100" s="79"/>
      <c r="AE100" s="79"/>
      <c r="AF100" s="79"/>
      <c r="AG100" s="79"/>
      <c r="AH100" s="79"/>
      <c r="AI100" s="79"/>
      <c r="AJ100" s="79"/>
      <c r="AK100" s="79"/>
      <c r="AL100" s="79"/>
      <c r="AM100" s="79"/>
      <c r="AN100" s="79"/>
      <c r="AO100" s="79"/>
      <c r="AP100" s="79"/>
      <c r="AQ100" s="79"/>
    </row>
    <row r="101" spans="1:43" ht="15.75" customHeight="1">
      <c r="A101" s="329">
        <v>160</v>
      </c>
      <c r="B101" s="329" t="s">
        <v>703</v>
      </c>
      <c r="C101" s="329" t="s">
        <v>2546</v>
      </c>
      <c r="D101" s="218">
        <v>5</v>
      </c>
      <c r="E101" s="16" t="s">
        <v>2509</v>
      </c>
      <c r="F101" s="220">
        <v>0.14583333333333334</v>
      </c>
      <c r="G101" s="220">
        <v>0.5625</v>
      </c>
      <c r="H101" s="16">
        <v>3</v>
      </c>
      <c r="I101" s="16">
        <v>37013</v>
      </c>
      <c r="J101" s="219">
        <v>95717</v>
      </c>
      <c r="K101" s="16">
        <v>31.8</v>
      </c>
      <c r="L101" s="16">
        <v>52.7</v>
      </c>
      <c r="M101" s="16">
        <v>15.5</v>
      </c>
      <c r="N101" s="16">
        <v>41.2</v>
      </c>
      <c r="O101" s="16">
        <v>73.3</v>
      </c>
      <c r="P101" s="16">
        <v>36.1</v>
      </c>
      <c r="Q101" s="16">
        <v>13.7</v>
      </c>
      <c r="R101" s="16">
        <v>18.2</v>
      </c>
      <c r="S101" s="16">
        <v>5.9</v>
      </c>
      <c r="T101" s="16">
        <v>3</v>
      </c>
      <c r="U101" s="16">
        <v>0</v>
      </c>
      <c r="V101" s="16">
        <v>104</v>
      </c>
      <c r="W101" s="16"/>
      <c r="X101" s="80"/>
      <c r="Y101" s="80"/>
      <c r="Z101" s="80"/>
      <c r="AA101" s="80"/>
      <c r="AB101" s="80"/>
      <c r="AC101" s="80"/>
      <c r="AD101" s="80"/>
      <c r="AE101" s="80"/>
      <c r="AF101" s="80"/>
      <c r="AG101" s="80"/>
      <c r="AH101" s="80"/>
      <c r="AI101" s="80"/>
      <c r="AJ101" s="80"/>
      <c r="AK101" s="80"/>
      <c r="AL101" s="80"/>
      <c r="AM101" s="80"/>
      <c r="AN101" s="80"/>
      <c r="AO101" s="80"/>
      <c r="AP101" s="80"/>
      <c r="AQ101" s="80"/>
    </row>
    <row r="102" spans="1:43" ht="15.75" customHeight="1">
      <c r="A102" s="329">
        <v>161</v>
      </c>
      <c r="B102" s="329" t="s">
        <v>2547</v>
      </c>
      <c r="C102" s="329" t="s">
        <v>707</v>
      </c>
      <c r="D102" s="218">
        <v>0</v>
      </c>
      <c r="E102" s="16" t="s">
        <v>2501</v>
      </c>
      <c r="F102" s="220">
        <v>0.31944444444444442</v>
      </c>
      <c r="G102" s="220">
        <v>0.33680555555555558</v>
      </c>
      <c r="H102" s="16">
        <v>0</v>
      </c>
      <c r="I102" s="16">
        <v>77517</v>
      </c>
      <c r="J102" s="219">
        <v>5688</v>
      </c>
      <c r="K102" s="16">
        <v>39.5</v>
      </c>
      <c r="L102" s="16">
        <v>97.1</v>
      </c>
      <c r="M102" s="16">
        <v>10.8</v>
      </c>
      <c r="N102" s="16">
        <v>5.8</v>
      </c>
      <c r="O102" s="16">
        <v>58.9</v>
      </c>
      <c r="P102" s="16">
        <v>87.6</v>
      </c>
      <c r="Q102" s="16">
        <v>11.2</v>
      </c>
      <c r="R102" s="16">
        <v>9.4</v>
      </c>
      <c r="S102" s="16">
        <v>9.6999999999999993</v>
      </c>
      <c r="T102" s="16">
        <v>0</v>
      </c>
      <c r="U102" s="16">
        <v>0</v>
      </c>
      <c r="V102" s="16">
        <v>26</v>
      </c>
      <c r="W102" s="16">
        <v>7.9</v>
      </c>
      <c r="X102" s="79"/>
      <c r="Y102" s="79"/>
      <c r="Z102" s="79"/>
      <c r="AA102" s="79"/>
      <c r="AB102" s="79"/>
      <c r="AC102" s="79"/>
      <c r="AD102" s="79"/>
      <c r="AE102" s="79"/>
      <c r="AF102" s="79"/>
      <c r="AG102" s="79"/>
      <c r="AH102" s="79"/>
      <c r="AI102" s="79"/>
      <c r="AJ102" s="79"/>
      <c r="AK102" s="79"/>
      <c r="AL102" s="79"/>
      <c r="AM102" s="79"/>
      <c r="AN102" s="79"/>
      <c r="AO102" s="79"/>
      <c r="AP102" s="79"/>
      <c r="AQ102" s="79"/>
    </row>
    <row r="103" spans="1:43" ht="15.75" customHeight="1">
      <c r="A103" s="329">
        <v>162</v>
      </c>
      <c r="B103" s="329" t="s">
        <v>710</v>
      </c>
      <c r="C103" s="329" t="s">
        <v>711</v>
      </c>
      <c r="D103" s="218">
        <v>6</v>
      </c>
      <c r="E103" s="16" t="s">
        <v>3474</v>
      </c>
      <c r="F103" s="16"/>
      <c r="G103" s="16"/>
      <c r="H103" s="16"/>
      <c r="I103" s="16">
        <v>21401</v>
      </c>
      <c r="J103" s="219">
        <v>36129</v>
      </c>
      <c r="K103" s="16">
        <v>45.1</v>
      </c>
      <c r="L103" s="16">
        <v>76.5</v>
      </c>
      <c r="M103" s="16">
        <v>16.8</v>
      </c>
      <c r="N103" s="16">
        <v>37.799999999999997</v>
      </c>
      <c r="O103" s="16">
        <v>61.3</v>
      </c>
      <c r="P103" s="16">
        <v>93.7</v>
      </c>
      <c r="Q103" s="16">
        <v>58.3</v>
      </c>
      <c r="R103" s="16">
        <v>5.8</v>
      </c>
      <c r="S103" s="16">
        <v>1.4</v>
      </c>
      <c r="T103" s="16">
        <v>10</v>
      </c>
      <c r="U103" s="16">
        <v>0</v>
      </c>
      <c r="V103" s="16">
        <v>121</v>
      </c>
      <c r="W103" s="16">
        <v>2.57</v>
      </c>
      <c r="X103" s="80"/>
      <c r="Y103" s="80"/>
      <c r="Z103" s="80"/>
      <c r="AA103" s="80"/>
      <c r="AB103" s="80"/>
      <c r="AC103" s="80"/>
      <c r="AD103" s="80"/>
      <c r="AE103" s="80"/>
      <c r="AF103" s="80"/>
      <c r="AG103" s="80"/>
      <c r="AH103" s="80"/>
      <c r="AI103" s="80"/>
      <c r="AJ103" s="80"/>
      <c r="AK103" s="80"/>
      <c r="AL103" s="80"/>
      <c r="AM103" s="80"/>
      <c r="AN103" s="80"/>
      <c r="AO103" s="80"/>
      <c r="AP103" s="80"/>
      <c r="AQ103" s="80"/>
    </row>
    <row r="104" spans="1:43" ht="15.75" customHeight="1">
      <c r="A104" s="329">
        <v>163</v>
      </c>
      <c r="B104" s="329" t="s">
        <v>714</v>
      </c>
      <c r="C104" s="329" t="s">
        <v>715</v>
      </c>
      <c r="D104" s="218">
        <v>6</v>
      </c>
      <c r="E104" s="16" t="s">
        <v>2495</v>
      </c>
      <c r="F104" s="220">
        <v>0.72083333333333333</v>
      </c>
      <c r="G104" s="220">
        <v>0.74236111111111114</v>
      </c>
      <c r="H104" s="16">
        <v>2</v>
      </c>
      <c r="I104" s="16">
        <v>93307</v>
      </c>
      <c r="J104" s="219">
        <v>84948</v>
      </c>
      <c r="K104" s="16">
        <v>27.3</v>
      </c>
      <c r="L104" s="16">
        <v>68.3</v>
      </c>
      <c r="M104" s="16">
        <v>22.1</v>
      </c>
      <c r="N104" s="16">
        <v>47.5</v>
      </c>
      <c r="O104" s="16">
        <v>51.9</v>
      </c>
      <c r="P104" s="16">
        <v>56.3</v>
      </c>
      <c r="Q104" s="16">
        <v>4.7</v>
      </c>
      <c r="R104" s="16">
        <v>19.5</v>
      </c>
      <c r="S104" s="16">
        <v>5.6</v>
      </c>
      <c r="T104" s="16">
        <v>0</v>
      </c>
      <c r="U104" s="16">
        <v>1</v>
      </c>
      <c r="V104" s="16">
        <v>82</v>
      </c>
      <c r="W104" s="16"/>
      <c r="X104" s="80"/>
      <c r="Y104" s="80"/>
      <c r="Z104" s="80"/>
      <c r="AA104" s="80"/>
      <c r="AB104" s="80"/>
      <c r="AC104" s="80"/>
      <c r="AD104" s="80"/>
      <c r="AE104" s="80"/>
      <c r="AF104" s="80"/>
      <c r="AG104" s="80"/>
      <c r="AH104" s="80"/>
      <c r="AI104" s="80"/>
      <c r="AJ104" s="80"/>
      <c r="AK104" s="80"/>
      <c r="AL104" s="80"/>
      <c r="AM104" s="80"/>
      <c r="AN104" s="80"/>
      <c r="AO104" s="80"/>
      <c r="AP104" s="80"/>
      <c r="AQ104" s="80"/>
    </row>
    <row r="105" spans="1:43" ht="15.75" customHeight="1">
      <c r="A105" s="329">
        <v>164</v>
      </c>
      <c r="B105" s="329" t="s">
        <v>718</v>
      </c>
      <c r="C105" s="329" t="s">
        <v>102</v>
      </c>
      <c r="D105" s="218">
        <v>3</v>
      </c>
      <c r="E105" s="14" t="s">
        <v>2502</v>
      </c>
      <c r="F105" s="223">
        <v>0.41249999999999998</v>
      </c>
      <c r="G105" s="223">
        <v>0.46388888888888891</v>
      </c>
      <c r="H105" s="14">
        <v>0</v>
      </c>
      <c r="I105" s="14">
        <v>15217</v>
      </c>
      <c r="J105" s="219">
        <v>28049</v>
      </c>
      <c r="K105" s="222">
        <v>34.5</v>
      </c>
      <c r="L105" s="222">
        <v>80.2</v>
      </c>
      <c r="M105" s="222">
        <v>4.4000000000000004</v>
      </c>
      <c r="N105" s="222">
        <v>48.5</v>
      </c>
      <c r="O105" s="222">
        <v>62.3</v>
      </c>
      <c r="P105" s="222">
        <v>96.7</v>
      </c>
      <c r="Q105" s="222">
        <v>72.099999999999994</v>
      </c>
      <c r="R105" s="222">
        <v>3.7</v>
      </c>
      <c r="S105" s="14"/>
      <c r="T105" s="14">
        <v>3</v>
      </c>
      <c r="U105" s="14">
        <v>0</v>
      </c>
      <c r="V105" s="224">
        <v>1100</v>
      </c>
      <c r="W105" s="14">
        <v>22.4</v>
      </c>
      <c r="X105" s="79"/>
      <c r="Y105" s="79"/>
      <c r="Z105" s="79"/>
      <c r="AA105" s="79"/>
      <c r="AB105" s="79"/>
      <c r="AC105" s="79"/>
      <c r="AD105" s="79"/>
      <c r="AE105" s="79"/>
      <c r="AF105" s="79"/>
      <c r="AG105" s="79"/>
      <c r="AH105" s="79"/>
      <c r="AI105" s="79"/>
      <c r="AJ105" s="79"/>
      <c r="AK105" s="79"/>
      <c r="AL105" s="79"/>
      <c r="AM105" s="79"/>
      <c r="AN105" s="79"/>
      <c r="AO105" s="79"/>
      <c r="AP105" s="79"/>
      <c r="AQ105" s="79"/>
    </row>
    <row r="106" spans="1:43" ht="15.75" customHeight="1">
      <c r="A106" s="329">
        <v>165</v>
      </c>
      <c r="B106" s="329" t="s">
        <v>721</v>
      </c>
      <c r="C106" s="329" t="s">
        <v>722</v>
      </c>
      <c r="D106" s="218">
        <v>5</v>
      </c>
      <c r="E106" s="16" t="s">
        <v>2509</v>
      </c>
      <c r="F106" s="220">
        <v>0.97222222222222221</v>
      </c>
      <c r="G106" s="16"/>
      <c r="H106" s="16">
        <v>3</v>
      </c>
      <c r="I106" s="16">
        <v>91361</v>
      </c>
      <c r="J106" s="219">
        <v>20826</v>
      </c>
      <c r="K106" s="16">
        <v>49.1</v>
      </c>
      <c r="L106" s="16">
        <v>86.6</v>
      </c>
      <c r="M106" s="16">
        <v>8.5</v>
      </c>
      <c r="N106" s="16">
        <v>27.1</v>
      </c>
      <c r="O106" s="16">
        <v>56.8</v>
      </c>
      <c r="P106" s="16">
        <v>24.8</v>
      </c>
      <c r="Q106" s="16">
        <v>19.399999999999999</v>
      </c>
      <c r="R106" s="16">
        <v>3.4</v>
      </c>
      <c r="S106" s="16">
        <v>3.2</v>
      </c>
      <c r="T106" s="16">
        <v>1</v>
      </c>
      <c r="U106" s="16">
        <v>1</v>
      </c>
      <c r="V106" s="16"/>
      <c r="W106" s="16">
        <v>8</v>
      </c>
      <c r="X106" s="80"/>
      <c r="Y106" s="80"/>
      <c r="Z106" s="80"/>
      <c r="AA106" s="80"/>
      <c r="AB106" s="80"/>
      <c r="AC106" s="80"/>
      <c r="AD106" s="80"/>
      <c r="AE106" s="80"/>
      <c r="AF106" s="80"/>
      <c r="AG106" s="80"/>
      <c r="AH106" s="80"/>
      <c r="AI106" s="80"/>
      <c r="AJ106" s="80"/>
      <c r="AK106" s="80"/>
      <c r="AL106" s="80"/>
      <c r="AM106" s="80"/>
      <c r="AN106" s="80"/>
      <c r="AO106" s="80"/>
      <c r="AP106" s="80"/>
      <c r="AQ106" s="80"/>
    </row>
    <row r="107" spans="1:43" ht="15.75" customHeight="1">
      <c r="A107" s="329">
        <v>166</v>
      </c>
      <c r="B107" s="329" t="s">
        <v>725</v>
      </c>
      <c r="C107" s="329" t="s">
        <v>726</v>
      </c>
      <c r="D107" s="218">
        <v>4</v>
      </c>
      <c r="E107" s="14" t="s">
        <v>2496</v>
      </c>
      <c r="F107" s="223">
        <v>0.52083333333333337</v>
      </c>
      <c r="G107" s="14"/>
      <c r="H107" s="14">
        <v>1</v>
      </c>
      <c r="I107" s="14">
        <v>33870</v>
      </c>
      <c r="J107" s="219">
        <v>21952</v>
      </c>
      <c r="K107" s="222">
        <v>49.7</v>
      </c>
      <c r="L107" s="222">
        <v>74.099999999999994</v>
      </c>
      <c r="M107" s="222">
        <v>10.7</v>
      </c>
      <c r="N107" s="222">
        <v>36.4</v>
      </c>
      <c r="O107" s="222">
        <v>36.200000000000003</v>
      </c>
      <c r="P107" s="222">
        <v>78.8</v>
      </c>
      <c r="Q107" s="222">
        <v>13.8</v>
      </c>
      <c r="R107" s="222">
        <v>17.399999999999999</v>
      </c>
      <c r="S107" s="14">
        <v>2.2000000000000002</v>
      </c>
      <c r="T107" s="14">
        <v>6</v>
      </c>
      <c r="U107" s="14">
        <v>3</v>
      </c>
      <c r="V107" s="14">
        <v>36</v>
      </c>
      <c r="W107" s="14">
        <v>9.6999999999999993</v>
      </c>
      <c r="X107" s="79"/>
      <c r="Y107" s="79"/>
      <c r="Z107" s="79"/>
      <c r="AA107" s="79"/>
      <c r="AB107" s="79"/>
      <c r="AC107" s="79"/>
      <c r="AD107" s="79"/>
      <c r="AE107" s="79"/>
      <c r="AF107" s="79"/>
      <c r="AG107" s="79"/>
      <c r="AH107" s="79"/>
      <c r="AI107" s="79"/>
      <c r="AJ107" s="79"/>
      <c r="AK107" s="79"/>
      <c r="AL107" s="79"/>
      <c r="AM107" s="79"/>
      <c r="AN107" s="79"/>
      <c r="AO107" s="79"/>
      <c r="AP107" s="79"/>
      <c r="AQ107" s="79"/>
    </row>
    <row r="108" spans="1:43" ht="15.75" customHeight="1">
      <c r="A108" s="329">
        <v>167</v>
      </c>
      <c r="B108" s="329" t="s">
        <v>728</v>
      </c>
      <c r="C108" s="329" t="s">
        <v>729</v>
      </c>
      <c r="D108" s="218">
        <v>6</v>
      </c>
      <c r="E108" s="14" t="s">
        <v>2495</v>
      </c>
      <c r="F108" s="14"/>
      <c r="G108" s="14"/>
      <c r="H108" s="14">
        <v>1</v>
      </c>
      <c r="I108" s="14">
        <v>60506</v>
      </c>
      <c r="J108" s="219">
        <v>53582</v>
      </c>
      <c r="K108" s="222">
        <v>34.799999999999997</v>
      </c>
      <c r="L108" s="222">
        <v>61.2</v>
      </c>
      <c r="M108" s="222">
        <v>14.9</v>
      </c>
      <c r="N108" s="222">
        <v>32.700000000000003</v>
      </c>
      <c r="O108" s="222">
        <v>61.7</v>
      </c>
      <c r="P108" s="222">
        <v>78.7</v>
      </c>
      <c r="Q108" s="222">
        <v>23.6</v>
      </c>
      <c r="R108" s="222">
        <v>10.7</v>
      </c>
      <c r="S108" s="14">
        <v>1.3</v>
      </c>
      <c r="T108" s="14">
        <v>3</v>
      </c>
      <c r="U108" s="14">
        <v>0</v>
      </c>
      <c r="V108" s="14">
        <v>269</v>
      </c>
      <c r="W108" s="14">
        <v>4</v>
      </c>
      <c r="X108" s="79"/>
      <c r="Y108" s="79"/>
      <c r="Z108" s="79"/>
      <c r="AA108" s="79"/>
      <c r="AB108" s="79"/>
      <c r="AC108" s="79"/>
      <c r="AD108" s="79"/>
      <c r="AE108" s="79"/>
      <c r="AF108" s="79"/>
      <c r="AG108" s="79"/>
      <c r="AH108" s="79"/>
      <c r="AI108" s="79"/>
      <c r="AJ108" s="79"/>
      <c r="AK108" s="79"/>
      <c r="AL108" s="79"/>
      <c r="AM108" s="79"/>
      <c r="AN108" s="79"/>
      <c r="AO108" s="79"/>
      <c r="AP108" s="79"/>
      <c r="AQ108" s="79"/>
    </row>
    <row r="109" spans="1:43" ht="15.75" customHeight="1">
      <c r="A109" s="329">
        <v>168</v>
      </c>
      <c r="B109" s="329" t="s">
        <v>731</v>
      </c>
      <c r="C109" s="329" t="s">
        <v>732</v>
      </c>
      <c r="D109" s="218">
        <v>6</v>
      </c>
      <c r="E109" s="14" t="s">
        <v>2495</v>
      </c>
      <c r="F109" s="223">
        <v>0.66666666666666663</v>
      </c>
      <c r="G109" s="14"/>
      <c r="H109" s="14">
        <v>1</v>
      </c>
      <c r="I109" s="14">
        <v>23456</v>
      </c>
      <c r="J109" s="219">
        <v>53787</v>
      </c>
      <c r="K109" s="222">
        <v>38.6</v>
      </c>
      <c r="L109" s="222">
        <v>69.599999999999994</v>
      </c>
      <c r="M109" s="222">
        <v>10.5</v>
      </c>
      <c r="N109" s="222">
        <v>12.4</v>
      </c>
      <c r="O109" s="222">
        <v>64.599999999999994</v>
      </c>
      <c r="P109" s="222">
        <v>95.2</v>
      </c>
      <c r="Q109" s="222">
        <v>40.799999999999997</v>
      </c>
      <c r="R109" s="222">
        <v>5.4</v>
      </c>
      <c r="S109" s="14">
        <v>2.9</v>
      </c>
      <c r="T109" s="14">
        <v>0</v>
      </c>
      <c r="U109" s="14">
        <v>2</v>
      </c>
      <c r="V109" s="14">
        <v>400</v>
      </c>
      <c r="W109" s="14">
        <v>3.8</v>
      </c>
      <c r="X109" s="79"/>
      <c r="Y109" s="79"/>
      <c r="Z109" s="79"/>
      <c r="AA109" s="79"/>
      <c r="AB109" s="79"/>
      <c r="AC109" s="79"/>
      <c r="AD109" s="79"/>
      <c r="AE109" s="79"/>
      <c r="AF109" s="79"/>
      <c r="AG109" s="79"/>
      <c r="AH109" s="79"/>
      <c r="AI109" s="79"/>
      <c r="AJ109" s="79"/>
      <c r="AK109" s="79"/>
      <c r="AL109" s="79"/>
      <c r="AM109" s="79"/>
      <c r="AN109" s="79"/>
      <c r="AO109" s="79"/>
      <c r="AP109" s="79"/>
      <c r="AQ109" s="79"/>
    </row>
    <row r="110" spans="1:43" ht="15.75" customHeight="1">
      <c r="A110" s="329">
        <v>169</v>
      </c>
      <c r="B110" s="329" t="s">
        <v>736</v>
      </c>
      <c r="C110" s="329" t="s">
        <v>234</v>
      </c>
      <c r="D110" s="218">
        <v>4</v>
      </c>
      <c r="E110" s="14" t="s">
        <v>2496</v>
      </c>
      <c r="F110" s="223">
        <v>0.44374999999999998</v>
      </c>
      <c r="G110" s="223">
        <v>0.44791666666666669</v>
      </c>
      <c r="H110" s="14">
        <v>0</v>
      </c>
      <c r="I110" s="14">
        <v>79925</v>
      </c>
      <c r="J110" s="219">
        <v>39455</v>
      </c>
      <c r="K110" s="222">
        <v>36.9</v>
      </c>
      <c r="L110" s="222">
        <v>88.5</v>
      </c>
      <c r="M110" s="222">
        <v>17.8</v>
      </c>
      <c r="N110" s="222">
        <v>47.8</v>
      </c>
      <c r="O110" s="222">
        <v>56</v>
      </c>
      <c r="P110" s="222">
        <v>86.4</v>
      </c>
      <c r="Q110" s="222">
        <v>24</v>
      </c>
      <c r="R110" s="222">
        <v>19.8</v>
      </c>
      <c r="S110" s="14">
        <v>3.7</v>
      </c>
      <c r="T110" s="14">
        <v>2</v>
      </c>
      <c r="U110" s="14">
        <v>1</v>
      </c>
      <c r="V110" s="224">
        <v>1126</v>
      </c>
      <c r="W110" s="14">
        <v>3.1</v>
      </c>
      <c r="X110" s="79"/>
      <c r="Y110" s="79"/>
      <c r="Z110" s="79"/>
      <c r="AA110" s="79"/>
      <c r="AB110" s="79"/>
      <c r="AC110" s="79"/>
      <c r="AD110" s="79"/>
      <c r="AE110" s="79"/>
      <c r="AF110" s="79"/>
      <c r="AG110" s="79"/>
      <c r="AH110" s="79"/>
      <c r="AI110" s="79"/>
      <c r="AJ110" s="79"/>
      <c r="AK110" s="79"/>
      <c r="AL110" s="79"/>
      <c r="AM110" s="79"/>
      <c r="AN110" s="79"/>
      <c r="AO110" s="79"/>
      <c r="AP110" s="79"/>
      <c r="AQ110" s="79"/>
    </row>
    <row r="111" spans="1:43" ht="15.75" customHeight="1">
      <c r="A111" s="329">
        <v>170</v>
      </c>
      <c r="B111" s="329" t="s">
        <v>738</v>
      </c>
      <c r="C111" s="329" t="s">
        <v>739</v>
      </c>
      <c r="D111" s="218">
        <v>5</v>
      </c>
      <c r="E111" s="16" t="s">
        <v>2509</v>
      </c>
      <c r="F111" s="223">
        <v>4.5138888888888888E-2</v>
      </c>
      <c r="G111" s="223">
        <v>4.583333333333333E-2</v>
      </c>
      <c r="H111" s="14">
        <v>3</v>
      </c>
      <c r="I111" s="14">
        <v>45402</v>
      </c>
      <c r="J111" s="219">
        <v>9568</v>
      </c>
      <c r="K111" s="222">
        <v>35.6</v>
      </c>
      <c r="L111" s="222">
        <v>25</v>
      </c>
      <c r="M111" s="222">
        <v>22.2</v>
      </c>
      <c r="N111" s="222">
        <v>65.7</v>
      </c>
      <c r="O111" s="222">
        <v>42.1</v>
      </c>
      <c r="P111" s="222">
        <v>80.400000000000006</v>
      </c>
      <c r="Q111" s="222">
        <v>18.8</v>
      </c>
      <c r="R111" s="222">
        <v>10.1</v>
      </c>
      <c r="S111" s="14">
        <v>1.3</v>
      </c>
      <c r="T111" s="14">
        <v>2</v>
      </c>
      <c r="U111" s="14">
        <v>0</v>
      </c>
      <c r="V111" s="14">
        <v>510</v>
      </c>
      <c r="W111" s="14">
        <v>18.899999999999999</v>
      </c>
      <c r="X111" s="79"/>
      <c r="Y111" s="79"/>
      <c r="Z111" s="79"/>
      <c r="AA111" s="79"/>
      <c r="AB111" s="79"/>
      <c r="AC111" s="79"/>
      <c r="AD111" s="79"/>
      <c r="AE111" s="79"/>
      <c r="AF111" s="79"/>
      <c r="AG111" s="79"/>
      <c r="AH111" s="79"/>
      <c r="AI111" s="79"/>
      <c r="AJ111" s="79"/>
      <c r="AK111" s="79"/>
      <c r="AL111" s="79"/>
      <c r="AM111" s="79"/>
      <c r="AN111" s="79"/>
      <c r="AO111" s="79"/>
      <c r="AP111" s="79"/>
      <c r="AQ111" s="79"/>
    </row>
    <row r="112" spans="1:43" ht="15.75" customHeight="1">
      <c r="A112" s="329">
        <v>171</v>
      </c>
      <c r="B112" s="329" t="s">
        <v>744</v>
      </c>
      <c r="C112" s="329" t="s">
        <v>745</v>
      </c>
      <c r="D112" s="218">
        <v>8</v>
      </c>
      <c r="E112" s="14" t="s">
        <v>2548</v>
      </c>
      <c r="F112" s="223">
        <v>0.63680555555555551</v>
      </c>
      <c r="G112" s="223">
        <v>0.72916666666666663</v>
      </c>
      <c r="H112" s="14">
        <v>1</v>
      </c>
      <c r="I112" s="14">
        <v>79762</v>
      </c>
      <c r="J112" s="219">
        <v>44014</v>
      </c>
      <c r="K112" s="222">
        <v>31</v>
      </c>
      <c r="L112" s="222">
        <v>95.5</v>
      </c>
      <c r="M112" s="222">
        <v>14.9</v>
      </c>
      <c r="N112" s="222">
        <v>43.3</v>
      </c>
      <c r="O112" s="222">
        <v>68.5</v>
      </c>
      <c r="P112" s="222">
        <v>84.3</v>
      </c>
      <c r="Q112" s="222">
        <v>22.7</v>
      </c>
      <c r="R112" s="222">
        <v>18.5</v>
      </c>
      <c r="S112" s="14">
        <v>3.7</v>
      </c>
      <c r="T112" s="14">
        <v>1</v>
      </c>
      <c r="U112" s="14">
        <v>2</v>
      </c>
      <c r="V112" s="14">
        <v>170</v>
      </c>
      <c r="W112" s="14">
        <v>9.6999999999999993</v>
      </c>
      <c r="X112" s="79"/>
      <c r="Y112" s="79"/>
      <c r="Z112" s="79"/>
      <c r="AA112" s="79"/>
      <c r="AB112" s="79"/>
      <c r="AC112" s="79"/>
      <c r="AD112" s="79"/>
      <c r="AE112" s="79"/>
      <c r="AF112" s="79"/>
      <c r="AG112" s="79"/>
      <c r="AH112" s="79"/>
      <c r="AI112" s="79"/>
      <c r="AJ112" s="79"/>
      <c r="AK112" s="79"/>
      <c r="AL112" s="79"/>
      <c r="AM112" s="79"/>
      <c r="AN112" s="79"/>
      <c r="AO112" s="79"/>
      <c r="AP112" s="79"/>
      <c r="AQ112" s="79"/>
    </row>
    <row r="113" spans="1:43" s="83" customFormat="1" ht="15.75" customHeight="1">
      <c r="A113" s="329">
        <v>172</v>
      </c>
      <c r="B113" s="329" t="s">
        <v>889</v>
      </c>
      <c r="C113" s="329" t="s">
        <v>890</v>
      </c>
      <c r="D113" s="188">
        <v>4</v>
      </c>
      <c r="E113" s="188" t="s">
        <v>2496</v>
      </c>
      <c r="F113" s="189" t="str">
        <f t="shared" ref="F113:F114" si="0">HYPERLINK("https://www.cnn.com/2019/12/12/us/jersey-city-shooting-surveillance/index.html","~12:15")</f>
        <v>~12:15</v>
      </c>
      <c r="G113" s="189" t="str">
        <f t="shared" ref="G113:G114" si="1">HYPERLINK("https://www.nbcnewyork.com/news/jersey-city-shooting-timeline-what-we-know-so-far/2239928/","~15:47")</f>
        <v>~15:47</v>
      </c>
      <c r="H113" s="188">
        <v>1</v>
      </c>
      <c r="I113" s="188" t="s">
        <v>2549</v>
      </c>
      <c r="J113" s="229">
        <v>66229</v>
      </c>
      <c r="K113" s="188">
        <v>34.799999999999997</v>
      </c>
      <c r="L113" s="230">
        <v>20</v>
      </c>
      <c r="M113" s="188">
        <v>27.6</v>
      </c>
      <c r="N113" s="188">
        <v>60.2</v>
      </c>
      <c r="O113" s="230">
        <v>57</v>
      </c>
      <c r="P113" s="188">
        <v>84.2</v>
      </c>
      <c r="Q113" s="188">
        <v>27.8</v>
      </c>
      <c r="R113" s="188">
        <v>15.4</v>
      </c>
      <c r="S113" s="231">
        <v>2.4</v>
      </c>
      <c r="T113" s="189" t="str">
        <f t="shared" ref="T113:T114" si="2">HYPERLINK("https://www.google.com/maps/place/EXODUS+-+A+Program+of+Urban+Behavioral+Health+Services/@40.7056842,-74.0805889,14z/data=!4m8!1m2!2m1!1smental+health+providers+in+07305!3m4!1s0x0:0x159faf43df44ad38!8m2!3d40.6929837!4d-74.0936047","1")</f>
        <v>1</v>
      </c>
      <c r="U113" s="189" t="str">
        <f t="shared" ref="U113:U114" si="3">HYPERLINK("https://www.google.com/maps/search/gun+stores+in+07305/@40.7010641,-74.1013364,13.25z","1")</f>
        <v>1</v>
      </c>
      <c r="V113" s="189" t="str">
        <f t="shared" ref="V113:V114" si="4">HYPERLINK("https://www.jerseycitynj.gov/news/jersey_city_police_department_reaches_record_numbe","1109")</f>
        <v>1109</v>
      </c>
      <c r="W113" s="189" t="str">
        <f t="shared" ref="W113:W114" si="5">HYPERLINK("https://www.macrotrends.net/cities/us/nj/jersey-city/murder-homicide-rate-statistics","6.29")</f>
        <v>6.29</v>
      </c>
      <c r="X113" s="82"/>
      <c r="Y113" s="82"/>
      <c r="Z113" s="82"/>
      <c r="AA113" s="82"/>
      <c r="AB113" s="82"/>
      <c r="AC113" s="82"/>
      <c r="AD113" s="82"/>
      <c r="AE113" s="82"/>
      <c r="AF113" s="82"/>
      <c r="AG113" s="82"/>
      <c r="AH113" s="82"/>
      <c r="AI113" s="82"/>
      <c r="AJ113" s="82"/>
      <c r="AK113" s="82"/>
      <c r="AL113" s="82"/>
      <c r="AM113" s="82"/>
      <c r="AN113" s="82"/>
      <c r="AO113" s="82"/>
      <c r="AP113" s="82"/>
      <c r="AQ113" s="82"/>
    </row>
    <row r="114" spans="1:43" s="83" customFormat="1" ht="15.75" customHeight="1">
      <c r="A114" s="329">
        <v>173</v>
      </c>
      <c r="B114" s="329" t="s">
        <v>892</v>
      </c>
      <c r="C114" s="329" t="s">
        <v>893</v>
      </c>
      <c r="D114" s="188">
        <v>4</v>
      </c>
      <c r="E114" s="188" t="s">
        <v>2496</v>
      </c>
      <c r="F114" s="189" t="str">
        <f t="shared" si="0"/>
        <v>~12:15</v>
      </c>
      <c r="G114" s="189" t="str">
        <f t="shared" si="1"/>
        <v>~15:47</v>
      </c>
      <c r="H114" s="188">
        <v>1</v>
      </c>
      <c r="I114" s="188" t="s">
        <v>2549</v>
      </c>
      <c r="J114" s="229">
        <v>66229</v>
      </c>
      <c r="K114" s="188">
        <v>34.799999999999997</v>
      </c>
      <c r="L114" s="230">
        <v>20</v>
      </c>
      <c r="M114" s="188">
        <v>27.6</v>
      </c>
      <c r="N114" s="188">
        <v>60.2</v>
      </c>
      <c r="O114" s="230">
        <v>57</v>
      </c>
      <c r="P114" s="188">
        <v>84.2</v>
      </c>
      <c r="Q114" s="188">
        <v>27.8</v>
      </c>
      <c r="R114" s="188">
        <v>15.4</v>
      </c>
      <c r="S114" s="231">
        <v>2.4</v>
      </c>
      <c r="T114" s="189" t="str">
        <f t="shared" si="2"/>
        <v>1</v>
      </c>
      <c r="U114" s="189" t="str">
        <f t="shared" si="3"/>
        <v>1</v>
      </c>
      <c r="V114" s="189" t="str">
        <f t="shared" si="4"/>
        <v>1109</v>
      </c>
      <c r="W114" s="189" t="str">
        <f t="shared" si="5"/>
        <v>6.29</v>
      </c>
      <c r="X114" s="82"/>
      <c r="Y114" s="82"/>
      <c r="Z114" s="82"/>
      <c r="AA114" s="82"/>
      <c r="AB114" s="82"/>
      <c r="AC114" s="82"/>
      <c r="AD114" s="82"/>
      <c r="AE114" s="82"/>
      <c r="AF114" s="82"/>
      <c r="AG114" s="82"/>
      <c r="AH114" s="82"/>
      <c r="AI114" s="82"/>
      <c r="AJ114" s="82"/>
      <c r="AK114" s="82"/>
      <c r="AL114" s="82"/>
      <c r="AM114" s="82"/>
      <c r="AN114" s="82"/>
      <c r="AO114" s="82"/>
      <c r="AP114" s="82"/>
      <c r="AQ114" s="82"/>
    </row>
    <row r="115" spans="1:43" s="83" customFormat="1" ht="15.75" customHeight="1">
      <c r="A115" s="329">
        <v>174</v>
      </c>
      <c r="B115" s="329" t="s">
        <v>895</v>
      </c>
      <c r="C115" s="329" t="s">
        <v>481</v>
      </c>
      <c r="D115" s="188">
        <v>6</v>
      </c>
      <c r="E115" s="188" t="s">
        <v>2495</v>
      </c>
      <c r="F115" s="232">
        <v>0.57291666666666663</v>
      </c>
      <c r="G115" s="232">
        <v>0.6875</v>
      </c>
      <c r="H115" s="188">
        <v>1</v>
      </c>
      <c r="I115" s="188">
        <v>53208</v>
      </c>
      <c r="J115" s="229">
        <v>29669</v>
      </c>
      <c r="K115" s="188">
        <v>31.4</v>
      </c>
      <c r="L115" s="188">
        <v>35.799999999999997</v>
      </c>
      <c r="M115" s="188">
        <v>23.5</v>
      </c>
      <c r="N115" s="230">
        <v>63</v>
      </c>
      <c r="O115" s="188">
        <v>44.3</v>
      </c>
      <c r="P115" s="188">
        <v>84.4</v>
      </c>
      <c r="Q115" s="188">
        <v>26.6</v>
      </c>
      <c r="R115" s="188">
        <v>23.2</v>
      </c>
      <c r="S115" s="189">
        <v>1.9</v>
      </c>
      <c r="T115" s="189">
        <v>2</v>
      </c>
      <c r="U115" s="189">
        <v>0</v>
      </c>
      <c r="V115" s="189">
        <v>1800</v>
      </c>
      <c r="W115" s="189">
        <v>16.62</v>
      </c>
      <c r="X115" s="82"/>
      <c r="Y115" s="82"/>
      <c r="Z115" s="82"/>
      <c r="AA115" s="82"/>
      <c r="AB115" s="82"/>
      <c r="AC115" s="82"/>
      <c r="AD115" s="82"/>
      <c r="AE115" s="82"/>
      <c r="AF115" s="82"/>
      <c r="AG115" s="82"/>
      <c r="AH115" s="82"/>
      <c r="AI115" s="82"/>
      <c r="AJ115" s="82"/>
      <c r="AK115" s="82"/>
      <c r="AL115" s="82"/>
      <c r="AM115" s="82"/>
      <c r="AN115" s="82"/>
      <c r="AO115" s="82"/>
      <c r="AP115" s="82"/>
      <c r="AQ115" s="82"/>
    </row>
    <row r="116" spans="1:43" s="83" customFormat="1" ht="15.75" customHeight="1">
      <c r="A116" s="82"/>
      <c r="B116" s="82"/>
      <c r="C116" s="82"/>
      <c r="D116" s="82"/>
      <c r="E116" s="82"/>
      <c r="F116" s="82"/>
      <c r="G116" s="82"/>
      <c r="H116" s="82"/>
      <c r="I116" s="82"/>
      <c r="J116" s="84"/>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row>
    <row r="117" spans="1:43" ht="15.75" customHeight="1">
      <c r="A117" s="79"/>
      <c r="B117" s="79"/>
      <c r="C117" s="79"/>
      <c r="D117" s="79"/>
      <c r="E117" s="79"/>
      <c r="F117" s="79"/>
      <c r="G117" s="79"/>
      <c r="H117" s="79"/>
      <c r="I117" s="79"/>
      <c r="J117" s="81"/>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row>
    <row r="118" spans="1:43" ht="15.75" customHeight="1">
      <c r="A118" s="79"/>
      <c r="B118" s="79"/>
      <c r="C118" s="79"/>
      <c r="D118" s="79"/>
      <c r="E118" s="79"/>
      <c r="F118" s="79"/>
      <c r="G118" s="79"/>
      <c r="H118" s="79"/>
      <c r="I118" s="79"/>
      <c r="J118" s="81"/>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row>
    <row r="119" spans="1:43" ht="15.75" customHeight="1">
      <c r="A119" s="79"/>
      <c r="B119" s="79"/>
      <c r="C119" s="79"/>
      <c r="D119" s="79"/>
      <c r="E119" s="79"/>
      <c r="F119" s="79"/>
      <c r="G119" s="79"/>
      <c r="H119" s="79"/>
      <c r="I119" s="79"/>
      <c r="J119" s="81"/>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row>
    <row r="120" spans="1:43" ht="15.75" customHeight="1">
      <c r="A120" s="79"/>
      <c r="B120" s="79"/>
      <c r="C120" s="79"/>
      <c r="D120" s="79"/>
      <c r="E120" s="79"/>
      <c r="F120" s="79"/>
      <c r="G120" s="79"/>
      <c r="H120" s="79"/>
      <c r="I120" s="79"/>
      <c r="J120" s="81"/>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row>
    <row r="121" spans="1:43" ht="15.75" customHeight="1">
      <c r="A121" s="79"/>
      <c r="B121" s="79"/>
      <c r="C121" s="79"/>
      <c r="D121" s="79"/>
      <c r="E121" s="79"/>
      <c r="F121" s="79"/>
      <c r="G121" s="79"/>
      <c r="H121" s="79"/>
      <c r="I121" s="79"/>
      <c r="J121" s="81"/>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row>
    <row r="122" spans="1:43" ht="15.75" customHeight="1">
      <c r="A122" s="79"/>
      <c r="B122" s="79"/>
      <c r="C122" s="79"/>
      <c r="D122" s="79"/>
      <c r="E122" s="79"/>
      <c r="F122" s="79"/>
      <c r="G122" s="79"/>
      <c r="H122" s="79"/>
      <c r="I122" s="79"/>
      <c r="J122" s="81"/>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row>
    <row r="123" spans="1:43" ht="15.75" customHeight="1">
      <c r="A123" s="79"/>
      <c r="B123" s="79"/>
      <c r="C123" s="79"/>
      <c r="D123" s="79"/>
      <c r="E123" s="79"/>
      <c r="F123" s="79"/>
      <c r="G123" s="79"/>
      <c r="H123" s="79"/>
      <c r="I123" s="79"/>
      <c r="J123" s="81"/>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row>
    <row r="124" spans="1:43" ht="15.75" customHeight="1">
      <c r="A124" s="79"/>
      <c r="B124" s="79"/>
      <c r="C124" s="79"/>
      <c r="D124" s="79"/>
      <c r="E124" s="79"/>
      <c r="F124" s="79"/>
      <c r="G124" s="79"/>
      <c r="H124" s="79"/>
      <c r="I124" s="79"/>
      <c r="J124" s="81"/>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row>
    <row r="125" spans="1:43" ht="15.75" customHeight="1">
      <c r="A125" s="79"/>
      <c r="B125" s="79"/>
      <c r="C125" s="79"/>
      <c r="D125" s="79"/>
      <c r="E125" s="79"/>
      <c r="F125" s="79"/>
      <c r="G125" s="79"/>
      <c r="H125" s="79"/>
      <c r="I125" s="79"/>
      <c r="J125" s="81"/>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row>
    <row r="126" spans="1:43" ht="15.75" customHeight="1">
      <c r="A126" s="79"/>
      <c r="B126" s="79"/>
      <c r="C126" s="79"/>
      <c r="D126" s="79"/>
      <c r="E126" s="79"/>
      <c r="F126" s="79"/>
      <c r="G126" s="79"/>
      <c r="H126" s="79"/>
      <c r="I126" s="79"/>
      <c r="J126" s="81"/>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row>
    <row r="127" spans="1:43" ht="15.75" customHeight="1">
      <c r="A127" s="79"/>
      <c r="B127" s="79"/>
      <c r="C127" s="79"/>
      <c r="D127" s="79"/>
      <c r="E127" s="79"/>
      <c r="F127" s="79"/>
      <c r="G127" s="79"/>
      <c r="H127" s="79"/>
      <c r="I127" s="79"/>
      <c r="J127" s="81"/>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row>
    <row r="128" spans="1:43" ht="15.75" customHeight="1">
      <c r="A128" s="79"/>
      <c r="B128" s="79"/>
      <c r="C128" s="79"/>
      <c r="D128" s="79"/>
      <c r="E128" s="79"/>
      <c r="F128" s="79"/>
      <c r="G128" s="79"/>
      <c r="H128" s="79"/>
      <c r="I128" s="79"/>
      <c r="J128" s="81"/>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row>
    <row r="129" spans="1:43" ht="15.75" customHeight="1">
      <c r="A129" s="79"/>
      <c r="B129" s="79"/>
      <c r="C129" s="79"/>
      <c r="D129" s="79"/>
      <c r="E129" s="79"/>
      <c r="F129" s="79"/>
      <c r="G129" s="79"/>
      <c r="H129" s="79"/>
      <c r="I129" s="79"/>
      <c r="J129" s="81"/>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row>
    <row r="130" spans="1:43" ht="15.75" customHeight="1">
      <c r="A130" s="79"/>
      <c r="B130" s="79"/>
      <c r="C130" s="79"/>
      <c r="D130" s="79"/>
      <c r="E130" s="79"/>
      <c r="F130" s="79"/>
      <c r="G130" s="79"/>
      <c r="H130" s="79"/>
      <c r="I130" s="79"/>
      <c r="J130" s="81"/>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row>
    <row r="131" spans="1:43" ht="15.75" customHeight="1">
      <c r="A131" s="79"/>
      <c r="B131" s="79"/>
      <c r="C131" s="79"/>
      <c r="D131" s="79"/>
      <c r="E131" s="79"/>
      <c r="F131" s="79"/>
      <c r="G131" s="79"/>
      <c r="H131" s="79"/>
      <c r="I131" s="79"/>
      <c r="J131" s="81"/>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row>
    <row r="132" spans="1:43" ht="15.75" customHeight="1">
      <c r="A132" s="79"/>
      <c r="B132" s="79"/>
      <c r="C132" s="79"/>
      <c r="D132" s="79"/>
      <c r="E132" s="79"/>
      <c r="F132" s="79"/>
      <c r="G132" s="79"/>
      <c r="H132" s="79"/>
      <c r="I132" s="79"/>
      <c r="J132" s="81"/>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row>
    <row r="133" spans="1:43" ht="15.75" customHeight="1">
      <c r="A133" s="79"/>
      <c r="B133" s="79"/>
      <c r="C133" s="79"/>
      <c r="D133" s="79"/>
      <c r="E133" s="79"/>
      <c r="F133" s="79"/>
      <c r="G133" s="79"/>
      <c r="H133" s="79"/>
      <c r="I133" s="79"/>
      <c r="J133" s="81"/>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row>
    <row r="134" spans="1:43" ht="15.75" customHeight="1">
      <c r="A134" s="79"/>
      <c r="B134" s="79"/>
      <c r="C134" s="79"/>
      <c r="D134" s="79"/>
      <c r="E134" s="79"/>
      <c r="F134" s="79"/>
      <c r="G134" s="79"/>
      <c r="H134" s="79"/>
      <c r="I134" s="79"/>
      <c r="J134" s="81"/>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row>
    <row r="135" spans="1:43" ht="15.75" customHeight="1">
      <c r="A135" s="79"/>
      <c r="B135" s="79"/>
      <c r="C135" s="79"/>
      <c r="D135" s="79"/>
      <c r="E135" s="79"/>
      <c r="F135" s="79"/>
      <c r="G135" s="79"/>
      <c r="H135" s="79"/>
      <c r="I135" s="79"/>
      <c r="J135" s="81"/>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row>
    <row r="136" spans="1:43" ht="15.75" customHeight="1">
      <c r="A136" s="79"/>
      <c r="B136" s="79"/>
      <c r="C136" s="79"/>
      <c r="D136" s="79"/>
      <c r="E136" s="79"/>
      <c r="F136" s="79"/>
      <c r="G136" s="79"/>
      <c r="H136" s="79"/>
      <c r="I136" s="79"/>
      <c r="J136" s="81"/>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row>
    <row r="137" spans="1:43" ht="15.75" customHeight="1">
      <c r="A137" s="79"/>
      <c r="B137" s="79"/>
      <c r="C137" s="79"/>
      <c r="D137" s="79"/>
      <c r="E137" s="79"/>
      <c r="F137" s="79"/>
      <c r="G137" s="79"/>
      <c r="H137" s="79"/>
      <c r="I137" s="79"/>
      <c r="J137" s="81"/>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row>
    <row r="138" spans="1:43" ht="15.75" customHeight="1">
      <c r="A138" s="79"/>
      <c r="B138" s="79"/>
      <c r="C138" s="79"/>
      <c r="D138" s="79"/>
      <c r="E138" s="79"/>
      <c r="F138" s="79"/>
      <c r="G138" s="79"/>
      <c r="H138" s="79"/>
      <c r="I138" s="79"/>
      <c r="J138" s="81"/>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row>
    <row r="139" spans="1:43" ht="15.75" customHeight="1">
      <c r="A139" s="79"/>
      <c r="B139" s="79"/>
      <c r="C139" s="79"/>
      <c r="D139" s="79"/>
      <c r="E139" s="79"/>
      <c r="F139" s="79"/>
      <c r="G139" s="79"/>
      <c r="H139" s="79"/>
      <c r="I139" s="79"/>
      <c r="J139" s="81"/>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row>
    <row r="140" spans="1:43" ht="15.75" customHeight="1">
      <c r="A140" s="79"/>
      <c r="B140" s="79"/>
      <c r="C140" s="79"/>
      <c r="D140" s="79"/>
      <c r="E140" s="79"/>
      <c r="F140" s="79"/>
      <c r="G140" s="79"/>
      <c r="H140" s="79"/>
      <c r="I140" s="79"/>
      <c r="J140" s="81"/>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row>
    <row r="141" spans="1:43" ht="15.75" customHeight="1">
      <c r="A141" s="79"/>
      <c r="B141" s="79"/>
      <c r="C141" s="79"/>
      <c r="D141" s="79"/>
      <c r="E141" s="79"/>
      <c r="F141" s="79"/>
      <c r="G141" s="79"/>
      <c r="H141" s="79"/>
      <c r="I141" s="79"/>
      <c r="J141" s="81"/>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row>
    <row r="142" spans="1:43" ht="15.75" customHeight="1">
      <c r="A142" s="79"/>
      <c r="B142" s="79"/>
      <c r="C142" s="79"/>
      <c r="D142" s="79"/>
      <c r="E142" s="79"/>
      <c r="F142" s="79"/>
      <c r="G142" s="79"/>
      <c r="H142" s="79"/>
      <c r="I142" s="79"/>
      <c r="J142" s="81"/>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row>
    <row r="143" spans="1:43" ht="15.75" customHeight="1">
      <c r="A143" s="79"/>
      <c r="B143" s="79"/>
      <c r="C143" s="79"/>
      <c r="D143" s="79"/>
      <c r="E143" s="79"/>
      <c r="F143" s="79"/>
      <c r="G143" s="79"/>
      <c r="H143" s="79"/>
      <c r="I143" s="79"/>
      <c r="J143" s="81"/>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row>
    <row r="144" spans="1:43" ht="15.75" customHeight="1">
      <c r="A144" s="79"/>
      <c r="B144" s="79"/>
      <c r="C144" s="79"/>
      <c r="D144" s="79"/>
      <c r="E144" s="79"/>
      <c r="F144" s="79"/>
      <c r="G144" s="79"/>
      <c r="H144" s="79"/>
      <c r="I144" s="79"/>
      <c r="J144" s="81"/>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row>
    <row r="145" spans="1:43" ht="15.75" customHeight="1">
      <c r="A145" s="79"/>
      <c r="B145" s="79"/>
      <c r="C145" s="79"/>
      <c r="D145" s="79"/>
      <c r="E145" s="79"/>
      <c r="F145" s="79"/>
      <c r="G145" s="79"/>
      <c r="H145" s="79"/>
      <c r="I145" s="79"/>
      <c r="J145" s="81"/>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row>
    <row r="146" spans="1:43" ht="15.75" customHeight="1">
      <c r="A146" s="79"/>
      <c r="B146" s="79"/>
      <c r="C146" s="79"/>
      <c r="D146" s="79"/>
      <c r="E146" s="79"/>
      <c r="F146" s="79"/>
      <c r="G146" s="79"/>
      <c r="H146" s="79"/>
      <c r="I146" s="79"/>
      <c r="J146" s="81"/>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row>
    <row r="147" spans="1:43" ht="15.75" customHeight="1">
      <c r="A147" s="79"/>
      <c r="B147" s="79"/>
      <c r="C147" s="79"/>
      <c r="D147" s="79"/>
      <c r="E147" s="79"/>
      <c r="F147" s="79"/>
      <c r="G147" s="79"/>
      <c r="H147" s="79"/>
      <c r="I147" s="79"/>
      <c r="J147" s="81"/>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row>
    <row r="148" spans="1:43" ht="15.75" customHeight="1">
      <c r="A148" s="79"/>
      <c r="B148" s="79"/>
      <c r="C148" s="79"/>
      <c r="D148" s="79"/>
      <c r="E148" s="79"/>
      <c r="F148" s="79"/>
      <c r="G148" s="79"/>
      <c r="H148" s="79"/>
      <c r="I148" s="79"/>
      <c r="J148" s="81"/>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row>
    <row r="149" spans="1:43" ht="15.75" customHeight="1">
      <c r="A149" s="79"/>
      <c r="B149" s="79"/>
      <c r="C149" s="79"/>
      <c r="D149" s="79"/>
      <c r="E149" s="79"/>
      <c r="F149" s="79"/>
      <c r="G149" s="79"/>
      <c r="H149" s="79"/>
      <c r="I149" s="79"/>
      <c r="J149" s="81"/>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row>
    <row r="150" spans="1:43" ht="15.75" customHeight="1">
      <c r="A150" s="79"/>
      <c r="B150" s="79"/>
      <c r="C150" s="79"/>
      <c r="D150" s="79"/>
      <c r="E150" s="79"/>
      <c r="F150" s="79"/>
      <c r="G150" s="79"/>
      <c r="H150" s="79"/>
      <c r="I150" s="79"/>
      <c r="J150" s="81"/>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row>
    <row r="151" spans="1:43" ht="15.75" customHeight="1">
      <c r="A151" s="79"/>
      <c r="B151" s="79"/>
      <c r="C151" s="79"/>
      <c r="D151" s="79"/>
      <c r="E151" s="79"/>
      <c r="F151" s="79"/>
      <c r="G151" s="79"/>
      <c r="H151" s="79"/>
      <c r="I151" s="79"/>
      <c r="J151" s="81"/>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row>
    <row r="152" spans="1:43" ht="15.75" customHeight="1">
      <c r="A152" s="79"/>
      <c r="B152" s="79"/>
      <c r="C152" s="79"/>
      <c r="D152" s="79"/>
      <c r="E152" s="79"/>
      <c r="F152" s="79"/>
      <c r="G152" s="79"/>
      <c r="H152" s="79"/>
      <c r="I152" s="79"/>
      <c r="J152" s="81"/>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row>
    <row r="153" spans="1:43" ht="15.75" customHeight="1">
      <c r="A153" s="79"/>
      <c r="B153" s="79"/>
      <c r="C153" s="79"/>
      <c r="D153" s="79"/>
      <c r="E153" s="79"/>
      <c r="F153" s="79"/>
      <c r="G153" s="79"/>
      <c r="H153" s="79"/>
      <c r="I153" s="79"/>
      <c r="J153" s="81"/>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row>
    <row r="154" spans="1:43" ht="15.75" customHeight="1">
      <c r="A154" s="79"/>
      <c r="B154" s="79"/>
      <c r="C154" s="79"/>
      <c r="D154" s="79"/>
      <c r="E154" s="79"/>
      <c r="F154" s="79"/>
      <c r="G154" s="79"/>
      <c r="H154" s="79"/>
      <c r="I154" s="79"/>
      <c r="J154" s="81"/>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row>
    <row r="155" spans="1:43" ht="15.75" customHeight="1">
      <c r="A155" s="79"/>
      <c r="B155" s="79"/>
      <c r="C155" s="79"/>
      <c r="D155" s="79"/>
      <c r="E155" s="79"/>
      <c r="F155" s="79"/>
      <c r="G155" s="79"/>
      <c r="H155" s="79"/>
      <c r="I155" s="79"/>
      <c r="J155" s="81"/>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row>
    <row r="156" spans="1:43" ht="15.75" customHeight="1">
      <c r="A156" s="79"/>
      <c r="B156" s="79"/>
      <c r="C156" s="79"/>
      <c r="D156" s="79"/>
      <c r="E156" s="79"/>
      <c r="F156" s="79"/>
      <c r="G156" s="79"/>
      <c r="H156" s="79"/>
      <c r="I156" s="79"/>
      <c r="J156" s="81"/>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row>
    <row r="157" spans="1:43" ht="15.75" customHeight="1">
      <c r="A157" s="79"/>
      <c r="B157" s="79"/>
      <c r="C157" s="79"/>
      <c r="D157" s="79"/>
      <c r="E157" s="79"/>
      <c r="F157" s="79"/>
      <c r="G157" s="79"/>
      <c r="H157" s="79"/>
      <c r="I157" s="79"/>
      <c r="J157" s="81"/>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row>
    <row r="158" spans="1:43" ht="15.75" customHeight="1">
      <c r="A158" s="79"/>
      <c r="B158" s="79"/>
      <c r="C158" s="79"/>
      <c r="D158" s="79"/>
      <c r="E158" s="79"/>
      <c r="F158" s="79"/>
      <c r="G158" s="79"/>
      <c r="H158" s="79"/>
      <c r="I158" s="79"/>
      <c r="J158" s="81"/>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row>
    <row r="159" spans="1:43" ht="15.75" customHeight="1">
      <c r="A159" s="79"/>
      <c r="B159" s="79"/>
      <c r="C159" s="79"/>
      <c r="D159" s="79"/>
      <c r="E159" s="79"/>
      <c r="F159" s="79"/>
      <c r="G159" s="79"/>
      <c r="H159" s="79"/>
      <c r="I159" s="79"/>
      <c r="J159" s="81"/>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row>
    <row r="160" spans="1:43" ht="15.75" customHeight="1">
      <c r="A160" s="79"/>
      <c r="B160" s="79"/>
      <c r="C160" s="79"/>
      <c r="D160" s="79"/>
      <c r="E160" s="79"/>
      <c r="F160" s="79"/>
      <c r="G160" s="79"/>
      <c r="H160" s="79"/>
      <c r="I160" s="79"/>
      <c r="J160" s="81"/>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row>
    <row r="161" spans="1:43" ht="15.75" customHeight="1">
      <c r="A161" s="79"/>
      <c r="B161" s="79"/>
      <c r="C161" s="79"/>
      <c r="D161" s="79"/>
      <c r="E161" s="79"/>
      <c r="F161" s="79"/>
      <c r="G161" s="79"/>
      <c r="H161" s="79"/>
      <c r="I161" s="79"/>
      <c r="J161" s="81"/>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row>
    <row r="162" spans="1:43" ht="15.75" customHeight="1">
      <c r="A162" s="79"/>
      <c r="B162" s="79"/>
      <c r="C162" s="79"/>
      <c r="D162" s="79"/>
      <c r="E162" s="79"/>
      <c r="F162" s="79"/>
      <c r="G162" s="79"/>
      <c r="H162" s="79"/>
      <c r="I162" s="79"/>
      <c r="J162" s="81"/>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row>
    <row r="163" spans="1:43" ht="15.75" customHeight="1">
      <c r="A163" s="79"/>
      <c r="B163" s="79"/>
      <c r="C163" s="79"/>
      <c r="D163" s="79"/>
      <c r="E163" s="79"/>
      <c r="F163" s="79"/>
      <c r="G163" s="79"/>
      <c r="H163" s="79"/>
      <c r="I163" s="79"/>
      <c r="J163" s="81"/>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row>
    <row r="164" spans="1:43" ht="15.75" customHeight="1">
      <c r="A164" s="79"/>
      <c r="B164" s="79"/>
      <c r="C164" s="79"/>
      <c r="D164" s="79"/>
      <c r="E164" s="79"/>
      <c r="F164" s="79"/>
      <c r="G164" s="79"/>
      <c r="H164" s="79"/>
      <c r="I164" s="79"/>
      <c r="J164" s="81"/>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row>
    <row r="165" spans="1:43" ht="15.75" customHeight="1">
      <c r="A165" s="79"/>
      <c r="B165" s="79"/>
      <c r="C165" s="79"/>
      <c r="D165" s="79"/>
      <c r="E165" s="79"/>
      <c r="F165" s="79"/>
      <c r="G165" s="79"/>
      <c r="H165" s="79"/>
      <c r="I165" s="79"/>
      <c r="J165" s="81"/>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row>
    <row r="166" spans="1:43" ht="15.75" customHeight="1">
      <c r="A166" s="79"/>
      <c r="B166" s="79"/>
      <c r="C166" s="79"/>
      <c r="D166" s="79"/>
      <c r="E166" s="79"/>
      <c r="F166" s="79"/>
      <c r="G166" s="79"/>
      <c r="H166" s="79"/>
      <c r="I166" s="79"/>
      <c r="J166" s="81"/>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row>
    <row r="167" spans="1:43" ht="15.75" customHeight="1">
      <c r="A167" s="79"/>
      <c r="B167" s="79"/>
      <c r="C167" s="79"/>
      <c r="D167" s="79"/>
      <c r="E167" s="79"/>
      <c r="F167" s="79"/>
      <c r="G167" s="79"/>
      <c r="H167" s="79"/>
      <c r="I167" s="79"/>
      <c r="J167" s="81"/>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row>
    <row r="168" spans="1:43" ht="15.75" customHeight="1">
      <c r="A168" s="79"/>
      <c r="B168" s="79"/>
      <c r="C168" s="79"/>
      <c r="D168" s="79"/>
      <c r="E168" s="79"/>
      <c r="F168" s="79"/>
      <c r="G168" s="79"/>
      <c r="H168" s="79"/>
      <c r="I168" s="79"/>
      <c r="J168" s="81"/>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row>
    <row r="169" spans="1:43" ht="15.75" customHeight="1">
      <c r="A169" s="79"/>
      <c r="B169" s="79"/>
      <c r="C169" s="79"/>
      <c r="D169" s="79"/>
      <c r="E169" s="79"/>
      <c r="F169" s="79"/>
      <c r="G169" s="79"/>
      <c r="H169" s="79"/>
      <c r="I169" s="79"/>
      <c r="J169" s="81"/>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row>
    <row r="170" spans="1:43" ht="15.75" customHeight="1">
      <c r="A170" s="79"/>
      <c r="B170" s="79"/>
      <c r="C170" s="79"/>
      <c r="D170" s="79"/>
      <c r="E170" s="79"/>
      <c r="F170" s="79"/>
      <c r="G170" s="79"/>
      <c r="H170" s="79"/>
      <c r="I170" s="79"/>
      <c r="J170" s="81"/>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row>
    <row r="171" spans="1:43" ht="15.75" customHeight="1">
      <c r="A171" s="79"/>
      <c r="B171" s="79"/>
      <c r="C171" s="79"/>
      <c r="D171" s="79"/>
      <c r="E171" s="79"/>
      <c r="F171" s="79"/>
      <c r="G171" s="79"/>
      <c r="H171" s="79"/>
      <c r="I171" s="79"/>
      <c r="J171" s="81"/>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row>
    <row r="172" spans="1:43" ht="15.75" customHeight="1">
      <c r="A172" s="79"/>
      <c r="B172" s="79"/>
      <c r="C172" s="79"/>
      <c r="D172" s="79"/>
      <c r="E172" s="79"/>
      <c r="F172" s="79"/>
      <c r="G172" s="79"/>
      <c r="H172" s="79"/>
      <c r="I172" s="79"/>
      <c r="J172" s="81"/>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row>
    <row r="173" spans="1:43" ht="15.75" customHeight="1">
      <c r="A173" s="79"/>
      <c r="B173" s="79"/>
      <c r="C173" s="79"/>
      <c r="D173" s="79"/>
      <c r="E173" s="79"/>
      <c r="F173" s="79"/>
      <c r="G173" s="79"/>
      <c r="H173" s="79"/>
      <c r="I173" s="79"/>
      <c r="J173" s="81"/>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row>
    <row r="174" spans="1:43" ht="15.75" customHeight="1">
      <c r="A174" s="79"/>
      <c r="B174" s="79"/>
      <c r="C174" s="79"/>
      <c r="D174" s="79"/>
      <c r="E174" s="79"/>
      <c r="F174" s="79"/>
      <c r="G174" s="79"/>
      <c r="H174" s="79"/>
      <c r="I174" s="79"/>
      <c r="J174" s="81"/>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row>
    <row r="175" spans="1:43" ht="15.75" customHeight="1">
      <c r="A175" s="79"/>
      <c r="B175" s="79"/>
      <c r="C175" s="79"/>
      <c r="D175" s="79"/>
      <c r="E175" s="79"/>
      <c r="F175" s="79"/>
      <c r="G175" s="79"/>
      <c r="H175" s="79"/>
      <c r="I175" s="79"/>
      <c r="J175" s="81"/>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row>
    <row r="176" spans="1:43" ht="15.75" customHeight="1">
      <c r="A176" s="79"/>
      <c r="B176" s="79"/>
      <c r="C176" s="79"/>
      <c r="D176" s="79"/>
      <c r="E176" s="79"/>
      <c r="F176" s="79"/>
      <c r="G176" s="79"/>
      <c r="H176" s="79"/>
      <c r="I176" s="79"/>
      <c r="J176" s="81"/>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row>
    <row r="177" spans="1:43" ht="15.75" customHeight="1">
      <c r="A177" s="79"/>
      <c r="B177" s="79"/>
      <c r="C177" s="79"/>
      <c r="D177" s="79"/>
      <c r="E177" s="79"/>
      <c r="F177" s="79"/>
      <c r="G177" s="79"/>
      <c r="H177" s="79"/>
      <c r="I177" s="79"/>
      <c r="J177" s="81"/>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row>
    <row r="178" spans="1:43" ht="15.75" customHeight="1">
      <c r="A178" s="79"/>
      <c r="B178" s="79"/>
      <c r="C178" s="79"/>
      <c r="D178" s="79"/>
      <c r="E178" s="79"/>
      <c r="F178" s="79"/>
      <c r="G178" s="79"/>
      <c r="H178" s="79"/>
      <c r="I178" s="79"/>
      <c r="J178" s="81"/>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row>
    <row r="179" spans="1:43" ht="15.75" customHeight="1">
      <c r="A179" s="79"/>
      <c r="B179" s="79"/>
      <c r="C179" s="79"/>
      <c r="D179" s="79"/>
      <c r="E179" s="79"/>
      <c r="F179" s="79"/>
      <c r="G179" s="79"/>
      <c r="H179" s="79"/>
      <c r="I179" s="79"/>
      <c r="J179" s="81"/>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row>
    <row r="180" spans="1:43" ht="15.75" customHeight="1">
      <c r="A180" s="79"/>
      <c r="B180" s="79"/>
      <c r="C180" s="79"/>
      <c r="D180" s="79"/>
      <c r="E180" s="79"/>
      <c r="F180" s="79"/>
      <c r="G180" s="79"/>
      <c r="H180" s="79"/>
      <c r="I180" s="79"/>
      <c r="J180" s="81"/>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row>
    <row r="181" spans="1:43" ht="15.75" customHeight="1">
      <c r="A181" s="79"/>
      <c r="B181" s="79"/>
      <c r="C181" s="79"/>
      <c r="D181" s="79"/>
      <c r="E181" s="79"/>
      <c r="F181" s="79"/>
      <c r="G181" s="79"/>
      <c r="H181" s="79"/>
      <c r="I181" s="79"/>
      <c r="J181" s="81"/>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row>
    <row r="182" spans="1:43" ht="15.75" customHeight="1">
      <c r="A182" s="79"/>
      <c r="B182" s="79"/>
      <c r="C182" s="79"/>
      <c r="D182" s="79"/>
      <c r="E182" s="79"/>
      <c r="F182" s="79"/>
      <c r="G182" s="79"/>
      <c r="H182" s="79"/>
      <c r="I182" s="79"/>
      <c r="J182" s="81"/>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row>
    <row r="183" spans="1:43" ht="15.75" customHeight="1">
      <c r="A183" s="79"/>
      <c r="B183" s="79"/>
      <c r="C183" s="79"/>
      <c r="D183" s="79"/>
      <c r="E183" s="79"/>
      <c r="F183" s="79"/>
      <c r="G183" s="79"/>
      <c r="H183" s="79"/>
      <c r="I183" s="79"/>
      <c r="J183" s="81"/>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row>
    <row r="184" spans="1:43" ht="15.75" customHeight="1">
      <c r="A184" s="79"/>
      <c r="B184" s="79"/>
      <c r="C184" s="79"/>
      <c r="D184" s="79"/>
      <c r="E184" s="79"/>
      <c r="F184" s="79"/>
      <c r="G184" s="79"/>
      <c r="H184" s="79"/>
      <c r="I184" s="79"/>
      <c r="J184" s="81"/>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row>
    <row r="185" spans="1:43" ht="15.75" customHeight="1">
      <c r="A185" s="79"/>
      <c r="B185" s="79"/>
      <c r="C185" s="79"/>
      <c r="D185" s="79"/>
      <c r="E185" s="79"/>
      <c r="F185" s="79"/>
      <c r="G185" s="79"/>
      <c r="H185" s="79"/>
      <c r="I185" s="79"/>
      <c r="J185" s="81"/>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row>
    <row r="186" spans="1:43" ht="15.75" customHeight="1">
      <c r="A186" s="79"/>
      <c r="B186" s="79"/>
      <c r="C186" s="79"/>
      <c r="D186" s="79"/>
      <c r="E186" s="79"/>
      <c r="F186" s="79"/>
      <c r="G186" s="79"/>
      <c r="H186" s="79"/>
      <c r="I186" s="79"/>
      <c r="J186" s="81"/>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row>
    <row r="187" spans="1:43" ht="15.75" customHeight="1">
      <c r="A187" s="79"/>
      <c r="B187" s="79"/>
      <c r="C187" s="79"/>
      <c r="D187" s="79"/>
      <c r="E187" s="79"/>
      <c r="F187" s="79"/>
      <c r="G187" s="79"/>
      <c r="H187" s="79"/>
      <c r="I187" s="79"/>
      <c r="J187" s="81"/>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row>
    <row r="188" spans="1:43" ht="15.75" customHeight="1">
      <c r="A188" s="79"/>
      <c r="B188" s="79"/>
      <c r="C188" s="79"/>
      <c r="D188" s="79"/>
      <c r="E188" s="79"/>
      <c r="F188" s="79"/>
      <c r="G188" s="79"/>
      <c r="H188" s="79"/>
      <c r="I188" s="79"/>
      <c r="J188" s="81"/>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row>
    <row r="189" spans="1:43" ht="15.75" customHeight="1">
      <c r="A189" s="79"/>
      <c r="B189" s="79"/>
      <c r="C189" s="79"/>
      <c r="D189" s="79"/>
      <c r="E189" s="79"/>
      <c r="F189" s="79"/>
      <c r="G189" s="79"/>
      <c r="H189" s="79"/>
      <c r="I189" s="79"/>
      <c r="J189" s="81"/>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row>
    <row r="190" spans="1:43" ht="15.75" customHeight="1">
      <c r="A190" s="79"/>
      <c r="B190" s="79"/>
      <c r="C190" s="79"/>
      <c r="D190" s="79"/>
      <c r="E190" s="79"/>
      <c r="F190" s="79"/>
      <c r="G190" s="79"/>
      <c r="H190" s="79"/>
      <c r="I190" s="79"/>
      <c r="J190" s="81"/>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row>
    <row r="191" spans="1:43" ht="15.75" customHeight="1">
      <c r="A191" s="79"/>
      <c r="B191" s="79"/>
      <c r="C191" s="79"/>
      <c r="D191" s="79"/>
      <c r="E191" s="79"/>
      <c r="F191" s="79"/>
      <c r="G191" s="79"/>
      <c r="H191" s="79"/>
      <c r="I191" s="79"/>
      <c r="J191" s="81"/>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row>
    <row r="192" spans="1:43" ht="15.75" customHeight="1">
      <c r="A192" s="79"/>
      <c r="B192" s="79"/>
      <c r="C192" s="79"/>
      <c r="D192" s="79"/>
      <c r="E192" s="79"/>
      <c r="F192" s="79"/>
      <c r="G192" s="79"/>
      <c r="H192" s="79"/>
      <c r="I192" s="79"/>
      <c r="J192" s="81"/>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row>
    <row r="193" spans="1:43" ht="15.75" customHeight="1">
      <c r="A193" s="79"/>
      <c r="B193" s="79"/>
      <c r="C193" s="79"/>
      <c r="D193" s="79"/>
      <c r="E193" s="79"/>
      <c r="F193" s="79"/>
      <c r="G193" s="79"/>
      <c r="H193" s="79"/>
      <c r="I193" s="79"/>
      <c r="J193" s="81"/>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row>
    <row r="194" spans="1:43" ht="15.75" customHeight="1">
      <c r="A194" s="79"/>
      <c r="B194" s="79"/>
      <c r="C194" s="79"/>
      <c r="D194" s="79"/>
      <c r="E194" s="79"/>
      <c r="F194" s="79"/>
      <c r="G194" s="79"/>
      <c r="H194" s="79"/>
      <c r="I194" s="79"/>
      <c r="J194" s="81"/>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row>
    <row r="195" spans="1:43" ht="15.75" customHeight="1">
      <c r="A195" s="79"/>
      <c r="B195" s="79"/>
      <c r="C195" s="79"/>
      <c r="D195" s="79"/>
      <c r="E195" s="79"/>
      <c r="F195" s="79"/>
      <c r="G195" s="79"/>
      <c r="H195" s="79"/>
      <c r="I195" s="79"/>
      <c r="J195" s="81"/>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row>
    <row r="196" spans="1:43" ht="15.75" customHeight="1">
      <c r="A196" s="79"/>
      <c r="B196" s="79"/>
      <c r="C196" s="79"/>
      <c r="D196" s="79"/>
      <c r="E196" s="79"/>
      <c r="F196" s="79"/>
      <c r="G196" s="79"/>
      <c r="H196" s="79"/>
      <c r="I196" s="79"/>
      <c r="J196" s="81"/>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row>
    <row r="197" spans="1:43" ht="15.75" customHeight="1">
      <c r="A197" s="79"/>
      <c r="B197" s="79"/>
      <c r="C197" s="79"/>
      <c r="D197" s="79"/>
      <c r="E197" s="79"/>
      <c r="F197" s="79"/>
      <c r="G197" s="79"/>
      <c r="H197" s="79"/>
      <c r="I197" s="79"/>
      <c r="J197" s="81"/>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row>
    <row r="198" spans="1:43" ht="15.75" customHeight="1">
      <c r="A198" s="79"/>
      <c r="B198" s="79"/>
      <c r="C198" s="79"/>
      <c r="D198" s="79"/>
      <c r="E198" s="79"/>
      <c r="F198" s="79"/>
      <c r="G198" s="79"/>
      <c r="H198" s="79"/>
      <c r="I198" s="79"/>
      <c r="J198" s="81"/>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row>
    <row r="199" spans="1:43" ht="15.75" customHeight="1">
      <c r="A199" s="79"/>
      <c r="B199" s="79"/>
      <c r="C199" s="79"/>
      <c r="D199" s="79"/>
      <c r="E199" s="79"/>
      <c r="F199" s="79"/>
      <c r="G199" s="79"/>
      <c r="H199" s="79"/>
      <c r="I199" s="79"/>
      <c r="J199" s="81"/>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row>
    <row r="200" spans="1:43" ht="15.75" customHeight="1">
      <c r="A200" s="79"/>
      <c r="B200" s="79"/>
      <c r="C200" s="79"/>
      <c r="D200" s="79"/>
      <c r="E200" s="79"/>
      <c r="F200" s="79"/>
      <c r="G200" s="79"/>
      <c r="H200" s="79"/>
      <c r="I200" s="79"/>
      <c r="J200" s="81"/>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row>
    <row r="201" spans="1:43" ht="15.75" customHeight="1">
      <c r="A201" s="79"/>
      <c r="B201" s="79"/>
      <c r="C201" s="79"/>
      <c r="D201" s="79"/>
      <c r="E201" s="79"/>
      <c r="F201" s="79"/>
      <c r="G201" s="79"/>
      <c r="H201" s="79"/>
      <c r="I201" s="79"/>
      <c r="J201" s="81"/>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row>
    <row r="202" spans="1:43" ht="15.75" customHeight="1">
      <c r="A202" s="79"/>
      <c r="B202" s="79"/>
      <c r="C202" s="79"/>
      <c r="D202" s="79"/>
      <c r="E202" s="79"/>
      <c r="F202" s="79"/>
      <c r="G202" s="79"/>
      <c r="H202" s="79"/>
      <c r="I202" s="79"/>
      <c r="J202" s="81"/>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row>
    <row r="203" spans="1:43" ht="15.75" customHeight="1">
      <c r="A203" s="79"/>
      <c r="B203" s="79"/>
      <c r="C203" s="79"/>
      <c r="D203" s="79"/>
      <c r="E203" s="79"/>
      <c r="F203" s="79"/>
      <c r="G203" s="79"/>
      <c r="H203" s="79"/>
      <c r="I203" s="79"/>
      <c r="J203" s="81"/>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row>
    <row r="204" spans="1:43" ht="15.75" customHeight="1">
      <c r="A204" s="79"/>
      <c r="B204" s="79"/>
      <c r="C204" s="79"/>
      <c r="D204" s="79"/>
      <c r="E204" s="79"/>
      <c r="F204" s="79"/>
      <c r="G204" s="79"/>
      <c r="H204" s="79"/>
      <c r="I204" s="79"/>
      <c r="J204" s="81"/>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row>
    <row r="205" spans="1:43" ht="15.75" customHeight="1">
      <c r="A205" s="79"/>
      <c r="B205" s="79"/>
      <c r="C205" s="79"/>
      <c r="D205" s="79"/>
      <c r="E205" s="79"/>
      <c r="F205" s="79"/>
      <c r="G205" s="79"/>
      <c r="H205" s="79"/>
      <c r="I205" s="79"/>
      <c r="J205" s="81"/>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row>
    <row r="206" spans="1:43" ht="15.75" customHeight="1">
      <c r="A206" s="79"/>
      <c r="B206" s="79"/>
      <c r="C206" s="79"/>
      <c r="D206" s="79"/>
      <c r="E206" s="79"/>
      <c r="F206" s="79"/>
      <c r="G206" s="79"/>
      <c r="H206" s="79"/>
      <c r="I206" s="79"/>
      <c r="J206" s="81"/>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row>
    <row r="207" spans="1:43" ht="15.75" customHeight="1">
      <c r="A207" s="79"/>
      <c r="B207" s="79"/>
      <c r="C207" s="79"/>
      <c r="D207" s="79"/>
      <c r="E207" s="79"/>
      <c r="F207" s="79"/>
      <c r="G207" s="79"/>
      <c r="H207" s="79"/>
      <c r="I207" s="79"/>
      <c r="J207" s="81"/>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row>
    <row r="208" spans="1:43" ht="15.75" customHeight="1">
      <c r="A208" s="79"/>
      <c r="B208" s="79"/>
      <c r="C208" s="79"/>
      <c r="D208" s="79"/>
      <c r="E208" s="79"/>
      <c r="F208" s="79"/>
      <c r="G208" s="79"/>
      <c r="H208" s="79"/>
      <c r="I208" s="79"/>
      <c r="J208" s="81"/>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row>
    <row r="209" spans="1:43" ht="15.75" customHeight="1">
      <c r="A209" s="79"/>
      <c r="B209" s="79"/>
      <c r="C209" s="79"/>
      <c r="D209" s="79"/>
      <c r="E209" s="79"/>
      <c r="F209" s="79"/>
      <c r="G209" s="79"/>
      <c r="H209" s="79"/>
      <c r="I209" s="79"/>
      <c r="J209" s="81"/>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row>
    <row r="210" spans="1:43" ht="15.75" customHeight="1">
      <c r="A210" s="79"/>
      <c r="B210" s="79"/>
      <c r="C210" s="79"/>
      <c r="D210" s="79"/>
      <c r="E210" s="79"/>
      <c r="F210" s="79"/>
      <c r="G210" s="79"/>
      <c r="H210" s="79"/>
      <c r="I210" s="79"/>
      <c r="J210" s="81"/>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row>
    <row r="211" spans="1:43" ht="15.75" customHeight="1">
      <c r="A211" s="79"/>
      <c r="B211" s="79"/>
      <c r="C211" s="79"/>
      <c r="D211" s="79"/>
      <c r="E211" s="79"/>
      <c r="F211" s="79"/>
      <c r="G211" s="79"/>
      <c r="H211" s="79"/>
      <c r="I211" s="79"/>
      <c r="J211" s="81"/>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row>
    <row r="212" spans="1:43" ht="15.75" customHeight="1">
      <c r="A212" s="79"/>
      <c r="B212" s="79"/>
      <c r="C212" s="79"/>
      <c r="D212" s="79"/>
      <c r="E212" s="79"/>
      <c r="F212" s="79"/>
      <c r="G212" s="79"/>
      <c r="H212" s="79"/>
      <c r="I212" s="79"/>
      <c r="J212" s="81"/>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row>
    <row r="213" spans="1:43" ht="15.75" customHeight="1">
      <c r="A213" s="79"/>
      <c r="B213" s="79"/>
      <c r="C213" s="79"/>
      <c r="D213" s="79"/>
      <c r="E213" s="79"/>
      <c r="F213" s="79"/>
      <c r="G213" s="79"/>
      <c r="H213" s="79"/>
      <c r="I213" s="79"/>
      <c r="J213" s="81"/>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row>
    <row r="214" spans="1:43" ht="15.75" customHeight="1">
      <c r="A214" s="79"/>
      <c r="B214" s="79"/>
      <c r="C214" s="79"/>
      <c r="D214" s="79"/>
      <c r="E214" s="79"/>
      <c r="F214" s="79"/>
      <c r="G214" s="79"/>
      <c r="H214" s="79"/>
      <c r="I214" s="79"/>
      <c r="J214" s="81"/>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row>
    <row r="215" spans="1:43" ht="15.75" customHeight="1">
      <c r="A215" s="79"/>
      <c r="B215" s="79"/>
      <c r="C215" s="79"/>
      <c r="D215" s="79"/>
      <c r="E215" s="79"/>
      <c r="F215" s="79"/>
      <c r="G215" s="79"/>
      <c r="H215" s="79"/>
      <c r="I215" s="79"/>
      <c r="J215" s="81"/>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row>
    <row r="216" spans="1:43" ht="15.75" customHeight="1">
      <c r="A216" s="79"/>
      <c r="B216" s="79"/>
      <c r="C216" s="79"/>
      <c r="D216" s="79"/>
      <c r="E216" s="79"/>
      <c r="F216" s="79"/>
      <c r="G216" s="79"/>
      <c r="H216" s="79"/>
      <c r="I216" s="79"/>
      <c r="J216" s="81"/>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row>
    <row r="217" spans="1:43" ht="15.75" customHeight="1">
      <c r="A217" s="79"/>
      <c r="B217" s="79"/>
      <c r="C217" s="79"/>
      <c r="D217" s="79"/>
      <c r="E217" s="79"/>
      <c r="F217" s="79"/>
      <c r="G217" s="79"/>
      <c r="H217" s="79"/>
      <c r="I217" s="79"/>
      <c r="J217" s="81"/>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row>
    <row r="218" spans="1:43" ht="15.75" customHeight="1">
      <c r="A218" s="79"/>
      <c r="B218" s="79"/>
      <c r="C218" s="79"/>
      <c r="D218" s="79"/>
      <c r="E218" s="79"/>
      <c r="F218" s="79"/>
      <c r="G218" s="79"/>
      <c r="H218" s="79"/>
      <c r="I218" s="79"/>
      <c r="J218" s="81"/>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row>
    <row r="219" spans="1:43" ht="15.75" customHeight="1">
      <c r="A219" s="79"/>
      <c r="B219" s="79"/>
      <c r="C219" s="79"/>
      <c r="D219" s="79"/>
      <c r="E219" s="79"/>
      <c r="F219" s="79"/>
      <c r="G219" s="79"/>
      <c r="H219" s="79"/>
      <c r="I219" s="79"/>
      <c r="J219" s="81"/>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row>
    <row r="220" spans="1:43" ht="15.75" customHeight="1">
      <c r="A220" s="79"/>
      <c r="B220" s="79"/>
      <c r="C220" s="79"/>
      <c r="D220" s="79"/>
      <c r="E220" s="79"/>
      <c r="F220" s="79"/>
      <c r="G220" s="79"/>
      <c r="H220" s="79"/>
      <c r="I220" s="79"/>
      <c r="J220" s="81"/>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row>
    <row r="221" spans="1:43" ht="15.75" customHeight="1">
      <c r="A221" s="79"/>
      <c r="B221" s="79"/>
      <c r="C221" s="79"/>
      <c r="D221" s="79"/>
      <c r="E221" s="79"/>
      <c r="F221" s="79"/>
      <c r="G221" s="79"/>
      <c r="H221" s="79"/>
      <c r="I221" s="79"/>
      <c r="J221" s="81"/>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row>
    <row r="222" spans="1:43" ht="15.75" customHeight="1">
      <c r="A222" s="79"/>
      <c r="B222" s="79"/>
      <c r="C222" s="79"/>
      <c r="D222" s="79"/>
      <c r="E222" s="79"/>
      <c r="F222" s="79"/>
      <c r="G222" s="79"/>
      <c r="H222" s="79"/>
      <c r="I222" s="79"/>
      <c r="J222" s="81"/>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row>
    <row r="223" spans="1:43" ht="15.75" customHeight="1">
      <c r="A223" s="79"/>
      <c r="B223" s="79"/>
      <c r="C223" s="79"/>
      <c r="D223" s="79"/>
      <c r="E223" s="79"/>
      <c r="F223" s="79"/>
      <c r="G223" s="79"/>
      <c r="H223" s="79"/>
      <c r="I223" s="79"/>
      <c r="J223" s="81"/>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row>
    <row r="224" spans="1:43" ht="15.75" customHeight="1">
      <c r="A224" s="79"/>
      <c r="B224" s="79"/>
      <c r="C224" s="79"/>
      <c r="D224" s="79"/>
      <c r="E224" s="79"/>
      <c r="F224" s="79"/>
      <c r="G224" s="79"/>
      <c r="H224" s="79"/>
      <c r="I224" s="79"/>
      <c r="J224" s="81"/>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row>
    <row r="225" spans="1:43" ht="15.75" customHeight="1">
      <c r="A225" s="79"/>
      <c r="B225" s="79"/>
      <c r="C225" s="79"/>
      <c r="D225" s="79"/>
      <c r="E225" s="79"/>
      <c r="F225" s="79"/>
      <c r="G225" s="79"/>
      <c r="H225" s="79"/>
      <c r="I225" s="79"/>
      <c r="J225" s="81"/>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row>
    <row r="226" spans="1:43" ht="15.75" customHeight="1">
      <c r="A226" s="79"/>
      <c r="B226" s="79"/>
      <c r="C226" s="79"/>
      <c r="D226" s="79"/>
      <c r="E226" s="79"/>
      <c r="F226" s="79"/>
      <c r="G226" s="79"/>
      <c r="H226" s="79"/>
      <c r="I226" s="79"/>
      <c r="J226" s="81"/>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row>
    <row r="227" spans="1:43" ht="15.75" customHeight="1">
      <c r="A227" s="79"/>
      <c r="B227" s="79"/>
      <c r="C227" s="79"/>
      <c r="D227" s="79"/>
      <c r="E227" s="79"/>
      <c r="F227" s="79"/>
      <c r="G227" s="79"/>
      <c r="H227" s="79"/>
      <c r="I227" s="79"/>
      <c r="J227" s="81"/>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row>
    <row r="228" spans="1:43" ht="15.75" customHeight="1">
      <c r="A228" s="79"/>
      <c r="B228" s="79"/>
      <c r="C228" s="79"/>
      <c r="D228" s="79"/>
      <c r="E228" s="79"/>
      <c r="F228" s="79"/>
      <c r="G228" s="79"/>
      <c r="H228" s="79"/>
      <c r="I228" s="79"/>
      <c r="J228" s="81"/>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row>
    <row r="229" spans="1:43" ht="15.75" customHeight="1">
      <c r="A229" s="79"/>
      <c r="B229" s="79"/>
      <c r="C229" s="79"/>
      <c r="D229" s="79"/>
      <c r="E229" s="79"/>
      <c r="F229" s="79"/>
      <c r="G229" s="79"/>
      <c r="H229" s="79"/>
      <c r="I229" s="79"/>
      <c r="J229" s="81"/>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row>
    <row r="230" spans="1:43" ht="15.75" customHeight="1">
      <c r="A230" s="79"/>
      <c r="B230" s="79"/>
      <c r="C230" s="79"/>
      <c r="D230" s="79"/>
      <c r="E230" s="79"/>
      <c r="F230" s="79"/>
      <c r="G230" s="79"/>
      <c r="H230" s="79"/>
      <c r="I230" s="79"/>
      <c r="J230" s="81"/>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row>
    <row r="231" spans="1:43" ht="15.75" customHeight="1">
      <c r="A231" s="79"/>
      <c r="B231" s="79"/>
      <c r="C231" s="79"/>
      <c r="D231" s="79"/>
      <c r="E231" s="79"/>
      <c r="F231" s="79"/>
      <c r="G231" s="79"/>
      <c r="H231" s="79"/>
      <c r="I231" s="79"/>
      <c r="J231" s="81"/>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row>
    <row r="232" spans="1:43" ht="15.75" customHeight="1">
      <c r="A232" s="79"/>
      <c r="B232" s="79"/>
      <c r="C232" s="79"/>
      <c r="D232" s="79"/>
      <c r="E232" s="79"/>
      <c r="F232" s="79"/>
      <c r="G232" s="79"/>
      <c r="H232" s="79"/>
      <c r="I232" s="79"/>
      <c r="J232" s="81"/>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row>
    <row r="233" spans="1:43" ht="15.75" customHeight="1">
      <c r="A233" s="79"/>
      <c r="B233" s="79"/>
      <c r="C233" s="79"/>
      <c r="D233" s="79"/>
      <c r="E233" s="79"/>
      <c r="F233" s="79"/>
      <c r="G233" s="79"/>
      <c r="H233" s="79"/>
      <c r="I233" s="79"/>
      <c r="J233" s="81"/>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row>
    <row r="234" spans="1:43" ht="15.75" customHeight="1">
      <c r="A234" s="79"/>
      <c r="B234" s="79"/>
      <c r="C234" s="79"/>
      <c r="D234" s="79"/>
      <c r="E234" s="79"/>
      <c r="F234" s="79"/>
      <c r="G234" s="79"/>
      <c r="H234" s="79"/>
      <c r="I234" s="79"/>
      <c r="J234" s="81"/>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row>
    <row r="235" spans="1:43" ht="15.75" customHeight="1">
      <c r="A235" s="79"/>
      <c r="B235" s="79"/>
      <c r="C235" s="79"/>
      <c r="D235" s="79"/>
      <c r="E235" s="79"/>
      <c r="F235" s="79"/>
      <c r="G235" s="79"/>
      <c r="H235" s="79"/>
      <c r="I235" s="79"/>
      <c r="J235" s="81"/>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row>
    <row r="236" spans="1:43" ht="15.75" customHeight="1">
      <c r="A236" s="79"/>
      <c r="B236" s="79"/>
      <c r="C236" s="79"/>
      <c r="D236" s="79"/>
      <c r="E236" s="79"/>
      <c r="F236" s="79"/>
      <c r="G236" s="79"/>
      <c r="H236" s="79"/>
      <c r="I236" s="79"/>
      <c r="J236" s="81"/>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row>
    <row r="237" spans="1:43" ht="15.75" customHeight="1">
      <c r="A237" s="79"/>
      <c r="B237" s="79"/>
      <c r="C237" s="79"/>
      <c r="D237" s="79"/>
      <c r="E237" s="79"/>
      <c r="F237" s="79"/>
      <c r="G237" s="79"/>
      <c r="H237" s="79"/>
      <c r="I237" s="79"/>
      <c r="J237" s="81"/>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row>
    <row r="238" spans="1:43" ht="15.75" customHeight="1">
      <c r="A238" s="79"/>
      <c r="B238" s="79"/>
      <c r="C238" s="79"/>
      <c r="D238" s="79"/>
      <c r="E238" s="79"/>
      <c r="F238" s="79"/>
      <c r="G238" s="79"/>
      <c r="H238" s="79"/>
      <c r="I238" s="79"/>
      <c r="J238" s="81"/>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row>
    <row r="239" spans="1:43" ht="15.75" customHeight="1">
      <c r="A239" s="79"/>
      <c r="B239" s="79"/>
      <c r="C239" s="79"/>
      <c r="D239" s="79"/>
      <c r="E239" s="79"/>
      <c r="F239" s="79"/>
      <c r="G239" s="79"/>
      <c r="H239" s="79"/>
      <c r="I239" s="79"/>
      <c r="J239" s="81"/>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row>
    <row r="240" spans="1:43" ht="15.75" customHeight="1">
      <c r="A240" s="79"/>
      <c r="B240" s="79"/>
      <c r="C240" s="79"/>
      <c r="D240" s="79"/>
      <c r="E240" s="79"/>
      <c r="F240" s="79"/>
      <c r="G240" s="79"/>
      <c r="H240" s="79"/>
      <c r="I240" s="79"/>
      <c r="J240" s="81"/>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row>
    <row r="241" spans="1:43" ht="15.75" customHeight="1">
      <c r="A241" s="79"/>
      <c r="B241" s="79"/>
      <c r="C241" s="79"/>
      <c r="D241" s="79"/>
      <c r="E241" s="79"/>
      <c r="F241" s="79"/>
      <c r="G241" s="79"/>
      <c r="H241" s="79"/>
      <c r="I241" s="79"/>
      <c r="J241" s="81"/>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row>
    <row r="242" spans="1:43" ht="15.75" customHeight="1">
      <c r="A242" s="79"/>
      <c r="B242" s="79"/>
      <c r="C242" s="79"/>
      <c r="D242" s="79"/>
      <c r="E242" s="79"/>
      <c r="F242" s="79"/>
      <c r="G242" s="79"/>
      <c r="H242" s="79"/>
      <c r="I242" s="79"/>
      <c r="J242" s="81"/>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row>
    <row r="243" spans="1:43" ht="15.75" customHeight="1">
      <c r="A243" s="79"/>
      <c r="B243" s="79"/>
      <c r="C243" s="79"/>
      <c r="D243" s="79"/>
      <c r="E243" s="79"/>
      <c r="F243" s="79"/>
      <c r="G243" s="79"/>
      <c r="H243" s="79"/>
      <c r="I243" s="79"/>
      <c r="J243" s="81"/>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row>
    <row r="244" spans="1:43" ht="15.75" customHeight="1">
      <c r="A244" s="79"/>
      <c r="B244" s="79"/>
      <c r="C244" s="79"/>
      <c r="D244" s="79"/>
      <c r="E244" s="79"/>
      <c r="F244" s="79"/>
      <c r="G244" s="79"/>
      <c r="H244" s="79"/>
      <c r="I244" s="79"/>
      <c r="J244" s="81"/>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row>
    <row r="245" spans="1:43" ht="15.75" customHeight="1">
      <c r="A245" s="79"/>
      <c r="B245" s="79"/>
      <c r="C245" s="79"/>
      <c r="D245" s="79"/>
      <c r="E245" s="79"/>
      <c r="F245" s="79"/>
      <c r="G245" s="79"/>
      <c r="H245" s="79"/>
      <c r="I245" s="79"/>
      <c r="J245" s="81"/>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row>
    <row r="246" spans="1:43" ht="15.75" customHeight="1">
      <c r="A246" s="79"/>
      <c r="B246" s="79"/>
      <c r="C246" s="79"/>
      <c r="D246" s="79"/>
      <c r="E246" s="79"/>
      <c r="F246" s="79"/>
      <c r="G246" s="79"/>
      <c r="H246" s="79"/>
      <c r="I246" s="79"/>
      <c r="J246" s="81"/>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row>
    <row r="247" spans="1:43" ht="15.75" customHeight="1">
      <c r="A247" s="79"/>
      <c r="B247" s="79"/>
      <c r="C247" s="79"/>
      <c r="D247" s="79"/>
      <c r="E247" s="79"/>
      <c r="F247" s="79"/>
      <c r="G247" s="79"/>
      <c r="H247" s="79"/>
      <c r="I247" s="79"/>
      <c r="J247" s="81"/>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row>
    <row r="248" spans="1:43" ht="15.75" customHeight="1">
      <c r="A248" s="79"/>
      <c r="B248" s="79"/>
      <c r="C248" s="79"/>
      <c r="D248" s="79"/>
      <c r="E248" s="79"/>
      <c r="F248" s="79"/>
      <c r="G248" s="79"/>
      <c r="H248" s="79"/>
      <c r="I248" s="79"/>
      <c r="J248" s="81"/>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row>
    <row r="249" spans="1:43" ht="15.75" customHeight="1">
      <c r="A249" s="79"/>
      <c r="B249" s="79"/>
      <c r="C249" s="79"/>
      <c r="D249" s="79"/>
      <c r="E249" s="79"/>
      <c r="F249" s="79"/>
      <c r="G249" s="79"/>
      <c r="H249" s="79"/>
      <c r="I249" s="79"/>
      <c r="J249" s="81"/>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row>
    <row r="250" spans="1:43" ht="15.75" customHeight="1">
      <c r="A250" s="79"/>
      <c r="B250" s="79"/>
      <c r="C250" s="79"/>
      <c r="D250" s="79"/>
      <c r="E250" s="79"/>
      <c r="F250" s="79"/>
      <c r="G250" s="79"/>
      <c r="H250" s="79"/>
      <c r="I250" s="79"/>
      <c r="J250" s="81"/>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row>
    <row r="251" spans="1:43" ht="15.75" customHeight="1">
      <c r="A251" s="79"/>
      <c r="B251" s="79"/>
      <c r="C251" s="79"/>
      <c r="D251" s="79"/>
      <c r="E251" s="79"/>
      <c r="F251" s="79"/>
      <c r="G251" s="79"/>
      <c r="H251" s="79"/>
      <c r="I251" s="79"/>
      <c r="J251" s="81"/>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row>
    <row r="252" spans="1:43" ht="15.75" customHeight="1">
      <c r="A252" s="79"/>
      <c r="B252" s="79"/>
      <c r="C252" s="79"/>
      <c r="D252" s="79"/>
      <c r="E252" s="79"/>
      <c r="F252" s="79"/>
      <c r="G252" s="79"/>
      <c r="H252" s="79"/>
      <c r="I252" s="79"/>
      <c r="J252" s="81"/>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row>
    <row r="253" spans="1:43" ht="15.75" customHeight="1">
      <c r="A253" s="79"/>
      <c r="B253" s="79"/>
      <c r="C253" s="79"/>
      <c r="D253" s="79"/>
      <c r="E253" s="79"/>
      <c r="F253" s="79"/>
      <c r="G253" s="79"/>
      <c r="H253" s="79"/>
      <c r="I253" s="79"/>
      <c r="J253" s="81"/>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row>
    <row r="254" spans="1:43" ht="15.75" customHeight="1">
      <c r="A254" s="79"/>
      <c r="B254" s="79"/>
      <c r="C254" s="79"/>
      <c r="D254" s="79"/>
      <c r="E254" s="79"/>
      <c r="F254" s="79"/>
      <c r="G254" s="79"/>
      <c r="H254" s="79"/>
      <c r="I254" s="79"/>
      <c r="J254" s="81"/>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row>
    <row r="255" spans="1:43" ht="15.75" customHeight="1">
      <c r="A255" s="79"/>
      <c r="B255" s="79"/>
      <c r="C255" s="79"/>
      <c r="D255" s="79"/>
      <c r="E255" s="79"/>
      <c r="F255" s="79"/>
      <c r="G255" s="79"/>
      <c r="H255" s="79"/>
      <c r="I255" s="79"/>
      <c r="J255" s="81"/>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row>
    <row r="256" spans="1:43" ht="15.75" customHeight="1">
      <c r="A256" s="79"/>
      <c r="B256" s="79"/>
      <c r="C256" s="79"/>
      <c r="D256" s="79"/>
      <c r="E256" s="79"/>
      <c r="F256" s="79"/>
      <c r="G256" s="79"/>
      <c r="H256" s="79"/>
      <c r="I256" s="79"/>
      <c r="J256" s="81"/>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row>
    <row r="257" spans="1:43" ht="15.75" customHeight="1">
      <c r="A257" s="79"/>
      <c r="B257" s="79"/>
      <c r="C257" s="79"/>
      <c r="D257" s="79"/>
      <c r="E257" s="79"/>
      <c r="F257" s="79"/>
      <c r="G257" s="79"/>
      <c r="H257" s="79"/>
      <c r="I257" s="79"/>
      <c r="J257" s="81"/>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row>
    <row r="258" spans="1:43" ht="15.75" customHeight="1">
      <c r="A258" s="79"/>
      <c r="B258" s="79"/>
      <c r="C258" s="79"/>
      <c r="D258" s="79"/>
      <c r="E258" s="79"/>
      <c r="F258" s="79"/>
      <c r="G258" s="79"/>
      <c r="H258" s="79"/>
      <c r="I258" s="79"/>
      <c r="J258" s="81"/>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row>
    <row r="259" spans="1:43" ht="15.75" customHeight="1">
      <c r="A259" s="79"/>
      <c r="B259" s="79"/>
      <c r="C259" s="79"/>
      <c r="D259" s="79"/>
      <c r="E259" s="79"/>
      <c r="F259" s="79"/>
      <c r="G259" s="79"/>
      <c r="H259" s="79"/>
      <c r="I259" s="79"/>
      <c r="J259" s="81"/>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row>
    <row r="260" spans="1:43" ht="15.75" customHeight="1">
      <c r="A260" s="79"/>
      <c r="B260" s="79"/>
      <c r="C260" s="79"/>
      <c r="D260" s="79"/>
      <c r="E260" s="79"/>
      <c r="F260" s="79"/>
      <c r="G260" s="79"/>
      <c r="H260" s="79"/>
      <c r="I260" s="79"/>
      <c r="J260" s="81"/>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row>
    <row r="261" spans="1:43" ht="15.75" customHeight="1">
      <c r="A261" s="79"/>
      <c r="B261" s="79"/>
      <c r="C261" s="79"/>
      <c r="D261" s="79"/>
      <c r="E261" s="79"/>
      <c r="F261" s="79"/>
      <c r="G261" s="79"/>
      <c r="H261" s="79"/>
      <c r="I261" s="79"/>
      <c r="J261" s="81"/>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row>
    <row r="262" spans="1:43" ht="15.75" customHeight="1">
      <c r="A262" s="79"/>
      <c r="B262" s="79"/>
      <c r="C262" s="79"/>
      <c r="D262" s="79"/>
      <c r="E262" s="79"/>
      <c r="F262" s="79"/>
      <c r="G262" s="79"/>
      <c r="H262" s="79"/>
      <c r="I262" s="79"/>
      <c r="J262" s="81"/>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row>
    <row r="263" spans="1:43" ht="15.75" customHeight="1">
      <c r="A263" s="79"/>
      <c r="B263" s="79"/>
      <c r="C263" s="79"/>
      <c r="D263" s="79"/>
      <c r="E263" s="79"/>
      <c r="F263" s="79"/>
      <c r="G263" s="79"/>
      <c r="H263" s="79"/>
      <c r="I263" s="79"/>
      <c r="J263" s="81"/>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row>
    <row r="264" spans="1:43" ht="15.75" customHeight="1">
      <c r="A264" s="79"/>
      <c r="B264" s="79"/>
      <c r="C264" s="79"/>
      <c r="D264" s="79"/>
      <c r="E264" s="79"/>
      <c r="F264" s="79"/>
      <c r="G264" s="79"/>
      <c r="H264" s="79"/>
      <c r="I264" s="79"/>
      <c r="J264" s="81"/>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row>
    <row r="265" spans="1:43" ht="15.75" customHeight="1">
      <c r="A265" s="79"/>
      <c r="B265" s="79"/>
      <c r="C265" s="79"/>
      <c r="D265" s="79"/>
      <c r="E265" s="79"/>
      <c r="F265" s="79"/>
      <c r="G265" s="79"/>
      <c r="H265" s="79"/>
      <c r="I265" s="79"/>
      <c r="J265" s="81"/>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row>
    <row r="266" spans="1:43" ht="15.75" customHeight="1">
      <c r="A266" s="79"/>
      <c r="B266" s="79"/>
      <c r="C266" s="79"/>
      <c r="D266" s="79"/>
      <c r="E266" s="79"/>
      <c r="F266" s="79"/>
      <c r="G266" s="79"/>
      <c r="H266" s="79"/>
      <c r="I266" s="79"/>
      <c r="J266" s="81"/>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row>
    <row r="267" spans="1:43" ht="15.75" customHeight="1">
      <c r="A267" s="79"/>
      <c r="B267" s="79"/>
      <c r="C267" s="79"/>
      <c r="D267" s="79"/>
      <c r="E267" s="79"/>
      <c r="F267" s="79"/>
      <c r="G267" s="79"/>
      <c r="H267" s="79"/>
      <c r="I267" s="79"/>
      <c r="J267" s="81"/>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row>
    <row r="268" spans="1:43" ht="15.75" customHeight="1">
      <c r="A268" s="79"/>
      <c r="B268" s="79"/>
      <c r="C268" s="79"/>
      <c r="D268" s="79"/>
      <c r="E268" s="79"/>
      <c r="F268" s="79"/>
      <c r="G268" s="79"/>
      <c r="H268" s="79"/>
      <c r="I268" s="79"/>
      <c r="J268" s="81"/>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row>
    <row r="269" spans="1:43" ht="15.75" customHeight="1">
      <c r="A269" s="79"/>
      <c r="B269" s="79"/>
      <c r="C269" s="79"/>
      <c r="D269" s="79"/>
      <c r="E269" s="79"/>
      <c r="F269" s="79"/>
      <c r="G269" s="79"/>
      <c r="H269" s="79"/>
      <c r="I269" s="79"/>
      <c r="J269" s="81"/>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row>
    <row r="270" spans="1:43" ht="15.75" customHeight="1">
      <c r="A270" s="79"/>
      <c r="B270" s="79"/>
      <c r="C270" s="79"/>
      <c r="D270" s="79"/>
      <c r="E270" s="79"/>
      <c r="F270" s="79"/>
      <c r="G270" s="79"/>
      <c r="H270" s="79"/>
      <c r="I270" s="79"/>
      <c r="J270" s="81"/>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row>
    <row r="271" spans="1:43" ht="15.75" customHeight="1">
      <c r="A271" s="79"/>
      <c r="B271" s="79"/>
      <c r="C271" s="79"/>
      <c r="D271" s="79"/>
      <c r="E271" s="79"/>
      <c r="F271" s="79"/>
      <c r="G271" s="79"/>
      <c r="H271" s="79"/>
      <c r="I271" s="79"/>
      <c r="J271" s="81"/>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row>
    <row r="272" spans="1:43" ht="15.75" customHeight="1">
      <c r="A272" s="79"/>
      <c r="B272" s="79"/>
      <c r="C272" s="79"/>
      <c r="D272" s="79"/>
      <c r="E272" s="79"/>
      <c r="F272" s="79"/>
      <c r="G272" s="79"/>
      <c r="H272" s="79"/>
      <c r="I272" s="79"/>
      <c r="J272" s="81"/>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row>
    <row r="273" spans="1:43" ht="15.75" customHeight="1">
      <c r="A273" s="79"/>
      <c r="B273" s="79"/>
      <c r="C273" s="79"/>
      <c r="D273" s="79"/>
      <c r="E273" s="79"/>
      <c r="F273" s="79"/>
      <c r="G273" s="79"/>
      <c r="H273" s="79"/>
      <c r="I273" s="79"/>
      <c r="J273" s="81"/>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row>
    <row r="274" spans="1:43" ht="15.75" customHeight="1">
      <c r="A274" s="79"/>
      <c r="B274" s="79"/>
      <c r="C274" s="79"/>
      <c r="D274" s="79"/>
      <c r="E274" s="79"/>
      <c r="F274" s="79"/>
      <c r="G274" s="79"/>
      <c r="H274" s="79"/>
      <c r="I274" s="79"/>
      <c r="J274" s="81"/>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row>
    <row r="275" spans="1:43" ht="15.75" customHeight="1">
      <c r="A275" s="79"/>
      <c r="B275" s="79"/>
      <c r="C275" s="79"/>
      <c r="D275" s="79"/>
      <c r="E275" s="79"/>
      <c r="F275" s="79"/>
      <c r="G275" s="79"/>
      <c r="H275" s="79"/>
      <c r="I275" s="79"/>
      <c r="J275" s="81"/>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row>
    <row r="276" spans="1:43" ht="15.75" customHeight="1">
      <c r="A276" s="79"/>
      <c r="B276" s="79"/>
      <c r="C276" s="79"/>
      <c r="D276" s="79"/>
      <c r="E276" s="79"/>
      <c r="F276" s="79"/>
      <c r="G276" s="79"/>
      <c r="H276" s="79"/>
      <c r="I276" s="79"/>
      <c r="J276" s="81"/>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row>
    <row r="277" spans="1:43" ht="15.75" customHeight="1">
      <c r="A277" s="79"/>
      <c r="B277" s="79"/>
      <c r="C277" s="79"/>
      <c r="D277" s="79"/>
      <c r="E277" s="79"/>
      <c r="F277" s="79"/>
      <c r="G277" s="79"/>
      <c r="H277" s="79"/>
      <c r="I277" s="79"/>
      <c r="J277" s="81"/>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row>
    <row r="278" spans="1:43" ht="15.75" customHeight="1">
      <c r="A278" s="79"/>
      <c r="B278" s="79"/>
      <c r="C278" s="79"/>
      <c r="D278" s="79"/>
      <c r="E278" s="79"/>
      <c r="F278" s="79"/>
      <c r="G278" s="79"/>
      <c r="H278" s="79"/>
      <c r="I278" s="79"/>
      <c r="J278" s="81"/>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row>
    <row r="279" spans="1:43" ht="15.75" customHeight="1">
      <c r="A279" s="79"/>
      <c r="B279" s="79"/>
      <c r="C279" s="79"/>
      <c r="D279" s="79"/>
      <c r="E279" s="79"/>
      <c r="F279" s="79"/>
      <c r="G279" s="79"/>
      <c r="H279" s="79"/>
      <c r="I279" s="79"/>
      <c r="J279" s="81"/>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row>
    <row r="280" spans="1:43" ht="15.75" customHeight="1">
      <c r="A280" s="79"/>
      <c r="B280" s="79"/>
      <c r="C280" s="79"/>
      <c r="D280" s="79"/>
      <c r="E280" s="79"/>
      <c r="F280" s="79"/>
      <c r="G280" s="79"/>
      <c r="H280" s="79"/>
      <c r="I280" s="79"/>
      <c r="J280" s="81"/>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row>
    <row r="281" spans="1:43" ht="15.75" customHeight="1">
      <c r="A281" s="79"/>
      <c r="B281" s="79"/>
      <c r="C281" s="79"/>
      <c r="D281" s="79"/>
      <c r="E281" s="79"/>
      <c r="F281" s="79"/>
      <c r="G281" s="79"/>
      <c r="H281" s="79"/>
      <c r="I281" s="79"/>
      <c r="J281" s="81"/>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row>
    <row r="282" spans="1:43" ht="15.75" customHeight="1">
      <c r="A282" s="79"/>
      <c r="B282" s="79"/>
      <c r="C282" s="79"/>
      <c r="D282" s="79"/>
      <c r="E282" s="79"/>
      <c r="F282" s="79"/>
      <c r="G282" s="79"/>
      <c r="H282" s="79"/>
      <c r="I282" s="79"/>
      <c r="J282" s="81"/>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row>
    <row r="283" spans="1:43" ht="15.75" customHeight="1">
      <c r="A283" s="79"/>
      <c r="B283" s="79"/>
      <c r="C283" s="79"/>
      <c r="D283" s="79"/>
      <c r="E283" s="79"/>
      <c r="F283" s="79"/>
      <c r="G283" s="79"/>
      <c r="H283" s="79"/>
      <c r="I283" s="79"/>
      <c r="J283" s="81"/>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row>
    <row r="284" spans="1:43" ht="15.75" customHeight="1">
      <c r="A284" s="79"/>
      <c r="B284" s="79"/>
      <c r="C284" s="79"/>
      <c r="D284" s="79"/>
      <c r="E284" s="79"/>
      <c r="F284" s="79"/>
      <c r="G284" s="79"/>
      <c r="H284" s="79"/>
      <c r="I284" s="79"/>
      <c r="J284" s="81"/>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row>
    <row r="285" spans="1:43" ht="15.75" customHeight="1">
      <c r="A285" s="79"/>
      <c r="B285" s="79"/>
      <c r="C285" s="79"/>
      <c r="D285" s="79"/>
      <c r="E285" s="79"/>
      <c r="F285" s="79"/>
      <c r="G285" s="79"/>
      <c r="H285" s="79"/>
      <c r="I285" s="79"/>
      <c r="J285" s="81"/>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row>
    <row r="286" spans="1:43" ht="15.75" customHeight="1">
      <c r="A286" s="79"/>
      <c r="B286" s="79"/>
      <c r="C286" s="79"/>
      <c r="D286" s="79"/>
      <c r="E286" s="79"/>
      <c r="F286" s="79"/>
      <c r="G286" s="79"/>
      <c r="H286" s="79"/>
      <c r="I286" s="79"/>
      <c r="J286" s="81"/>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row>
    <row r="287" spans="1:43" ht="15.75" customHeight="1">
      <c r="A287" s="79"/>
      <c r="B287" s="79"/>
      <c r="C287" s="79"/>
      <c r="D287" s="79"/>
      <c r="E287" s="79"/>
      <c r="F287" s="79"/>
      <c r="G287" s="79"/>
      <c r="H287" s="79"/>
      <c r="I287" s="79"/>
      <c r="J287" s="81"/>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row>
    <row r="288" spans="1:43" ht="15.75" customHeight="1">
      <c r="A288" s="79"/>
      <c r="B288" s="79"/>
      <c r="C288" s="79"/>
      <c r="D288" s="79"/>
      <c r="E288" s="79"/>
      <c r="F288" s="79"/>
      <c r="G288" s="79"/>
      <c r="H288" s="79"/>
      <c r="I288" s="79"/>
      <c r="J288" s="81"/>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row>
    <row r="289" spans="1:43" ht="15.75" customHeight="1">
      <c r="A289" s="79"/>
      <c r="B289" s="79"/>
      <c r="C289" s="79"/>
      <c r="D289" s="79"/>
      <c r="E289" s="79"/>
      <c r="F289" s="79"/>
      <c r="G289" s="79"/>
      <c r="H289" s="79"/>
      <c r="I289" s="79"/>
      <c r="J289" s="81"/>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row>
    <row r="290" spans="1:43" ht="15.75" customHeight="1">
      <c r="A290" s="79"/>
      <c r="B290" s="79"/>
      <c r="C290" s="79"/>
      <c r="D290" s="79"/>
      <c r="E290" s="79"/>
      <c r="F290" s="79"/>
      <c r="G290" s="79"/>
      <c r="H290" s="79"/>
      <c r="I290" s="79"/>
      <c r="J290" s="81"/>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row>
    <row r="291" spans="1:43" ht="15.75" customHeight="1">
      <c r="A291" s="79"/>
      <c r="B291" s="79"/>
      <c r="C291" s="79"/>
      <c r="D291" s="79"/>
      <c r="E291" s="79"/>
      <c r="F291" s="79"/>
      <c r="G291" s="79"/>
      <c r="H291" s="79"/>
      <c r="I291" s="79"/>
      <c r="J291" s="81"/>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row>
    <row r="292" spans="1:43" ht="15.75" customHeight="1">
      <c r="A292" s="79"/>
      <c r="B292" s="79"/>
      <c r="C292" s="79"/>
      <c r="D292" s="79"/>
      <c r="E292" s="79"/>
      <c r="F292" s="79"/>
      <c r="G292" s="79"/>
      <c r="H292" s="79"/>
      <c r="I292" s="79"/>
      <c r="J292" s="81"/>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row>
    <row r="293" spans="1:43" ht="15.75" customHeight="1">
      <c r="A293" s="79"/>
      <c r="B293" s="79"/>
      <c r="C293" s="79"/>
      <c r="D293" s="79"/>
      <c r="E293" s="79"/>
      <c r="F293" s="79"/>
      <c r="G293" s="79"/>
      <c r="H293" s="79"/>
      <c r="I293" s="79"/>
      <c r="J293" s="81"/>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row>
    <row r="294" spans="1:43" ht="15.75" customHeight="1">
      <c r="A294" s="79"/>
      <c r="B294" s="79"/>
      <c r="C294" s="79"/>
      <c r="D294" s="79"/>
      <c r="E294" s="79"/>
      <c r="F294" s="79"/>
      <c r="G294" s="79"/>
      <c r="H294" s="79"/>
      <c r="I294" s="79"/>
      <c r="J294" s="81"/>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row>
    <row r="295" spans="1:43" ht="15.75" customHeight="1">
      <c r="A295" s="79"/>
      <c r="B295" s="79"/>
      <c r="C295" s="79"/>
      <c r="D295" s="79"/>
      <c r="E295" s="79"/>
      <c r="F295" s="79"/>
      <c r="G295" s="79"/>
      <c r="H295" s="79"/>
      <c r="I295" s="79"/>
      <c r="J295" s="81"/>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row>
    <row r="296" spans="1:43" ht="15.75" customHeight="1">
      <c r="A296" s="79"/>
      <c r="B296" s="79"/>
      <c r="C296" s="79"/>
      <c r="D296" s="79"/>
      <c r="E296" s="79"/>
      <c r="F296" s="79"/>
      <c r="G296" s="79"/>
      <c r="H296" s="79"/>
      <c r="I296" s="79"/>
      <c r="J296" s="81"/>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row>
    <row r="297" spans="1:43" ht="15.75" customHeight="1">
      <c r="A297" s="79"/>
      <c r="B297" s="79"/>
      <c r="C297" s="79"/>
      <c r="D297" s="79"/>
      <c r="E297" s="79"/>
      <c r="F297" s="79"/>
      <c r="G297" s="79"/>
      <c r="H297" s="79"/>
      <c r="I297" s="79"/>
      <c r="J297" s="81"/>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row>
    <row r="298" spans="1:43" ht="15.75" customHeight="1">
      <c r="A298" s="79"/>
      <c r="B298" s="79"/>
      <c r="C298" s="79"/>
      <c r="D298" s="79"/>
      <c r="E298" s="79"/>
      <c r="F298" s="79"/>
      <c r="G298" s="79"/>
      <c r="H298" s="79"/>
      <c r="I298" s="79"/>
      <c r="J298" s="81"/>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row>
    <row r="299" spans="1:43" ht="15.75" customHeight="1">
      <c r="A299" s="79"/>
      <c r="B299" s="79"/>
      <c r="C299" s="79"/>
      <c r="D299" s="79"/>
      <c r="E299" s="79"/>
      <c r="F299" s="79"/>
      <c r="G299" s="79"/>
      <c r="H299" s="79"/>
      <c r="I299" s="79"/>
      <c r="J299" s="81"/>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row>
    <row r="300" spans="1:43" ht="15.75" customHeight="1">
      <c r="A300" s="79"/>
      <c r="B300" s="79"/>
      <c r="C300" s="79"/>
      <c r="D300" s="79"/>
      <c r="E300" s="79"/>
      <c r="F300" s="79"/>
      <c r="G300" s="79"/>
      <c r="H300" s="79"/>
      <c r="I300" s="79"/>
      <c r="J300" s="81"/>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row>
    <row r="301" spans="1:43" ht="15.75" customHeight="1">
      <c r="A301" s="79"/>
      <c r="B301" s="79"/>
      <c r="C301" s="79"/>
      <c r="D301" s="79"/>
      <c r="E301" s="79"/>
      <c r="F301" s="79"/>
      <c r="G301" s="79"/>
      <c r="H301" s="79"/>
      <c r="I301" s="79"/>
      <c r="J301" s="81"/>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row>
    <row r="302" spans="1:43" ht="15.75" customHeight="1">
      <c r="A302" s="79"/>
      <c r="B302" s="79"/>
      <c r="C302" s="79"/>
      <c r="D302" s="79"/>
      <c r="E302" s="79"/>
      <c r="F302" s="79"/>
      <c r="G302" s="79"/>
      <c r="H302" s="79"/>
      <c r="I302" s="79"/>
      <c r="J302" s="81"/>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row>
    <row r="303" spans="1:43" ht="15.75" customHeight="1">
      <c r="A303" s="79"/>
      <c r="B303" s="79"/>
      <c r="C303" s="79"/>
      <c r="D303" s="79"/>
      <c r="E303" s="79"/>
      <c r="F303" s="79"/>
      <c r="G303" s="79"/>
      <c r="H303" s="79"/>
      <c r="I303" s="79"/>
      <c r="J303" s="81"/>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row>
    <row r="304" spans="1:43" ht="15.75" customHeight="1">
      <c r="A304" s="79"/>
      <c r="B304" s="79"/>
      <c r="C304" s="79"/>
      <c r="D304" s="79"/>
      <c r="E304" s="79"/>
      <c r="F304" s="79"/>
      <c r="G304" s="79"/>
      <c r="H304" s="79"/>
      <c r="I304" s="79"/>
      <c r="J304" s="81"/>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row>
    <row r="305" spans="1:43" ht="15.75" customHeight="1">
      <c r="A305" s="79"/>
      <c r="B305" s="79"/>
      <c r="C305" s="79"/>
      <c r="D305" s="79"/>
      <c r="E305" s="79"/>
      <c r="F305" s="79"/>
      <c r="G305" s="79"/>
      <c r="H305" s="79"/>
      <c r="I305" s="79"/>
      <c r="J305" s="81"/>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row>
    <row r="306" spans="1:43" ht="15.75" customHeight="1">
      <c r="A306" s="79"/>
      <c r="B306" s="79"/>
      <c r="C306" s="79"/>
      <c r="D306" s="79"/>
      <c r="E306" s="79"/>
      <c r="F306" s="79"/>
      <c r="G306" s="79"/>
      <c r="H306" s="79"/>
      <c r="I306" s="79"/>
      <c r="J306" s="81"/>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row>
    <row r="307" spans="1:43" ht="15.75" customHeight="1">
      <c r="A307" s="79"/>
      <c r="B307" s="79"/>
      <c r="C307" s="79"/>
      <c r="D307" s="79"/>
      <c r="E307" s="79"/>
      <c r="F307" s="79"/>
      <c r="G307" s="79"/>
      <c r="H307" s="79"/>
      <c r="I307" s="79"/>
      <c r="J307" s="81"/>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row>
    <row r="308" spans="1:43" ht="15.75" customHeight="1">
      <c r="A308" s="79"/>
      <c r="B308" s="79"/>
      <c r="C308" s="79"/>
      <c r="D308" s="79"/>
      <c r="E308" s="79"/>
      <c r="F308" s="79"/>
      <c r="G308" s="79"/>
      <c r="H308" s="79"/>
      <c r="I308" s="79"/>
      <c r="J308" s="81"/>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row>
    <row r="309" spans="1:43" ht="15.75" customHeight="1">
      <c r="A309" s="79"/>
      <c r="B309" s="79"/>
      <c r="C309" s="79"/>
      <c r="D309" s="79"/>
      <c r="E309" s="79"/>
      <c r="F309" s="79"/>
      <c r="G309" s="79"/>
      <c r="H309" s="79"/>
      <c r="I309" s="79"/>
      <c r="J309" s="81"/>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row>
    <row r="310" spans="1:43" ht="15.75" customHeight="1">
      <c r="A310" s="79"/>
      <c r="B310" s="79"/>
      <c r="C310" s="79"/>
      <c r="D310" s="79"/>
      <c r="E310" s="79"/>
      <c r="F310" s="79"/>
      <c r="G310" s="79"/>
      <c r="H310" s="79"/>
      <c r="I310" s="79"/>
      <c r="J310" s="81"/>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row>
    <row r="311" spans="1:43" ht="15.75" customHeight="1">
      <c r="A311" s="79"/>
      <c r="B311" s="79"/>
      <c r="C311" s="79"/>
      <c r="D311" s="79"/>
      <c r="E311" s="79"/>
      <c r="F311" s="79"/>
      <c r="G311" s="79"/>
      <c r="H311" s="79"/>
      <c r="I311" s="79"/>
      <c r="J311" s="81"/>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row>
    <row r="312" spans="1:43" ht="15.75" customHeight="1">
      <c r="A312" s="79"/>
      <c r="B312" s="79"/>
      <c r="C312" s="79"/>
      <c r="D312" s="79"/>
      <c r="E312" s="79"/>
      <c r="F312" s="79"/>
      <c r="G312" s="79"/>
      <c r="H312" s="79"/>
      <c r="I312" s="79"/>
      <c r="J312" s="81"/>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row>
    <row r="313" spans="1:43" ht="15.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row>
    <row r="314" spans="1:43" ht="15.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row>
    <row r="315" spans="1:43" ht="15.75" customHeight="1"/>
    <row r="316" spans="1:43" ht="15.75" customHeight="1"/>
    <row r="317" spans="1:43" ht="15.75" customHeight="1"/>
    <row r="318" spans="1:43" ht="15.75" customHeight="1"/>
    <row r="319" spans="1:43" ht="15.75" customHeight="1"/>
    <row r="320" spans="1:43"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hyperlinks>
    <hyperlink ref="F115" r:id="rId1" display="https://apnews.com/c5d64fb2550a715629ac692ae1c700b3" xr:uid="{00000000-0004-0000-0700-000000000000}"/>
    <hyperlink ref="G115" r:id="rId2" display="https://heavy.com/news/2020/02/anthony-ferrill/" xr:uid="{00000000-0004-0000-0700-000001000000}"/>
    <hyperlink ref="S115" r:id="rId3" display="https://www.google.com/maps/dir/3939+W+Highland+Blvd,+Milwaukee,+WI+53208/945+N+12th+St,+Milwaukee,+WI+53233/@43.042398,-87.9538594,15z/data=!3m1!4b1!4m14!4m13!1m5!1m1!1s0x88051bb20cc75bc5:0x763601cd386b09d9!2m2!1d-87.9624248!2d43.0440562!1m5!1m1!1s0x88051979232b79cd:0x905e19b746c46eb3!2m2!1d-87.9275222!2d43.0426642!3e0" xr:uid="{00000000-0004-0000-0700-000002000000}"/>
    <hyperlink ref="T115" r:id="rId4" display="https://www.google.com/maps/search/mental+health+services+in+53208/@43.0484504,-87.965502,14.26z" xr:uid="{00000000-0004-0000-0700-000003000000}"/>
    <hyperlink ref="U115" r:id="rId5" display="https://www.google.com/maps/search/gun+stores+in+53208/@43.0454938,-87.9734615,14.04z" xr:uid="{00000000-0004-0000-0700-000004000000}"/>
    <hyperlink ref="V115" r:id="rId6" display="https://en.wikipedia.org/wiki/Milwaukee_Police_Department" xr:uid="{00000000-0004-0000-0700-000005000000}"/>
    <hyperlink ref="W115" r:id="rId7" display="https://www.macrotrends.net/cities/us/wi/milwaukee/murder-homicide-rate-statistics" xr:uid="{00000000-0004-0000-0700-000006000000}"/>
    <hyperlink ref="S113" r:id="rId8" display="https://www.google.com/maps/dir/223+Martin+Luther+King+Drive,+Jersey+City,+NJ/Jersey+City+Medical+Center,+355+Grand+St,+Jersey+City,+NJ+07302/@40.7107257,-74.0750791,15z/data=!4m15!4m14!1m5!1m1!1s0x89c25119259744b1:0xe63cc5f95238b4cf!2m2!1d-74.0837047!2d4%22&amp;%220.7070672!1m5!1m1!1s0x89c250b9d8655a9d:0x15bfa142a6bab2ed!2m2!1d-74.0509185!2d40.7154444!3e0!5i1" xr:uid="{06D083BA-597D-4185-95D9-ECF65A538A50}"/>
    <hyperlink ref="S114" r:id="rId9" display="https://www.google.com/maps/dir/223+Martin+Luther+King+Drive,+Jersey+City,+NJ/Jersey+City+Medical+Center,+355+Grand+St,+Jersey+City,+NJ+07302/@40.7107257,-74.0750791,15z/data=!4m15!4m14!1m5!1m1!1s0x89c25119259744b1:0xe63cc5f95238b4cf!2m2!1d-74.0837047!2d4%22&amp;%220.7070672!1m5!1m1!1s0x89c250b9d8655a9d:0x15bfa142a6bab2ed!2m2!1d-74.0509185!2d40.7154444!3e0!5i1" xr:uid="{8D1D8B0C-7C4C-4FB3-B73D-A2259C96C30C}"/>
  </hyperlinks>
  <pageMargins left="0.7" right="0.7" top="0.75" bottom="0.75" header="0" footer="0"/>
  <pageSetup orientation="landscape" r:id="rId10"/>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Table of Contents</vt:lpstr>
      <vt:lpstr>FAQs</vt:lpstr>
      <vt:lpstr>New in Version 2 </vt:lpstr>
      <vt:lpstr>Codebook</vt:lpstr>
      <vt:lpstr>Full Database</vt:lpstr>
      <vt:lpstr>Database with Source Links</vt:lpstr>
      <vt:lpstr>Firearms</vt:lpstr>
      <vt:lpstr>Victims</vt:lpstr>
      <vt:lpstr>Community Database</vt:lpstr>
      <vt:lpstr>Missing Data</vt:lpstr>
      <vt:lpstr>Trend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Kyle</dc:creator>
  <cp:lastModifiedBy>Microsoft Office User</cp:lastModifiedBy>
  <dcterms:created xsi:type="dcterms:W3CDTF">2019-11-10T04:18:53Z</dcterms:created>
  <dcterms:modified xsi:type="dcterms:W3CDTF">2020-07-27T17:34:02Z</dcterms:modified>
</cp:coreProperties>
</file>